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885" yWindow="300" windowWidth="15600" windowHeight="11640" tabRatio="599"/>
  </bookViews>
  <sheets>
    <sheet name="Рачун финансирања" sheetId="16" r:id="rId1"/>
    <sheet name="Приџ,прим vs Расх,изд" sheetId="1" state="hidden" r:id="rId2"/>
    <sheet name="Оптшти део - (6)" sheetId="3" r:id="rId3"/>
    <sheet name="Капитални расходи" sheetId="4" r:id="rId4"/>
    <sheet name="По основ. нам." sheetId="5" r:id="rId5"/>
    <sheet name="Програмска" sheetId="7" r:id="rId6"/>
    <sheet name="Расх по функц. " sheetId="6" r:id="rId7"/>
    <sheet name="Циљеви и индик." sheetId="19" r:id="rId8"/>
    <sheet name="ПО КОРИСНИЦИМА" sheetId="8" r:id="rId9"/>
    <sheet name="Класификације" sheetId="17" r:id="rId10"/>
    <sheet name="Sheet1" sheetId="20" r:id="rId11"/>
  </sheets>
  <externalReferences>
    <externalReference r:id="rId12"/>
  </externalReferences>
  <definedNames>
    <definedName name="_xlnm._FilterDatabase" localSheetId="9" hidden="1">Класификације!$L$2:$M$4732</definedName>
    <definedName name="ljkl">'Расх по функц. '!$F$140</definedName>
    <definedName name="Programi">OFFSET('[1]Списак капиталних пројеката'!$C$11:$C$30,0,0,COUNTA('[1]Списак капиталних пројеката'!$C$11:$C$30),1)</definedName>
    <definedName name="Ukupno_funkcionalna">'Расх по функц. '!$F$140</definedName>
    <definedName name="Ukupno_izdaci">'По основ. нам.'!$F$88</definedName>
  </definedNames>
  <calcPr calcId="144525"/>
</workbook>
</file>

<file path=xl/calcChain.xml><?xml version="1.0" encoding="utf-8"?>
<calcChain xmlns="http://schemas.openxmlformats.org/spreadsheetml/2006/main">
  <c r="H7063" i="8" l="1"/>
  <c r="J2580" i="8" l="1"/>
  <c r="A9" i="4"/>
  <c r="N8" i="4"/>
  <c r="M8" i="4"/>
  <c r="L8" i="4"/>
  <c r="K8" i="4"/>
  <c r="J8" i="4"/>
  <c r="H4099" i="8" l="1"/>
  <c r="I6226" i="8" l="1"/>
  <c r="I14819" i="8" l="1"/>
  <c r="I14997" i="8" s="1"/>
  <c r="J8144" i="8"/>
  <c r="J8145" i="8"/>
  <c r="J8008" i="8"/>
  <c r="J8009" i="8"/>
  <c r="J7986" i="8"/>
  <c r="H7974" i="8"/>
  <c r="F355" i="7"/>
  <c r="I5163" i="8"/>
  <c r="I5160" i="8"/>
  <c r="H1830" i="8" l="1"/>
  <c r="D43" i="7" l="1"/>
  <c r="H8010" i="8" l="1"/>
  <c r="G100" i="3" l="1"/>
  <c r="D72" i="3"/>
  <c r="G75" i="3"/>
  <c r="C85" i="5" l="1"/>
  <c r="F85" i="5" l="1"/>
  <c r="H2309" i="8" l="1"/>
  <c r="I7661" i="8" l="1"/>
  <c r="I14814" i="8" s="1"/>
  <c r="J7669" i="8"/>
  <c r="J7668" i="8"/>
  <c r="J7667" i="8"/>
  <c r="J7666" i="8"/>
  <c r="J7665" i="8"/>
  <c r="J7664" i="8"/>
  <c r="J7663" i="8"/>
  <c r="J7662" i="8"/>
  <c r="J7659" i="8"/>
  <c r="J7658" i="8"/>
  <c r="I7657" i="8"/>
  <c r="J7656" i="8"/>
  <c r="J7655" i="8"/>
  <c r="J6614" i="8"/>
  <c r="J6613" i="8"/>
  <c r="J6612" i="8"/>
  <c r="J6611" i="8"/>
  <c r="J6610" i="8"/>
  <c r="J6609" i="8"/>
  <c r="J6608" i="8"/>
  <c r="J6607" i="8"/>
  <c r="J6606" i="8"/>
  <c r="J6605" i="8"/>
  <c r="J6604" i="8"/>
  <c r="J6603" i="8"/>
  <c r="J6601" i="8"/>
  <c r="J6600" i="8"/>
  <c r="J4319" i="8"/>
  <c r="J4318" i="8"/>
  <c r="J4317" i="8"/>
  <c r="I4316" i="8"/>
  <c r="I4321" i="8" s="1"/>
  <c r="J4315" i="8"/>
  <c r="J4314" i="8"/>
  <c r="J4313" i="8"/>
  <c r="J4312" i="8"/>
  <c r="J4311" i="8"/>
  <c r="J4310" i="8"/>
  <c r="J4309" i="8"/>
  <c r="J4308" i="8"/>
  <c r="J4307" i="8"/>
  <c r="J4306" i="8"/>
  <c r="J4305" i="8"/>
  <c r="J4102" i="8"/>
  <c r="J4101" i="8"/>
  <c r="J4100" i="8"/>
  <c r="I4099" i="8"/>
  <c r="I4104" i="8" s="1"/>
  <c r="J4098" i="8"/>
  <c r="J4097" i="8"/>
  <c r="J4096" i="8"/>
  <c r="J4095" i="8"/>
  <c r="J4094" i="8"/>
  <c r="J4093" i="8"/>
  <c r="J4092" i="8"/>
  <c r="J4091" i="8"/>
  <c r="J4090" i="8"/>
  <c r="J4089" i="8"/>
  <c r="J4088" i="8"/>
  <c r="J3101" i="8"/>
  <c r="J3100" i="8"/>
  <c r="J3099" i="8"/>
  <c r="I3098" i="8"/>
  <c r="I3103" i="8" s="1"/>
  <c r="J3097" i="8"/>
  <c r="J3096" i="8"/>
  <c r="J3095" i="8"/>
  <c r="J3094" i="8"/>
  <c r="J3093" i="8"/>
  <c r="J3092" i="8"/>
  <c r="J3091" i="8"/>
  <c r="J3090" i="8"/>
  <c r="J3089" i="8"/>
  <c r="J3088" i="8"/>
  <c r="J3087" i="8"/>
  <c r="H2526" i="8"/>
  <c r="I2530" i="8" s="1"/>
  <c r="J2529" i="8"/>
  <c r="J2528" i="8"/>
  <c r="J2527" i="8"/>
  <c r="J2525" i="8"/>
  <c r="J2524" i="8"/>
  <c r="J2523" i="8"/>
  <c r="J2522" i="8"/>
  <c r="J2521" i="8"/>
  <c r="J2520" i="8"/>
  <c r="J2519" i="8"/>
  <c r="J2518" i="8"/>
  <c r="J2517" i="8"/>
  <c r="J2516" i="8"/>
  <c r="J2515" i="8"/>
  <c r="J7660" i="8" l="1"/>
  <c r="J7661" i="8"/>
  <c r="I14992" i="8"/>
  <c r="I7670" i="8"/>
  <c r="J7657" i="8"/>
  <c r="J4316" i="8"/>
  <c r="J4099" i="8"/>
  <c r="J3098" i="8"/>
  <c r="J2526" i="8"/>
  <c r="J8217" i="8"/>
  <c r="H8163" i="8"/>
  <c r="J8163" i="8" s="1"/>
  <c r="H7990" i="8"/>
  <c r="I7990" i="8"/>
  <c r="J8166" i="8"/>
  <c r="J8165" i="8"/>
  <c r="J8164" i="8"/>
  <c r="J8162" i="8"/>
  <c r="J8161" i="8"/>
  <c r="J8160" i="8"/>
  <c r="J8159" i="8"/>
  <c r="J8158" i="8"/>
  <c r="J8156" i="8"/>
  <c r="J8155" i="8"/>
  <c r="J8153" i="8"/>
  <c r="J8152" i="8"/>
  <c r="J8148" i="8"/>
  <c r="J8147" i="8"/>
  <c r="J8146" i="8"/>
  <c r="J8143" i="8"/>
  <c r="J8142" i="8"/>
  <c r="J8141" i="8"/>
  <c r="J8140" i="8"/>
  <c r="J8139" i="8"/>
  <c r="J8137" i="8"/>
  <c r="J8136" i="8"/>
  <c r="I8135" i="8"/>
  <c r="J8135" i="8" s="1"/>
  <c r="J8134" i="8"/>
  <c r="J8133" i="8"/>
  <c r="J8127" i="8"/>
  <c r="I8125" i="8"/>
  <c r="I8126" i="8" s="1"/>
  <c r="J8123" i="8"/>
  <c r="J8117" i="8"/>
  <c r="I8115" i="8"/>
  <c r="I8116" i="8" s="1"/>
  <c r="I8118" i="8" s="1"/>
  <c r="I8119" i="8" s="1"/>
  <c r="H8115" i="8"/>
  <c r="J8114" i="8"/>
  <c r="J8113" i="8"/>
  <c r="J8107" i="8"/>
  <c r="J8106" i="8"/>
  <c r="J8105" i="8"/>
  <c r="J8104" i="8"/>
  <c r="J8103" i="8"/>
  <c r="J8102" i="8"/>
  <c r="J8101" i="8"/>
  <c r="J8100" i="8"/>
  <c r="J8099" i="8"/>
  <c r="J8098" i="8"/>
  <c r="J8097" i="8"/>
  <c r="J8096" i="8"/>
  <c r="J8095" i="8"/>
  <c r="J8094" i="8"/>
  <c r="H8093" i="8"/>
  <c r="J8093" i="8" s="1"/>
  <c r="I8090" i="8"/>
  <c r="I8091" i="8" s="1"/>
  <c r="I8108" i="8" s="1"/>
  <c r="J8089" i="8"/>
  <c r="J8088" i="8"/>
  <c r="J8087" i="8"/>
  <c r="J8086" i="8"/>
  <c r="J8085" i="8"/>
  <c r="J8084" i="8"/>
  <c r="J8083" i="8"/>
  <c r="J8082" i="8"/>
  <c r="J8081" i="8"/>
  <c r="J8080" i="8"/>
  <c r="J8079" i="8"/>
  <c r="J8078" i="8"/>
  <c r="J8077" i="8"/>
  <c r="J8076" i="8"/>
  <c r="H8075" i="8"/>
  <c r="H8091" i="8" s="1"/>
  <c r="J8073" i="8"/>
  <c r="J8072" i="8"/>
  <c r="J8071" i="8"/>
  <c r="J8070" i="8"/>
  <c r="J8069" i="8"/>
  <c r="J8068" i="8"/>
  <c r="J8067" i="8"/>
  <c r="J8066" i="8"/>
  <c r="J8065" i="8"/>
  <c r="J8064" i="8"/>
  <c r="J8063" i="8"/>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J8024" i="8"/>
  <c r="J8023" i="8"/>
  <c r="J8022" i="8"/>
  <c r="J8021" i="8"/>
  <c r="J8020" i="8"/>
  <c r="J8019" i="8"/>
  <c r="J8018" i="8"/>
  <c r="J8017" i="8"/>
  <c r="J8016" i="8"/>
  <c r="J8015" i="8"/>
  <c r="J8014" i="8"/>
  <c r="I8007" i="8"/>
  <c r="J8007" i="8" s="1"/>
  <c r="I8006" i="8"/>
  <c r="J8006" i="8" s="1"/>
  <c r="J8005" i="8"/>
  <c r="J8004" i="8"/>
  <c r="J8003" i="8"/>
  <c r="J8002" i="8"/>
  <c r="J8001" i="8"/>
  <c r="J8000" i="8"/>
  <c r="J7999" i="8"/>
  <c r="J7998" i="8"/>
  <c r="J7997" i="8"/>
  <c r="J7996" i="8"/>
  <c r="J7995" i="8"/>
  <c r="J7994" i="8"/>
  <c r="J7993" i="8"/>
  <c r="J7989" i="8"/>
  <c r="J7988" i="8"/>
  <c r="J7987" i="8"/>
  <c r="J7985" i="8"/>
  <c r="J7984" i="8"/>
  <c r="J7983" i="8"/>
  <c r="J7982" i="8"/>
  <c r="J7981" i="8"/>
  <c r="J7980" i="8"/>
  <c r="J7979" i="8"/>
  <c r="J7978" i="8"/>
  <c r="J7977" i="8"/>
  <c r="J7976" i="8"/>
  <c r="J7975" i="8"/>
  <c r="J7971" i="8"/>
  <c r="J7970" i="8"/>
  <c r="J7969" i="8"/>
  <c r="J7968" i="8"/>
  <c r="J7967" i="8"/>
  <c r="J7966" i="8"/>
  <c r="J7965" i="8"/>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J7925" i="8"/>
  <c r="J7924" i="8"/>
  <c r="J7923" i="8"/>
  <c r="J7922" i="8"/>
  <c r="J7921" i="8"/>
  <c r="J7920" i="8"/>
  <c r="J7919" i="8"/>
  <c r="J7918" i="8"/>
  <c r="J7917" i="8"/>
  <c r="J7916" i="8"/>
  <c r="J7915" i="8"/>
  <c r="J7914" i="8"/>
  <c r="J7913" i="8"/>
  <c r="J7912" i="8"/>
  <c r="I8154" i="8" l="1"/>
  <c r="I8010" i="8"/>
  <c r="J8154" i="8"/>
  <c r="H8132" i="8"/>
  <c r="H8151" i="8" s="1"/>
  <c r="H8167" i="8" s="1"/>
  <c r="J8115" i="8"/>
  <c r="I8109" i="8"/>
  <c r="J8108" i="8"/>
  <c r="I8138" i="8"/>
  <c r="J8109" i="8"/>
  <c r="I8128" i="8"/>
  <c r="J8126" i="8"/>
  <c r="H8149" i="8"/>
  <c r="J7974" i="8"/>
  <c r="J7990" i="8" s="1"/>
  <c r="J7992" i="8"/>
  <c r="J8010" i="8" s="1"/>
  <c r="J8075" i="8"/>
  <c r="J8090" i="8"/>
  <c r="H8109" i="8"/>
  <c r="H8116" i="8"/>
  <c r="J8125" i="8"/>
  <c r="J8172" i="8"/>
  <c r="J8173" i="8"/>
  <c r="J8174" i="8"/>
  <c r="J8175" i="8"/>
  <c r="J8176" i="8"/>
  <c r="J8177" i="8"/>
  <c r="J8178" i="8"/>
  <c r="J8179" i="8"/>
  <c r="J8180" i="8"/>
  <c r="J8181" i="8"/>
  <c r="J8182" i="8"/>
  <c r="J8183" i="8"/>
  <c r="J8184" i="8"/>
  <c r="J8185" i="8"/>
  <c r="J8186" i="8"/>
  <c r="J8187" i="8"/>
  <c r="J8188" i="8"/>
  <c r="J8189" i="8"/>
  <c r="J8190" i="8"/>
  <c r="J8191" i="8"/>
  <c r="J8192" i="8"/>
  <c r="J8193" i="8"/>
  <c r="I7907" i="8"/>
  <c r="I7879" i="8"/>
  <c r="I7878" i="8"/>
  <c r="J7905" i="8"/>
  <c r="J7904" i="8"/>
  <c r="J7903" i="8"/>
  <c r="J7902" i="8"/>
  <c r="J7901" i="8"/>
  <c r="J7900" i="8"/>
  <c r="J7899" i="8"/>
  <c r="J7898" i="8"/>
  <c r="J7897" i="8"/>
  <c r="J7896" i="8"/>
  <c r="J7895" i="8"/>
  <c r="J7894" i="8"/>
  <c r="J7893" i="8"/>
  <c r="J7892" i="8"/>
  <c r="I7887" i="8"/>
  <c r="J7887" i="8" s="1"/>
  <c r="J7886" i="8"/>
  <c r="J7885" i="8"/>
  <c r="J7884" i="8"/>
  <c r="J7883" i="8"/>
  <c r="J7882" i="8"/>
  <c r="J7881" i="8"/>
  <c r="J7880" i="8"/>
  <c r="J7879" i="8"/>
  <c r="J7877" i="8"/>
  <c r="J7876" i="8"/>
  <c r="J7875" i="8"/>
  <c r="J7874" i="8"/>
  <c r="J7873" i="8"/>
  <c r="I7870" i="8"/>
  <c r="J7869" i="8"/>
  <c r="J7868" i="8"/>
  <c r="J7867" i="8"/>
  <c r="J7866" i="8"/>
  <c r="J7865" i="8"/>
  <c r="J7864" i="8"/>
  <c r="J7863" i="8"/>
  <c r="J7862" i="8"/>
  <c r="J7861" i="8"/>
  <c r="J7860" i="8"/>
  <c r="J7859" i="8"/>
  <c r="J7858" i="8"/>
  <c r="J7857" i="8"/>
  <c r="J7856" i="8"/>
  <c r="J7855" i="8"/>
  <c r="H7854" i="8"/>
  <c r="H7870" i="8" s="1"/>
  <c r="I7852" i="8"/>
  <c r="J7851" i="8"/>
  <c r="J7850" i="8"/>
  <c r="J7849" i="8"/>
  <c r="J7848" i="8"/>
  <c r="J7847" i="8"/>
  <c r="J7846" i="8"/>
  <c r="J7845" i="8"/>
  <c r="J7844" i="8"/>
  <c r="J7843" i="8"/>
  <c r="J7842" i="8"/>
  <c r="J7841" i="8"/>
  <c r="J7840" i="8"/>
  <c r="J7839" i="8"/>
  <c r="J7838" i="8"/>
  <c r="J7837" i="8"/>
  <c r="H7836" i="8"/>
  <c r="H7852" i="8" s="1"/>
  <c r="J7834" i="8"/>
  <c r="J7833" i="8"/>
  <c r="J7832" i="8"/>
  <c r="J7831" i="8"/>
  <c r="J7830" i="8"/>
  <c r="J7829" i="8"/>
  <c r="J7828" i="8"/>
  <c r="J7827" i="8"/>
  <c r="J7826" i="8"/>
  <c r="J7825" i="8"/>
  <c r="J7824" i="8"/>
  <c r="J7823" i="8"/>
  <c r="J7822" i="8"/>
  <c r="J7821" i="8"/>
  <c r="J7820" i="8"/>
  <c r="J7819" i="8"/>
  <c r="J7818" i="8"/>
  <c r="J7817" i="8"/>
  <c r="J7816" i="8"/>
  <c r="J7815" i="8"/>
  <c r="J7814" i="8"/>
  <c r="J7813" i="8"/>
  <c r="J7812" i="8"/>
  <c r="J7811" i="8"/>
  <c r="J7810" i="8"/>
  <c r="J7809" i="8"/>
  <c r="J7808" i="8"/>
  <c r="J7807" i="8"/>
  <c r="J7806" i="8"/>
  <c r="J7805" i="8"/>
  <c r="J7804" i="8"/>
  <c r="J7803" i="8"/>
  <c r="J7802" i="8"/>
  <c r="J7801" i="8"/>
  <c r="J7800" i="8"/>
  <c r="J7799" i="8"/>
  <c r="J7798" i="8"/>
  <c r="J7797" i="8"/>
  <c r="J7796" i="8"/>
  <c r="J7795" i="8"/>
  <c r="J7794" i="8"/>
  <c r="J7793" i="8"/>
  <c r="J7792" i="8"/>
  <c r="J7791" i="8"/>
  <c r="J7790" i="8"/>
  <c r="J7789" i="8"/>
  <c r="J7788" i="8"/>
  <c r="J7787" i="8"/>
  <c r="J7786" i="8"/>
  <c r="J7785" i="8"/>
  <c r="J7784" i="8"/>
  <c r="J7783" i="8"/>
  <c r="J7782" i="8"/>
  <c r="J7781" i="8"/>
  <c r="J7780" i="8"/>
  <c r="J7779" i="8"/>
  <c r="J7778" i="8"/>
  <c r="J7777" i="8"/>
  <c r="J7776" i="8"/>
  <c r="J7775" i="8"/>
  <c r="J8138" i="8" l="1"/>
  <c r="I8157" i="8"/>
  <c r="I14813" i="8" s="1"/>
  <c r="I14991" i="8" s="1"/>
  <c r="I8149" i="8"/>
  <c r="J8151" i="8"/>
  <c r="J8132" i="8"/>
  <c r="J8149" i="8" s="1"/>
  <c r="I7888" i="8"/>
  <c r="H8118" i="8"/>
  <c r="J8116" i="8"/>
  <c r="J8091" i="8"/>
  <c r="J8128" i="8"/>
  <c r="I8129" i="8"/>
  <c r="J8129" i="8" s="1"/>
  <c r="J7878" i="8"/>
  <c r="J7906" i="8"/>
  <c r="J7854" i="8"/>
  <c r="J7870" i="8" s="1"/>
  <c r="J7836" i="8"/>
  <c r="J7852" i="8" s="1"/>
  <c r="J8194" i="8"/>
  <c r="J8195" i="8"/>
  <c r="J8196" i="8"/>
  <c r="J8197" i="8"/>
  <c r="J8198" i="8"/>
  <c r="J8199" i="8"/>
  <c r="J8200" i="8"/>
  <c r="J8201" i="8"/>
  <c r="J8202" i="8"/>
  <c r="J8203" i="8"/>
  <c r="J8204" i="8"/>
  <c r="J8205" i="8"/>
  <c r="J8206" i="8"/>
  <c r="J8207" i="8"/>
  <c r="J8208" i="8"/>
  <c r="J8209" i="8"/>
  <c r="J8210" i="8"/>
  <c r="J8211" i="8"/>
  <c r="J8212" i="8"/>
  <c r="J8213" i="8"/>
  <c r="J8214" i="8"/>
  <c r="J8215" i="8"/>
  <c r="J8216" i="8"/>
  <c r="J8218" i="8"/>
  <c r="J8219" i="8"/>
  <c r="J8220" i="8"/>
  <c r="J8221" i="8"/>
  <c r="J8222" i="8"/>
  <c r="J8223" i="8"/>
  <c r="J8224" i="8"/>
  <c r="J8225" i="8"/>
  <c r="J8226" i="8"/>
  <c r="J8227" i="8"/>
  <c r="J8228" i="8"/>
  <c r="J8229" i="8"/>
  <c r="J8230" i="8"/>
  <c r="J8231" i="8"/>
  <c r="J8234" i="8"/>
  <c r="J8235" i="8"/>
  <c r="J8236" i="8"/>
  <c r="J8237" i="8"/>
  <c r="J8238" i="8"/>
  <c r="J8239" i="8"/>
  <c r="J8240" i="8"/>
  <c r="J8241" i="8"/>
  <c r="J8242" i="8"/>
  <c r="J8243" i="8"/>
  <c r="J8244" i="8"/>
  <c r="J8245" i="8"/>
  <c r="J8246" i="8"/>
  <c r="J8247" i="8"/>
  <c r="J8248" i="8"/>
  <c r="I8249" i="8"/>
  <c r="J8252" i="8"/>
  <c r="J8253" i="8"/>
  <c r="J8254" i="8"/>
  <c r="J8255" i="8"/>
  <c r="J8256" i="8"/>
  <c r="J8257" i="8"/>
  <c r="J8258" i="8"/>
  <c r="J8259" i="8"/>
  <c r="J8260" i="8"/>
  <c r="J8261" i="8"/>
  <c r="J8262" i="8"/>
  <c r="J8263" i="8"/>
  <c r="J8264" i="8"/>
  <c r="J8265" i="8"/>
  <c r="J8266" i="8"/>
  <c r="I8267" i="8"/>
  <c r="J8272" i="8"/>
  <c r="J8273" i="8"/>
  <c r="J8274" i="8"/>
  <c r="J8275" i="8"/>
  <c r="J8276" i="8"/>
  <c r="J8277" i="8"/>
  <c r="J8278" i="8"/>
  <c r="J8279" i="8"/>
  <c r="J8280" i="8"/>
  <c r="J8281" i="8"/>
  <c r="J8282" i="8"/>
  <c r="J8283" i="8"/>
  <c r="J8284" i="8"/>
  <c r="J8285" i="8"/>
  <c r="J8286" i="8"/>
  <c r="I8287" i="8"/>
  <c r="J8291" i="8"/>
  <c r="J8292" i="8"/>
  <c r="J8293" i="8"/>
  <c r="J8294" i="8"/>
  <c r="J8295" i="8"/>
  <c r="J8296" i="8"/>
  <c r="J8297" i="8"/>
  <c r="J8298" i="8"/>
  <c r="J8299" i="8"/>
  <c r="J8300" i="8"/>
  <c r="J8301" i="8"/>
  <c r="J8302" i="8"/>
  <c r="J8303" i="8"/>
  <c r="J8304" i="8"/>
  <c r="J8305" i="8"/>
  <c r="I8306" i="8"/>
  <c r="J8313" i="8"/>
  <c r="J8314" i="8"/>
  <c r="J8315" i="8"/>
  <c r="J8316" i="8"/>
  <c r="J8317" i="8"/>
  <c r="J8318" i="8"/>
  <c r="J8319" i="8"/>
  <c r="J8320" i="8"/>
  <c r="J8321" i="8"/>
  <c r="J8322" i="8"/>
  <c r="J8323" i="8"/>
  <c r="J8324" i="8"/>
  <c r="J8325" i="8"/>
  <c r="J8326" i="8"/>
  <c r="J8327" i="8"/>
  <c r="J8328" i="8"/>
  <c r="J8329" i="8"/>
  <c r="J8330" i="8"/>
  <c r="J8331" i="8"/>
  <c r="J8332" i="8"/>
  <c r="J8333" i="8"/>
  <c r="J8334" i="8"/>
  <c r="J8335" i="8"/>
  <c r="J8336" i="8"/>
  <c r="J8337" i="8"/>
  <c r="J8338" i="8"/>
  <c r="J8339" i="8"/>
  <c r="J8340" i="8"/>
  <c r="J8341" i="8"/>
  <c r="J8342" i="8"/>
  <c r="J8343" i="8"/>
  <c r="J8344" i="8"/>
  <c r="J8345" i="8"/>
  <c r="J8346" i="8"/>
  <c r="J8347" i="8"/>
  <c r="J8348" i="8"/>
  <c r="J8349" i="8"/>
  <c r="J8350" i="8"/>
  <c r="J8351" i="8"/>
  <c r="J8352" i="8"/>
  <c r="J8353" i="8"/>
  <c r="J8354" i="8"/>
  <c r="J8355" i="8"/>
  <c r="J8356" i="8"/>
  <c r="J8357" i="8"/>
  <c r="J8358" i="8"/>
  <c r="J8359" i="8"/>
  <c r="J8360" i="8"/>
  <c r="J8361" i="8"/>
  <c r="J8362" i="8"/>
  <c r="J8363" i="8"/>
  <c r="J8364" i="8"/>
  <c r="J8365" i="8"/>
  <c r="J8366" i="8"/>
  <c r="J8367" i="8"/>
  <c r="J8368" i="8"/>
  <c r="J8369" i="8"/>
  <c r="J8370" i="8"/>
  <c r="J8371" i="8"/>
  <c r="J8372" i="8"/>
  <c r="H8374" i="8"/>
  <c r="J8374" i="8" s="1"/>
  <c r="J8375" i="8"/>
  <c r="J8376" i="8"/>
  <c r="J8377" i="8"/>
  <c r="J8378" i="8"/>
  <c r="J8379" i="8"/>
  <c r="J8380" i="8"/>
  <c r="J8381" i="8"/>
  <c r="J8382" i="8"/>
  <c r="J8383" i="8"/>
  <c r="J8384" i="8"/>
  <c r="J8385" i="8"/>
  <c r="J8386" i="8"/>
  <c r="J8387" i="8"/>
  <c r="J8388" i="8"/>
  <c r="J8389" i="8"/>
  <c r="I8390" i="8"/>
  <c r="H8392" i="8"/>
  <c r="J8392" i="8" s="1"/>
  <c r="J8393" i="8"/>
  <c r="J8394" i="8"/>
  <c r="J8395" i="8"/>
  <c r="J8396" i="8"/>
  <c r="J8397" i="8"/>
  <c r="J8398" i="8"/>
  <c r="J8399" i="8"/>
  <c r="J8400" i="8"/>
  <c r="J8401" i="8"/>
  <c r="J8402" i="8"/>
  <c r="J8403" i="8"/>
  <c r="J8404" i="8"/>
  <c r="J8405" i="8"/>
  <c r="J8406" i="8"/>
  <c r="J8407" i="8"/>
  <c r="I8408" i="8"/>
  <c r="J8413" i="8"/>
  <c r="J8414" i="8"/>
  <c r="J8415" i="8"/>
  <c r="J8416" i="8"/>
  <c r="J8417" i="8"/>
  <c r="J8418" i="8"/>
  <c r="J8419" i="8"/>
  <c r="J8420" i="8"/>
  <c r="J8421" i="8"/>
  <c r="J8422" i="8"/>
  <c r="J8423" i="8"/>
  <c r="J8424" i="8"/>
  <c r="J8425" i="8"/>
  <c r="J8426" i="8"/>
  <c r="J8427" i="8"/>
  <c r="J8428" i="8"/>
  <c r="J8429" i="8"/>
  <c r="J8430" i="8"/>
  <c r="J8431" i="8"/>
  <c r="J8432" i="8"/>
  <c r="J8433" i="8"/>
  <c r="J8434" i="8"/>
  <c r="J8435" i="8"/>
  <c r="J8436" i="8"/>
  <c r="J8437" i="8"/>
  <c r="J8438" i="8"/>
  <c r="J8439" i="8"/>
  <c r="J8440" i="8"/>
  <c r="J8441" i="8"/>
  <c r="J8442" i="8"/>
  <c r="J8443" i="8"/>
  <c r="J8444" i="8"/>
  <c r="J8445" i="8"/>
  <c r="J8446" i="8"/>
  <c r="J8447" i="8"/>
  <c r="J8448" i="8"/>
  <c r="J8449" i="8"/>
  <c r="J8450" i="8"/>
  <c r="J8451" i="8"/>
  <c r="J8452" i="8"/>
  <c r="J8453" i="8"/>
  <c r="J8454" i="8"/>
  <c r="J8455" i="8"/>
  <c r="J8456" i="8"/>
  <c r="J8457" i="8"/>
  <c r="J8458" i="8"/>
  <c r="J8459" i="8"/>
  <c r="J8460" i="8"/>
  <c r="J8461" i="8"/>
  <c r="J8462" i="8"/>
  <c r="J8463" i="8"/>
  <c r="J8464" i="8"/>
  <c r="J8465" i="8"/>
  <c r="J8466" i="8"/>
  <c r="J8467" i="8"/>
  <c r="J8468" i="8"/>
  <c r="J8469" i="8"/>
  <c r="J8470" i="8"/>
  <c r="J8471" i="8"/>
  <c r="J8472" i="8"/>
  <c r="H8474" i="8"/>
  <c r="J8474" i="8" s="1"/>
  <c r="J8475" i="8"/>
  <c r="J8476" i="8"/>
  <c r="J8477" i="8"/>
  <c r="J8478" i="8"/>
  <c r="J8479" i="8"/>
  <c r="J8480" i="8"/>
  <c r="J8481" i="8"/>
  <c r="J8482" i="8"/>
  <c r="J8483" i="8"/>
  <c r="J8484" i="8"/>
  <c r="J8485" i="8"/>
  <c r="J8486" i="8"/>
  <c r="J8487" i="8"/>
  <c r="J8488" i="8"/>
  <c r="J8489" i="8"/>
  <c r="I8490" i="8"/>
  <c r="J8493" i="8"/>
  <c r="J8494" i="8"/>
  <c r="J8495" i="8"/>
  <c r="J8496" i="8"/>
  <c r="J8497" i="8"/>
  <c r="J8498" i="8"/>
  <c r="J8499" i="8"/>
  <c r="J8500" i="8"/>
  <c r="J8501" i="8"/>
  <c r="J8502" i="8"/>
  <c r="J8503" i="8"/>
  <c r="J8504" i="8"/>
  <c r="J8505" i="8"/>
  <c r="J8506" i="8"/>
  <c r="J8507" i="8"/>
  <c r="I8508" i="8"/>
  <c r="J8512" i="8"/>
  <c r="J8513" i="8"/>
  <c r="J8514" i="8"/>
  <c r="J8515" i="8"/>
  <c r="J8516" i="8"/>
  <c r="J8517" i="8"/>
  <c r="J8518" i="8"/>
  <c r="J8519" i="8"/>
  <c r="J8520" i="8"/>
  <c r="J8521" i="8"/>
  <c r="J8522" i="8"/>
  <c r="J8523" i="8"/>
  <c r="J8524" i="8"/>
  <c r="J8525" i="8"/>
  <c r="J8526" i="8"/>
  <c r="I8527" i="8"/>
  <c r="J8531" i="8"/>
  <c r="J8532" i="8"/>
  <c r="J8533" i="8"/>
  <c r="J8534" i="8"/>
  <c r="J8535" i="8"/>
  <c r="J8536" i="8"/>
  <c r="J8537" i="8"/>
  <c r="J8538" i="8"/>
  <c r="J8539" i="8"/>
  <c r="J8540" i="8"/>
  <c r="J8541" i="8"/>
  <c r="J8542" i="8"/>
  <c r="J8543" i="8"/>
  <c r="J8544" i="8"/>
  <c r="J8545" i="8"/>
  <c r="I8546" i="8"/>
  <c r="J8552" i="8"/>
  <c r="J8553" i="8"/>
  <c r="J8554" i="8"/>
  <c r="J8555" i="8"/>
  <c r="J8556" i="8"/>
  <c r="J8557" i="8"/>
  <c r="J8558" i="8"/>
  <c r="J8559" i="8"/>
  <c r="J8560" i="8"/>
  <c r="J8561" i="8"/>
  <c r="J8562" i="8"/>
  <c r="J8563" i="8"/>
  <c r="J8564" i="8"/>
  <c r="J8565" i="8"/>
  <c r="J8566" i="8"/>
  <c r="J8567" i="8"/>
  <c r="J8568" i="8"/>
  <c r="J8569" i="8"/>
  <c r="J8570" i="8"/>
  <c r="J8571" i="8"/>
  <c r="J8572" i="8"/>
  <c r="J8573" i="8"/>
  <c r="J8574" i="8"/>
  <c r="J8575" i="8"/>
  <c r="J8576" i="8"/>
  <c r="J8577" i="8"/>
  <c r="J8578" i="8"/>
  <c r="J7770" i="8"/>
  <c r="J7769" i="8"/>
  <c r="J7768" i="8"/>
  <c r="J7767" i="8"/>
  <c r="J7766" i="8"/>
  <c r="J7765" i="8"/>
  <c r="J7764" i="8"/>
  <c r="J7763" i="8"/>
  <c r="J7762" i="8"/>
  <c r="J7761" i="8"/>
  <c r="J7760" i="8"/>
  <c r="J7759" i="8"/>
  <c r="J7758" i="8"/>
  <c r="J7757" i="8"/>
  <c r="H7756" i="8"/>
  <c r="H7772" i="8" s="1"/>
  <c r="I7752" i="8"/>
  <c r="I7771" i="8" s="1"/>
  <c r="I7772" i="8" s="1"/>
  <c r="J7751" i="8"/>
  <c r="J7750" i="8"/>
  <c r="J7749" i="8"/>
  <c r="J7748" i="8"/>
  <c r="J7747" i="8"/>
  <c r="J7746" i="8"/>
  <c r="J7745" i="8"/>
  <c r="J7744" i="8"/>
  <c r="J7743" i="8"/>
  <c r="J7742" i="8"/>
  <c r="J7741" i="8"/>
  <c r="J7740" i="8"/>
  <c r="J7739" i="8"/>
  <c r="J7738" i="8"/>
  <c r="H7737" i="8"/>
  <c r="H7753" i="8" s="1"/>
  <c r="J7735" i="8"/>
  <c r="J7734" i="8"/>
  <c r="J7733" i="8"/>
  <c r="J7732" i="8"/>
  <c r="J7731" i="8"/>
  <c r="J7730" i="8"/>
  <c r="J7729" i="8"/>
  <c r="J7728" i="8"/>
  <c r="J7727" i="8"/>
  <c r="J7726" i="8"/>
  <c r="J7725" i="8"/>
  <c r="J7724" i="8"/>
  <c r="J7723" i="8"/>
  <c r="J7722" i="8"/>
  <c r="J7721" i="8"/>
  <c r="J7720" i="8"/>
  <c r="J7719" i="8"/>
  <c r="J7718" i="8"/>
  <c r="J7717" i="8"/>
  <c r="J7716" i="8"/>
  <c r="J7715" i="8"/>
  <c r="J7714" i="8"/>
  <c r="J7713" i="8"/>
  <c r="J7712" i="8"/>
  <c r="J7711" i="8"/>
  <c r="J7710" i="8"/>
  <c r="J7709" i="8"/>
  <c r="J7708" i="8"/>
  <c r="J7707" i="8"/>
  <c r="J7706" i="8"/>
  <c r="J7705" i="8"/>
  <c r="J7704" i="8"/>
  <c r="J7703" i="8"/>
  <c r="J7702" i="8"/>
  <c r="J7701" i="8"/>
  <c r="J7700" i="8"/>
  <c r="J7699" i="8"/>
  <c r="J7698" i="8"/>
  <c r="J7697" i="8"/>
  <c r="J7696" i="8"/>
  <c r="J7695" i="8"/>
  <c r="J7694" i="8"/>
  <c r="J7693" i="8"/>
  <c r="J7692" i="8"/>
  <c r="J7691" i="8"/>
  <c r="J7690" i="8"/>
  <c r="J7689" i="8"/>
  <c r="J7688" i="8"/>
  <c r="J7687" i="8"/>
  <c r="J7686" i="8"/>
  <c r="J7685" i="8"/>
  <c r="J7684" i="8"/>
  <c r="J7683" i="8"/>
  <c r="J7682" i="8"/>
  <c r="J7681" i="8"/>
  <c r="J7680" i="8"/>
  <c r="J7679" i="8"/>
  <c r="J7678" i="8"/>
  <c r="J7677" i="8"/>
  <c r="J7676" i="8"/>
  <c r="H7617" i="8"/>
  <c r="H7045" i="8"/>
  <c r="I7651" i="8"/>
  <c r="J7650" i="8"/>
  <c r="J7649" i="8"/>
  <c r="J7648" i="8"/>
  <c r="J7647" i="8"/>
  <c r="J7646" i="8"/>
  <c r="J7645" i="8"/>
  <c r="J7644" i="8"/>
  <c r="J7643" i="8"/>
  <c r="J7642" i="8"/>
  <c r="J7641" i="8"/>
  <c r="J7640" i="8"/>
  <c r="J7639" i="8"/>
  <c r="J7638" i="8"/>
  <c r="J7637" i="8"/>
  <c r="J7636" i="8"/>
  <c r="H7635" i="8"/>
  <c r="I7633" i="8"/>
  <c r="H7633" i="8"/>
  <c r="J7632" i="8"/>
  <c r="J7631" i="8"/>
  <c r="J7630" i="8"/>
  <c r="J7629" i="8"/>
  <c r="J7628" i="8"/>
  <c r="J7627" i="8"/>
  <c r="J7626" i="8"/>
  <c r="J7625" i="8"/>
  <c r="J7624" i="8"/>
  <c r="J7623" i="8"/>
  <c r="J7622" i="8"/>
  <c r="J7621" i="8"/>
  <c r="J7620" i="8"/>
  <c r="J7619" i="8"/>
  <c r="J7618" i="8"/>
  <c r="J7617" i="8"/>
  <c r="J7615" i="8"/>
  <c r="J7614" i="8"/>
  <c r="J7613" i="8"/>
  <c r="J7612" i="8"/>
  <c r="J7611" i="8"/>
  <c r="J7610" i="8"/>
  <c r="J7609" i="8"/>
  <c r="J7608" i="8"/>
  <c r="J7607" i="8"/>
  <c r="J7606" i="8"/>
  <c r="J7605" i="8"/>
  <c r="J7604" i="8"/>
  <c r="J7603" i="8"/>
  <c r="J7602" i="8"/>
  <c r="J7601" i="8"/>
  <c r="J7600" i="8"/>
  <c r="J7599" i="8"/>
  <c r="J7598" i="8"/>
  <c r="J7597" i="8"/>
  <c r="J7596" i="8"/>
  <c r="J7595" i="8"/>
  <c r="J7594" i="8"/>
  <c r="J7593" i="8"/>
  <c r="J7592" i="8"/>
  <c r="J7591" i="8"/>
  <c r="J7590" i="8"/>
  <c r="J7589" i="8"/>
  <c r="J7588" i="8"/>
  <c r="J7587" i="8"/>
  <c r="J7586" i="8"/>
  <c r="J7585" i="8"/>
  <c r="J7584" i="8"/>
  <c r="J7583" i="8"/>
  <c r="J7582" i="8"/>
  <c r="J7581" i="8"/>
  <c r="J7580" i="8"/>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H6843" i="8"/>
  <c r="I6761" i="8"/>
  <c r="H7651" i="8" l="1"/>
  <c r="J8157" i="8"/>
  <c r="J8167" i="8" s="1"/>
  <c r="I8167" i="8"/>
  <c r="H8119" i="8"/>
  <c r="J8119" i="8" s="1"/>
  <c r="J8118" i="8"/>
  <c r="H8267" i="8"/>
  <c r="J8233" i="8"/>
  <c r="J8249" i="8" s="1"/>
  <c r="J8490" i="8"/>
  <c r="J8390" i="8"/>
  <c r="J8408" i="8"/>
  <c r="H8490" i="8"/>
  <c r="H8408" i="8"/>
  <c r="H8390" i="8"/>
  <c r="H8249" i="8"/>
  <c r="H7872" i="8"/>
  <c r="J7633" i="8"/>
  <c r="J7737" i="8"/>
  <c r="J7752" i="8"/>
  <c r="I7753" i="8"/>
  <c r="H8492" i="8"/>
  <c r="J7756" i="8"/>
  <c r="J7771" i="8"/>
  <c r="J7635" i="8"/>
  <c r="J7651" i="8" s="1"/>
  <c r="I7079" i="8"/>
  <c r="J7078" i="8"/>
  <c r="J7077" i="8"/>
  <c r="J7076" i="8"/>
  <c r="J7075" i="8"/>
  <c r="J7074" i="8"/>
  <c r="J7073" i="8"/>
  <c r="J7072" i="8"/>
  <c r="J7071" i="8"/>
  <c r="J7070" i="8"/>
  <c r="J7069" i="8"/>
  <c r="J7068" i="8"/>
  <c r="J7067" i="8"/>
  <c r="J7066" i="8"/>
  <c r="J7065" i="8"/>
  <c r="J7064" i="8"/>
  <c r="H7079" i="8"/>
  <c r="I7061" i="8"/>
  <c r="H7061" i="8"/>
  <c r="J7060" i="8"/>
  <c r="J7059" i="8"/>
  <c r="J7058" i="8"/>
  <c r="J7057" i="8"/>
  <c r="J7056" i="8"/>
  <c r="J7055" i="8"/>
  <c r="J7054" i="8"/>
  <c r="J7053" i="8"/>
  <c r="J7052" i="8"/>
  <c r="J7051" i="8"/>
  <c r="J7050" i="8"/>
  <c r="J7049" i="8"/>
  <c r="J7048" i="8"/>
  <c r="J7047" i="8"/>
  <c r="J7046" i="8"/>
  <c r="J7045" i="8"/>
  <c r="J7043" i="8"/>
  <c r="J7042" i="8"/>
  <c r="J7041" i="8"/>
  <c r="J7040" i="8"/>
  <c r="J7039" i="8"/>
  <c r="J7038" i="8"/>
  <c r="J7037" i="8"/>
  <c r="J7036" i="8"/>
  <c r="J7035" i="8"/>
  <c r="J7034" i="8"/>
  <c r="J7033" i="8"/>
  <c r="J7032" i="8"/>
  <c r="J7031" i="8"/>
  <c r="J7030" i="8"/>
  <c r="J7029" i="8"/>
  <c r="J7028" i="8"/>
  <c r="J7027" i="8"/>
  <c r="J7026" i="8"/>
  <c r="J7025" i="8"/>
  <c r="J7024" i="8"/>
  <c r="J7023" i="8"/>
  <c r="J7022" i="8"/>
  <c r="J7021" i="8"/>
  <c r="J7020" i="8"/>
  <c r="J7019" i="8"/>
  <c r="J7018" i="8"/>
  <c r="J7017" i="8"/>
  <c r="J7016" i="8"/>
  <c r="J7015" i="8"/>
  <c r="J7014" i="8"/>
  <c r="J7013" i="8"/>
  <c r="J7012" i="8"/>
  <c r="J7011" i="8"/>
  <c r="J7010" i="8"/>
  <c r="J7009" i="8"/>
  <c r="J7008" i="8"/>
  <c r="J7007" i="8"/>
  <c r="J7006" i="8"/>
  <c r="J7005" i="8"/>
  <c r="J7004" i="8"/>
  <c r="J7003" i="8"/>
  <c r="J7002" i="8"/>
  <c r="J7001" i="8"/>
  <c r="J7000" i="8"/>
  <c r="J6999" i="8"/>
  <c r="J6998" i="8"/>
  <c r="J6997" i="8"/>
  <c r="J6996" i="8"/>
  <c r="J6995" i="8"/>
  <c r="J6994" i="8"/>
  <c r="J6993" i="8"/>
  <c r="J6992" i="8"/>
  <c r="J6991" i="8"/>
  <c r="J6990" i="8"/>
  <c r="J6989" i="8"/>
  <c r="J6988" i="8"/>
  <c r="J6987" i="8"/>
  <c r="J6986" i="8"/>
  <c r="J6985" i="8"/>
  <c r="J6984" i="8"/>
  <c r="I6975" i="8"/>
  <c r="J6974" i="8"/>
  <c r="J6973" i="8"/>
  <c r="J6972" i="8"/>
  <c r="J6971" i="8"/>
  <c r="J6970" i="8"/>
  <c r="J6969" i="8"/>
  <c r="J6968" i="8"/>
  <c r="J6967" i="8"/>
  <c r="J6966" i="8"/>
  <c r="J6965" i="8"/>
  <c r="J6964" i="8"/>
  <c r="J6963" i="8"/>
  <c r="J6962" i="8"/>
  <c r="J6961" i="8"/>
  <c r="J6960" i="8"/>
  <c r="H6959" i="8"/>
  <c r="H6975" i="8" s="1"/>
  <c r="I6957" i="8"/>
  <c r="J6956" i="8"/>
  <c r="J6955" i="8"/>
  <c r="J6954" i="8"/>
  <c r="J6953" i="8"/>
  <c r="J6952" i="8"/>
  <c r="J6951" i="8"/>
  <c r="J6950" i="8"/>
  <c r="J6949" i="8"/>
  <c r="J6948" i="8"/>
  <c r="J6947" i="8"/>
  <c r="J6946" i="8"/>
  <c r="J6945" i="8"/>
  <c r="J6944" i="8"/>
  <c r="J6943" i="8"/>
  <c r="J6942" i="8"/>
  <c r="H6941" i="8"/>
  <c r="H6957" i="8" s="1"/>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J6904" i="8"/>
  <c r="J6903" i="8"/>
  <c r="J6902" i="8"/>
  <c r="J6901" i="8"/>
  <c r="J6900" i="8"/>
  <c r="J6899" i="8"/>
  <c r="J6898" i="8"/>
  <c r="J6897" i="8"/>
  <c r="J6896" i="8"/>
  <c r="J6895" i="8"/>
  <c r="J6894" i="8"/>
  <c r="J6893" i="8"/>
  <c r="J6892" i="8"/>
  <c r="J6891" i="8"/>
  <c r="J6890" i="8"/>
  <c r="J6889" i="8"/>
  <c r="J6888" i="8"/>
  <c r="J6887" i="8"/>
  <c r="J6886" i="8"/>
  <c r="J6885" i="8"/>
  <c r="J6884" i="8"/>
  <c r="J6883" i="8"/>
  <c r="J6882" i="8"/>
  <c r="J6881" i="8"/>
  <c r="J6880" i="8"/>
  <c r="I6877" i="8"/>
  <c r="J6876" i="8"/>
  <c r="J6875" i="8"/>
  <c r="J6874" i="8"/>
  <c r="J6873" i="8"/>
  <c r="J6872" i="8"/>
  <c r="J6871" i="8"/>
  <c r="J6870" i="8"/>
  <c r="J6869" i="8"/>
  <c r="J6868" i="8"/>
  <c r="J6867" i="8"/>
  <c r="J6866" i="8"/>
  <c r="J6865" i="8"/>
  <c r="J6864" i="8"/>
  <c r="J6863" i="8"/>
  <c r="J6862" i="8"/>
  <c r="H6861" i="8"/>
  <c r="H6877" i="8" s="1"/>
  <c r="I6859" i="8"/>
  <c r="H6859" i="8"/>
  <c r="J6858" i="8"/>
  <c r="J6857" i="8"/>
  <c r="J6856" i="8"/>
  <c r="J6855" i="8"/>
  <c r="J6854" i="8"/>
  <c r="J6853" i="8"/>
  <c r="J6852" i="8"/>
  <c r="J6851" i="8"/>
  <c r="J6850" i="8"/>
  <c r="J6849" i="8"/>
  <c r="J6848" i="8"/>
  <c r="J6847" i="8"/>
  <c r="J6846" i="8"/>
  <c r="J6845" i="8"/>
  <c r="J6844" i="8"/>
  <c r="J6843" i="8"/>
  <c r="J6841" i="8"/>
  <c r="J6840" i="8"/>
  <c r="J6839" i="8"/>
  <c r="J6838" i="8"/>
  <c r="J6837" i="8"/>
  <c r="J6836" i="8"/>
  <c r="J6835" i="8"/>
  <c r="J6834" i="8"/>
  <c r="J6833" i="8"/>
  <c r="J6832" i="8"/>
  <c r="J6831" i="8"/>
  <c r="J6830" i="8"/>
  <c r="J6829" i="8"/>
  <c r="J6828" i="8"/>
  <c r="J6827" i="8"/>
  <c r="J6826" i="8"/>
  <c r="J6825" i="8"/>
  <c r="J6824" i="8"/>
  <c r="J6823" i="8"/>
  <c r="J6822" i="8"/>
  <c r="J6821" i="8"/>
  <c r="J6820" i="8"/>
  <c r="J6819" i="8"/>
  <c r="J6818" i="8"/>
  <c r="J6817" i="8"/>
  <c r="J6816" i="8"/>
  <c r="J6815" i="8"/>
  <c r="J6814" i="8"/>
  <c r="J6813" i="8"/>
  <c r="J6812" i="8"/>
  <c r="J6811" i="8"/>
  <c r="J6810" i="8"/>
  <c r="J6809" i="8"/>
  <c r="J6808" i="8"/>
  <c r="J6807" i="8"/>
  <c r="J6806" i="8"/>
  <c r="J6805" i="8"/>
  <c r="J6804" i="8"/>
  <c r="J6803" i="8"/>
  <c r="J6802" i="8"/>
  <c r="J6801" i="8"/>
  <c r="J6800" i="8"/>
  <c r="J6799" i="8"/>
  <c r="J6798" i="8"/>
  <c r="J6797" i="8"/>
  <c r="J6796" i="8"/>
  <c r="J6795" i="8"/>
  <c r="J6794" i="8"/>
  <c r="J6793" i="8"/>
  <c r="J6792" i="8"/>
  <c r="J6791" i="8"/>
  <c r="J6790" i="8"/>
  <c r="J6789" i="8"/>
  <c r="J6788" i="8"/>
  <c r="J6787" i="8"/>
  <c r="J6786" i="8"/>
  <c r="J6785" i="8"/>
  <c r="J6784" i="8"/>
  <c r="J6783" i="8"/>
  <c r="J6782" i="8"/>
  <c r="I6779" i="8"/>
  <c r="J6778" i="8"/>
  <c r="J6777" i="8"/>
  <c r="J6776" i="8"/>
  <c r="J6775" i="8"/>
  <c r="J6774" i="8"/>
  <c r="J6773" i="8"/>
  <c r="J6772" i="8"/>
  <c r="J6771" i="8"/>
  <c r="J6770" i="8"/>
  <c r="J6769" i="8"/>
  <c r="J6768" i="8"/>
  <c r="J6767" i="8"/>
  <c r="J6766" i="8"/>
  <c r="J6765" i="8"/>
  <c r="J6764" i="8"/>
  <c r="H6763" i="8"/>
  <c r="H6779" i="8" s="1"/>
  <c r="J6760" i="8"/>
  <c r="J6759" i="8"/>
  <c r="J6758" i="8"/>
  <c r="J6757" i="8"/>
  <c r="J6756" i="8"/>
  <c r="J6755" i="8"/>
  <c r="J6754" i="8"/>
  <c r="J6753" i="8"/>
  <c r="J6752" i="8"/>
  <c r="J6751" i="8"/>
  <c r="J6750" i="8"/>
  <c r="J6749" i="8"/>
  <c r="J6748" i="8"/>
  <c r="J6747" i="8"/>
  <c r="J6746" i="8"/>
  <c r="H6745" i="8"/>
  <c r="H6761" i="8" s="1"/>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J6698" i="8"/>
  <c r="J6697" i="8"/>
  <c r="J6696" i="8"/>
  <c r="J6695" i="8"/>
  <c r="J6694" i="8"/>
  <c r="J6693" i="8"/>
  <c r="J6692" i="8"/>
  <c r="J6691" i="8"/>
  <c r="J6690" i="8"/>
  <c r="J6689" i="8"/>
  <c r="J6688" i="8"/>
  <c r="J6687" i="8"/>
  <c r="J6686" i="8"/>
  <c r="J6685" i="8"/>
  <c r="J6684" i="8"/>
  <c r="J6677" i="8"/>
  <c r="J6676" i="8"/>
  <c r="J6675" i="8"/>
  <c r="J6674" i="8"/>
  <c r="J6673" i="8"/>
  <c r="J6672" i="8"/>
  <c r="J6671" i="8"/>
  <c r="J6670" i="8"/>
  <c r="J6669" i="8"/>
  <c r="J6668" i="8"/>
  <c r="J6667" i="8"/>
  <c r="J6666" i="8"/>
  <c r="I6665" i="8"/>
  <c r="I6678" i="8" s="1"/>
  <c r="I6681" i="8" s="1"/>
  <c r="J6664" i="8"/>
  <c r="J6663" i="8"/>
  <c r="H6662" i="8"/>
  <c r="H6678" i="8" s="1"/>
  <c r="H6680" i="8" s="1"/>
  <c r="J6660" i="8"/>
  <c r="J6659" i="8"/>
  <c r="J6658" i="8"/>
  <c r="J6657" i="8"/>
  <c r="J6656" i="8"/>
  <c r="J6654" i="8"/>
  <c r="J6653" i="8"/>
  <c r="J6652" i="8"/>
  <c r="J6651" i="8"/>
  <c r="J6650" i="8"/>
  <c r="J6649" i="8"/>
  <c r="J6648" i="8"/>
  <c r="J6647" i="8"/>
  <c r="J6646" i="8"/>
  <c r="J6645" i="8"/>
  <c r="J6644" i="8"/>
  <c r="J6643" i="8"/>
  <c r="J6642" i="8"/>
  <c r="J6641" i="8"/>
  <c r="J6640" i="8"/>
  <c r="J6639" i="8"/>
  <c r="J6638" i="8"/>
  <c r="J6637" i="8"/>
  <c r="J6636" i="8"/>
  <c r="J6635" i="8"/>
  <c r="J6634" i="8"/>
  <c r="J6633" i="8"/>
  <c r="J6632" i="8"/>
  <c r="J6631" i="8"/>
  <c r="J6630" i="8"/>
  <c r="J6629" i="8"/>
  <c r="J6628" i="8"/>
  <c r="J6627" i="8"/>
  <c r="J6626" i="8"/>
  <c r="J6625" i="8"/>
  <c r="J6624" i="8"/>
  <c r="J6623" i="8"/>
  <c r="J6622" i="8"/>
  <c r="J6621" i="8"/>
  <c r="J6620" i="8"/>
  <c r="H6482" i="8"/>
  <c r="H6498" i="8" s="1"/>
  <c r="I6286" i="8"/>
  <c r="H6283" i="8"/>
  <c r="J6278" i="8"/>
  <c r="J6279" i="8"/>
  <c r="J6280" i="8"/>
  <c r="J6281" i="8"/>
  <c r="J6595" i="8"/>
  <c r="J6594" i="8"/>
  <c r="J6593" i="8"/>
  <c r="J6592" i="8"/>
  <c r="J6591" i="8"/>
  <c r="J6590" i="8"/>
  <c r="J6589" i="8"/>
  <c r="J6588" i="8"/>
  <c r="J6587" i="8"/>
  <c r="J6586" i="8"/>
  <c r="J6585" i="8"/>
  <c r="J6584" i="8"/>
  <c r="J6583" i="8"/>
  <c r="J6582" i="8"/>
  <c r="J6581" i="8"/>
  <c r="H6580" i="8"/>
  <c r="I6578" i="8"/>
  <c r="J6577" i="8"/>
  <c r="J6576" i="8"/>
  <c r="J6575" i="8"/>
  <c r="J6574" i="8"/>
  <c r="J6573" i="8"/>
  <c r="J6572" i="8"/>
  <c r="J6571" i="8"/>
  <c r="J6570" i="8"/>
  <c r="J6569" i="8"/>
  <c r="J6568" i="8"/>
  <c r="J6567" i="8"/>
  <c r="J6566" i="8"/>
  <c r="J6565" i="8"/>
  <c r="J6564" i="8"/>
  <c r="J6563" i="8"/>
  <c r="H6562" i="8"/>
  <c r="H6578" i="8" s="1"/>
  <c r="J6560" i="8"/>
  <c r="J6559" i="8"/>
  <c r="J6558" i="8"/>
  <c r="J6557" i="8"/>
  <c r="J6556" i="8"/>
  <c r="J6555" i="8"/>
  <c r="J6554" i="8"/>
  <c r="J6553" i="8"/>
  <c r="J6552" i="8"/>
  <c r="J6551" i="8"/>
  <c r="J6550" i="8"/>
  <c r="J6549" i="8"/>
  <c r="J6548" i="8"/>
  <c r="J6547" i="8"/>
  <c r="J6546" i="8"/>
  <c r="J6545" i="8"/>
  <c r="J6544" i="8"/>
  <c r="J6543" i="8"/>
  <c r="J6542" i="8"/>
  <c r="J6541" i="8"/>
  <c r="J6540" i="8"/>
  <c r="J6539" i="8"/>
  <c r="J6538" i="8"/>
  <c r="J6537" i="8"/>
  <c r="J6536" i="8"/>
  <c r="J6535" i="8"/>
  <c r="J6534" i="8"/>
  <c r="J6533" i="8"/>
  <c r="J6532" i="8"/>
  <c r="J6531" i="8"/>
  <c r="J6530" i="8"/>
  <c r="J6529" i="8"/>
  <c r="J6528" i="8"/>
  <c r="J6527" i="8"/>
  <c r="J6526" i="8"/>
  <c r="J6525" i="8"/>
  <c r="J6524" i="8"/>
  <c r="J6523" i="8"/>
  <c r="J6522" i="8"/>
  <c r="J6521" i="8"/>
  <c r="J6520" i="8"/>
  <c r="J6519" i="8"/>
  <c r="J6518" i="8"/>
  <c r="J6517" i="8"/>
  <c r="J6516" i="8"/>
  <c r="J6515" i="8"/>
  <c r="J6514" i="8"/>
  <c r="J6513" i="8"/>
  <c r="J6512" i="8"/>
  <c r="J6511" i="8"/>
  <c r="J6510" i="8"/>
  <c r="J6509" i="8"/>
  <c r="J6508" i="8"/>
  <c r="J6507" i="8"/>
  <c r="J6506" i="8"/>
  <c r="J6505" i="8"/>
  <c r="J6504" i="8"/>
  <c r="J6503" i="8"/>
  <c r="J6502" i="8"/>
  <c r="J6501" i="8"/>
  <c r="I6498" i="8"/>
  <c r="J6497" i="8"/>
  <c r="J6496" i="8"/>
  <c r="J6495" i="8"/>
  <c r="J6494" i="8"/>
  <c r="J6493" i="8"/>
  <c r="J6492" i="8"/>
  <c r="J6491" i="8"/>
  <c r="J6490" i="8"/>
  <c r="J6489" i="8"/>
  <c r="J6488" i="8"/>
  <c r="J6487" i="8"/>
  <c r="J6486" i="8"/>
  <c r="J6485" i="8"/>
  <c r="J6484" i="8"/>
  <c r="J6483" i="8"/>
  <c r="I6480" i="8"/>
  <c r="H6480" i="8"/>
  <c r="J6479" i="8"/>
  <c r="J6478" i="8"/>
  <c r="J6477" i="8"/>
  <c r="J6476" i="8"/>
  <c r="J6475" i="8"/>
  <c r="J6474" i="8"/>
  <c r="J6473" i="8"/>
  <c r="J6472" i="8"/>
  <c r="J6471" i="8"/>
  <c r="J6470" i="8"/>
  <c r="J6469" i="8"/>
  <c r="J6468" i="8"/>
  <c r="J6467" i="8"/>
  <c r="J6466" i="8"/>
  <c r="J6465" i="8"/>
  <c r="J6464" i="8"/>
  <c r="J6462" i="8"/>
  <c r="J6461" i="8"/>
  <c r="J6460" i="8"/>
  <c r="J6459" i="8"/>
  <c r="J6458" i="8"/>
  <c r="J6457" i="8"/>
  <c r="J6456" i="8"/>
  <c r="J6455" i="8"/>
  <c r="J6454" i="8"/>
  <c r="J6453" i="8"/>
  <c r="J6452" i="8"/>
  <c r="J6451" i="8"/>
  <c r="J6450" i="8"/>
  <c r="J6449" i="8"/>
  <c r="J6448" i="8"/>
  <c r="J6447" i="8"/>
  <c r="J6446" i="8"/>
  <c r="J6445" i="8"/>
  <c r="J6444" i="8"/>
  <c r="J6443" i="8"/>
  <c r="J6442" i="8"/>
  <c r="J6441" i="8"/>
  <c r="J6440" i="8"/>
  <c r="J6439" i="8"/>
  <c r="J6438" i="8"/>
  <c r="J6437" i="8"/>
  <c r="J6436" i="8"/>
  <c r="J6435" i="8"/>
  <c r="J6434" i="8"/>
  <c r="J6433" i="8"/>
  <c r="J6432" i="8"/>
  <c r="J6431" i="8"/>
  <c r="J6430" i="8"/>
  <c r="J6429" i="8"/>
  <c r="J6428" i="8"/>
  <c r="J6427" i="8"/>
  <c r="J6426" i="8"/>
  <c r="J6425" i="8"/>
  <c r="J6424" i="8"/>
  <c r="J6423" i="8"/>
  <c r="J6422" i="8"/>
  <c r="J6421" i="8"/>
  <c r="J6420" i="8"/>
  <c r="J6419" i="8"/>
  <c r="J6418" i="8"/>
  <c r="J6417" i="8"/>
  <c r="J6416" i="8"/>
  <c r="J6415" i="8"/>
  <c r="J6414" i="8"/>
  <c r="J6413" i="8"/>
  <c r="J6412" i="8"/>
  <c r="J6411" i="8"/>
  <c r="J6410" i="8"/>
  <c r="J6409" i="8"/>
  <c r="J6408" i="8"/>
  <c r="J6407" i="8"/>
  <c r="J6406" i="8"/>
  <c r="J6405" i="8"/>
  <c r="J6404" i="8"/>
  <c r="J6403" i="8"/>
  <c r="I6400" i="8"/>
  <c r="J6399" i="8"/>
  <c r="J6398" i="8"/>
  <c r="J6397" i="8"/>
  <c r="J6396" i="8"/>
  <c r="J6395" i="8"/>
  <c r="J6394" i="8"/>
  <c r="J6393" i="8"/>
  <c r="J6392" i="8"/>
  <c r="J6391" i="8"/>
  <c r="J6390" i="8"/>
  <c r="J6389" i="8"/>
  <c r="J6388" i="8"/>
  <c r="J6387" i="8"/>
  <c r="J6386" i="8"/>
  <c r="J6385" i="8"/>
  <c r="H6384" i="8"/>
  <c r="H6400" i="8" s="1"/>
  <c r="I6382" i="8"/>
  <c r="J6381" i="8"/>
  <c r="J6380" i="8"/>
  <c r="J6379" i="8"/>
  <c r="J6378" i="8"/>
  <c r="J6377" i="8"/>
  <c r="J6376" i="8"/>
  <c r="J6375" i="8"/>
  <c r="J6374" i="8"/>
  <c r="J6373" i="8"/>
  <c r="J6372" i="8"/>
  <c r="J6371" i="8"/>
  <c r="J6370" i="8"/>
  <c r="J6369" i="8"/>
  <c r="J6368" i="8"/>
  <c r="J6367" i="8"/>
  <c r="H6366" i="8"/>
  <c r="H6382" i="8" s="1"/>
  <c r="J6364" i="8"/>
  <c r="J6363" i="8"/>
  <c r="J6362" i="8"/>
  <c r="J6361" i="8"/>
  <c r="J6360" i="8"/>
  <c r="J6359" i="8"/>
  <c r="J6358" i="8"/>
  <c r="J6357" i="8"/>
  <c r="J6356" i="8"/>
  <c r="J6355" i="8"/>
  <c r="J6354" i="8"/>
  <c r="J6353" i="8"/>
  <c r="J6352" i="8"/>
  <c r="J6351" i="8"/>
  <c r="J6350" i="8"/>
  <c r="J6349" i="8"/>
  <c r="J6348" i="8"/>
  <c r="J6347" i="8"/>
  <c r="J6346" i="8"/>
  <c r="J6345" i="8"/>
  <c r="J6344" i="8"/>
  <c r="J6343" i="8"/>
  <c r="J6342" i="8"/>
  <c r="J6341" i="8"/>
  <c r="J6340" i="8"/>
  <c r="J6339" i="8"/>
  <c r="J6338" i="8"/>
  <c r="J6337" i="8"/>
  <c r="J6336" i="8"/>
  <c r="J6335" i="8"/>
  <c r="J6334" i="8"/>
  <c r="J6333" i="8"/>
  <c r="J6332" i="8"/>
  <c r="J6331" i="8"/>
  <c r="J6330" i="8"/>
  <c r="J6329" i="8"/>
  <c r="J6328" i="8"/>
  <c r="J6327" i="8"/>
  <c r="J6326" i="8"/>
  <c r="J6325" i="8"/>
  <c r="J6324" i="8"/>
  <c r="J6323" i="8"/>
  <c r="J6322" i="8"/>
  <c r="J6321" i="8"/>
  <c r="J6320" i="8"/>
  <c r="J6319" i="8"/>
  <c r="J6318" i="8"/>
  <c r="J6317" i="8"/>
  <c r="J6316" i="8"/>
  <c r="J6315" i="8"/>
  <c r="J6314" i="8"/>
  <c r="J6313" i="8"/>
  <c r="J6312" i="8"/>
  <c r="J6311" i="8"/>
  <c r="J6310" i="8"/>
  <c r="J6309" i="8"/>
  <c r="J6308" i="8"/>
  <c r="J6307" i="8"/>
  <c r="J6306" i="8"/>
  <c r="J6305" i="8"/>
  <c r="I6217" i="8"/>
  <c r="I6214" i="8"/>
  <c r="J6213" i="8"/>
  <c r="J6212" i="8"/>
  <c r="J6211" i="8"/>
  <c r="J6210" i="8"/>
  <c r="J6209" i="8"/>
  <c r="J6208" i="8"/>
  <c r="J6207" i="8"/>
  <c r="J6206" i="8"/>
  <c r="J6205" i="8"/>
  <c r="J6204" i="8"/>
  <c r="J6203" i="8"/>
  <c r="J6202" i="8"/>
  <c r="J6201" i="8"/>
  <c r="J6200" i="8"/>
  <c r="J6199" i="8"/>
  <c r="H6198" i="8"/>
  <c r="I6196" i="8"/>
  <c r="J6195" i="8"/>
  <c r="J6194" i="8"/>
  <c r="J6193" i="8"/>
  <c r="J6192" i="8"/>
  <c r="J6191" i="8"/>
  <c r="J6190" i="8"/>
  <c r="J6189" i="8"/>
  <c r="J6188" i="8"/>
  <c r="J6187" i="8"/>
  <c r="J6186" i="8"/>
  <c r="J6185" i="8"/>
  <c r="J6184" i="8"/>
  <c r="J6183" i="8"/>
  <c r="J6182" i="8"/>
  <c r="J6181" i="8"/>
  <c r="H6180" i="8"/>
  <c r="H6196" i="8" s="1"/>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J6134" i="8"/>
  <c r="J6133" i="8"/>
  <c r="J6132" i="8"/>
  <c r="J6131" i="8"/>
  <c r="J6130" i="8"/>
  <c r="J6129" i="8"/>
  <c r="J6128" i="8"/>
  <c r="J6127" i="8"/>
  <c r="J6126" i="8"/>
  <c r="J6125" i="8"/>
  <c r="J6124" i="8"/>
  <c r="J6123" i="8"/>
  <c r="J6122" i="8"/>
  <c r="J6121" i="8"/>
  <c r="J6120" i="8"/>
  <c r="J6119" i="8"/>
  <c r="I6116" i="8"/>
  <c r="J6115" i="8"/>
  <c r="J6114" i="8"/>
  <c r="J6113" i="8"/>
  <c r="J6112" i="8"/>
  <c r="J6111" i="8"/>
  <c r="J6110" i="8"/>
  <c r="J6109" i="8"/>
  <c r="J6108" i="8"/>
  <c r="J6107" i="8"/>
  <c r="J6106" i="8"/>
  <c r="J6105" i="8"/>
  <c r="J6104" i="8"/>
  <c r="J6103" i="8"/>
  <c r="J6102" i="8"/>
  <c r="J6101" i="8"/>
  <c r="H6100" i="8"/>
  <c r="H6116" i="8" s="1"/>
  <c r="I6098" i="8"/>
  <c r="J6097" i="8"/>
  <c r="J6096" i="8"/>
  <c r="J6095" i="8"/>
  <c r="J6094" i="8"/>
  <c r="J6093" i="8"/>
  <c r="J6092" i="8"/>
  <c r="J6091" i="8"/>
  <c r="J6090" i="8"/>
  <c r="J6089" i="8"/>
  <c r="J6088" i="8"/>
  <c r="J6087" i="8"/>
  <c r="J6086" i="8"/>
  <c r="J6085" i="8"/>
  <c r="J6084" i="8"/>
  <c r="J6083" i="8"/>
  <c r="H6082" i="8"/>
  <c r="H6098" i="8" s="1"/>
  <c r="J6080" i="8"/>
  <c r="J6079" i="8"/>
  <c r="J6078" i="8"/>
  <c r="J6077" i="8"/>
  <c r="J6076" i="8"/>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I6018" i="8"/>
  <c r="J6017" i="8"/>
  <c r="J6016" i="8"/>
  <c r="J6015" i="8"/>
  <c r="J6014" i="8"/>
  <c r="J6013" i="8"/>
  <c r="J6012" i="8"/>
  <c r="J6011" i="8"/>
  <c r="J6010" i="8"/>
  <c r="J6009" i="8"/>
  <c r="J6008" i="8"/>
  <c r="J6007" i="8"/>
  <c r="J6006" i="8"/>
  <c r="J6005" i="8"/>
  <c r="J6004" i="8"/>
  <c r="J6003" i="8"/>
  <c r="H6002" i="8"/>
  <c r="H6018" i="8" s="1"/>
  <c r="I6000" i="8"/>
  <c r="J5999" i="8"/>
  <c r="J5998" i="8"/>
  <c r="J5997" i="8"/>
  <c r="J5996" i="8"/>
  <c r="J5995" i="8"/>
  <c r="J5994" i="8"/>
  <c r="J5993" i="8"/>
  <c r="J5992" i="8"/>
  <c r="J5991" i="8"/>
  <c r="J5990" i="8"/>
  <c r="J5989" i="8"/>
  <c r="J5988" i="8"/>
  <c r="J5987" i="8"/>
  <c r="J5986" i="8"/>
  <c r="J5985" i="8"/>
  <c r="H5984" i="8"/>
  <c r="H6000" i="8" s="1"/>
  <c r="J5982" i="8"/>
  <c r="J5981" i="8"/>
  <c r="J5980" i="8"/>
  <c r="J5979" i="8"/>
  <c r="J5978" i="8"/>
  <c r="J5977" i="8"/>
  <c r="J5976" i="8"/>
  <c r="J5975" i="8"/>
  <c r="J5974" i="8"/>
  <c r="J5973" i="8"/>
  <c r="J5972" i="8"/>
  <c r="J5971" i="8"/>
  <c r="J5970" i="8"/>
  <c r="J5969" i="8"/>
  <c r="J5968" i="8"/>
  <c r="J5967" i="8"/>
  <c r="J5966" i="8"/>
  <c r="J5965" i="8"/>
  <c r="J5964" i="8"/>
  <c r="J5963" i="8"/>
  <c r="J5962" i="8"/>
  <c r="J5961" i="8"/>
  <c r="J5960" i="8"/>
  <c r="J5959" i="8"/>
  <c r="J5958" i="8"/>
  <c r="J5957" i="8"/>
  <c r="J5956" i="8"/>
  <c r="J5955" i="8"/>
  <c r="J5954" i="8"/>
  <c r="J5953" i="8"/>
  <c r="J5952" i="8"/>
  <c r="J5951" i="8"/>
  <c r="J5950" i="8"/>
  <c r="J5949" i="8"/>
  <c r="J5948" i="8"/>
  <c r="J5947" i="8"/>
  <c r="J5946" i="8"/>
  <c r="J5945" i="8"/>
  <c r="J5944" i="8"/>
  <c r="J5943" i="8"/>
  <c r="J5942" i="8"/>
  <c r="J5941" i="8"/>
  <c r="J5940" i="8"/>
  <c r="J5939" i="8"/>
  <c r="J5938" i="8"/>
  <c r="J5937" i="8"/>
  <c r="J5936" i="8"/>
  <c r="J5935" i="8"/>
  <c r="J5934" i="8"/>
  <c r="J5933" i="8"/>
  <c r="J5932" i="8"/>
  <c r="J5931" i="8"/>
  <c r="J5930" i="8"/>
  <c r="J5929" i="8"/>
  <c r="J5928" i="8"/>
  <c r="J5927" i="8"/>
  <c r="J5926" i="8"/>
  <c r="J5925" i="8"/>
  <c r="J5924" i="8"/>
  <c r="J5923" i="8"/>
  <c r="I5920" i="8"/>
  <c r="J5919" i="8"/>
  <c r="J5918" i="8"/>
  <c r="J5917" i="8"/>
  <c r="J5916" i="8"/>
  <c r="J5915" i="8"/>
  <c r="J5914" i="8"/>
  <c r="J5913" i="8"/>
  <c r="J5912" i="8"/>
  <c r="J5911" i="8"/>
  <c r="J5910" i="8"/>
  <c r="J5909" i="8"/>
  <c r="J5908" i="8"/>
  <c r="J5907" i="8"/>
  <c r="J5906" i="8"/>
  <c r="J5905" i="8"/>
  <c r="H5920" i="8"/>
  <c r="I5902" i="8"/>
  <c r="J5901" i="8"/>
  <c r="J5900" i="8"/>
  <c r="J5899" i="8"/>
  <c r="J5898" i="8"/>
  <c r="J5897" i="8"/>
  <c r="J5896" i="8"/>
  <c r="J5895" i="8"/>
  <c r="J5894" i="8"/>
  <c r="J5893" i="8"/>
  <c r="J5892" i="8"/>
  <c r="J5891" i="8"/>
  <c r="J5890" i="8"/>
  <c r="J5889" i="8"/>
  <c r="J5888" i="8"/>
  <c r="J5887" i="8"/>
  <c r="H5902" i="8"/>
  <c r="J5884" i="8"/>
  <c r="J5883" i="8"/>
  <c r="J5882" i="8"/>
  <c r="J5881" i="8"/>
  <c r="J5880" i="8"/>
  <c r="J5879" i="8"/>
  <c r="J5878" i="8"/>
  <c r="J5877" i="8"/>
  <c r="J5876" i="8"/>
  <c r="J5875" i="8"/>
  <c r="J5874" i="8"/>
  <c r="J5873" i="8"/>
  <c r="J5872" i="8"/>
  <c r="J5871" i="8"/>
  <c r="J5870" i="8"/>
  <c r="J5869" i="8"/>
  <c r="J5868" i="8"/>
  <c r="J5867" i="8"/>
  <c r="J5866" i="8"/>
  <c r="J5865" i="8"/>
  <c r="J5864" i="8"/>
  <c r="J5863" i="8"/>
  <c r="J5862" i="8"/>
  <c r="J5861" i="8"/>
  <c r="J5860" i="8"/>
  <c r="J5859" i="8"/>
  <c r="J5858" i="8"/>
  <c r="J5857" i="8"/>
  <c r="J5856" i="8"/>
  <c r="J5855" i="8"/>
  <c r="J5854" i="8"/>
  <c r="J5853" i="8"/>
  <c r="J5852" i="8"/>
  <c r="J5851" i="8"/>
  <c r="J5850" i="8"/>
  <c r="J5849" i="8"/>
  <c r="J5848" i="8"/>
  <c r="J5847" i="8"/>
  <c r="J5846" i="8"/>
  <c r="J5845" i="8"/>
  <c r="J5844" i="8"/>
  <c r="J5843" i="8"/>
  <c r="J5842" i="8"/>
  <c r="J5841" i="8"/>
  <c r="J5840" i="8"/>
  <c r="J5839" i="8"/>
  <c r="J5838" i="8"/>
  <c r="J5837" i="8"/>
  <c r="J5836" i="8"/>
  <c r="J5835" i="8"/>
  <c r="J5834" i="8"/>
  <c r="J5833" i="8"/>
  <c r="J5832" i="8"/>
  <c r="J5831" i="8"/>
  <c r="J5830" i="8"/>
  <c r="J5829" i="8"/>
  <c r="J5828" i="8"/>
  <c r="J5827" i="8"/>
  <c r="J5826" i="8"/>
  <c r="J5825" i="8"/>
  <c r="H6214" i="8" l="1"/>
  <c r="H6216" i="8"/>
  <c r="H6217" i="8" s="1"/>
  <c r="I6602" i="8"/>
  <c r="I6615" i="8" s="1"/>
  <c r="I14810" i="8"/>
  <c r="I14823" i="8" s="1"/>
  <c r="H7654" i="8"/>
  <c r="H6596" i="8"/>
  <c r="J6602" i="8"/>
  <c r="J8251" i="8"/>
  <c r="J8267" i="8" s="1"/>
  <c r="H8290" i="8"/>
  <c r="H8271" i="8"/>
  <c r="J8271" i="8" s="1"/>
  <c r="J8287" i="8" s="1"/>
  <c r="H7888" i="8"/>
  <c r="J7872" i="8"/>
  <c r="J7888" i="8" s="1"/>
  <c r="H7891" i="8"/>
  <c r="J6859" i="8"/>
  <c r="J7772" i="8"/>
  <c r="J7753" i="8"/>
  <c r="J7061" i="8"/>
  <c r="J8492" i="8"/>
  <c r="J8508" i="8" s="1"/>
  <c r="H8508" i="8"/>
  <c r="H8511" i="8"/>
  <c r="J7063" i="8"/>
  <c r="J7079" i="8" s="1"/>
  <c r="J6941" i="8"/>
  <c r="J6957" i="8" s="1"/>
  <c r="J6580" i="8"/>
  <c r="J6596" i="8" s="1"/>
  <c r="J6861" i="8"/>
  <c r="J6877" i="8" s="1"/>
  <c r="J6959" i="8"/>
  <c r="J6975" i="8" s="1"/>
  <c r="H6681" i="8"/>
  <c r="J6681" i="8" s="1"/>
  <c r="J6680" i="8"/>
  <c r="J6662" i="8"/>
  <c r="J6665" i="8"/>
  <c r="J6745" i="8"/>
  <c r="J6761" i="8" s="1"/>
  <c r="J6763" i="8"/>
  <c r="J6779" i="8" s="1"/>
  <c r="J6562" i="8"/>
  <c r="J6578" i="8" s="1"/>
  <c r="J6480" i="8"/>
  <c r="J6482" i="8"/>
  <c r="J6498" i="8" s="1"/>
  <c r="J6366" i="8"/>
  <c r="J6382" i="8" s="1"/>
  <c r="J6384" i="8"/>
  <c r="J6400" i="8" s="1"/>
  <c r="J6082" i="8"/>
  <c r="J6098" i="8" s="1"/>
  <c r="J6180" i="8"/>
  <c r="J6196" i="8" s="1"/>
  <c r="J6198" i="8"/>
  <c r="J6214" i="8" s="1"/>
  <c r="J6100" i="8"/>
  <c r="J6116" i="8" s="1"/>
  <c r="J5984" i="8"/>
  <c r="J6000" i="8" s="1"/>
  <c r="J6002" i="8"/>
  <c r="J6018" i="8" s="1"/>
  <c r="J5886" i="8"/>
  <c r="J5902" i="8" s="1"/>
  <c r="J5904" i="8"/>
  <c r="J5920" i="8" s="1"/>
  <c r="I5820" i="8"/>
  <c r="J5819" i="8"/>
  <c r="J5818" i="8"/>
  <c r="J5817" i="8"/>
  <c r="J5816" i="8"/>
  <c r="J5815" i="8"/>
  <c r="J5814" i="8"/>
  <c r="J5813" i="8"/>
  <c r="J5812" i="8"/>
  <c r="J5811" i="8"/>
  <c r="J5810" i="8"/>
  <c r="J5809" i="8"/>
  <c r="J5808" i="8"/>
  <c r="J5807" i="8"/>
  <c r="J5806" i="8"/>
  <c r="J5805" i="8"/>
  <c r="I5801" i="8"/>
  <c r="J5800" i="8"/>
  <c r="J5799" i="8"/>
  <c r="J5798" i="8"/>
  <c r="J5797" i="8"/>
  <c r="J5796" i="8"/>
  <c r="J5795" i="8"/>
  <c r="J5794" i="8"/>
  <c r="J5793" i="8"/>
  <c r="J5792" i="8"/>
  <c r="J5791" i="8"/>
  <c r="J5790" i="8"/>
  <c r="J5789" i="8"/>
  <c r="J5788" i="8"/>
  <c r="J5787" i="8"/>
  <c r="J5786" i="8"/>
  <c r="H5785" i="8"/>
  <c r="H5801" i="8" s="1"/>
  <c r="I5783" i="8"/>
  <c r="J5782" i="8"/>
  <c r="J5781" i="8"/>
  <c r="J5780" i="8"/>
  <c r="J5779" i="8"/>
  <c r="J5778" i="8"/>
  <c r="J5777" i="8"/>
  <c r="J5776" i="8"/>
  <c r="J5775" i="8"/>
  <c r="J5774" i="8"/>
  <c r="J5773" i="8"/>
  <c r="J5772" i="8"/>
  <c r="J5771" i="8"/>
  <c r="J5770" i="8"/>
  <c r="J5769" i="8"/>
  <c r="J5768" i="8"/>
  <c r="H5767" i="8"/>
  <c r="H5783" i="8" s="1"/>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J5733" i="8"/>
  <c r="J5732" i="8"/>
  <c r="J5731" i="8"/>
  <c r="J5730" i="8"/>
  <c r="J5729" i="8"/>
  <c r="J5728" i="8"/>
  <c r="J5727" i="8"/>
  <c r="J5726" i="8"/>
  <c r="J5725" i="8"/>
  <c r="J5724" i="8"/>
  <c r="J5723" i="8"/>
  <c r="J5722" i="8"/>
  <c r="J5721" i="8"/>
  <c r="J5720" i="8"/>
  <c r="J5719" i="8"/>
  <c r="J5718" i="8"/>
  <c r="J5717" i="8"/>
  <c r="J5716" i="8"/>
  <c r="J5715" i="8"/>
  <c r="J5714" i="8"/>
  <c r="J5713" i="8"/>
  <c r="J5712" i="8"/>
  <c r="J5711" i="8"/>
  <c r="J5710" i="8"/>
  <c r="J5709" i="8"/>
  <c r="J5708" i="8"/>
  <c r="J5707" i="8"/>
  <c r="J5706" i="8"/>
  <c r="I5702" i="8"/>
  <c r="J5701" i="8"/>
  <c r="J5700" i="8"/>
  <c r="J5699" i="8"/>
  <c r="J5698" i="8"/>
  <c r="J5697" i="8"/>
  <c r="J5696" i="8"/>
  <c r="J5695" i="8"/>
  <c r="J5694" i="8"/>
  <c r="J5693" i="8"/>
  <c r="J5692" i="8"/>
  <c r="J5691" i="8"/>
  <c r="J5690" i="8"/>
  <c r="J5689" i="8"/>
  <c r="J5688" i="8"/>
  <c r="J5687" i="8"/>
  <c r="H5686" i="8"/>
  <c r="H5702" i="8" s="1"/>
  <c r="I5684" i="8"/>
  <c r="J5683" i="8"/>
  <c r="J5682" i="8"/>
  <c r="J5681" i="8"/>
  <c r="J5680" i="8"/>
  <c r="J5679" i="8"/>
  <c r="J5678" i="8"/>
  <c r="J5677" i="8"/>
  <c r="J5676" i="8"/>
  <c r="J5675" i="8"/>
  <c r="J5674" i="8"/>
  <c r="J5673" i="8"/>
  <c r="J5672" i="8"/>
  <c r="J5671" i="8"/>
  <c r="J5670" i="8"/>
  <c r="J5669" i="8"/>
  <c r="H5668" i="8"/>
  <c r="H5684" i="8" s="1"/>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J5634" i="8"/>
  <c r="J5633" i="8"/>
  <c r="J5632" i="8"/>
  <c r="J5631" i="8"/>
  <c r="J5630" i="8"/>
  <c r="J5629" i="8"/>
  <c r="J5628" i="8"/>
  <c r="J5627" i="8"/>
  <c r="J5626" i="8"/>
  <c r="J5625" i="8"/>
  <c r="J5624" i="8"/>
  <c r="J5623" i="8"/>
  <c r="J5622" i="8"/>
  <c r="J5621" i="8"/>
  <c r="J5620" i="8"/>
  <c r="J5619" i="8"/>
  <c r="J5618" i="8"/>
  <c r="J5617" i="8"/>
  <c r="J5616" i="8"/>
  <c r="J5615" i="8"/>
  <c r="J5614" i="8"/>
  <c r="J5613" i="8"/>
  <c r="J5612" i="8"/>
  <c r="J5611" i="8"/>
  <c r="J5610" i="8"/>
  <c r="J5609" i="8"/>
  <c r="J5608" i="8"/>
  <c r="J5607" i="8"/>
  <c r="I5603" i="8"/>
  <c r="J5602" i="8"/>
  <c r="J5601" i="8"/>
  <c r="J5600" i="8"/>
  <c r="J5599" i="8"/>
  <c r="J5598" i="8"/>
  <c r="J5597" i="8"/>
  <c r="J5596" i="8"/>
  <c r="J5595" i="8"/>
  <c r="J5594" i="8"/>
  <c r="J5593" i="8"/>
  <c r="J5592" i="8"/>
  <c r="J5591" i="8"/>
  <c r="J5590" i="8"/>
  <c r="J5589" i="8"/>
  <c r="J5588" i="8"/>
  <c r="H5587" i="8"/>
  <c r="H5603" i="8" s="1"/>
  <c r="I5585" i="8"/>
  <c r="J5584" i="8"/>
  <c r="J5583" i="8"/>
  <c r="J5582" i="8"/>
  <c r="J5581" i="8"/>
  <c r="J5580" i="8"/>
  <c r="J5579" i="8"/>
  <c r="J5578" i="8"/>
  <c r="J5577" i="8"/>
  <c r="J5576" i="8"/>
  <c r="J5575" i="8"/>
  <c r="J5574" i="8"/>
  <c r="J5573" i="8"/>
  <c r="J5572" i="8"/>
  <c r="J5571" i="8"/>
  <c r="J5570" i="8"/>
  <c r="H5569" i="8"/>
  <c r="H5585" i="8" s="1"/>
  <c r="J5567" i="8"/>
  <c r="J5566" i="8"/>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10" i="8"/>
  <c r="J5509" i="8"/>
  <c r="J5508" i="8"/>
  <c r="I5503" i="8"/>
  <c r="J5502" i="8"/>
  <c r="J5501" i="8"/>
  <c r="J5500" i="8"/>
  <c r="J5499" i="8"/>
  <c r="J5498" i="8"/>
  <c r="J5497" i="8"/>
  <c r="J5496" i="8"/>
  <c r="J5495" i="8"/>
  <c r="J5494" i="8"/>
  <c r="J5493" i="8"/>
  <c r="J5492" i="8"/>
  <c r="J5491" i="8"/>
  <c r="J5490" i="8"/>
  <c r="J5489" i="8"/>
  <c r="J5488" i="8"/>
  <c r="I5484" i="8"/>
  <c r="J5483" i="8"/>
  <c r="J5482" i="8"/>
  <c r="J5481" i="8"/>
  <c r="J5480" i="8"/>
  <c r="J5479" i="8"/>
  <c r="J5478" i="8"/>
  <c r="J5477" i="8"/>
  <c r="J5476" i="8"/>
  <c r="J5475" i="8"/>
  <c r="J5474" i="8"/>
  <c r="J5473" i="8"/>
  <c r="J5472" i="8"/>
  <c r="J5471" i="8"/>
  <c r="J5470" i="8"/>
  <c r="J5469" i="8"/>
  <c r="H5468" i="8"/>
  <c r="H5484" i="8" s="1"/>
  <c r="I5466" i="8"/>
  <c r="J5465" i="8"/>
  <c r="J5464" i="8"/>
  <c r="J5463" i="8"/>
  <c r="J5462" i="8"/>
  <c r="J5461" i="8"/>
  <c r="J5460" i="8"/>
  <c r="J5459" i="8"/>
  <c r="J5458" i="8"/>
  <c r="J5457" i="8"/>
  <c r="J5456" i="8"/>
  <c r="J5455" i="8"/>
  <c r="J5454" i="8"/>
  <c r="J5453" i="8"/>
  <c r="J5452" i="8"/>
  <c r="J5451" i="8"/>
  <c r="H5450" i="8"/>
  <c r="H5466" i="8" s="1"/>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J5416" i="8"/>
  <c r="J5415" i="8"/>
  <c r="J5414" i="8"/>
  <c r="J5413" i="8"/>
  <c r="J5412" i="8"/>
  <c r="J5411" i="8"/>
  <c r="J5410" i="8"/>
  <c r="J5409" i="8"/>
  <c r="J5408" i="8"/>
  <c r="J5407" i="8"/>
  <c r="J5406" i="8"/>
  <c r="J5405" i="8"/>
  <c r="J5404" i="8"/>
  <c r="J5403" i="8"/>
  <c r="J5402" i="8"/>
  <c r="J5401" i="8"/>
  <c r="J5400" i="8"/>
  <c r="J5399" i="8"/>
  <c r="J5398" i="8"/>
  <c r="J5397" i="8"/>
  <c r="J5396" i="8"/>
  <c r="J5395" i="8"/>
  <c r="J5394" i="8"/>
  <c r="J5393" i="8"/>
  <c r="J5392" i="8"/>
  <c r="J5391" i="8"/>
  <c r="J5390" i="8"/>
  <c r="J5389" i="8"/>
  <c r="I5385" i="8"/>
  <c r="J5384" i="8"/>
  <c r="J5383" i="8"/>
  <c r="J5382" i="8"/>
  <c r="J5381" i="8"/>
  <c r="J5380" i="8"/>
  <c r="J5379" i="8"/>
  <c r="J5378" i="8"/>
  <c r="J5377" i="8"/>
  <c r="J5376" i="8"/>
  <c r="J5375" i="8"/>
  <c r="J5374" i="8"/>
  <c r="J5373" i="8"/>
  <c r="J5372" i="8"/>
  <c r="J5371" i="8"/>
  <c r="J5370" i="8"/>
  <c r="H5369" i="8"/>
  <c r="H5385" i="8" s="1"/>
  <c r="I5367" i="8"/>
  <c r="J5366" i="8"/>
  <c r="J5365" i="8"/>
  <c r="J5364" i="8"/>
  <c r="J5363" i="8"/>
  <c r="J5362" i="8"/>
  <c r="J5361" i="8"/>
  <c r="J5360" i="8"/>
  <c r="J5359" i="8"/>
  <c r="J5358" i="8"/>
  <c r="J5357" i="8"/>
  <c r="J5356" i="8"/>
  <c r="J5355" i="8"/>
  <c r="J5354" i="8"/>
  <c r="J5353" i="8"/>
  <c r="J5352" i="8"/>
  <c r="H5351" i="8"/>
  <c r="H5367" i="8" s="1"/>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J5317" i="8"/>
  <c r="J5316" i="8"/>
  <c r="J5315" i="8"/>
  <c r="J5314" i="8"/>
  <c r="J5313" i="8"/>
  <c r="J5312" i="8"/>
  <c r="J5311" i="8"/>
  <c r="J5310" i="8"/>
  <c r="J5309" i="8"/>
  <c r="J5308" i="8"/>
  <c r="J5307" i="8"/>
  <c r="J5306" i="8"/>
  <c r="J5305" i="8"/>
  <c r="J5304" i="8"/>
  <c r="J5303" i="8"/>
  <c r="J5302" i="8"/>
  <c r="J5301" i="8"/>
  <c r="J5300" i="8"/>
  <c r="J5299" i="8"/>
  <c r="J5298" i="8"/>
  <c r="J5297" i="8"/>
  <c r="J5296" i="8"/>
  <c r="J5295" i="8"/>
  <c r="J5294" i="8"/>
  <c r="J5293" i="8"/>
  <c r="J5292" i="8"/>
  <c r="J5291" i="8"/>
  <c r="J5290" i="8"/>
  <c r="I5285" i="8"/>
  <c r="J5284" i="8"/>
  <c r="J5283" i="8"/>
  <c r="J5282" i="8"/>
  <c r="J5281" i="8"/>
  <c r="J5280" i="8"/>
  <c r="J5279" i="8"/>
  <c r="J5278" i="8"/>
  <c r="J5277" i="8"/>
  <c r="J5276" i="8"/>
  <c r="J5275" i="8"/>
  <c r="J5274" i="8"/>
  <c r="J5273" i="8"/>
  <c r="J5272" i="8"/>
  <c r="J5271" i="8"/>
  <c r="J5270" i="8"/>
  <c r="I5263" i="8"/>
  <c r="J5262" i="8"/>
  <c r="J5261" i="8"/>
  <c r="J5260" i="8"/>
  <c r="J5259" i="8"/>
  <c r="J5258" i="8"/>
  <c r="J5257" i="8"/>
  <c r="J5256" i="8"/>
  <c r="J5255" i="8"/>
  <c r="J5254" i="8"/>
  <c r="J5253" i="8"/>
  <c r="J5252" i="8"/>
  <c r="J5251" i="8"/>
  <c r="J5250" i="8"/>
  <c r="J5249" i="8"/>
  <c r="J5248" i="8"/>
  <c r="H5247" i="8"/>
  <c r="H5263" i="8" s="1"/>
  <c r="I5245" i="8"/>
  <c r="J5244" i="8"/>
  <c r="J5243" i="8"/>
  <c r="J5242" i="8"/>
  <c r="J5241" i="8"/>
  <c r="J5240" i="8"/>
  <c r="J5239" i="8"/>
  <c r="J5238" i="8"/>
  <c r="J5237" i="8"/>
  <c r="J5236" i="8"/>
  <c r="J5235" i="8"/>
  <c r="J5234" i="8"/>
  <c r="J5233" i="8"/>
  <c r="J5232" i="8"/>
  <c r="J5231" i="8"/>
  <c r="J5230" i="8"/>
  <c r="H5229" i="8"/>
  <c r="H5245" i="8" s="1"/>
  <c r="J5227" i="8"/>
  <c r="J5226" i="8"/>
  <c r="J5225" i="8"/>
  <c r="J5224" i="8"/>
  <c r="J5223" i="8"/>
  <c r="J5222" i="8"/>
  <c r="J5221" i="8"/>
  <c r="J5220" i="8"/>
  <c r="J5219" i="8"/>
  <c r="J5218" i="8"/>
  <c r="J5217" i="8"/>
  <c r="J5216" i="8"/>
  <c r="J5215" i="8"/>
  <c r="J5214" i="8"/>
  <c r="J5213" i="8"/>
  <c r="J5212" i="8"/>
  <c r="J5211" i="8"/>
  <c r="J5210" i="8"/>
  <c r="J5209" i="8"/>
  <c r="J5208" i="8"/>
  <c r="J5207" i="8"/>
  <c r="J5206" i="8"/>
  <c r="J5205" i="8"/>
  <c r="J5204" i="8"/>
  <c r="J5203" i="8"/>
  <c r="J5202" i="8"/>
  <c r="J5201" i="8"/>
  <c r="J5200" i="8"/>
  <c r="J5199" i="8"/>
  <c r="J5198" i="8"/>
  <c r="J5197" i="8"/>
  <c r="J5196" i="8"/>
  <c r="J5195" i="8"/>
  <c r="J5194" i="8"/>
  <c r="J5193" i="8"/>
  <c r="J5192" i="8"/>
  <c r="J5191" i="8"/>
  <c r="J5190" i="8"/>
  <c r="J5189" i="8"/>
  <c r="J5188" i="8"/>
  <c r="J5187" i="8"/>
  <c r="J5186" i="8"/>
  <c r="J5185" i="8"/>
  <c r="J5184" i="8"/>
  <c r="J5183" i="8"/>
  <c r="J5182" i="8"/>
  <c r="J5181" i="8"/>
  <c r="J5180" i="8"/>
  <c r="J5179" i="8"/>
  <c r="J5178" i="8"/>
  <c r="J5177" i="8"/>
  <c r="J5176" i="8"/>
  <c r="J5175" i="8"/>
  <c r="J5174" i="8"/>
  <c r="J5173" i="8"/>
  <c r="J5172" i="8"/>
  <c r="J5171" i="8"/>
  <c r="J5170" i="8"/>
  <c r="J5169" i="8"/>
  <c r="J5168" i="8"/>
  <c r="H5159" i="8"/>
  <c r="H5160" i="8" s="1"/>
  <c r="H5162" i="8" s="1"/>
  <c r="J5157" i="8"/>
  <c r="I5153" i="8"/>
  <c r="F354" i="7" s="1"/>
  <c r="J5152" i="8"/>
  <c r="J5151" i="8"/>
  <c r="J5150" i="8"/>
  <c r="J5149" i="8"/>
  <c r="J5148" i="8"/>
  <c r="J5147" i="8"/>
  <c r="J5146" i="8"/>
  <c r="J5145" i="8"/>
  <c r="J5144" i="8"/>
  <c r="J5143" i="8"/>
  <c r="J5142" i="8"/>
  <c r="J5141" i="8"/>
  <c r="J5140" i="8"/>
  <c r="J5139" i="8"/>
  <c r="J5138" i="8"/>
  <c r="H5137" i="8"/>
  <c r="H5153" i="8" s="1"/>
  <c r="D354" i="7" s="1"/>
  <c r="I5135" i="8"/>
  <c r="J5134" i="8"/>
  <c r="J5133" i="8"/>
  <c r="J5132" i="8"/>
  <c r="J5131" i="8"/>
  <c r="J5130" i="8"/>
  <c r="J5129" i="8"/>
  <c r="J5128" i="8"/>
  <c r="J5127" i="8"/>
  <c r="J5126" i="8"/>
  <c r="J5125" i="8"/>
  <c r="J5124" i="8"/>
  <c r="J5123" i="8"/>
  <c r="J5122" i="8"/>
  <c r="J5121" i="8"/>
  <c r="J5120" i="8"/>
  <c r="H5119" i="8"/>
  <c r="H5135" i="8" s="1"/>
  <c r="J5116" i="8"/>
  <c r="J5115" i="8"/>
  <c r="J5114" i="8"/>
  <c r="J5113" i="8"/>
  <c r="J5112" i="8"/>
  <c r="J5111" i="8"/>
  <c r="J5110" i="8"/>
  <c r="J5109" i="8"/>
  <c r="J5108" i="8"/>
  <c r="J5107" i="8"/>
  <c r="J5106" i="8"/>
  <c r="J5105" i="8"/>
  <c r="J5104" i="8"/>
  <c r="J5103" i="8"/>
  <c r="J5102" i="8"/>
  <c r="J5101" i="8"/>
  <c r="J5100" i="8"/>
  <c r="J5099" i="8"/>
  <c r="J5098" i="8"/>
  <c r="J5097" i="8"/>
  <c r="J5096" i="8"/>
  <c r="J5095" i="8"/>
  <c r="J5094" i="8"/>
  <c r="J5093" i="8"/>
  <c r="J5092" i="8"/>
  <c r="J5091" i="8"/>
  <c r="J5090" i="8"/>
  <c r="J5089" i="8"/>
  <c r="J5088" i="8"/>
  <c r="J5087" i="8"/>
  <c r="J5086" i="8"/>
  <c r="J5085" i="8"/>
  <c r="J5084" i="8"/>
  <c r="J5083" i="8"/>
  <c r="J5082" i="8"/>
  <c r="J5081" i="8"/>
  <c r="J5080" i="8"/>
  <c r="J5079" i="8"/>
  <c r="J5078" i="8"/>
  <c r="J5077" i="8"/>
  <c r="J5076" i="8"/>
  <c r="J5075" i="8"/>
  <c r="J5074" i="8"/>
  <c r="J5073" i="8"/>
  <c r="J5072" i="8"/>
  <c r="J5071" i="8"/>
  <c r="J5070" i="8"/>
  <c r="J5069" i="8"/>
  <c r="J5068" i="8"/>
  <c r="J5067" i="8"/>
  <c r="J5066" i="8"/>
  <c r="J5065" i="8"/>
  <c r="J5064" i="8"/>
  <c r="J5063" i="8"/>
  <c r="J5062" i="8"/>
  <c r="J5061" i="8"/>
  <c r="J5060" i="8"/>
  <c r="J5059" i="8"/>
  <c r="J5058" i="8"/>
  <c r="J5057" i="8"/>
  <c r="H5049" i="8"/>
  <c r="H5050" i="8" s="1"/>
  <c r="H5052" i="8" s="1"/>
  <c r="J5047" i="8"/>
  <c r="I5043" i="8"/>
  <c r="I5050" i="8" s="1"/>
  <c r="I5053" i="8" s="1"/>
  <c r="J5042" i="8"/>
  <c r="J5041" i="8"/>
  <c r="J5040" i="8"/>
  <c r="J5039" i="8"/>
  <c r="J5038" i="8"/>
  <c r="J5037" i="8"/>
  <c r="J5036" i="8"/>
  <c r="J5035" i="8"/>
  <c r="J5034" i="8"/>
  <c r="J5033" i="8"/>
  <c r="J5032" i="8"/>
  <c r="J5031" i="8"/>
  <c r="J5030" i="8"/>
  <c r="J5029" i="8"/>
  <c r="J5028" i="8"/>
  <c r="H5027" i="8"/>
  <c r="H5043" i="8" s="1"/>
  <c r="I5025" i="8"/>
  <c r="J5024" i="8"/>
  <c r="J5023" i="8"/>
  <c r="J5022" i="8"/>
  <c r="J5021" i="8"/>
  <c r="J5020" i="8"/>
  <c r="J5019" i="8"/>
  <c r="J5018" i="8"/>
  <c r="J5017" i="8"/>
  <c r="J5016" i="8"/>
  <c r="J5015" i="8"/>
  <c r="J5014" i="8"/>
  <c r="J5013" i="8"/>
  <c r="J5012" i="8"/>
  <c r="J5011" i="8"/>
  <c r="J5010" i="8"/>
  <c r="H5009" i="8"/>
  <c r="H5025" i="8" s="1"/>
  <c r="J5007" i="8"/>
  <c r="J5006" i="8"/>
  <c r="J5005" i="8"/>
  <c r="J5004" i="8"/>
  <c r="J5003" i="8"/>
  <c r="J5002" i="8"/>
  <c r="J5001" i="8"/>
  <c r="J5000" i="8"/>
  <c r="J4999" i="8"/>
  <c r="J4998" i="8"/>
  <c r="J4997" i="8"/>
  <c r="J4996" i="8"/>
  <c r="J4995" i="8"/>
  <c r="J4994" i="8"/>
  <c r="J4993" i="8"/>
  <c r="J4992" i="8"/>
  <c r="J4991" i="8"/>
  <c r="J4990" i="8"/>
  <c r="J4989" i="8"/>
  <c r="J4988" i="8"/>
  <c r="J4987" i="8"/>
  <c r="J4986" i="8"/>
  <c r="J4985" i="8"/>
  <c r="J4984" i="8"/>
  <c r="J4983" i="8"/>
  <c r="J4982" i="8"/>
  <c r="J4981" i="8"/>
  <c r="J4980" i="8"/>
  <c r="J4979" i="8"/>
  <c r="J4978" i="8"/>
  <c r="J4977" i="8"/>
  <c r="J4976" i="8"/>
  <c r="J4975" i="8"/>
  <c r="J4974" i="8"/>
  <c r="J4973" i="8"/>
  <c r="J4972" i="8"/>
  <c r="J4971" i="8"/>
  <c r="J4970" i="8"/>
  <c r="J4969" i="8"/>
  <c r="J4968" i="8"/>
  <c r="J4967" i="8"/>
  <c r="J4966" i="8"/>
  <c r="J4965" i="8"/>
  <c r="J4964" i="8"/>
  <c r="J4963" i="8"/>
  <c r="J4962" i="8"/>
  <c r="J4961" i="8"/>
  <c r="J4960" i="8"/>
  <c r="J4959" i="8"/>
  <c r="J4958" i="8"/>
  <c r="J4957" i="8"/>
  <c r="J4956" i="8"/>
  <c r="J4955" i="8"/>
  <c r="J4954" i="8"/>
  <c r="J4953" i="8"/>
  <c r="J4952" i="8"/>
  <c r="J4951" i="8"/>
  <c r="J4950" i="8"/>
  <c r="J4949" i="8"/>
  <c r="J4948" i="8"/>
  <c r="I4932" i="8"/>
  <c r="J4931" i="8"/>
  <c r="J4930" i="8"/>
  <c r="J4929" i="8"/>
  <c r="J4928" i="8"/>
  <c r="J4927" i="8"/>
  <c r="J4926" i="8"/>
  <c r="J4925" i="8"/>
  <c r="J4924" i="8"/>
  <c r="J4923" i="8"/>
  <c r="J4922" i="8"/>
  <c r="J4921" i="8"/>
  <c r="J4920" i="8"/>
  <c r="J4919" i="8"/>
  <c r="J4918" i="8"/>
  <c r="J4917" i="8"/>
  <c r="H4916" i="8"/>
  <c r="H4932" i="8" s="1"/>
  <c r="I4914" i="8"/>
  <c r="J4913" i="8"/>
  <c r="J4912" i="8"/>
  <c r="J4911" i="8"/>
  <c r="J4910" i="8"/>
  <c r="J4909" i="8"/>
  <c r="J4908" i="8"/>
  <c r="J4907" i="8"/>
  <c r="J4906" i="8"/>
  <c r="J4905" i="8"/>
  <c r="J4904" i="8"/>
  <c r="J4903" i="8"/>
  <c r="J4902" i="8"/>
  <c r="J4901" i="8"/>
  <c r="J4900" i="8"/>
  <c r="J4899" i="8"/>
  <c r="H4898" i="8"/>
  <c r="H4914" i="8" s="1"/>
  <c r="J4896" i="8"/>
  <c r="J4895" i="8"/>
  <c r="J4894" i="8"/>
  <c r="J4893" i="8"/>
  <c r="J4892" i="8"/>
  <c r="J4891" i="8"/>
  <c r="J4890" i="8"/>
  <c r="J4889" i="8"/>
  <c r="J4888" i="8"/>
  <c r="J4887" i="8"/>
  <c r="J4886" i="8"/>
  <c r="J4885" i="8"/>
  <c r="J4884" i="8"/>
  <c r="J4883" i="8"/>
  <c r="J4882" i="8"/>
  <c r="J4881" i="8"/>
  <c r="J4880" i="8"/>
  <c r="J4879" i="8"/>
  <c r="J4878" i="8"/>
  <c r="J4877" i="8"/>
  <c r="J4876" i="8"/>
  <c r="J4875" i="8"/>
  <c r="J4874" i="8"/>
  <c r="J4873" i="8"/>
  <c r="J4872" i="8"/>
  <c r="J4871" i="8"/>
  <c r="J4870" i="8"/>
  <c r="J4869" i="8"/>
  <c r="J4868" i="8"/>
  <c r="J4867" i="8"/>
  <c r="J4866" i="8"/>
  <c r="J4865" i="8"/>
  <c r="J4864" i="8"/>
  <c r="J4863" i="8"/>
  <c r="J4862" i="8"/>
  <c r="J4861" i="8"/>
  <c r="J4860" i="8"/>
  <c r="J4859" i="8"/>
  <c r="J4858" i="8"/>
  <c r="J4857" i="8"/>
  <c r="J4856" i="8"/>
  <c r="J4855" i="8"/>
  <c r="J4854" i="8"/>
  <c r="J4853" i="8"/>
  <c r="J4852" i="8"/>
  <c r="J4851" i="8"/>
  <c r="J4850" i="8"/>
  <c r="J4849" i="8"/>
  <c r="J4848" i="8"/>
  <c r="J4847" i="8"/>
  <c r="J4846" i="8"/>
  <c r="J4845" i="8"/>
  <c r="J4844" i="8"/>
  <c r="J4843" i="8"/>
  <c r="J4842" i="8"/>
  <c r="J4841" i="8"/>
  <c r="J4840" i="8"/>
  <c r="J4839" i="8"/>
  <c r="J4838" i="8"/>
  <c r="J4837" i="8"/>
  <c r="I4833" i="8"/>
  <c r="J4832" i="8"/>
  <c r="J4831" i="8"/>
  <c r="J4830" i="8"/>
  <c r="J4829" i="8"/>
  <c r="J4828" i="8"/>
  <c r="J4827" i="8"/>
  <c r="J4826" i="8"/>
  <c r="J4825" i="8"/>
  <c r="J4824" i="8"/>
  <c r="J4823" i="8"/>
  <c r="J4822" i="8"/>
  <c r="J4821" i="8"/>
  <c r="J4820" i="8"/>
  <c r="J4819" i="8"/>
  <c r="J4818" i="8"/>
  <c r="H4817" i="8"/>
  <c r="H4833" i="8" s="1"/>
  <c r="I4815" i="8"/>
  <c r="J4814" i="8"/>
  <c r="J4813" i="8"/>
  <c r="J4812" i="8"/>
  <c r="J4811" i="8"/>
  <c r="J4810" i="8"/>
  <c r="J4809" i="8"/>
  <c r="J4808" i="8"/>
  <c r="J4807" i="8"/>
  <c r="J4806" i="8"/>
  <c r="J4805" i="8"/>
  <c r="J4804" i="8"/>
  <c r="J4803" i="8"/>
  <c r="J4802" i="8"/>
  <c r="J4801" i="8"/>
  <c r="J4800" i="8"/>
  <c r="H4799" i="8"/>
  <c r="H4815" i="8" s="1"/>
  <c r="J4797" i="8"/>
  <c r="J4796" i="8"/>
  <c r="J4795" i="8"/>
  <c r="J4794" i="8"/>
  <c r="J4793" i="8"/>
  <c r="J4792" i="8"/>
  <c r="J4791" i="8"/>
  <c r="J4790" i="8"/>
  <c r="J4789" i="8"/>
  <c r="J4788" i="8"/>
  <c r="J4787" i="8"/>
  <c r="J4786" i="8"/>
  <c r="J4785" i="8"/>
  <c r="J4784" i="8"/>
  <c r="J4783" i="8"/>
  <c r="J4782" i="8"/>
  <c r="J4781" i="8"/>
  <c r="J4780" i="8"/>
  <c r="J4779" i="8"/>
  <c r="J4778" i="8"/>
  <c r="J4777" i="8"/>
  <c r="J4776" i="8"/>
  <c r="J4775" i="8"/>
  <c r="J4774" i="8"/>
  <c r="J4773" i="8"/>
  <c r="J4772" i="8"/>
  <c r="J4771" i="8"/>
  <c r="J4770" i="8"/>
  <c r="J4769" i="8"/>
  <c r="J4768" i="8"/>
  <c r="J4767" i="8"/>
  <c r="J4766" i="8"/>
  <c r="J4765" i="8"/>
  <c r="J4764" i="8"/>
  <c r="J4763" i="8"/>
  <c r="J4762" i="8"/>
  <c r="J4761" i="8"/>
  <c r="J4760" i="8"/>
  <c r="J4759" i="8"/>
  <c r="J4758" i="8"/>
  <c r="J4757" i="8"/>
  <c r="J4756" i="8"/>
  <c r="J4755" i="8"/>
  <c r="J4754" i="8"/>
  <c r="J4753" i="8"/>
  <c r="J4752" i="8"/>
  <c r="J4751" i="8"/>
  <c r="J4750" i="8"/>
  <c r="J4749" i="8"/>
  <c r="J4748" i="8"/>
  <c r="J4747" i="8"/>
  <c r="J4746" i="8"/>
  <c r="J4745" i="8"/>
  <c r="J4744" i="8"/>
  <c r="J4743" i="8"/>
  <c r="J4742" i="8"/>
  <c r="J4741" i="8"/>
  <c r="J4740" i="8"/>
  <c r="J4739" i="8"/>
  <c r="J4738" i="8"/>
  <c r="I4733" i="8"/>
  <c r="J4732" i="8"/>
  <c r="J4731" i="8"/>
  <c r="J4730" i="8"/>
  <c r="J4729" i="8"/>
  <c r="J4728" i="8"/>
  <c r="J4727" i="8"/>
  <c r="J4726" i="8"/>
  <c r="J4725" i="8"/>
  <c r="J4724" i="8"/>
  <c r="J4723" i="8"/>
  <c r="J4722" i="8"/>
  <c r="J4721" i="8"/>
  <c r="J4720" i="8"/>
  <c r="J4719" i="8"/>
  <c r="J4718" i="8"/>
  <c r="I4715" i="8"/>
  <c r="J4714" i="8"/>
  <c r="J4713" i="8"/>
  <c r="J4712" i="8"/>
  <c r="J4711" i="8"/>
  <c r="J4710" i="8"/>
  <c r="J4709" i="8"/>
  <c r="J4708" i="8"/>
  <c r="J4707" i="8"/>
  <c r="J4706" i="8"/>
  <c r="J4705" i="8"/>
  <c r="J4704" i="8"/>
  <c r="J4703" i="8"/>
  <c r="J4702" i="8"/>
  <c r="J4701" i="8"/>
  <c r="J4700" i="8"/>
  <c r="H4699" i="8"/>
  <c r="H4715" i="8" s="1"/>
  <c r="I4697" i="8"/>
  <c r="J4696" i="8"/>
  <c r="J4695" i="8"/>
  <c r="J4694" i="8"/>
  <c r="J4693" i="8"/>
  <c r="J4692" i="8"/>
  <c r="J4691" i="8"/>
  <c r="J4690" i="8"/>
  <c r="J4689" i="8"/>
  <c r="J4688" i="8"/>
  <c r="J4687" i="8"/>
  <c r="J4686" i="8"/>
  <c r="J4685" i="8"/>
  <c r="J4684" i="8"/>
  <c r="J4683" i="8"/>
  <c r="J4682" i="8"/>
  <c r="H4681" i="8"/>
  <c r="H4697" i="8" s="1"/>
  <c r="J4679" i="8"/>
  <c r="J4678" i="8"/>
  <c r="J4677" i="8"/>
  <c r="J4676" i="8"/>
  <c r="J4675" i="8"/>
  <c r="J4674" i="8"/>
  <c r="J4673" i="8"/>
  <c r="J4672" i="8"/>
  <c r="J4671" i="8"/>
  <c r="J4670" i="8"/>
  <c r="J4669" i="8"/>
  <c r="J4668" i="8"/>
  <c r="J4667" i="8"/>
  <c r="J4666" i="8"/>
  <c r="J4665" i="8"/>
  <c r="J4664" i="8"/>
  <c r="J4663" i="8"/>
  <c r="J4662" i="8"/>
  <c r="J4661" i="8"/>
  <c r="J4660" i="8"/>
  <c r="J4659" i="8"/>
  <c r="J4658" i="8"/>
  <c r="J4657" i="8"/>
  <c r="J4656" i="8"/>
  <c r="J4655" i="8"/>
  <c r="J4654" i="8"/>
  <c r="J4653" i="8"/>
  <c r="J4652" i="8"/>
  <c r="J4651" i="8"/>
  <c r="J4650" i="8"/>
  <c r="J4649" i="8"/>
  <c r="J4648" i="8"/>
  <c r="J4647" i="8"/>
  <c r="J4646" i="8"/>
  <c r="J4645" i="8"/>
  <c r="J4644" i="8"/>
  <c r="J4643" i="8"/>
  <c r="J4642" i="8"/>
  <c r="J4641" i="8"/>
  <c r="J4640" i="8"/>
  <c r="J4639" i="8"/>
  <c r="J4638" i="8"/>
  <c r="J4637" i="8"/>
  <c r="J4636" i="8"/>
  <c r="J4635" i="8"/>
  <c r="J4634" i="8"/>
  <c r="J4633" i="8"/>
  <c r="J4632" i="8"/>
  <c r="J4631" i="8"/>
  <c r="J4630" i="8"/>
  <c r="J4629" i="8"/>
  <c r="J4628" i="8"/>
  <c r="J4627" i="8"/>
  <c r="J4626" i="8"/>
  <c r="J4625" i="8"/>
  <c r="J4624" i="8"/>
  <c r="J4623" i="8"/>
  <c r="J4622" i="8"/>
  <c r="J4621" i="8"/>
  <c r="J4620" i="8"/>
  <c r="I4617" i="8"/>
  <c r="J4616" i="8"/>
  <c r="J4615" i="8"/>
  <c r="J4614" i="8"/>
  <c r="J4613" i="8"/>
  <c r="J4612" i="8"/>
  <c r="J4611" i="8"/>
  <c r="J4610" i="8"/>
  <c r="J4609" i="8"/>
  <c r="J4608" i="8"/>
  <c r="J4607" i="8"/>
  <c r="J4606" i="8"/>
  <c r="J4605" i="8"/>
  <c r="J4604" i="8"/>
  <c r="J4603" i="8"/>
  <c r="J4602" i="8"/>
  <c r="H4601" i="8"/>
  <c r="H4617" i="8" s="1"/>
  <c r="I4599" i="8"/>
  <c r="J4598" i="8"/>
  <c r="J4597" i="8"/>
  <c r="J4596" i="8"/>
  <c r="J4595" i="8"/>
  <c r="J4594" i="8"/>
  <c r="J4593" i="8"/>
  <c r="J4592" i="8"/>
  <c r="J4591" i="8"/>
  <c r="J4590" i="8"/>
  <c r="J4589" i="8"/>
  <c r="J4588" i="8"/>
  <c r="J4587" i="8"/>
  <c r="J4586" i="8"/>
  <c r="J4585" i="8"/>
  <c r="J4584" i="8"/>
  <c r="H4583" i="8"/>
  <c r="H4599" i="8" s="1"/>
  <c r="J4581" i="8"/>
  <c r="J4580" i="8"/>
  <c r="J4579" i="8"/>
  <c r="J4578" i="8"/>
  <c r="J4577" i="8"/>
  <c r="J4576" i="8"/>
  <c r="J4575" i="8"/>
  <c r="J4574" i="8"/>
  <c r="J4573" i="8"/>
  <c r="J4572" i="8"/>
  <c r="J4571" i="8"/>
  <c r="J4570" i="8"/>
  <c r="J4569" i="8"/>
  <c r="J4568" i="8"/>
  <c r="J4567" i="8"/>
  <c r="J4566" i="8"/>
  <c r="J4565" i="8"/>
  <c r="J4564" i="8"/>
  <c r="J4563" i="8"/>
  <c r="J4562" i="8"/>
  <c r="J4561" i="8"/>
  <c r="J4560" i="8"/>
  <c r="J4559" i="8"/>
  <c r="J4558" i="8"/>
  <c r="J4557" i="8"/>
  <c r="J4556" i="8"/>
  <c r="J4555" i="8"/>
  <c r="J4554" i="8"/>
  <c r="J4553" i="8"/>
  <c r="J4552" i="8"/>
  <c r="J4551" i="8"/>
  <c r="J4550" i="8"/>
  <c r="J4549" i="8"/>
  <c r="J4548" i="8"/>
  <c r="J4547" i="8"/>
  <c r="J4546" i="8"/>
  <c r="J4545" i="8"/>
  <c r="J4544" i="8"/>
  <c r="J4543" i="8"/>
  <c r="J4542" i="8"/>
  <c r="J4541" i="8"/>
  <c r="J4540" i="8"/>
  <c r="J4539" i="8"/>
  <c r="J4538" i="8"/>
  <c r="J4537" i="8"/>
  <c r="J4536" i="8"/>
  <c r="J4535" i="8"/>
  <c r="J4534" i="8"/>
  <c r="J4533" i="8"/>
  <c r="J4532" i="8"/>
  <c r="J4531" i="8"/>
  <c r="J4530" i="8"/>
  <c r="J4529" i="8"/>
  <c r="J4528" i="8"/>
  <c r="J4527" i="8"/>
  <c r="J4526" i="8"/>
  <c r="J4525" i="8"/>
  <c r="J4524" i="8"/>
  <c r="J4523" i="8"/>
  <c r="J4522" i="8"/>
  <c r="I4519" i="8"/>
  <c r="J4518" i="8"/>
  <c r="J4517" i="8"/>
  <c r="J4516" i="8"/>
  <c r="J4515" i="8"/>
  <c r="J4514" i="8"/>
  <c r="J4513" i="8"/>
  <c r="J4512" i="8"/>
  <c r="J4511" i="8"/>
  <c r="J4510" i="8"/>
  <c r="J4509" i="8"/>
  <c r="J4508" i="8"/>
  <c r="J4507" i="8"/>
  <c r="J4506" i="8"/>
  <c r="J4505" i="8"/>
  <c r="J4504" i="8"/>
  <c r="H4503" i="8"/>
  <c r="H4519" i="8" s="1"/>
  <c r="I4501" i="8"/>
  <c r="J4500" i="8"/>
  <c r="J4499" i="8"/>
  <c r="J4498" i="8"/>
  <c r="J4497" i="8"/>
  <c r="J4496" i="8"/>
  <c r="J4495" i="8"/>
  <c r="J4494" i="8"/>
  <c r="J4493" i="8"/>
  <c r="J4492" i="8"/>
  <c r="J4491" i="8"/>
  <c r="J4490" i="8"/>
  <c r="J4489" i="8"/>
  <c r="J4488" i="8"/>
  <c r="J4487" i="8"/>
  <c r="J4486" i="8"/>
  <c r="H4485" i="8"/>
  <c r="H4501" i="8" s="1"/>
  <c r="J4483" i="8"/>
  <c r="J4482" i="8"/>
  <c r="J4481" i="8"/>
  <c r="J4480" i="8"/>
  <c r="J4479" i="8"/>
  <c r="J4478" i="8"/>
  <c r="J4477" i="8"/>
  <c r="J4476" i="8"/>
  <c r="J4475" i="8"/>
  <c r="J4474" i="8"/>
  <c r="J4473" i="8"/>
  <c r="J4472" i="8"/>
  <c r="J4471" i="8"/>
  <c r="J4470" i="8"/>
  <c r="J4469" i="8"/>
  <c r="J4468" i="8"/>
  <c r="J4467" i="8"/>
  <c r="J4466" i="8"/>
  <c r="J4465" i="8"/>
  <c r="J4464" i="8"/>
  <c r="J4463" i="8"/>
  <c r="J4462" i="8"/>
  <c r="J4461" i="8"/>
  <c r="J4460" i="8"/>
  <c r="J4459" i="8"/>
  <c r="J4458" i="8"/>
  <c r="J4457" i="8"/>
  <c r="J4456" i="8"/>
  <c r="J4455" i="8"/>
  <c r="J4454" i="8"/>
  <c r="J4453" i="8"/>
  <c r="J4452" i="8"/>
  <c r="J4451" i="8"/>
  <c r="J4450" i="8"/>
  <c r="J4449" i="8"/>
  <c r="J4448" i="8"/>
  <c r="J4447" i="8"/>
  <c r="J4446" i="8"/>
  <c r="J4445" i="8"/>
  <c r="J4444" i="8"/>
  <c r="J4443" i="8"/>
  <c r="J4442" i="8"/>
  <c r="J4441" i="8"/>
  <c r="J4440" i="8"/>
  <c r="J4439" i="8"/>
  <c r="J4438" i="8"/>
  <c r="J4437" i="8"/>
  <c r="J4436" i="8"/>
  <c r="J4435" i="8"/>
  <c r="J4434" i="8"/>
  <c r="J4433" i="8"/>
  <c r="J4432" i="8"/>
  <c r="J4431" i="8"/>
  <c r="J4430" i="8"/>
  <c r="J4429" i="8"/>
  <c r="J4428" i="8"/>
  <c r="J4427" i="8"/>
  <c r="J4426" i="8"/>
  <c r="J4425" i="8"/>
  <c r="J4424" i="8"/>
  <c r="I4421" i="8"/>
  <c r="J4420" i="8"/>
  <c r="J4419" i="8"/>
  <c r="J4418" i="8"/>
  <c r="J4417" i="8"/>
  <c r="J4416" i="8"/>
  <c r="J4415" i="8"/>
  <c r="J4414" i="8"/>
  <c r="J4413" i="8"/>
  <c r="J4412" i="8"/>
  <c r="J4411" i="8"/>
  <c r="J4410" i="8"/>
  <c r="J4409" i="8"/>
  <c r="J4408" i="8"/>
  <c r="J4407" i="8"/>
  <c r="J4406" i="8"/>
  <c r="H4405" i="8"/>
  <c r="H4717" i="8" s="1"/>
  <c r="H4733" i="8" s="1"/>
  <c r="I4403" i="8"/>
  <c r="J4402" i="8"/>
  <c r="J4401" i="8"/>
  <c r="J4400" i="8"/>
  <c r="J4399" i="8"/>
  <c r="J4398" i="8"/>
  <c r="J4397" i="8"/>
  <c r="J4396" i="8"/>
  <c r="J4395" i="8"/>
  <c r="J4394" i="8"/>
  <c r="J4393" i="8"/>
  <c r="J4392" i="8"/>
  <c r="J4391" i="8"/>
  <c r="J4390" i="8"/>
  <c r="J4389" i="8"/>
  <c r="J4388" i="8"/>
  <c r="H4387" i="8"/>
  <c r="H4403" i="8" s="1"/>
  <c r="J4385" i="8"/>
  <c r="J4384" i="8"/>
  <c r="J4383" i="8"/>
  <c r="J4382" i="8"/>
  <c r="J4381" i="8"/>
  <c r="J4380" i="8"/>
  <c r="J4379" i="8"/>
  <c r="J4378" i="8"/>
  <c r="J4377" i="8"/>
  <c r="J4376" i="8"/>
  <c r="J4375" i="8"/>
  <c r="J4374" i="8"/>
  <c r="J4373" i="8"/>
  <c r="J4372" i="8"/>
  <c r="J4371" i="8"/>
  <c r="J4370" i="8"/>
  <c r="J4369" i="8"/>
  <c r="J4368" i="8"/>
  <c r="J4367" i="8"/>
  <c r="J4366" i="8"/>
  <c r="J4365" i="8"/>
  <c r="J4364" i="8"/>
  <c r="J4363" i="8"/>
  <c r="J4362" i="8"/>
  <c r="J4361" i="8"/>
  <c r="J4360" i="8"/>
  <c r="J4359" i="8"/>
  <c r="J4358" i="8"/>
  <c r="J4357" i="8"/>
  <c r="J4356" i="8"/>
  <c r="J4355" i="8"/>
  <c r="J4354" i="8"/>
  <c r="J4353" i="8"/>
  <c r="J4352" i="8"/>
  <c r="J4351" i="8"/>
  <c r="J4350" i="8"/>
  <c r="J4349" i="8"/>
  <c r="J4348" i="8"/>
  <c r="J4347" i="8"/>
  <c r="J4346" i="8"/>
  <c r="J4345" i="8"/>
  <c r="J4344" i="8"/>
  <c r="J4343" i="8"/>
  <c r="J4342" i="8"/>
  <c r="J4341" i="8"/>
  <c r="J4340" i="8"/>
  <c r="J4339" i="8"/>
  <c r="J4338" i="8"/>
  <c r="J4337" i="8"/>
  <c r="J4336" i="8"/>
  <c r="J4335" i="8"/>
  <c r="J4334" i="8"/>
  <c r="J4333" i="8"/>
  <c r="J4332" i="8"/>
  <c r="J4331" i="8"/>
  <c r="J4330" i="8"/>
  <c r="J4329" i="8"/>
  <c r="J4328" i="8"/>
  <c r="J4327" i="8"/>
  <c r="J4326" i="8"/>
  <c r="I4302" i="8"/>
  <c r="J4301" i="8"/>
  <c r="J4300" i="8"/>
  <c r="J4299" i="8"/>
  <c r="J4298" i="8"/>
  <c r="J4297" i="8"/>
  <c r="J4296" i="8"/>
  <c r="J4295" i="8"/>
  <c r="J4294" i="8"/>
  <c r="J4293" i="8"/>
  <c r="J4292" i="8"/>
  <c r="J4291" i="8"/>
  <c r="J4290" i="8"/>
  <c r="J4289" i="8"/>
  <c r="J4288" i="8"/>
  <c r="J4287" i="8"/>
  <c r="H4286" i="8"/>
  <c r="I4284" i="8"/>
  <c r="J4283" i="8"/>
  <c r="J4282" i="8"/>
  <c r="J4281" i="8"/>
  <c r="J4280" i="8"/>
  <c r="J4279" i="8"/>
  <c r="J4278" i="8"/>
  <c r="J4277" i="8"/>
  <c r="J4276" i="8"/>
  <c r="J4275" i="8"/>
  <c r="J4274" i="8"/>
  <c r="J4273" i="8"/>
  <c r="J4272" i="8"/>
  <c r="J4271" i="8"/>
  <c r="J4270" i="8"/>
  <c r="J4269" i="8"/>
  <c r="H4268" i="8"/>
  <c r="H4284" i="8" s="1"/>
  <c r="J4266" i="8"/>
  <c r="J4265" i="8"/>
  <c r="J4264" i="8"/>
  <c r="J4263" i="8"/>
  <c r="J4262" i="8"/>
  <c r="J4261" i="8"/>
  <c r="J4260" i="8"/>
  <c r="J4259" i="8"/>
  <c r="J4258" i="8"/>
  <c r="J4257" i="8"/>
  <c r="J4256" i="8"/>
  <c r="J4255" i="8"/>
  <c r="J4254" i="8"/>
  <c r="J4253" i="8"/>
  <c r="J4252" i="8"/>
  <c r="J4251" i="8"/>
  <c r="J4250" i="8"/>
  <c r="J4249" i="8"/>
  <c r="J4248" i="8"/>
  <c r="J4247" i="8"/>
  <c r="J4246" i="8"/>
  <c r="J4245" i="8"/>
  <c r="J4244" i="8"/>
  <c r="J4243" i="8"/>
  <c r="J4242" i="8"/>
  <c r="J4241" i="8"/>
  <c r="J4240" i="8"/>
  <c r="J4239" i="8"/>
  <c r="J4238" i="8"/>
  <c r="J4237" i="8"/>
  <c r="J4236" i="8"/>
  <c r="J4235" i="8"/>
  <c r="J4234" i="8"/>
  <c r="J4233" i="8"/>
  <c r="J4232" i="8"/>
  <c r="J4231" i="8"/>
  <c r="J4230" i="8"/>
  <c r="J4229" i="8"/>
  <c r="J4228" i="8"/>
  <c r="J4227" i="8"/>
  <c r="J4226" i="8"/>
  <c r="J4225" i="8"/>
  <c r="J4224" i="8"/>
  <c r="J4223" i="8"/>
  <c r="J4222" i="8"/>
  <c r="J4221" i="8"/>
  <c r="J4220" i="8"/>
  <c r="J4219" i="8"/>
  <c r="J4218" i="8"/>
  <c r="J4217" i="8"/>
  <c r="J4216" i="8"/>
  <c r="J4215" i="8"/>
  <c r="J4214" i="8"/>
  <c r="J4213" i="8"/>
  <c r="J4212" i="8"/>
  <c r="J4211" i="8"/>
  <c r="J4210" i="8"/>
  <c r="J4209" i="8"/>
  <c r="J4208" i="8"/>
  <c r="J4207" i="8"/>
  <c r="I4204" i="8"/>
  <c r="J4203" i="8"/>
  <c r="J4202" i="8"/>
  <c r="J4201" i="8"/>
  <c r="J4200" i="8"/>
  <c r="J4199" i="8"/>
  <c r="J4198" i="8"/>
  <c r="J4197" i="8"/>
  <c r="J4196" i="8"/>
  <c r="J4195" i="8"/>
  <c r="J4194" i="8"/>
  <c r="J4193" i="8"/>
  <c r="J4192" i="8"/>
  <c r="J4191" i="8"/>
  <c r="J4190" i="8"/>
  <c r="J4189" i="8"/>
  <c r="H4188" i="8"/>
  <c r="H4204" i="8" s="1"/>
  <c r="I4186" i="8"/>
  <c r="J4185" i="8"/>
  <c r="J4184" i="8"/>
  <c r="J4183" i="8"/>
  <c r="J4182" i="8"/>
  <c r="J4181" i="8"/>
  <c r="J4180" i="8"/>
  <c r="J4179" i="8"/>
  <c r="J4178" i="8"/>
  <c r="J4177" i="8"/>
  <c r="J4176" i="8"/>
  <c r="J4175" i="8"/>
  <c r="J4174" i="8"/>
  <c r="J4173" i="8"/>
  <c r="J4172" i="8"/>
  <c r="J4171" i="8"/>
  <c r="H4170" i="8"/>
  <c r="H4186" i="8" s="1"/>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J4121" i="8"/>
  <c r="J4120" i="8"/>
  <c r="J4119" i="8"/>
  <c r="J4118" i="8"/>
  <c r="J4117" i="8"/>
  <c r="J4116" i="8"/>
  <c r="J4115" i="8"/>
  <c r="J4114" i="8"/>
  <c r="J4113" i="8"/>
  <c r="J4112" i="8"/>
  <c r="J4111" i="8"/>
  <c r="J4110" i="8"/>
  <c r="J4109" i="8"/>
  <c r="H3775" i="8"/>
  <c r="H3791" i="8" s="1"/>
  <c r="D41" i="7" s="1"/>
  <c r="I4085" i="8"/>
  <c r="J4084" i="8"/>
  <c r="J4083" i="8"/>
  <c r="J4082" i="8"/>
  <c r="J4081" i="8"/>
  <c r="J4080" i="8"/>
  <c r="J4079" i="8"/>
  <c r="J4078" i="8"/>
  <c r="J4077" i="8"/>
  <c r="J4076" i="8"/>
  <c r="J4075" i="8"/>
  <c r="J4074" i="8"/>
  <c r="J4073" i="8"/>
  <c r="J4072" i="8"/>
  <c r="J4071" i="8"/>
  <c r="J4070" i="8"/>
  <c r="H4069" i="8"/>
  <c r="I4067" i="8"/>
  <c r="J4066" i="8"/>
  <c r="J4065" i="8"/>
  <c r="J4064" i="8"/>
  <c r="J4063" i="8"/>
  <c r="J4062" i="8"/>
  <c r="J4061" i="8"/>
  <c r="J4060" i="8"/>
  <c r="J4059" i="8"/>
  <c r="J4058" i="8"/>
  <c r="J4057" i="8"/>
  <c r="J4056" i="8"/>
  <c r="J4055" i="8"/>
  <c r="J4054" i="8"/>
  <c r="J4053" i="8"/>
  <c r="J4052" i="8"/>
  <c r="H4051" i="8"/>
  <c r="H4067" i="8" s="1"/>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J4013" i="8"/>
  <c r="J4012" i="8"/>
  <c r="J4011" i="8"/>
  <c r="J4010" i="8"/>
  <c r="J4009" i="8"/>
  <c r="J4008" i="8"/>
  <c r="J4007" i="8"/>
  <c r="J4006" i="8"/>
  <c r="J4005" i="8"/>
  <c r="J4004" i="8"/>
  <c r="J4003" i="8"/>
  <c r="J4002" i="8"/>
  <c r="J4001" i="8"/>
  <c r="J4000" i="8"/>
  <c r="J3999" i="8"/>
  <c r="J3998" i="8"/>
  <c r="J3997" i="8"/>
  <c r="J3996" i="8"/>
  <c r="J3995" i="8"/>
  <c r="J3994" i="8"/>
  <c r="J3993" i="8"/>
  <c r="J3992" i="8"/>
  <c r="J3991" i="8"/>
  <c r="J3990" i="8"/>
  <c r="I3987" i="8"/>
  <c r="J3986" i="8"/>
  <c r="J3985" i="8"/>
  <c r="J3984" i="8"/>
  <c r="J3983" i="8"/>
  <c r="J3982" i="8"/>
  <c r="J3981" i="8"/>
  <c r="J3980" i="8"/>
  <c r="J3979" i="8"/>
  <c r="J3978" i="8"/>
  <c r="J3977" i="8"/>
  <c r="J3976" i="8"/>
  <c r="J3975" i="8"/>
  <c r="J3974" i="8"/>
  <c r="J3973" i="8"/>
  <c r="J3972" i="8"/>
  <c r="H3971" i="8"/>
  <c r="H3987" i="8" s="1"/>
  <c r="I3969" i="8"/>
  <c r="J3968" i="8"/>
  <c r="J3967" i="8"/>
  <c r="J3966" i="8"/>
  <c r="J3965" i="8"/>
  <c r="J3964" i="8"/>
  <c r="J3963" i="8"/>
  <c r="J3962" i="8"/>
  <c r="J3961" i="8"/>
  <c r="J3960" i="8"/>
  <c r="J3959" i="8"/>
  <c r="J3958" i="8"/>
  <c r="J3957" i="8"/>
  <c r="J3956" i="8"/>
  <c r="J3955" i="8"/>
  <c r="J3954" i="8"/>
  <c r="H3953" i="8"/>
  <c r="H3969" i="8" s="1"/>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7" i="8"/>
  <c r="J3926" i="8"/>
  <c r="J3925" i="8"/>
  <c r="J3924" i="8"/>
  <c r="J3923" i="8"/>
  <c r="J3922" i="8"/>
  <c r="J3921" i="8"/>
  <c r="J3920" i="8"/>
  <c r="J3919" i="8"/>
  <c r="J3918" i="8"/>
  <c r="J3917" i="8"/>
  <c r="J3916" i="8"/>
  <c r="J3915" i="8"/>
  <c r="J3914" i="8"/>
  <c r="J3913" i="8"/>
  <c r="J3912" i="8"/>
  <c r="J3911" i="8"/>
  <c r="J3910" i="8"/>
  <c r="J3909" i="8"/>
  <c r="J3908" i="8"/>
  <c r="J3907" i="8"/>
  <c r="J3906" i="8"/>
  <c r="J3905" i="8"/>
  <c r="J3904" i="8"/>
  <c r="J3903" i="8"/>
  <c r="J3902" i="8"/>
  <c r="J3901" i="8"/>
  <c r="J3900" i="8"/>
  <c r="J3899" i="8"/>
  <c r="J3898" i="8"/>
  <c r="J3897" i="8"/>
  <c r="J3896" i="8"/>
  <c r="J3895" i="8"/>
  <c r="J3894" i="8"/>
  <c r="J3893" i="8"/>
  <c r="J3892" i="8"/>
  <c r="I3889" i="8"/>
  <c r="J3888" i="8"/>
  <c r="J3887" i="8"/>
  <c r="J3886" i="8"/>
  <c r="J3885" i="8"/>
  <c r="J3884" i="8"/>
  <c r="J3883" i="8"/>
  <c r="J3882" i="8"/>
  <c r="J3881" i="8"/>
  <c r="J3880" i="8"/>
  <c r="J3879" i="8"/>
  <c r="J3878" i="8"/>
  <c r="J3877" i="8"/>
  <c r="J3876" i="8"/>
  <c r="J3875" i="8"/>
  <c r="J3874" i="8"/>
  <c r="H3873" i="8"/>
  <c r="H3889" i="8" s="1"/>
  <c r="D42" i="7" s="1"/>
  <c r="I3871" i="8"/>
  <c r="J3870" i="8"/>
  <c r="J3869" i="8"/>
  <c r="J3868" i="8"/>
  <c r="J3867" i="8"/>
  <c r="J3866" i="8"/>
  <c r="J3865" i="8"/>
  <c r="J3864" i="8"/>
  <c r="J3863" i="8"/>
  <c r="J3862" i="8"/>
  <c r="J3861" i="8"/>
  <c r="J3860" i="8"/>
  <c r="J3859" i="8"/>
  <c r="J3858" i="8"/>
  <c r="J3857" i="8"/>
  <c r="J3856" i="8"/>
  <c r="H3855" i="8"/>
  <c r="H3871" i="8" s="1"/>
  <c r="J3853" i="8"/>
  <c r="J3852" i="8"/>
  <c r="J3851" i="8"/>
  <c r="J3850" i="8"/>
  <c r="J3849" i="8"/>
  <c r="J3848" i="8"/>
  <c r="J3847" i="8"/>
  <c r="J3846" i="8"/>
  <c r="J3845" i="8"/>
  <c r="J3844" i="8"/>
  <c r="J3843" i="8"/>
  <c r="J3842" i="8"/>
  <c r="J3841" i="8"/>
  <c r="J3840" i="8"/>
  <c r="J3839" i="8"/>
  <c r="J3838" i="8"/>
  <c r="J3837" i="8"/>
  <c r="J3836" i="8"/>
  <c r="J3835" i="8"/>
  <c r="J3834" i="8"/>
  <c r="J3833" i="8"/>
  <c r="J3832" i="8"/>
  <c r="J3831" i="8"/>
  <c r="J3830" i="8"/>
  <c r="J3829" i="8"/>
  <c r="J3828" i="8"/>
  <c r="J3827" i="8"/>
  <c r="J3826" i="8"/>
  <c r="J3825" i="8"/>
  <c r="J3824" i="8"/>
  <c r="J3823" i="8"/>
  <c r="J3822" i="8"/>
  <c r="J3821" i="8"/>
  <c r="J3820" i="8"/>
  <c r="J3819" i="8"/>
  <c r="J3818" i="8"/>
  <c r="J3817" i="8"/>
  <c r="J3816" i="8"/>
  <c r="J3815" i="8"/>
  <c r="J3814" i="8"/>
  <c r="J3813" i="8"/>
  <c r="J3812" i="8"/>
  <c r="J3811" i="8"/>
  <c r="J3810" i="8"/>
  <c r="J3809" i="8"/>
  <c r="J3808" i="8"/>
  <c r="J3807" i="8"/>
  <c r="J3806" i="8"/>
  <c r="J3805" i="8"/>
  <c r="J3804" i="8"/>
  <c r="J3803" i="8"/>
  <c r="J3802" i="8"/>
  <c r="J3801" i="8"/>
  <c r="J3800" i="8"/>
  <c r="J3799" i="8"/>
  <c r="J3798" i="8"/>
  <c r="J3797" i="8"/>
  <c r="J3796" i="8"/>
  <c r="J3795" i="8"/>
  <c r="J3794" i="8"/>
  <c r="I3791" i="8"/>
  <c r="J3790" i="8"/>
  <c r="J3789" i="8"/>
  <c r="J3788" i="8"/>
  <c r="J3787" i="8"/>
  <c r="J3786" i="8"/>
  <c r="J3785" i="8"/>
  <c r="J3784" i="8"/>
  <c r="J3783" i="8"/>
  <c r="J3782" i="8"/>
  <c r="J3781" i="8"/>
  <c r="J3780" i="8"/>
  <c r="J3779" i="8"/>
  <c r="J3778" i="8"/>
  <c r="J3777" i="8"/>
  <c r="J3776" i="8"/>
  <c r="I3773" i="8"/>
  <c r="J3772" i="8"/>
  <c r="J3771" i="8"/>
  <c r="J3770" i="8"/>
  <c r="J3769" i="8"/>
  <c r="J3768" i="8"/>
  <c r="J3767" i="8"/>
  <c r="J3766" i="8"/>
  <c r="J3765" i="8"/>
  <c r="J3764" i="8"/>
  <c r="J3763" i="8"/>
  <c r="J3762" i="8"/>
  <c r="J3761" i="8"/>
  <c r="J3760" i="8"/>
  <c r="J3759" i="8"/>
  <c r="J3758" i="8"/>
  <c r="H3757" i="8"/>
  <c r="H3773" i="8" s="1"/>
  <c r="J3755" i="8"/>
  <c r="J3754" i="8"/>
  <c r="J3753" i="8"/>
  <c r="J3752" i="8"/>
  <c r="J3751" i="8"/>
  <c r="J3750" i="8"/>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3714" i="8"/>
  <c r="J3713" i="8"/>
  <c r="J3712" i="8"/>
  <c r="J3711" i="8"/>
  <c r="J3710" i="8"/>
  <c r="J3709" i="8"/>
  <c r="J3708" i="8"/>
  <c r="J3707" i="8"/>
  <c r="J3706" i="8"/>
  <c r="J3705" i="8"/>
  <c r="J3704" i="8"/>
  <c r="J3703" i="8"/>
  <c r="J3702" i="8"/>
  <c r="J3701" i="8"/>
  <c r="J3700" i="8"/>
  <c r="J3699" i="8"/>
  <c r="J3698" i="8"/>
  <c r="J3697" i="8"/>
  <c r="J3696" i="8"/>
  <c r="I3693" i="8"/>
  <c r="J3692" i="8"/>
  <c r="J3691" i="8"/>
  <c r="J3690" i="8"/>
  <c r="J3689" i="8"/>
  <c r="J3688" i="8"/>
  <c r="J3687" i="8"/>
  <c r="J3686" i="8"/>
  <c r="J3685" i="8"/>
  <c r="J3684" i="8"/>
  <c r="J3683" i="8"/>
  <c r="J3682" i="8"/>
  <c r="J3681" i="8"/>
  <c r="J3680" i="8"/>
  <c r="J3679" i="8"/>
  <c r="J3678" i="8"/>
  <c r="H3677" i="8"/>
  <c r="H3693" i="8" s="1"/>
  <c r="I3675" i="8"/>
  <c r="J3674" i="8"/>
  <c r="J3673" i="8"/>
  <c r="J3672" i="8"/>
  <c r="J3671" i="8"/>
  <c r="J3670" i="8"/>
  <c r="J3669" i="8"/>
  <c r="J3668" i="8"/>
  <c r="J3667" i="8"/>
  <c r="J3666" i="8"/>
  <c r="J3665" i="8"/>
  <c r="J3664" i="8"/>
  <c r="J3663" i="8"/>
  <c r="J3662" i="8"/>
  <c r="J3661" i="8"/>
  <c r="J3660" i="8"/>
  <c r="H3659" i="8"/>
  <c r="H3675" i="8" s="1"/>
  <c r="J3657" i="8"/>
  <c r="J3656" i="8"/>
  <c r="J3655" i="8"/>
  <c r="J3654" i="8"/>
  <c r="J3653" i="8"/>
  <c r="J3652" i="8"/>
  <c r="J3651" i="8"/>
  <c r="J3650" i="8"/>
  <c r="J3649" i="8"/>
  <c r="J3648" i="8"/>
  <c r="J3647" i="8"/>
  <c r="J3646" i="8"/>
  <c r="J3645" i="8"/>
  <c r="J3644" i="8"/>
  <c r="J3643" i="8"/>
  <c r="J3642" i="8"/>
  <c r="J3641" i="8"/>
  <c r="J3640" i="8"/>
  <c r="J3639" i="8"/>
  <c r="J3638" i="8"/>
  <c r="J3637" i="8"/>
  <c r="J3636" i="8"/>
  <c r="J3635" i="8"/>
  <c r="J3634" i="8"/>
  <c r="J3633" i="8"/>
  <c r="J3632" i="8"/>
  <c r="J3631" i="8"/>
  <c r="J3630" i="8"/>
  <c r="J3629" i="8"/>
  <c r="J3628" i="8"/>
  <c r="J3627" i="8"/>
  <c r="J3626" i="8"/>
  <c r="J3625" i="8"/>
  <c r="J3624" i="8"/>
  <c r="J3623" i="8"/>
  <c r="J3622" i="8"/>
  <c r="J3621" i="8"/>
  <c r="J3620" i="8"/>
  <c r="J3619" i="8"/>
  <c r="J3618" i="8"/>
  <c r="J3617" i="8"/>
  <c r="J3616" i="8"/>
  <c r="J3615" i="8"/>
  <c r="J3614" i="8"/>
  <c r="J3613" i="8"/>
  <c r="J3612" i="8"/>
  <c r="J3611" i="8"/>
  <c r="J3610" i="8"/>
  <c r="J3609" i="8"/>
  <c r="J3608" i="8"/>
  <c r="J3607" i="8"/>
  <c r="J3606" i="8"/>
  <c r="J3605" i="8"/>
  <c r="J3604" i="8"/>
  <c r="J3603" i="8"/>
  <c r="J3602" i="8"/>
  <c r="J3601" i="8"/>
  <c r="J3600" i="8"/>
  <c r="J3599" i="8"/>
  <c r="J3598" i="8"/>
  <c r="I3595" i="8"/>
  <c r="J3594" i="8"/>
  <c r="J3593" i="8"/>
  <c r="J3592" i="8"/>
  <c r="J3591" i="8"/>
  <c r="J3590" i="8"/>
  <c r="J3589" i="8"/>
  <c r="J3588" i="8"/>
  <c r="J3587" i="8"/>
  <c r="J3586" i="8"/>
  <c r="J3585" i="8"/>
  <c r="J3584" i="8"/>
  <c r="J3583" i="8"/>
  <c r="J3582" i="8"/>
  <c r="J3581" i="8"/>
  <c r="J3580" i="8"/>
  <c r="H3579" i="8"/>
  <c r="H3595" i="8" s="1"/>
  <c r="D39" i="7" s="1"/>
  <c r="I3577" i="8"/>
  <c r="J3576" i="8"/>
  <c r="J3575" i="8"/>
  <c r="J3574" i="8"/>
  <c r="J3573" i="8"/>
  <c r="J3572" i="8"/>
  <c r="J3571" i="8"/>
  <c r="J3570" i="8"/>
  <c r="J3569" i="8"/>
  <c r="J3568" i="8"/>
  <c r="J3567" i="8"/>
  <c r="J3566" i="8"/>
  <c r="J3565" i="8"/>
  <c r="J3564" i="8"/>
  <c r="J3563" i="8"/>
  <c r="J3562" i="8"/>
  <c r="H3561" i="8"/>
  <c r="H3577" i="8" s="1"/>
  <c r="J3559" i="8"/>
  <c r="J3558" i="8"/>
  <c r="J3557" i="8"/>
  <c r="J3556" i="8"/>
  <c r="J3555" i="8"/>
  <c r="J3554" i="8"/>
  <c r="J3553" i="8"/>
  <c r="J3552" i="8"/>
  <c r="J3551" i="8"/>
  <c r="J3550" i="8"/>
  <c r="J3549" i="8"/>
  <c r="J3548" i="8"/>
  <c r="J3547" i="8"/>
  <c r="J3546" i="8"/>
  <c r="J3545" i="8"/>
  <c r="J3544" i="8"/>
  <c r="J3543" i="8"/>
  <c r="J3542" i="8"/>
  <c r="J3541" i="8"/>
  <c r="J3540" i="8"/>
  <c r="J3539" i="8"/>
  <c r="J3538" i="8"/>
  <c r="J3537" i="8"/>
  <c r="J3536" i="8"/>
  <c r="J3535" i="8"/>
  <c r="J3534" i="8"/>
  <c r="J3533" i="8"/>
  <c r="J3532" i="8"/>
  <c r="J3531" i="8"/>
  <c r="J3530" i="8"/>
  <c r="J3529" i="8"/>
  <c r="J3528" i="8"/>
  <c r="J3527" i="8"/>
  <c r="J3526" i="8"/>
  <c r="J3525" i="8"/>
  <c r="J3524" i="8"/>
  <c r="J3523" i="8"/>
  <c r="J3522" i="8"/>
  <c r="J3521" i="8"/>
  <c r="J3520" i="8"/>
  <c r="J3519" i="8"/>
  <c r="J3518" i="8"/>
  <c r="J3517" i="8"/>
  <c r="J3516" i="8"/>
  <c r="J3515" i="8"/>
  <c r="J3514" i="8"/>
  <c r="J3513" i="8"/>
  <c r="J3512" i="8"/>
  <c r="J3511" i="8"/>
  <c r="J3510" i="8"/>
  <c r="J3509" i="8"/>
  <c r="J3508" i="8"/>
  <c r="J3507" i="8"/>
  <c r="J3506" i="8"/>
  <c r="J3505" i="8"/>
  <c r="J3504" i="8"/>
  <c r="J3503" i="8"/>
  <c r="J3502" i="8"/>
  <c r="J3501" i="8"/>
  <c r="J3500" i="8"/>
  <c r="I3497" i="8"/>
  <c r="J3496" i="8"/>
  <c r="J3495" i="8"/>
  <c r="J3494" i="8"/>
  <c r="J3493" i="8"/>
  <c r="J3492" i="8"/>
  <c r="J3491" i="8"/>
  <c r="J3490" i="8"/>
  <c r="J3489" i="8"/>
  <c r="J3488" i="8"/>
  <c r="J3487" i="8"/>
  <c r="J3486" i="8"/>
  <c r="J3485" i="8"/>
  <c r="J3484" i="8"/>
  <c r="J3483" i="8"/>
  <c r="J3482" i="8"/>
  <c r="H3481" i="8"/>
  <c r="H3497" i="8" s="1"/>
  <c r="D38" i="7" s="1"/>
  <c r="I3479" i="8"/>
  <c r="J3478" i="8"/>
  <c r="J3477" i="8"/>
  <c r="J3476" i="8"/>
  <c r="J3475" i="8"/>
  <c r="J3474" i="8"/>
  <c r="J3473" i="8"/>
  <c r="J3472" i="8"/>
  <c r="J3471" i="8"/>
  <c r="J3470" i="8"/>
  <c r="J3469" i="8"/>
  <c r="J3468" i="8"/>
  <c r="J3467" i="8"/>
  <c r="J3466" i="8"/>
  <c r="J3465" i="8"/>
  <c r="J3464" i="8"/>
  <c r="H3463" i="8"/>
  <c r="H3479" i="8" s="1"/>
  <c r="J3461" i="8"/>
  <c r="J3460" i="8"/>
  <c r="J3459" i="8"/>
  <c r="J3458" i="8"/>
  <c r="J3457" i="8"/>
  <c r="J3456" i="8"/>
  <c r="J3455" i="8"/>
  <c r="J3454" i="8"/>
  <c r="J3453" i="8"/>
  <c r="J3452" i="8"/>
  <c r="J3451" i="8"/>
  <c r="J3450" i="8"/>
  <c r="J3449" i="8"/>
  <c r="J3448" i="8"/>
  <c r="J3447" i="8"/>
  <c r="J3446" i="8"/>
  <c r="J3445" i="8"/>
  <c r="J3444" i="8"/>
  <c r="J3443" i="8"/>
  <c r="J3442" i="8"/>
  <c r="J3441" i="8"/>
  <c r="J3440" i="8"/>
  <c r="J3439" i="8"/>
  <c r="J3438" i="8"/>
  <c r="J3437" i="8"/>
  <c r="J3436" i="8"/>
  <c r="J3435" i="8"/>
  <c r="J3434" i="8"/>
  <c r="J3433" i="8"/>
  <c r="J3432" i="8"/>
  <c r="J3431" i="8"/>
  <c r="J3430" i="8"/>
  <c r="J3429" i="8"/>
  <c r="J3428" i="8"/>
  <c r="J3427" i="8"/>
  <c r="J3426" i="8"/>
  <c r="J3425" i="8"/>
  <c r="J3424" i="8"/>
  <c r="J3423" i="8"/>
  <c r="J3422" i="8"/>
  <c r="J3421" i="8"/>
  <c r="J3420" i="8"/>
  <c r="J3419" i="8"/>
  <c r="J3418" i="8"/>
  <c r="J3417" i="8"/>
  <c r="J3416" i="8"/>
  <c r="J3415" i="8"/>
  <c r="J3414" i="8"/>
  <c r="J3413" i="8"/>
  <c r="J3412" i="8"/>
  <c r="J3411" i="8"/>
  <c r="J3410" i="8"/>
  <c r="J3409" i="8"/>
  <c r="J3408" i="8"/>
  <c r="J3407" i="8"/>
  <c r="J3406" i="8"/>
  <c r="J3405" i="8"/>
  <c r="J3404" i="8"/>
  <c r="J3403" i="8"/>
  <c r="J3402" i="8"/>
  <c r="I3399" i="8"/>
  <c r="J3398" i="8"/>
  <c r="J3397" i="8"/>
  <c r="J3396" i="8"/>
  <c r="J3395" i="8"/>
  <c r="J3394" i="8"/>
  <c r="J3393" i="8"/>
  <c r="J3392" i="8"/>
  <c r="J3391" i="8"/>
  <c r="J3390" i="8"/>
  <c r="J3389" i="8"/>
  <c r="J3388" i="8"/>
  <c r="J3387" i="8"/>
  <c r="J3386" i="8"/>
  <c r="J3385" i="8"/>
  <c r="J3384" i="8"/>
  <c r="H3383" i="8"/>
  <c r="H3399" i="8" s="1"/>
  <c r="D46" i="7" s="1"/>
  <c r="I3381" i="8"/>
  <c r="J3380" i="8"/>
  <c r="J3379" i="8"/>
  <c r="J3378" i="8"/>
  <c r="J3377" i="8"/>
  <c r="J3376" i="8"/>
  <c r="J3375" i="8"/>
  <c r="J3374" i="8"/>
  <c r="J3373" i="8"/>
  <c r="J3372" i="8"/>
  <c r="J3371" i="8"/>
  <c r="J3370" i="8"/>
  <c r="J3369" i="8"/>
  <c r="J3368" i="8"/>
  <c r="J3367" i="8"/>
  <c r="J3366" i="8"/>
  <c r="H3365" i="8"/>
  <c r="H3381" i="8" s="1"/>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J3339" i="8"/>
  <c r="J3338" i="8"/>
  <c r="J3337" i="8"/>
  <c r="J3336" i="8"/>
  <c r="J3335" i="8"/>
  <c r="J3334" i="8"/>
  <c r="J3333" i="8"/>
  <c r="J3332" i="8"/>
  <c r="J3331" i="8"/>
  <c r="J3330" i="8"/>
  <c r="J3329" i="8"/>
  <c r="J3328" i="8"/>
  <c r="J3327" i="8"/>
  <c r="J3326" i="8"/>
  <c r="J3325" i="8"/>
  <c r="J3324" i="8"/>
  <c r="J3323" i="8"/>
  <c r="J3322" i="8"/>
  <c r="J3321" i="8"/>
  <c r="J3320" i="8"/>
  <c r="J3319" i="8"/>
  <c r="J3318" i="8"/>
  <c r="J3317" i="8"/>
  <c r="J3316" i="8"/>
  <c r="J3315" i="8"/>
  <c r="J3314" i="8"/>
  <c r="J3313" i="8"/>
  <c r="J3312" i="8"/>
  <c r="J3311" i="8"/>
  <c r="J3310" i="8"/>
  <c r="J3309" i="8"/>
  <c r="J3308" i="8"/>
  <c r="J3307" i="8"/>
  <c r="J3306" i="8"/>
  <c r="J3305" i="8"/>
  <c r="J3304" i="8"/>
  <c r="I3301" i="8"/>
  <c r="J3300" i="8"/>
  <c r="J3299" i="8"/>
  <c r="J3298" i="8"/>
  <c r="J3297" i="8"/>
  <c r="J3296" i="8"/>
  <c r="J3295" i="8"/>
  <c r="J3294" i="8"/>
  <c r="J3293" i="8"/>
  <c r="J3292" i="8"/>
  <c r="J3291" i="8"/>
  <c r="J3290" i="8"/>
  <c r="J3289" i="8"/>
  <c r="J3288" i="8"/>
  <c r="J3287" i="8"/>
  <c r="J3286" i="8"/>
  <c r="H3301" i="8"/>
  <c r="D44" i="7" s="1"/>
  <c r="I3283" i="8"/>
  <c r="J3282" i="8"/>
  <c r="J3281" i="8"/>
  <c r="J3280" i="8"/>
  <c r="J3279" i="8"/>
  <c r="J3278" i="8"/>
  <c r="J3277" i="8"/>
  <c r="J3276" i="8"/>
  <c r="J3275" i="8"/>
  <c r="J3274" i="8"/>
  <c r="J3273" i="8"/>
  <c r="J3272" i="8"/>
  <c r="J3271" i="8"/>
  <c r="J3270" i="8"/>
  <c r="J3269" i="8"/>
  <c r="J3268" i="8"/>
  <c r="H3283"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J3242" i="8"/>
  <c r="J3241" i="8"/>
  <c r="J3240" i="8"/>
  <c r="J3239" i="8"/>
  <c r="J3238" i="8"/>
  <c r="J3237" i="8"/>
  <c r="J3236" i="8"/>
  <c r="J3235" i="8"/>
  <c r="J3234" i="8"/>
  <c r="J3233" i="8"/>
  <c r="J3232" i="8"/>
  <c r="J3231" i="8"/>
  <c r="J3230" i="8"/>
  <c r="J3229" i="8"/>
  <c r="J3228" i="8"/>
  <c r="J3227" i="8"/>
  <c r="J3226" i="8"/>
  <c r="J3225" i="8"/>
  <c r="J3224" i="8"/>
  <c r="J3223" i="8"/>
  <c r="J3222" i="8"/>
  <c r="J3221" i="8"/>
  <c r="J3220" i="8"/>
  <c r="J3219" i="8"/>
  <c r="J3218" i="8"/>
  <c r="J3217" i="8"/>
  <c r="J3216" i="8"/>
  <c r="J3215" i="8"/>
  <c r="J3214" i="8"/>
  <c r="J3213" i="8"/>
  <c r="J3212" i="8"/>
  <c r="J3211" i="8"/>
  <c r="J3210" i="8"/>
  <c r="J3209" i="8"/>
  <c r="J3208" i="8"/>
  <c r="J3207" i="8"/>
  <c r="J3206" i="8"/>
  <c r="I3203" i="8"/>
  <c r="J3202" i="8"/>
  <c r="J3201" i="8"/>
  <c r="J3200" i="8"/>
  <c r="J3199" i="8"/>
  <c r="J3198" i="8"/>
  <c r="J3197" i="8"/>
  <c r="J3196" i="8"/>
  <c r="J3195" i="8"/>
  <c r="J3194" i="8"/>
  <c r="J3193" i="8"/>
  <c r="J3192" i="8"/>
  <c r="J3191" i="8"/>
  <c r="J3190" i="8"/>
  <c r="J3189" i="8"/>
  <c r="J3188" i="8"/>
  <c r="H3187" i="8"/>
  <c r="H3203" i="8" s="1"/>
  <c r="D40" i="7" s="1"/>
  <c r="I3185" i="8"/>
  <c r="J3184" i="8"/>
  <c r="J3183" i="8"/>
  <c r="J3182" i="8"/>
  <c r="J3181" i="8"/>
  <c r="J3180" i="8"/>
  <c r="J3179" i="8"/>
  <c r="J3178" i="8"/>
  <c r="J3177" i="8"/>
  <c r="J3176" i="8"/>
  <c r="J3175" i="8"/>
  <c r="J3174" i="8"/>
  <c r="J3173" i="8"/>
  <c r="J3172" i="8"/>
  <c r="J3171" i="8"/>
  <c r="J3170" i="8"/>
  <c r="H3169" i="8"/>
  <c r="H3185" i="8" s="1"/>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123" i="8"/>
  <c r="J3122" i="8"/>
  <c r="J3121" i="8"/>
  <c r="J3120" i="8"/>
  <c r="J3118" i="8"/>
  <c r="J3117" i="8"/>
  <c r="J3116" i="8"/>
  <c r="J3115" i="8"/>
  <c r="J3114" i="8"/>
  <c r="J3113" i="8"/>
  <c r="J3112" i="8"/>
  <c r="J3111" i="8"/>
  <c r="J3110" i="8"/>
  <c r="J3109" i="8"/>
  <c r="J3108" i="8"/>
  <c r="G354" i="7" l="1"/>
  <c r="H4304" i="8"/>
  <c r="J6216" i="8"/>
  <c r="J6217" i="8" s="1"/>
  <c r="H4302" i="8"/>
  <c r="D183" i="7" s="1"/>
  <c r="H4085" i="8"/>
  <c r="D45" i="7" s="1"/>
  <c r="H4087" i="8"/>
  <c r="H4104" i="8" s="1"/>
  <c r="H8287" i="8"/>
  <c r="J8290" i="8"/>
  <c r="J8306" i="8" s="1"/>
  <c r="H8306" i="8"/>
  <c r="J7891" i="8"/>
  <c r="J7907" i="8" s="1"/>
  <c r="H7907" i="8"/>
  <c r="J8511" i="8"/>
  <c r="J8527" i="8" s="1"/>
  <c r="H8527" i="8"/>
  <c r="H8530" i="8"/>
  <c r="J6678" i="8"/>
  <c r="J5468" i="8"/>
  <c r="J5484" i="8" s="1"/>
  <c r="J5351" i="8"/>
  <c r="J5367" i="8" s="1"/>
  <c r="J5450" i="8"/>
  <c r="J5466" i="8" s="1"/>
  <c r="J5229" i="8"/>
  <c r="J5245" i="8" s="1"/>
  <c r="H5804" i="8"/>
  <c r="J5569" i="8"/>
  <c r="J5585" i="8" s="1"/>
  <c r="J5587" i="8"/>
  <c r="J5603" i="8" s="1"/>
  <c r="J5668" i="8"/>
  <c r="J5684" i="8" s="1"/>
  <c r="J5686" i="8"/>
  <c r="J5702" i="8" s="1"/>
  <c r="J5767" i="8"/>
  <c r="J5783" i="8" s="1"/>
  <c r="J5785" i="8"/>
  <c r="J5801" i="8" s="1"/>
  <c r="J5369" i="8"/>
  <c r="J5385" i="8" s="1"/>
  <c r="H5487" i="8"/>
  <c r="H5503" i="8" s="1"/>
  <c r="J5159" i="8"/>
  <c r="J5160" i="8" s="1"/>
  <c r="J4817" i="8"/>
  <c r="J4833" i="8" s="1"/>
  <c r="J4916" i="8"/>
  <c r="J4932" i="8" s="1"/>
  <c r="J5027" i="8"/>
  <c r="J5043" i="8" s="1"/>
  <c r="J4799" i="8"/>
  <c r="J4815" i="8" s="1"/>
  <c r="J4898" i="8"/>
  <c r="J4914" i="8" s="1"/>
  <c r="J5009" i="8"/>
  <c r="J5025" i="8" s="1"/>
  <c r="J5247" i="8"/>
  <c r="J5263" i="8" s="1"/>
  <c r="J5052" i="8"/>
  <c r="J5053" i="8" s="1"/>
  <c r="H5053" i="8"/>
  <c r="H5163" i="8"/>
  <c r="D355" i="7" s="1"/>
  <c r="G355" i="7" s="1"/>
  <c r="J5162" i="8"/>
  <c r="J5163" i="8" s="1"/>
  <c r="J5049" i="8"/>
  <c r="J5050" i="8" s="1"/>
  <c r="J5119" i="8"/>
  <c r="J5135" i="8" s="1"/>
  <c r="J5137" i="8"/>
  <c r="J5153" i="8" s="1"/>
  <c r="J4717" i="8"/>
  <c r="J4733" i="8" s="1"/>
  <c r="J4405" i="8"/>
  <c r="J4421" i="8" s="1"/>
  <c r="H4421" i="8"/>
  <c r="J4681" i="8"/>
  <c r="J4697" i="8" s="1"/>
  <c r="J4699" i="8"/>
  <c r="J4715" i="8" s="1"/>
  <c r="J4583" i="8"/>
  <c r="J4599" i="8" s="1"/>
  <c r="J4601" i="8"/>
  <c r="J4617" i="8" s="1"/>
  <c r="J4485" i="8"/>
  <c r="J4501" i="8" s="1"/>
  <c r="J4503" i="8"/>
  <c r="J4519" i="8" s="1"/>
  <c r="J4268" i="8"/>
  <c r="J4284" i="8" s="1"/>
  <c r="J4387" i="8"/>
  <c r="J4403" i="8" s="1"/>
  <c r="J4286" i="8"/>
  <c r="J4302" i="8" s="1"/>
  <c r="J4170" i="8"/>
  <c r="J4186" i="8" s="1"/>
  <c r="J4188" i="8"/>
  <c r="J4204" i="8" s="1"/>
  <c r="J3169" i="8"/>
  <c r="J3185" i="8" s="1"/>
  <c r="J3659" i="8"/>
  <c r="J3675" i="8" s="1"/>
  <c r="J4069" i="8"/>
  <c r="J4085" i="8" s="1"/>
  <c r="J4051" i="8"/>
  <c r="J4067" i="8" s="1"/>
  <c r="J3855" i="8"/>
  <c r="J3871" i="8" s="1"/>
  <c r="J3873" i="8"/>
  <c r="J3889" i="8" s="1"/>
  <c r="J3677" i="8"/>
  <c r="J3693" i="8" s="1"/>
  <c r="J3579" i="8"/>
  <c r="J3595" i="8" s="1"/>
  <c r="J3561" i="8"/>
  <c r="J3577" i="8" s="1"/>
  <c r="J3953" i="8"/>
  <c r="J3969" i="8" s="1"/>
  <c r="J3971" i="8"/>
  <c r="J3987" i="8" s="1"/>
  <c r="J3757" i="8"/>
  <c r="J3773" i="8" s="1"/>
  <c r="J3775" i="8"/>
  <c r="J3791" i="8" s="1"/>
  <c r="J3463" i="8"/>
  <c r="J3479" i="8" s="1"/>
  <c r="J3481" i="8"/>
  <c r="J3497" i="8" s="1"/>
  <c r="J3365" i="8"/>
  <c r="J3381" i="8" s="1"/>
  <c r="J3383" i="8"/>
  <c r="J3399" i="8" s="1"/>
  <c r="J3267" i="8"/>
  <c r="J3283" i="8" s="1"/>
  <c r="J3285" i="8"/>
  <c r="J3301" i="8" s="1"/>
  <c r="J3187" i="8"/>
  <c r="J3203" i="8" s="1"/>
  <c r="I3081" i="8"/>
  <c r="I3084" i="8" s="1"/>
  <c r="J3080" i="8"/>
  <c r="J3079" i="8"/>
  <c r="J3078" i="8"/>
  <c r="J3077" i="8"/>
  <c r="J3076" i="8"/>
  <c r="J3075" i="8"/>
  <c r="J3074" i="8"/>
  <c r="J3073" i="8"/>
  <c r="J3072" i="8"/>
  <c r="J3071" i="8"/>
  <c r="J3070" i="8"/>
  <c r="J3069" i="8"/>
  <c r="J3068" i="8"/>
  <c r="J3067" i="8"/>
  <c r="J3066" i="8"/>
  <c r="H3081" i="8"/>
  <c r="H3083" i="8" s="1"/>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I3022" i="8"/>
  <c r="I3025" i="8" s="1"/>
  <c r="J3021" i="8"/>
  <c r="J3020" i="8"/>
  <c r="J3019" i="8"/>
  <c r="J3018" i="8"/>
  <c r="J3017" i="8"/>
  <c r="J3016" i="8"/>
  <c r="J3015" i="8"/>
  <c r="J3014" i="8"/>
  <c r="J3013" i="8"/>
  <c r="J3012" i="8"/>
  <c r="J3011" i="8"/>
  <c r="J3010" i="8"/>
  <c r="J3009" i="8"/>
  <c r="J3008" i="8"/>
  <c r="J3007" i="8"/>
  <c r="H3022" i="8"/>
  <c r="H3024" i="8" s="1"/>
  <c r="J3004" i="8"/>
  <c r="J3003" i="8"/>
  <c r="J3002" i="8"/>
  <c r="J3001" i="8"/>
  <c r="J3000" i="8"/>
  <c r="J2999" i="8"/>
  <c r="J2998" i="8"/>
  <c r="J2997" i="8"/>
  <c r="J2996" i="8"/>
  <c r="J2995" i="8"/>
  <c r="J2994" i="8"/>
  <c r="J2993" i="8"/>
  <c r="J2992" i="8"/>
  <c r="J2991" i="8"/>
  <c r="J2990" i="8"/>
  <c r="J2989" i="8"/>
  <c r="J2988" i="8"/>
  <c r="J2987" i="8"/>
  <c r="J2986" i="8"/>
  <c r="J2985" i="8"/>
  <c r="J2984" i="8"/>
  <c r="J2983" i="8"/>
  <c r="J2982" i="8"/>
  <c r="J2981" i="8"/>
  <c r="J2980" i="8"/>
  <c r="J2979" i="8"/>
  <c r="J2978" i="8"/>
  <c r="J2977" i="8"/>
  <c r="J2976" i="8"/>
  <c r="J2975" i="8"/>
  <c r="J2974" i="8"/>
  <c r="J2973" i="8"/>
  <c r="J2972" i="8"/>
  <c r="J2971" i="8"/>
  <c r="J2970" i="8"/>
  <c r="J2969" i="8"/>
  <c r="I2963" i="8"/>
  <c r="I2966" i="8" s="1"/>
  <c r="J2962" i="8"/>
  <c r="J2961" i="8"/>
  <c r="J2960" i="8"/>
  <c r="J2959" i="8"/>
  <c r="J2958" i="8"/>
  <c r="J2957" i="8"/>
  <c r="J2956" i="8"/>
  <c r="J2955" i="8"/>
  <c r="J2954" i="8"/>
  <c r="J2953" i="8"/>
  <c r="J2952" i="8"/>
  <c r="J2951" i="8"/>
  <c r="J2950" i="8"/>
  <c r="J2949" i="8"/>
  <c r="J2948" i="8"/>
  <c r="H2947" i="8"/>
  <c r="H2963" i="8" s="1"/>
  <c r="H2965" i="8" s="1"/>
  <c r="J2945" i="8"/>
  <c r="J2944" i="8"/>
  <c r="J2943" i="8"/>
  <c r="J2942" i="8"/>
  <c r="J2941" i="8"/>
  <c r="J2940" i="8"/>
  <c r="J2939" i="8"/>
  <c r="J2938" i="8"/>
  <c r="J2937" i="8"/>
  <c r="J2936" i="8"/>
  <c r="J2935" i="8"/>
  <c r="J2934" i="8"/>
  <c r="J2933" i="8"/>
  <c r="J2932" i="8"/>
  <c r="J2931" i="8"/>
  <c r="J2930" i="8"/>
  <c r="J2929" i="8"/>
  <c r="J2928" i="8"/>
  <c r="J2927" i="8"/>
  <c r="J2926" i="8"/>
  <c r="J2925" i="8"/>
  <c r="J2924" i="8"/>
  <c r="J2923" i="8"/>
  <c r="J2922" i="8"/>
  <c r="J2921" i="8"/>
  <c r="J2920" i="8"/>
  <c r="J2919" i="8"/>
  <c r="J2918" i="8"/>
  <c r="J2917" i="8"/>
  <c r="J2916" i="8"/>
  <c r="J2915" i="8"/>
  <c r="J2914" i="8"/>
  <c r="J2913" i="8"/>
  <c r="J2912" i="8"/>
  <c r="J2911" i="8"/>
  <c r="J2910" i="8"/>
  <c r="J4087" i="8" l="1"/>
  <c r="J4104" i="8" s="1"/>
  <c r="J4304" i="8"/>
  <c r="J4321" i="8" s="1"/>
  <c r="H4321" i="8"/>
  <c r="J8530" i="8"/>
  <c r="J8546" i="8" s="1"/>
  <c r="H8546" i="8"/>
  <c r="J5487" i="8"/>
  <c r="J5503" i="8" s="1"/>
  <c r="H5820" i="8"/>
  <c r="J5804" i="8"/>
  <c r="J5820" i="8" s="1"/>
  <c r="H5269" i="8"/>
  <c r="H5285" i="8"/>
  <c r="J5269" i="8"/>
  <c r="J5285" i="8" s="1"/>
  <c r="J3083" i="8"/>
  <c r="H3084" i="8"/>
  <c r="J3065" i="8"/>
  <c r="J3081" i="8" s="1"/>
  <c r="J3024" i="8"/>
  <c r="H3025" i="8"/>
  <c r="J3006" i="8"/>
  <c r="J3022" i="8" s="1"/>
  <c r="J2965" i="8"/>
  <c r="H2966" i="8"/>
  <c r="J2966" i="8" s="1"/>
  <c r="J2947" i="8"/>
  <c r="J2963" i="8" s="1"/>
  <c r="I2904" i="8"/>
  <c r="I2907" i="8" s="1"/>
  <c r="J2903" i="8"/>
  <c r="J2902" i="8"/>
  <c r="J2901" i="8"/>
  <c r="J2900" i="8"/>
  <c r="J2899" i="8"/>
  <c r="J2898" i="8"/>
  <c r="J2897" i="8"/>
  <c r="J2896" i="8"/>
  <c r="J2895" i="8"/>
  <c r="J2894" i="8"/>
  <c r="J2893" i="8"/>
  <c r="J2892" i="8"/>
  <c r="J2891" i="8"/>
  <c r="J2890" i="8"/>
  <c r="J2889" i="8"/>
  <c r="H2888" i="8"/>
  <c r="H2904" i="8" s="1"/>
  <c r="H2906" i="8" s="1"/>
  <c r="H3086" i="8" s="1"/>
  <c r="J2886" i="8"/>
  <c r="J2885" i="8"/>
  <c r="J2884" i="8"/>
  <c r="J2883" i="8"/>
  <c r="J2882" i="8"/>
  <c r="J2881" i="8"/>
  <c r="J2880" i="8"/>
  <c r="J2879" i="8"/>
  <c r="J2878" i="8"/>
  <c r="J2877" i="8"/>
  <c r="J2876" i="8"/>
  <c r="J2875" i="8"/>
  <c r="J2874" i="8"/>
  <c r="J2873" i="8"/>
  <c r="J2872" i="8"/>
  <c r="J2871" i="8"/>
  <c r="J2870" i="8"/>
  <c r="J2869" i="8"/>
  <c r="J2868" i="8"/>
  <c r="J2867" i="8"/>
  <c r="J2866" i="8"/>
  <c r="J2865" i="8"/>
  <c r="J2864" i="8"/>
  <c r="J2863" i="8"/>
  <c r="J2862" i="8"/>
  <c r="J2861" i="8"/>
  <c r="J2860" i="8"/>
  <c r="J2859" i="8"/>
  <c r="J2858" i="8"/>
  <c r="J2857" i="8"/>
  <c r="J2856" i="8"/>
  <c r="J2855" i="8"/>
  <c r="J2854" i="8"/>
  <c r="J2853" i="8"/>
  <c r="J2852" i="8"/>
  <c r="J2851" i="8"/>
  <c r="H2841" i="8"/>
  <c r="J2844" i="8"/>
  <c r="J2843" i="8"/>
  <c r="J2842" i="8"/>
  <c r="J2840" i="8"/>
  <c r="J2839" i="8"/>
  <c r="J2838" i="8"/>
  <c r="J2837" i="8"/>
  <c r="J2836" i="8"/>
  <c r="J2835" i="8"/>
  <c r="J2834" i="8"/>
  <c r="J2833" i="8"/>
  <c r="J2832" i="8"/>
  <c r="J2831" i="8"/>
  <c r="J2830" i="8"/>
  <c r="J2776" i="8"/>
  <c r="I2827" i="8"/>
  <c r="J2826" i="8"/>
  <c r="J2825" i="8"/>
  <c r="J2824" i="8"/>
  <c r="J2823" i="8"/>
  <c r="J2822" i="8"/>
  <c r="J2821" i="8"/>
  <c r="J2820" i="8"/>
  <c r="J2819" i="8"/>
  <c r="J2818" i="8"/>
  <c r="J2817" i="8"/>
  <c r="J2816" i="8"/>
  <c r="J2815" i="8"/>
  <c r="J2814" i="8"/>
  <c r="J2813" i="8"/>
  <c r="J2812" i="8"/>
  <c r="H2827" i="8"/>
  <c r="I2809" i="8"/>
  <c r="J2808" i="8"/>
  <c r="J2807" i="8"/>
  <c r="J2806" i="8"/>
  <c r="J2805" i="8"/>
  <c r="J2804" i="8"/>
  <c r="J2803" i="8"/>
  <c r="J2802" i="8"/>
  <c r="J2801" i="8"/>
  <c r="J2800" i="8"/>
  <c r="J2799" i="8"/>
  <c r="J2798" i="8"/>
  <c r="J2797" i="8"/>
  <c r="J2796" i="8"/>
  <c r="J2795" i="8"/>
  <c r="J2794" i="8"/>
  <c r="H2809" i="8"/>
  <c r="J2791" i="8"/>
  <c r="J2790" i="8"/>
  <c r="J2789" i="8"/>
  <c r="J2788" i="8"/>
  <c r="J2787" i="8"/>
  <c r="J2786" i="8"/>
  <c r="J2785" i="8"/>
  <c r="J2784" i="8"/>
  <c r="J2783" i="8"/>
  <c r="J2782" i="8"/>
  <c r="J2781" i="8"/>
  <c r="J2780" i="8"/>
  <c r="J2779" i="8"/>
  <c r="J2778" i="8"/>
  <c r="J2777" i="8"/>
  <c r="J2775" i="8"/>
  <c r="J2774" i="8"/>
  <c r="J2773" i="8"/>
  <c r="J2772" i="8"/>
  <c r="J2771"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I2728" i="8"/>
  <c r="J2727" i="8"/>
  <c r="J2726" i="8"/>
  <c r="J2725" i="8"/>
  <c r="J2724" i="8"/>
  <c r="J2723" i="8"/>
  <c r="J2722" i="8"/>
  <c r="J2721" i="8"/>
  <c r="J2720" i="8"/>
  <c r="J2719" i="8"/>
  <c r="J2718" i="8"/>
  <c r="J2717" i="8"/>
  <c r="J2716" i="8"/>
  <c r="J2715" i="8"/>
  <c r="J2714" i="8"/>
  <c r="J2713" i="8"/>
  <c r="H2728" i="8"/>
  <c r="I2710" i="8"/>
  <c r="J2709" i="8"/>
  <c r="J2708" i="8"/>
  <c r="J2707" i="8"/>
  <c r="J2706" i="8"/>
  <c r="J2705" i="8"/>
  <c r="J2704" i="8"/>
  <c r="J2703" i="8"/>
  <c r="J2702" i="8"/>
  <c r="J2701" i="8"/>
  <c r="J2700" i="8"/>
  <c r="J2699" i="8"/>
  <c r="J2698" i="8"/>
  <c r="J2697" i="8"/>
  <c r="J2696" i="8"/>
  <c r="J2695" i="8"/>
  <c r="H2710" i="8"/>
  <c r="J2692" i="8"/>
  <c r="J2691" i="8"/>
  <c r="J2690" i="8"/>
  <c r="J2689" i="8"/>
  <c r="J2688" i="8"/>
  <c r="J2687" i="8"/>
  <c r="J2686" i="8"/>
  <c r="J2685" i="8"/>
  <c r="J2684" i="8"/>
  <c r="J2683" i="8"/>
  <c r="J2682" i="8"/>
  <c r="J2681" i="8"/>
  <c r="J2680" i="8"/>
  <c r="J2679" i="8"/>
  <c r="J2678" i="8"/>
  <c r="J2677" i="8"/>
  <c r="J2676" i="8"/>
  <c r="J2675" i="8"/>
  <c r="J2674" i="8"/>
  <c r="J2673" i="8"/>
  <c r="J2672" i="8"/>
  <c r="J2671" i="8"/>
  <c r="J2670" i="8"/>
  <c r="J2669" i="8"/>
  <c r="J2668" i="8"/>
  <c r="J2667" i="8"/>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I2512" i="8"/>
  <c r="F35" i="7" s="1"/>
  <c r="J2511" i="8"/>
  <c r="J2510" i="8"/>
  <c r="J2509" i="8"/>
  <c r="J2508" i="8"/>
  <c r="J2507" i="8"/>
  <c r="J2506" i="8"/>
  <c r="J2505" i="8"/>
  <c r="J2504" i="8"/>
  <c r="J2503" i="8"/>
  <c r="J2502" i="8"/>
  <c r="J2501" i="8"/>
  <c r="J2500" i="8"/>
  <c r="J2499" i="8"/>
  <c r="J2498" i="8"/>
  <c r="J2497" i="8"/>
  <c r="H2496" i="8"/>
  <c r="H2512" i="8" s="1"/>
  <c r="D35" i="7" s="1"/>
  <c r="I2494" i="8"/>
  <c r="J2493" i="8"/>
  <c r="J2492" i="8"/>
  <c r="J2491" i="8"/>
  <c r="J2490" i="8"/>
  <c r="J2489" i="8"/>
  <c r="J2488" i="8"/>
  <c r="J2487" i="8"/>
  <c r="J2486" i="8"/>
  <c r="J2485" i="8"/>
  <c r="J2484" i="8"/>
  <c r="J2483" i="8"/>
  <c r="J2482" i="8"/>
  <c r="J2481" i="8"/>
  <c r="J2480" i="8"/>
  <c r="J2479" i="8"/>
  <c r="H2478" i="8"/>
  <c r="H2494" i="8" s="1"/>
  <c r="J2476" i="8"/>
  <c r="J2475" i="8"/>
  <c r="J2474" i="8"/>
  <c r="J2473" i="8"/>
  <c r="J2472" i="8"/>
  <c r="J2471" i="8"/>
  <c r="J2470" i="8"/>
  <c r="J2469" i="8"/>
  <c r="J2468" i="8"/>
  <c r="J2467" i="8"/>
  <c r="J2466" i="8"/>
  <c r="J2465" i="8"/>
  <c r="J2464" i="8"/>
  <c r="J2463" i="8"/>
  <c r="J2462" i="8"/>
  <c r="J2461" i="8"/>
  <c r="J2460" i="8"/>
  <c r="J2459" i="8"/>
  <c r="J2458" i="8"/>
  <c r="J2457" i="8"/>
  <c r="J2456" i="8"/>
  <c r="J2455" i="8"/>
  <c r="J2454" i="8"/>
  <c r="J2453" i="8"/>
  <c r="J2452" i="8"/>
  <c r="J2451" i="8"/>
  <c r="J2450" i="8"/>
  <c r="J2449" i="8"/>
  <c r="J2448" i="8"/>
  <c r="J2447" i="8"/>
  <c r="J2446" i="8"/>
  <c r="J2445" i="8"/>
  <c r="J2444" i="8"/>
  <c r="J2443" i="8"/>
  <c r="J2442" i="8"/>
  <c r="J2441" i="8"/>
  <c r="J2440" i="8"/>
  <c r="J2439" i="8"/>
  <c r="J2438" i="8"/>
  <c r="J2437" i="8"/>
  <c r="J2436" i="8"/>
  <c r="J2435" i="8"/>
  <c r="J2434" i="8"/>
  <c r="J2433" i="8"/>
  <c r="J2432" i="8"/>
  <c r="J2431" i="8"/>
  <c r="J2430" i="8"/>
  <c r="J2429" i="8"/>
  <c r="J2428" i="8"/>
  <c r="J2427" i="8"/>
  <c r="J2426" i="8"/>
  <c r="J2425" i="8"/>
  <c r="J2424" i="8"/>
  <c r="J2423" i="8"/>
  <c r="J2422" i="8"/>
  <c r="J2421" i="8"/>
  <c r="J2420" i="8"/>
  <c r="J2419" i="8"/>
  <c r="J2418" i="8"/>
  <c r="J2417" i="8"/>
  <c r="H6232" i="8" l="1"/>
  <c r="H14819" i="8" s="1"/>
  <c r="J3084" i="8"/>
  <c r="D425" i="7"/>
  <c r="J3025" i="8"/>
  <c r="D424" i="7"/>
  <c r="J2841" i="8"/>
  <c r="J3086" i="8"/>
  <c r="J3103" i="8" s="1"/>
  <c r="H3103" i="8"/>
  <c r="I2846" i="8"/>
  <c r="J2906" i="8"/>
  <c r="H2907" i="8"/>
  <c r="J2907" i="8" s="1"/>
  <c r="J2888" i="8"/>
  <c r="J2904" i="8" s="1"/>
  <c r="H2829" i="8"/>
  <c r="H2846" i="8" s="1"/>
  <c r="J2793" i="8"/>
  <c r="J2809" i="8" s="1"/>
  <c r="J2811" i="8"/>
  <c r="J2827" i="8" s="1"/>
  <c r="J2694" i="8"/>
  <c r="J2710" i="8" s="1"/>
  <c r="J2712" i="8"/>
  <c r="J2728" i="8" s="1"/>
  <c r="J2478" i="8"/>
  <c r="J2494" i="8" s="1"/>
  <c r="J2496" i="8"/>
  <c r="J2512" i="8" s="1"/>
  <c r="I2414" i="8"/>
  <c r="J2413" i="8"/>
  <c r="J2412" i="8"/>
  <c r="J2411" i="8"/>
  <c r="J2410" i="8"/>
  <c r="J2409" i="8"/>
  <c r="J2408" i="8"/>
  <c r="J2407" i="8"/>
  <c r="J2406" i="8"/>
  <c r="J2405" i="8"/>
  <c r="J2404" i="8"/>
  <c r="J2403" i="8"/>
  <c r="J2402" i="8"/>
  <c r="J2401" i="8"/>
  <c r="J2400" i="8"/>
  <c r="J2399" i="8"/>
  <c r="J2398" i="8"/>
  <c r="I2396" i="8"/>
  <c r="J2395" i="8"/>
  <c r="J2394" i="8"/>
  <c r="J2393" i="8"/>
  <c r="J2392" i="8"/>
  <c r="J2391" i="8"/>
  <c r="J2390" i="8"/>
  <c r="J2389" i="8"/>
  <c r="J2388" i="8"/>
  <c r="J2387" i="8"/>
  <c r="J2386" i="8"/>
  <c r="J2385" i="8"/>
  <c r="J2384" i="8"/>
  <c r="J2383" i="8"/>
  <c r="J2382" i="8"/>
  <c r="J2381"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J2349" i="8"/>
  <c r="J2348" i="8"/>
  <c r="J2347" i="8"/>
  <c r="J2346" i="8"/>
  <c r="J2345" i="8"/>
  <c r="J2344" i="8"/>
  <c r="J2343" i="8"/>
  <c r="J2342" i="8"/>
  <c r="J2341" i="8"/>
  <c r="J2340" i="8"/>
  <c r="J2339" i="8"/>
  <c r="J2338" i="8"/>
  <c r="J2337" i="8"/>
  <c r="J2336" i="8"/>
  <c r="J2335" i="8"/>
  <c r="J2334" i="8"/>
  <c r="J2333" i="8"/>
  <c r="J2332" i="8"/>
  <c r="J2331" i="8"/>
  <c r="J2330" i="8"/>
  <c r="J2329" i="8"/>
  <c r="J2328" i="8"/>
  <c r="J2327" i="8"/>
  <c r="J2326" i="8"/>
  <c r="J2325" i="8"/>
  <c r="J2324" i="8"/>
  <c r="J2323" i="8"/>
  <c r="J2322" i="8"/>
  <c r="J2321" i="8"/>
  <c r="J2320" i="8"/>
  <c r="J2319" i="8"/>
  <c r="F548" i="7"/>
  <c r="H1339" i="8"/>
  <c r="H1357" i="8" s="1"/>
  <c r="H1373" i="8" s="1"/>
  <c r="D551" i="7" s="1"/>
  <c r="I1373" i="8"/>
  <c r="J1372" i="8"/>
  <c r="J1371" i="8"/>
  <c r="J1370" i="8"/>
  <c r="J1369" i="8"/>
  <c r="J1368" i="8"/>
  <c r="J1367" i="8"/>
  <c r="J1366" i="8"/>
  <c r="J1365" i="8"/>
  <c r="J1364" i="8"/>
  <c r="J1363" i="8"/>
  <c r="J1362" i="8"/>
  <c r="J1361" i="8"/>
  <c r="J1360" i="8"/>
  <c r="J1359" i="8"/>
  <c r="J1358" i="8"/>
  <c r="I1355" i="8"/>
  <c r="H1355" i="8"/>
  <c r="J1354" i="8"/>
  <c r="J1353" i="8"/>
  <c r="J1352" i="8"/>
  <c r="J1351" i="8"/>
  <c r="J1350" i="8"/>
  <c r="J1349" i="8"/>
  <c r="J1348" i="8"/>
  <c r="J1347" i="8"/>
  <c r="J1346" i="8"/>
  <c r="J1345" i="8"/>
  <c r="J1344" i="8"/>
  <c r="J1343" i="8"/>
  <c r="J1342" i="8"/>
  <c r="J1341" i="8"/>
  <c r="J1340" i="8"/>
  <c r="J1339"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I1275" i="8"/>
  <c r="H1275" i="8"/>
  <c r="J1274" i="8"/>
  <c r="J1273" i="8"/>
  <c r="J1272" i="8"/>
  <c r="J1271" i="8"/>
  <c r="J1270" i="8"/>
  <c r="J1269" i="8"/>
  <c r="J1268" i="8"/>
  <c r="J1267" i="8"/>
  <c r="J1266" i="8"/>
  <c r="J1265" i="8"/>
  <c r="J1264" i="8"/>
  <c r="J1263" i="8"/>
  <c r="J1262" i="8"/>
  <c r="J1261" i="8"/>
  <c r="J1260" i="8"/>
  <c r="J1259" i="8"/>
  <c r="I1257" i="8"/>
  <c r="H1257" i="8"/>
  <c r="J1256" i="8"/>
  <c r="J1255" i="8"/>
  <c r="J1254" i="8"/>
  <c r="J1253" i="8"/>
  <c r="J1252" i="8"/>
  <c r="J1251" i="8"/>
  <c r="J1250" i="8"/>
  <c r="J1249" i="8"/>
  <c r="J1248" i="8"/>
  <c r="J1247" i="8"/>
  <c r="J1246" i="8"/>
  <c r="J1245" i="8"/>
  <c r="J1244" i="8"/>
  <c r="J1243" i="8"/>
  <c r="J1242" i="8"/>
  <c r="J1241"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I1177" i="8"/>
  <c r="J1176" i="8"/>
  <c r="J1175" i="8"/>
  <c r="J1174" i="8"/>
  <c r="J1173" i="8"/>
  <c r="J1172" i="8"/>
  <c r="J1171" i="8"/>
  <c r="J1170" i="8"/>
  <c r="J1169" i="8"/>
  <c r="J1168" i="8"/>
  <c r="J1167" i="8"/>
  <c r="J1166" i="8"/>
  <c r="J1165" i="8"/>
  <c r="J1164" i="8"/>
  <c r="J1163" i="8"/>
  <c r="J1162" i="8"/>
  <c r="H1177" i="8"/>
  <c r="I1159" i="8"/>
  <c r="J1158" i="8"/>
  <c r="J1157" i="8"/>
  <c r="J1156" i="8"/>
  <c r="J1155" i="8"/>
  <c r="J1154" i="8"/>
  <c r="J1153" i="8"/>
  <c r="J1152" i="8"/>
  <c r="J1151" i="8"/>
  <c r="J1150" i="8"/>
  <c r="J1149" i="8"/>
  <c r="J1148" i="8"/>
  <c r="J1147" i="8"/>
  <c r="J1146" i="8"/>
  <c r="J1145" i="8"/>
  <c r="J1144" i="8"/>
  <c r="H1159"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H2109" i="8"/>
  <c r="H2125" i="8" s="1"/>
  <c r="I2143" i="8"/>
  <c r="J2142" i="8"/>
  <c r="J2141" i="8"/>
  <c r="J2140" i="8"/>
  <c r="J2139" i="8"/>
  <c r="J2138" i="8"/>
  <c r="J2137" i="8"/>
  <c r="J2136" i="8"/>
  <c r="J2135" i="8"/>
  <c r="J2134" i="8"/>
  <c r="J2133" i="8"/>
  <c r="J2132" i="8"/>
  <c r="J2131" i="8"/>
  <c r="J2130" i="8"/>
  <c r="J2129" i="8"/>
  <c r="J2128" i="8"/>
  <c r="H2127" i="8"/>
  <c r="H2143" i="8" s="1"/>
  <c r="D548" i="7" s="1"/>
  <c r="I2125" i="8"/>
  <c r="J2124" i="8"/>
  <c r="J2123" i="8"/>
  <c r="J2122" i="8"/>
  <c r="J2121" i="8"/>
  <c r="J2120" i="8"/>
  <c r="J2119" i="8"/>
  <c r="J2118" i="8"/>
  <c r="J2117" i="8"/>
  <c r="J2116" i="8"/>
  <c r="J2115" i="8"/>
  <c r="J2114" i="8"/>
  <c r="J2113" i="8"/>
  <c r="J2112" i="8"/>
  <c r="J2111" i="8"/>
  <c r="J2110"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J2063" i="8"/>
  <c r="J2062" i="8"/>
  <c r="J2061" i="8"/>
  <c r="J2060" i="8"/>
  <c r="J2059" i="8"/>
  <c r="J2058" i="8"/>
  <c r="J2057" i="8"/>
  <c r="J2056" i="8"/>
  <c r="J2055" i="8"/>
  <c r="J2054" i="8"/>
  <c r="J2053" i="8"/>
  <c r="J2052" i="8"/>
  <c r="J2051" i="8"/>
  <c r="J2050" i="8"/>
  <c r="J2049" i="8"/>
  <c r="J2048" i="8"/>
  <c r="H2011" i="8"/>
  <c r="I2045" i="8"/>
  <c r="J2044" i="8"/>
  <c r="J2043" i="8"/>
  <c r="J2042" i="8"/>
  <c r="J2041" i="8"/>
  <c r="J2040" i="8"/>
  <c r="J2039" i="8"/>
  <c r="J2038" i="8"/>
  <c r="J2037" i="8"/>
  <c r="J2036" i="8"/>
  <c r="J2035" i="8"/>
  <c r="J2034" i="8"/>
  <c r="J2033" i="8"/>
  <c r="J2032" i="8"/>
  <c r="J2031" i="8"/>
  <c r="J2030" i="8"/>
  <c r="H2029" i="8"/>
  <c r="H2045" i="8" s="1"/>
  <c r="I2027" i="8"/>
  <c r="J2026" i="8"/>
  <c r="J2025" i="8"/>
  <c r="J2024" i="8"/>
  <c r="J2023" i="8"/>
  <c r="J2022" i="8"/>
  <c r="J2021" i="8"/>
  <c r="J2020" i="8"/>
  <c r="J2019" i="8"/>
  <c r="J2018" i="8"/>
  <c r="J2017" i="8"/>
  <c r="J2016" i="8"/>
  <c r="J2015" i="8"/>
  <c r="J2014" i="8"/>
  <c r="J2013" i="8"/>
  <c r="J2012" i="8"/>
  <c r="H2027"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J1965" i="8"/>
  <c r="J1964" i="8"/>
  <c r="J1963" i="8"/>
  <c r="J1962" i="8"/>
  <c r="J1961" i="8"/>
  <c r="J1960" i="8"/>
  <c r="J1959" i="8"/>
  <c r="J1958" i="8"/>
  <c r="J1957" i="8"/>
  <c r="J1956" i="8"/>
  <c r="J1955" i="8"/>
  <c r="J1954" i="8"/>
  <c r="J1953" i="8"/>
  <c r="J1952" i="8"/>
  <c r="J1951" i="8"/>
  <c r="J1950" i="8"/>
  <c r="I1864" i="8"/>
  <c r="J1863" i="8"/>
  <c r="J1862" i="8"/>
  <c r="J1861" i="8"/>
  <c r="J1860" i="8"/>
  <c r="J1859" i="8"/>
  <c r="J1858" i="8"/>
  <c r="J1857" i="8"/>
  <c r="J1856" i="8"/>
  <c r="J1855" i="8"/>
  <c r="J1854" i="8"/>
  <c r="J1853" i="8"/>
  <c r="J1852" i="8"/>
  <c r="J1851" i="8"/>
  <c r="J1850" i="8"/>
  <c r="J1849" i="8"/>
  <c r="H1848" i="8"/>
  <c r="H1864" i="8" s="1"/>
  <c r="I1846" i="8"/>
  <c r="J1845" i="8"/>
  <c r="J1844" i="8"/>
  <c r="J1843" i="8"/>
  <c r="J1842" i="8"/>
  <c r="J1841" i="8"/>
  <c r="J1840" i="8"/>
  <c r="J1839" i="8"/>
  <c r="J1838" i="8"/>
  <c r="J1837" i="8"/>
  <c r="J1836" i="8"/>
  <c r="J1835" i="8"/>
  <c r="J1834" i="8"/>
  <c r="J1833" i="8"/>
  <c r="J1832" i="8"/>
  <c r="J1831" i="8"/>
  <c r="H1846" i="8"/>
  <c r="J1828" i="8"/>
  <c r="J1827" i="8"/>
  <c r="J1826" i="8"/>
  <c r="J1825" i="8"/>
  <c r="J1824" i="8"/>
  <c r="J1823"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8" i="8"/>
  <c r="J1787" i="8"/>
  <c r="J1786" i="8"/>
  <c r="J1785" i="8"/>
  <c r="J1784" i="8"/>
  <c r="J1783" i="8"/>
  <c r="J1782" i="8"/>
  <c r="J1781" i="8"/>
  <c r="J1780" i="8"/>
  <c r="J1779" i="8"/>
  <c r="J1778" i="8"/>
  <c r="J1777" i="8"/>
  <c r="J1776" i="8"/>
  <c r="J1775" i="8"/>
  <c r="J1774" i="8"/>
  <c r="J1773" i="8"/>
  <c r="J1772" i="8"/>
  <c r="J1771" i="8"/>
  <c r="J1770" i="8"/>
  <c r="J1769" i="8"/>
  <c r="H1732" i="8"/>
  <c r="H1748" i="8" s="1"/>
  <c r="H1634" i="8"/>
  <c r="H1650" i="8" s="1"/>
  <c r="J1583" i="8"/>
  <c r="I1766" i="8"/>
  <c r="J1765" i="8"/>
  <c r="J1764" i="8"/>
  <c r="J1763" i="8"/>
  <c r="J1762" i="8"/>
  <c r="J1761" i="8"/>
  <c r="J1760" i="8"/>
  <c r="J1759" i="8"/>
  <c r="J1758" i="8"/>
  <c r="J1757" i="8"/>
  <c r="J1756" i="8"/>
  <c r="J1755" i="8"/>
  <c r="J1754" i="8"/>
  <c r="J1753" i="8"/>
  <c r="J1752" i="8"/>
  <c r="J1751" i="8"/>
  <c r="H1750" i="8"/>
  <c r="H1766" i="8" s="1"/>
  <c r="I1748" i="8"/>
  <c r="J1747" i="8"/>
  <c r="J1746" i="8"/>
  <c r="J1745" i="8"/>
  <c r="J1744" i="8"/>
  <c r="J1743" i="8"/>
  <c r="J1742" i="8"/>
  <c r="J1741" i="8"/>
  <c r="J1740" i="8"/>
  <c r="J1739" i="8"/>
  <c r="J1738" i="8"/>
  <c r="J1737" i="8"/>
  <c r="J1736" i="8"/>
  <c r="J1735" i="8"/>
  <c r="J1734" i="8"/>
  <c r="J1733" i="8"/>
  <c r="J1730" i="8"/>
  <c r="J1729" i="8"/>
  <c r="J1728" i="8"/>
  <c r="J1727" i="8"/>
  <c r="J1726" i="8"/>
  <c r="J1725" i="8"/>
  <c r="J1724" i="8"/>
  <c r="J1723" i="8"/>
  <c r="J1722" i="8"/>
  <c r="J1721" i="8"/>
  <c r="J1720" i="8"/>
  <c r="J1719" i="8"/>
  <c r="J1718" i="8"/>
  <c r="J1717" i="8"/>
  <c r="J1716" i="8"/>
  <c r="J1715" i="8"/>
  <c r="J1714" i="8"/>
  <c r="J1713" i="8"/>
  <c r="J1712" i="8"/>
  <c r="J1711" i="8"/>
  <c r="J1710" i="8"/>
  <c r="J1709" i="8"/>
  <c r="J1708" i="8"/>
  <c r="J1707" i="8"/>
  <c r="J1706" i="8"/>
  <c r="J1705" i="8"/>
  <c r="J1704" i="8"/>
  <c r="J1703" i="8"/>
  <c r="J1702" i="8"/>
  <c r="J1701" i="8"/>
  <c r="J1700" i="8"/>
  <c r="J1699" i="8"/>
  <c r="J1698" i="8"/>
  <c r="J1697" i="8"/>
  <c r="J1696" i="8"/>
  <c r="J1695" i="8"/>
  <c r="J1694" i="8"/>
  <c r="J1693" i="8"/>
  <c r="J1692" i="8"/>
  <c r="J1691" i="8"/>
  <c r="J1690" i="8"/>
  <c r="J1689" i="8"/>
  <c r="J1688" i="8"/>
  <c r="J1687" i="8"/>
  <c r="J1686" i="8"/>
  <c r="J1685" i="8"/>
  <c r="J1684" i="8"/>
  <c r="J1683" i="8"/>
  <c r="J1682" i="8"/>
  <c r="J1681" i="8"/>
  <c r="J1680" i="8"/>
  <c r="J1679" i="8"/>
  <c r="J1678" i="8"/>
  <c r="J1677" i="8"/>
  <c r="J1676" i="8"/>
  <c r="J1675" i="8"/>
  <c r="J1674" i="8"/>
  <c r="J1673" i="8"/>
  <c r="J1672" i="8"/>
  <c r="J1671" i="8"/>
  <c r="I1668" i="8"/>
  <c r="J1667" i="8"/>
  <c r="J1666" i="8"/>
  <c r="J1665" i="8"/>
  <c r="J1664" i="8"/>
  <c r="J1663" i="8"/>
  <c r="J1662" i="8"/>
  <c r="J1661" i="8"/>
  <c r="J1660" i="8"/>
  <c r="J1659" i="8"/>
  <c r="J1658" i="8"/>
  <c r="J1657" i="8"/>
  <c r="J1656" i="8"/>
  <c r="J1655" i="8"/>
  <c r="J1654" i="8"/>
  <c r="J1653" i="8"/>
  <c r="H1652" i="8"/>
  <c r="H1668" i="8" s="1"/>
  <c r="I1650" i="8"/>
  <c r="J1649" i="8"/>
  <c r="J1648" i="8"/>
  <c r="J1647" i="8"/>
  <c r="J1646" i="8"/>
  <c r="J1645" i="8"/>
  <c r="J1644" i="8"/>
  <c r="J1643" i="8"/>
  <c r="J1642" i="8"/>
  <c r="J1641" i="8"/>
  <c r="J1640" i="8"/>
  <c r="J1639" i="8"/>
  <c r="J1638" i="8"/>
  <c r="J1637" i="8"/>
  <c r="J1636" i="8"/>
  <c r="J1635" i="8"/>
  <c r="J1632" i="8"/>
  <c r="J1631" i="8"/>
  <c r="J1630" i="8"/>
  <c r="J1629" i="8"/>
  <c r="J1628" i="8"/>
  <c r="J1627" i="8"/>
  <c r="J1626" i="8"/>
  <c r="J1625" i="8"/>
  <c r="J1624" i="8"/>
  <c r="J1623" i="8"/>
  <c r="J1622" i="8"/>
  <c r="J1621" i="8"/>
  <c r="J1620" i="8"/>
  <c r="J1619" i="8"/>
  <c r="J1618" i="8"/>
  <c r="J1617" i="8"/>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2" i="8"/>
  <c r="J1581" i="8"/>
  <c r="J1580" i="8"/>
  <c r="J1579" i="8"/>
  <c r="J1578" i="8"/>
  <c r="J1577" i="8"/>
  <c r="J1576" i="8"/>
  <c r="J1575" i="8"/>
  <c r="J1574" i="8"/>
  <c r="J1573" i="8"/>
  <c r="I1570" i="8"/>
  <c r="J1569" i="8"/>
  <c r="J1568" i="8"/>
  <c r="J1567" i="8"/>
  <c r="J1566" i="8"/>
  <c r="J1565" i="8"/>
  <c r="J1564" i="8"/>
  <c r="J1563" i="8"/>
  <c r="J1562" i="8"/>
  <c r="J1561" i="8"/>
  <c r="J1560" i="8"/>
  <c r="J1559" i="8"/>
  <c r="J1558" i="8"/>
  <c r="J1557" i="8"/>
  <c r="J1556" i="8"/>
  <c r="J1555" i="8"/>
  <c r="H1554" i="8"/>
  <c r="H1570" i="8" s="1"/>
  <c r="I1552" i="8"/>
  <c r="J1551" i="8"/>
  <c r="J1550" i="8"/>
  <c r="J1549" i="8"/>
  <c r="J1548" i="8"/>
  <c r="J1547" i="8"/>
  <c r="J1546" i="8"/>
  <c r="J1545" i="8"/>
  <c r="J1544" i="8"/>
  <c r="J1543" i="8"/>
  <c r="J1542" i="8"/>
  <c r="J1541" i="8"/>
  <c r="J1540" i="8"/>
  <c r="J1539" i="8"/>
  <c r="J1538" i="8"/>
  <c r="J1537" i="8"/>
  <c r="H1536" i="8"/>
  <c r="H1552" i="8" s="1"/>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I1472" i="8"/>
  <c r="J1471" i="8"/>
  <c r="J1470" i="8"/>
  <c r="J1469" i="8"/>
  <c r="J1468" i="8"/>
  <c r="J1467" i="8"/>
  <c r="J1466" i="8"/>
  <c r="J1465" i="8"/>
  <c r="J1464" i="8"/>
  <c r="J1463" i="8"/>
  <c r="J1462" i="8"/>
  <c r="J1461" i="8"/>
  <c r="J1460" i="8"/>
  <c r="J1459" i="8"/>
  <c r="J1458" i="8"/>
  <c r="J1457" i="8"/>
  <c r="H1456" i="8"/>
  <c r="H1472" i="8" s="1"/>
  <c r="I1454" i="8"/>
  <c r="J1453" i="8"/>
  <c r="J1452" i="8"/>
  <c r="J1451" i="8"/>
  <c r="J1450" i="8"/>
  <c r="J1449" i="8"/>
  <c r="J1448" i="8"/>
  <c r="J1447" i="8"/>
  <c r="J1446" i="8"/>
  <c r="J1445" i="8"/>
  <c r="J1444" i="8"/>
  <c r="J1443" i="8"/>
  <c r="J1442" i="8"/>
  <c r="J1441" i="8"/>
  <c r="J1440" i="8"/>
  <c r="J1439" i="8"/>
  <c r="H1438" i="8"/>
  <c r="H1454" i="8" s="1"/>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036" i="8"/>
  <c r="J1034" i="8"/>
  <c r="H939" i="8"/>
  <c r="H921" i="8"/>
  <c r="J919" i="8"/>
  <c r="I723" i="8"/>
  <c r="J722" i="8"/>
  <c r="J721" i="8"/>
  <c r="J720" i="8"/>
  <c r="J719" i="8"/>
  <c r="J718" i="8"/>
  <c r="J717" i="8"/>
  <c r="J716" i="8"/>
  <c r="J715" i="8"/>
  <c r="J714" i="8"/>
  <c r="J713" i="8"/>
  <c r="J712" i="8"/>
  <c r="J711" i="8"/>
  <c r="J710" i="8"/>
  <c r="J709" i="8"/>
  <c r="J708" i="8"/>
  <c r="I704" i="8"/>
  <c r="J703" i="8"/>
  <c r="J702" i="8"/>
  <c r="J701" i="8"/>
  <c r="J700" i="8"/>
  <c r="J699" i="8"/>
  <c r="J698" i="8"/>
  <c r="J697" i="8"/>
  <c r="J696" i="8"/>
  <c r="J695" i="8"/>
  <c r="J694" i="8"/>
  <c r="J693" i="8"/>
  <c r="J692" i="8"/>
  <c r="J691" i="8"/>
  <c r="J690" i="8"/>
  <c r="J689" i="8"/>
  <c r="J684" i="8"/>
  <c r="J683" i="8"/>
  <c r="J682" i="8"/>
  <c r="J681" i="8"/>
  <c r="J680" i="8"/>
  <c r="J679" i="8"/>
  <c r="J678" i="8"/>
  <c r="J677" i="8"/>
  <c r="J676" i="8"/>
  <c r="J675" i="8"/>
  <c r="J674" i="8"/>
  <c r="J673" i="8"/>
  <c r="I672" i="8"/>
  <c r="J672" i="8" s="1"/>
  <c r="J671" i="8"/>
  <c r="J670" i="8"/>
  <c r="J736" i="8"/>
  <c r="J737" i="8"/>
  <c r="J738" i="8"/>
  <c r="J739" i="8"/>
  <c r="J740" i="8"/>
  <c r="J741" i="8"/>
  <c r="J742" i="8"/>
  <c r="J743" i="8"/>
  <c r="J744" i="8"/>
  <c r="J745" i="8"/>
  <c r="J746" i="8"/>
  <c r="J747" i="8"/>
  <c r="J748" i="8"/>
  <c r="J749" i="8"/>
  <c r="J750" i="8"/>
  <c r="H752" i="8"/>
  <c r="J752" i="8" s="1"/>
  <c r="J753" i="8"/>
  <c r="J754" i="8"/>
  <c r="J755" i="8"/>
  <c r="J756" i="8"/>
  <c r="J757" i="8"/>
  <c r="J758" i="8"/>
  <c r="J759" i="8"/>
  <c r="J760" i="8"/>
  <c r="J761" i="8"/>
  <c r="J762" i="8"/>
  <c r="J763" i="8"/>
  <c r="J764" i="8"/>
  <c r="J765" i="8"/>
  <c r="J766" i="8"/>
  <c r="J767" i="8"/>
  <c r="I768" i="8"/>
  <c r="J771" i="8"/>
  <c r="J772" i="8"/>
  <c r="J773" i="8"/>
  <c r="J774" i="8"/>
  <c r="J775" i="8"/>
  <c r="J776" i="8"/>
  <c r="J777" i="8"/>
  <c r="J778" i="8"/>
  <c r="J779" i="8"/>
  <c r="J780" i="8"/>
  <c r="J14819" i="8" l="1"/>
  <c r="H14997" i="8"/>
  <c r="J14997" i="8" s="1"/>
  <c r="H2396" i="8"/>
  <c r="H2514" i="8"/>
  <c r="J2414" i="8"/>
  <c r="J2829" i="8"/>
  <c r="J2846" i="8" s="1"/>
  <c r="J1355" i="8"/>
  <c r="J2380" i="8"/>
  <c r="J2396" i="8" s="1"/>
  <c r="H2414" i="8"/>
  <c r="D34" i="7" s="1"/>
  <c r="D33" i="7" s="1"/>
  <c r="J1357" i="8"/>
  <c r="J1373" i="8" s="1"/>
  <c r="J1536" i="8"/>
  <c r="J1552" i="8" s="1"/>
  <c r="J1830" i="8"/>
  <c r="J1846" i="8" s="1"/>
  <c r="J2109" i="8"/>
  <c r="J2125" i="8" s="1"/>
  <c r="J1257" i="8"/>
  <c r="J1275" i="8"/>
  <c r="J1143" i="8"/>
  <c r="J1159" i="8" s="1"/>
  <c r="J1161" i="8"/>
  <c r="J1177" i="8" s="1"/>
  <c r="J2127" i="8"/>
  <c r="J2143" i="8" s="1"/>
  <c r="J2011" i="8"/>
  <c r="J2027" i="8" s="1"/>
  <c r="J2029" i="8"/>
  <c r="J2045" i="8" s="1"/>
  <c r="J1848" i="8"/>
  <c r="J1864" i="8" s="1"/>
  <c r="J1732" i="8"/>
  <c r="J1748" i="8" s="1"/>
  <c r="J1750" i="8"/>
  <c r="J1766" i="8" s="1"/>
  <c r="J1634" i="8"/>
  <c r="J1650" i="8" s="1"/>
  <c r="J1652" i="8"/>
  <c r="J1668" i="8" s="1"/>
  <c r="J1554" i="8"/>
  <c r="J1570" i="8" s="1"/>
  <c r="J1438" i="8"/>
  <c r="J1454" i="8" s="1"/>
  <c r="J1456" i="8"/>
  <c r="J1472" i="8" s="1"/>
  <c r="J768" i="8"/>
  <c r="I685" i="8"/>
  <c r="H768" i="8"/>
  <c r="H770" i="8" s="1"/>
  <c r="J583" i="8"/>
  <c r="I503" i="8"/>
  <c r="J502" i="8"/>
  <c r="J501" i="8"/>
  <c r="J500" i="8"/>
  <c r="J499" i="8"/>
  <c r="J498" i="8"/>
  <c r="J497" i="8"/>
  <c r="J496" i="8"/>
  <c r="J495" i="8"/>
  <c r="J494" i="8"/>
  <c r="J493" i="8"/>
  <c r="J492" i="8"/>
  <c r="J491" i="8"/>
  <c r="J490" i="8"/>
  <c r="J489" i="8"/>
  <c r="J488" i="8"/>
  <c r="H487" i="8"/>
  <c r="H503" i="8" s="1"/>
  <c r="I485" i="8"/>
  <c r="J484" i="8"/>
  <c r="J483" i="8"/>
  <c r="J482" i="8"/>
  <c r="J481" i="8"/>
  <c r="J480" i="8"/>
  <c r="J479" i="8"/>
  <c r="J478" i="8"/>
  <c r="J477" i="8"/>
  <c r="J476" i="8"/>
  <c r="J475" i="8"/>
  <c r="J474" i="8"/>
  <c r="J473" i="8"/>
  <c r="J472" i="8"/>
  <c r="J471" i="8"/>
  <c r="J470" i="8"/>
  <c r="H469" i="8"/>
  <c r="H485" i="8" s="1"/>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I405" i="8"/>
  <c r="J404" i="8"/>
  <c r="J403" i="8"/>
  <c r="J402" i="8"/>
  <c r="J401" i="8"/>
  <c r="J400" i="8"/>
  <c r="J399" i="8"/>
  <c r="J398" i="8"/>
  <c r="J397" i="8"/>
  <c r="J396" i="8"/>
  <c r="J395" i="8"/>
  <c r="J394" i="8"/>
  <c r="J393" i="8"/>
  <c r="J392" i="8"/>
  <c r="J391" i="8"/>
  <c r="J390" i="8"/>
  <c r="H389" i="8"/>
  <c r="H405" i="8" s="1"/>
  <c r="I387" i="8"/>
  <c r="J386" i="8"/>
  <c r="J385" i="8"/>
  <c r="J384" i="8"/>
  <c r="J383" i="8"/>
  <c r="J382" i="8"/>
  <c r="J381" i="8"/>
  <c r="J380" i="8"/>
  <c r="J379" i="8"/>
  <c r="J378" i="8"/>
  <c r="J377" i="8"/>
  <c r="J376" i="8"/>
  <c r="J375" i="8"/>
  <c r="J374" i="8"/>
  <c r="J373" i="8"/>
  <c r="J372" i="8"/>
  <c r="H371" i="8"/>
  <c r="H387" i="8" s="1"/>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19" i="8"/>
  <c r="J318" i="8"/>
  <c r="J317" i="8"/>
  <c r="J316" i="8"/>
  <c r="J315" i="8"/>
  <c r="J314" i="8"/>
  <c r="J313" i="8"/>
  <c r="J312" i="8"/>
  <c r="J311" i="8"/>
  <c r="J310" i="8"/>
  <c r="J309" i="8"/>
  <c r="J507" i="8"/>
  <c r="J508" i="8"/>
  <c r="I509" i="8"/>
  <c r="J509" i="8" s="1"/>
  <c r="J510" i="8"/>
  <c r="J511" i="8"/>
  <c r="J512" i="8"/>
  <c r="J513" i="8"/>
  <c r="J514" i="8"/>
  <c r="J515" i="8"/>
  <c r="J516" i="8"/>
  <c r="J517" i="8"/>
  <c r="J518" i="8"/>
  <c r="J519" i="8"/>
  <c r="J520" i="8"/>
  <c r="J521" i="8"/>
  <c r="J526" i="8"/>
  <c r="J527" i="8"/>
  <c r="J528" i="8"/>
  <c r="J529" i="8"/>
  <c r="J530" i="8"/>
  <c r="J531" i="8"/>
  <c r="J532" i="8"/>
  <c r="J533" i="8"/>
  <c r="J534" i="8"/>
  <c r="J535" i="8"/>
  <c r="J536" i="8"/>
  <c r="J537" i="8"/>
  <c r="J538" i="8"/>
  <c r="J539" i="8"/>
  <c r="J540" i="8"/>
  <c r="I541" i="8"/>
  <c r="J545" i="8"/>
  <c r="J546" i="8"/>
  <c r="J547" i="8"/>
  <c r="J548" i="8"/>
  <c r="J549" i="8"/>
  <c r="J550" i="8"/>
  <c r="J551" i="8"/>
  <c r="J552" i="8"/>
  <c r="J553" i="8"/>
  <c r="J554" i="8"/>
  <c r="J555" i="8"/>
  <c r="J556" i="8"/>
  <c r="J557" i="8"/>
  <c r="J558" i="8"/>
  <c r="J559" i="8"/>
  <c r="I560" i="8"/>
  <c r="J572" i="8"/>
  <c r="J573" i="8"/>
  <c r="J574" i="8"/>
  <c r="H2530" i="8" l="1"/>
  <c r="J2514" i="8"/>
  <c r="J2530" i="8" s="1"/>
  <c r="J770" i="8"/>
  <c r="H797" i="8"/>
  <c r="J469" i="8"/>
  <c r="J485" i="8" s="1"/>
  <c r="J487" i="8"/>
  <c r="J503" i="8" s="1"/>
  <c r="J389" i="8"/>
  <c r="J405" i="8" s="1"/>
  <c r="J371" i="8"/>
  <c r="J387" i="8" s="1"/>
  <c r="I522" i="8"/>
  <c r="D47" i="7"/>
  <c r="J6221" i="8"/>
  <c r="J6222" i="8"/>
  <c r="J6223" i="8"/>
  <c r="J6224" i="8"/>
  <c r="J6225" i="8"/>
  <c r="J6226" i="8"/>
  <c r="J6227" i="8"/>
  <c r="J6228" i="8"/>
  <c r="J6229" i="8"/>
  <c r="J6230" i="8"/>
  <c r="J6231" i="8"/>
  <c r="J6232" i="8"/>
  <c r="J6233" i="8"/>
  <c r="J6234" i="8"/>
  <c r="J6235" i="8"/>
  <c r="I6236" i="8"/>
  <c r="J7080" i="8"/>
  <c r="J7081" i="8"/>
  <c r="J7082" i="8"/>
  <c r="J7083" i="8"/>
  <c r="J7084" i="8"/>
  <c r="J7085" i="8"/>
  <c r="J7086" i="8"/>
  <c r="J7087" i="8"/>
  <c r="J7088" i="8"/>
  <c r="J7089" i="8"/>
  <c r="J7090" i="8"/>
  <c r="J7091" i="8"/>
  <c r="J7092" i="8"/>
  <c r="J7093" i="8"/>
  <c r="J7094" i="8"/>
  <c r="J7095" i="8"/>
  <c r="J7096" i="8"/>
  <c r="J7097" i="8"/>
  <c r="J7098" i="8"/>
  <c r="J1032" i="8" l="1"/>
  <c r="J1031" i="8"/>
  <c r="J1909" i="8"/>
  <c r="J1869" i="8"/>
  <c r="J1870" i="8"/>
  <c r="J1868" i="8"/>
  <c r="J1037" i="8"/>
  <c r="J1020" i="8"/>
  <c r="J1021" i="8"/>
  <c r="J1022" i="8"/>
  <c r="J1023" i="8"/>
  <c r="J1024" i="8"/>
  <c r="J1025" i="8"/>
  <c r="J1026" i="8"/>
  <c r="J1027" i="8"/>
  <c r="J1028" i="8"/>
  <c r="J1029" i="8"/>
  <c r="J1030" i="8"/>
  <c r="J1033" i="8"/>
  <c r="J1035" i="8"/>
  <c r="J1038" i="8"/>
  <c r="J1039" i="8"/>
  <c r="J1040" i="8"/>
  <c r="H1043" i="8" l="1"/>
  <c r="H1061" i="8" s="1"/>
  <c r="J13579" i="8"/>
  <c r="J13580" i="8"/>
  <c r="J13581" i="8"/>
  <c r="J13582" i="8"/>
  <c r="J13583" i="8"/>
  <c r="J13584" i="8"/>
  <c r="J13585" i="8"/>
  <c r="J13586" i="8"/>
  <c r="J13587" i="8"/>
  <c r="J13588" i="8"/>
  <c r="J13589" i="8"/>
  <c r="J13590" i="8"/>
  <c r="J13591" i="8"/>
  <c r="J13592" i="8"/>
  <c r="J13593" i="8"/>
  <c r="J13594" i="8"/>
  <c r="J13595" i="8"/>
  <c r="J13596" i="8"/>
  <c r="J13597" i="8"/>
  <c r="J13598" i="8"/>
  <c r="J13599" i="8"/>
  <c r="J13600" i="8"/>
  <c r="J13601" i="8"/>
  <c r="J13602" i="8"/>
  <c r="J13603" i="8"/>
  <c r="J13604" i="8"/>
  <c r="J13605" i="8"/>
  <c r="J13606" i="8"/>
  <c r="J13607" i="8"/>
  <c r="J13608" i="8"/>
  <c r="J13609" i="8"/>
  <c r="J13610" i="8"/>
  <c r="J13611" i="8"/>
  <c r="J13612" i="8"/>
  <c r="J13613" i="8"/>
  <c r="J13614" i="8"/>
  <c r="J13615" i="8"/>
  <c r="J13616" i="8"/>
  <c r="H13618" i="8"/>
  <c r="J13618" i="8" s="1"/>
  <c r="J13619" i="8"/>
  <c r="J13620" i="8"/>
  <c r="J13621" i="8"/>
  <c r="J13622" i="8"/>
  <c r="J13623" i="8"/>
  <c r="J13624" i="8"/>
  <c r="J13625" i="8"/>
  <c r="J13626" i="8"/>
  <c r="J13627" i="8"/>
  <c r="J13628" i="8"/>
  <c r="J13629" i="8"/>
  <c r="J13630" i="8"/>
  <c r="J13631" i="8"/>
  <c r="J13632" i="8"/>
  <c r="J13633" i="8"/>
  <c r="H13634" i="8"/>
  <c r="I13634" i="8"/>
  <c r="H13636" i="8"/>
  <c r="J13637" i="8"/>
  <c r="J13638" i="8"/>
  <c r="J13639" i="8"/>
  <c r="J13640" i="8"/>
  <c r="J13641" i="8"/>
  <c r="J13642" i="8"/>
  <c r="J13643" i="8"/>
  <c r="J13644" i="8"/>
  <c r="J13645" i="8"/>
  <c r="J13646" i="8"/>
  <c r="J13647" i="8"/>
  <c r="J13648" i="8"/>
  <c r="J13649" i="8"/>
  <c r="J13650" i="8"/>
  <c r="J13651" i="8"/>
  <c r="H13652" i="8"/>
  <c r="I13652" i="8"/>
  <c r="J7099" i="8"/>
  <c r="J7100" i="8"/>
  <c r="J7101" i="8"/>
  <c r="J7102" i="8"/>
  <c r="J7103" i="8"/>
  <c r="J7104" i="8"/>
  <c r="J7105" i="8"/>
  <c r="J7106" i="8"/>
  <c r="J7107" i="8"/>
  <c r="J7108" i="8"/>
  <c r="J7109" i="8"/>
  <c r="J7110" i="8"/>
  <c r="J7111" i="8"/>
  <c r="J7112" i="8"/>
  <c r="J7113" i="8"/>
  <c r="J7114" i="8"/>
  <c r="J7115" i="8"/>
  <c r="H7117" i="8"/>
  <c r="J7117" i="8" s="1"/>
  <c r="J7120" i="8"/>
  <c r="J7121" i="8"/>
  <c r="J7122" i="8"/>
  <c r="J7123" i="8"/>
  <c r="J7124" i="8"/>
  <c r="J7125" i="8"/>
  <c r="J7126" i="8"/>
  <c r="J7127" i="8"/>
  <c r="J7128" i="8"/>
  <c r="J7129" i="8"/>
  <c r="J7130" i="8"/>
  <c r="J7131" i="8"/>
  <c r="J7132" i="8"/>
  <c r="J7133" i="8"/>
  <c r="J7134" i="8"/>
  <c r="J7135" i="8"/>
  <c r="H7136" i="8"/>
  <c r="I7136" i="8"/>
  <c r="J7138" i="8"/>
  <c r="J7139" i="8"/>
  <c r="J7140" i="8"/>
  <c r="J7141" i="8"/>
  <c r="J7142" i="8"/>
  <c r="J7143" i="8"/>
  <c r="J7144" i="8"/>
  <c r="J7145" i="8"/>
  <c r="J7146" i="8"/>
  <c r="J7147" i="8"/>
  <c r="J7148" i="8"/>
  <c r="J7149" i="8"/>
  <c r="J7150" i="8"/>
  <c r="J7151" i="8"/>
  <c r="J7152" i="8"/>
  <c r="J7153" i="8"/>
  <c r="H7154" i="8"/>
  <c r="I7154" i="8"/>
  <c r="J7158" i="8"/>
  <c r="J7159" i="8"/>
  <c r="J7160" i="8"/>
  <c r="J7161" i="8"/>
  <c r="J7162" i="8"/>
  <c r="J7163" i="8"/>
  <c r="J7164" i="8"/>
  <c r="J7165" i="8"/>
  <c r="J7166" i="8"/>
  <c r="J7167" i="8"/>
  <c r="J7168" i="8"/>
  <c r="J7169" i="8"/>
  <c r="J7170" i="8"/>
  <c r="J7171" i="8"/>
  <c r="J7172" i="8"/>
  <c r="J7173" i="8"/>
  <c r="J7174" i="8"/>
  <c r="J7175" i="8"/>
  <c r="J7176" i="8"/>
  <c r="J7177" i="8"/>
  <c r="J7178" i="8"/>
  <c r="J7179" i="8"/>
  <c r="J7180" i="8"/>
  <c r="J7181" i="8"/>
  <c r="J7182" i="8"/>
  <c r="J7183" i="8"/>
  <c r="J7184" i="8"/>
  <c r="J7185" i="8"/>
  <c r="J7186" i="8"/>
  <c r="J7187" i="8"/>
  <c r="J7188" i="8"/>
  <c r="J7189" i="8"/>
  <c r="J7190" i="8"/>
  <c r="J7191" i="8"/>
  <c r="J7192" i="8"/>
  <c r="J7193" i="8"/>
  <c r="J7194" i="8"/>
  <c r="J7195" i="8"/>
  <c r="J7196" i="8"/>
  <c r="I6299" i="8"/>
  <c r="J6298" i="8"/>
  <c r="J6297" i="8"/>
  <c r="J6296" i="8"/>
  <c r="J6295" i="8"/>
  <c r="J6294" i="8"/>
  <c r="J6293" i="8"/>
  <c r="J6292" i="8"/>
  <c r="J6291" i="8"/>
  <c r="J6290" i="8"/>
  <c r="J6289" i="8"/>
  <c r="J6288" i="8"/>
  <c r="J6287" i="8"/>
  <c r="J6286" i="8"/>
  <c r="J6285" i="8"/>
  <c r="J6284" i="8"/>
  <c r="J6277" i="8"/>
  <c r="J6275" i="8"/>
  <c r="J6274" i="8"/>
  <c r="J6273" i="8"/>
  <c r="J6272" i="8"/>
  <c r="J6271" i="8"/>
  <c r="J6270" i="8"/>
  <c r="J6269" i="8"/>
  <c r="J6268" i="8"/>
  <c r="J6267" i="8"/>
  <c r="J6266" i="8"/>
  <c r="J6265" i="8"/>
  <c r="J6264" i="8"/>
  <c r="J6263" i="8"/>
  <c r="J6262" i="8"/>
  <c r="J6261" i="8"/>
  <c r="J6260" i="8"/>
  <c r="J6259" i="8"/>
  <c r="J6258" i="8"/>
  <c r="J6257" i="8"/>
  <c r="J6256" i="8"/>
  <c r="J6255" i="8"/>
  <c r="J6254" i="8"/>
  <c r="J6253" i="8"/>
  <c r="J6252" i="8"/>
  <c r="J6251" i="8"/>
  <c r="J6250" i="8"/>
  <c r="J6249" i="8"/>
  <c r="J6248" i="8"/>
  <c r="J6247" i="8"/>
  <c r="J6246" i="8"/>
  <c r="J6245" i="8"/>
  <c r="J6244" i="8"/>
  <c r="J6243" i="8"/>
  <c r="J6242" i="8"/>
  <c r="J6241" i="8"/>
  <c r="J7197" i="8"/>
  <c r="J7198" i="8"/>
  <c r="J7199" i="8"/>
  <c r="J7200" i="8"/>
  <c r="J7201" i="8"/>
  <c r="J7202" i="8"/>
  <c r="J7203" i="8"/>
  <c r="J7204" i="8"/>
  <c r="J7205" i="8"/>
  <c r="J7206" i="8"/>
  <c r="J7207" i="8"/>
  <c r="J7208" i="8"/>
  <c r="J7209" i="8"/>
  <c r="J7210" i="8"/>
  <c r="J7211" i="8"/>
  <c r="J7212" i="8"/>
  <c r="J7213" i="8"/>
  <c r="J7214" i="8"/>
  <c r="J7215" i="8"/>
  <c r="J7216" i="8"/>
  <c r="J7217" i="8"/>
  <c r="J7220" i="8"/>
  <c r="J7221" i="8"/>
  <c r="J7222" i="8"/>
  <c r="J7223" i="8"/>
  <c r="J7224" i="8"/>
  <c r="J7225" i="8"/>
  <c r="J7226" i="8"/>
  <c r="J7227" i="8"/>
  <c r="J7228" i="8"/>
  <c r="J7229" i="8"/>
  <c r="J7230" i="8"/>
  <c r="J7231" i="8"/>
  <c r="J7232" i="8"/>
  <c r="J7233" i="8"/>
  <c r="J7234" i="8"/>
  <c r="I7235" i="8"/>
  <c r="J7238" i="8"/>
  <c r="J7239" i="8"/>
  <c r="J7240" i="8"/>
  <c r="J7241" i="8"/>
  <c r="J7242" i="8"/>
  <c r="J7243" i="8"/>
  <c r="J7244" i="8"/>
  <c r="J7245" i="8"/>
  <c r="I1947" i="8"/>
  <c r="I2313" i="8"/>
  <c r="I1906" i="8"/>
  <c r="D552" i="7"/>
  <c r="D553" i="7"/>
  <c r="J1946" i="8"/>
  <c r="J1945" i="8"/>
  <c r="J1944" i="8"/>
  <c r="J1943" i="8"/>
  <c r="J1942" i="8"/>
  <c r="J1941" i="8"/>
  <c r="J1940" i="8"/>
  <c r="J1939" i="8"/>
  <c r="J1938" i="8"/>
  <c r="J1937" i="8"/>
  <c r="J1936" i="8"/>
  <c r="J1935" i="8"/>
  <c r="J1934" i="8"/>
  <c r="J1933" i="8"/>
  <c r="J1932" i="8"/>
  <c r="H1931" i="8"/>
  <c r="I1929" i="8"/>
  <c r="J1928" i="8"/>
  <c r="J1927" i="8"/>
  <c r="J1926" i="8"/>
  <c r="J1925" i="8"/>
  <c r="J1924" i="8"/>
  <c r="J1923" i="8"/>
  <c r="J1922" i="8"/>
  <c r="J1921" i="8"/>
  <c r="J1920" i="8"/>
  <c r="J1919" i="8"/>
  <c r="J1918" i="8"/>
  <c r="J1917" i="8"/>
  <c r="J1916" i="8"/>
  <c r="J1915" i="8"/>
  <c r="J1914" i="8"/>
  <c r="H1913" i="8"/>
  <c r="H1929" i="8" s="1"/>
  <c r="H786" i="8"/>
  <c r="I786" i="8"/>
  <c r="J785" i="8"/>
  <c r="J784" i="8"/>
  <c r="J783" i="8"/>
  <c r="J782" i="8"/>
  <c r="J781" i="8"/>
  <c r="G6" i="3"/>
  <c r="G98" i="3"/>
  <c r="G96" i="3"/>
  <c r="G95" i="3"/>
  <c r="G92" i="3"/>
  <c r="G90" i="3"/>
  <c r="G89" i="3"/>
  <c r="G86" i="3"/>
  <c r="G84" i="3"/>
  <c r="G81" i="3"/>
  <c r="G82" i="3"/>
  <c r="G80" i="3"/>
  <c r="G78" i="3"/>
  <c r="G77" i="3"/>
  <c r="G74" i="3"/>
  <c r="G73" i="3"/>
  <c r="G65" i="3"/>
  <c r="G66" i="3"/>
  <c r="G67" i="3"/>
  <c r="G68" i="3"/>
  <c r="G71" i="3"/>
  <c r="G64" i="3"/>
  <c r="G53" i="3"/>
  <c r="G54" i="3"/>
  <c r="G55" i="3"/>
  <c r="G56" i="3"/>
  <c r="G57" i="3"/>
  <c r="G58" i="3"/>
  <c r="G59" i="3"/>
  <c r="G60" i="3"/>
  <c r="G61" i="3"/>
  <c r="G62" i="3"/>
  <c r="G52" i="3"/>
  <c r="G48" i="3"/>
  <c r="G49" i="3"/>
  <c r="G47" i="3"/>
  <c r="G45" i="3"/>
  <c r="G42" i="3"/>
  <c r="G34" i="3"/>
  <c r="G35" i="3"/>
  <c r="G36" i="3"/>
  <c r="G37" i="3"/>
  <c r="G38" i="3"/>
  <c r="G39" i="3"/>
  <c r="G40" i="3"/>
  <c r="G33" i="3"/>
  <c r="G24" i="3"/>
  <c r="G25" i="3"/>
  <c r="G26" i="3"/>
  <c r="G27" i="3"/>
  <c r="G28" i="3"/>
  <c r="G29" i="3"/>
  <c r="G30" i="3"/>
  <c r="G31" i="3"/>
  <c r="G23" i="3"/>
  <c r="G11" i="3"/>
  <c r="G12" i="3"/>
  <c r="G13" i="3"/>
  <c r="G14" i="3"/>
  <c r="G15" i="3"/>
  <c r="G16" i="3"/>
  <c r="G17" i="3"/>
  <c r="G18" i="3"/>
  <c r="G19" i="3"/>
  <c r="G20" i="3"/>
  <c r="G21" i="3"/>
  <c r="G10" i="3"/>
  <c r="J1019" i="8"/>
  <c r="H7356" i="8"/>
  <c r="J7349" i="8"/>
  <c r="J7350" i="8"/>
  <c r="H1947" i="8" l="1"/>
  <c r="J7654" i="8"/>
  <c r="J7670" i="8" s="1"/>
  <c r="H7670" i="8"/>
  <c r="J13636" i="8"/>
  <c r="H7118" i="8"/>
  <c r="J7118" i="8" s="1"/>
  <c r="J13634" i="8"/>
  <c r="J13652" i="8" s="1"/>
  <c r="J7154" i="8"/>
  <c r="J7136" i="8"/>
  <c r="I6302" i="8"/>
  <c r="H7219" i="8"/>
  <c r="J1913" i="8"/>
  <c r="J1929" i="8" s="1"/>
  <c r="J1931" i="8"/>
  <c r="J1947" i="8" s="1"/>
  <c r="G9" i="3"/>
  <c r="H90" i="8"/>
  <c r="H506" i="8" s="1"/>
  <c r="H72" i="8"/>
  <c r="J506" i="8" l="1"/>
  <c r="J522" i="8" s="1"/>
  <c r="H522" i="8"/>
  <c r="I14988" i="8"/>
  <c r="J7219" i="8"/>
  <c r="J7235" i="8" s="1"/>
  <c r="H7235" i="8"/>
  <c r="H7237" i="8"/>
  <c r="J7237" i="8" s="1"/>
  <c r="D66" i="7"/>
  <c r="F66" i="7"/>
  <c r="C84" i="5"/>
  <c r="F550" i="7"/>
  <c r="F549" i="7"/>
  <c r="C137" i="6" l="1"/>
  <c r="D554" i="7"/>
  <c r="I15001" i="8" l="1"/>
  <c r="I13061" i="8"/>
  <c r="J13060" i="8"/>
  <c r="J13059" i="8"/>
  <c r="J13058" i="8"/>
  <c r="J13057" i="8"/>
  <c r="J13056" i="8"/>
  <c r="J13055" i="8"/>
  <c r="J13054" i="8"/>
  <c r="J13053" i="8"/>
  <c r="J13052" i="8"/>
  <c r="J13051" i="8"/>
  <c r="J13050" i="8"/>
  <c r="J13049" i="8"/>
  <c r="J13048" i="8"/>
  <c r="J13047" i="8"/>
  <c r="J13046" i="8"/>
  <c r="H13045" i="8"/>
  <c r="H13061" i="8" s="1"/>
  <c r="I13043" i="8"/>
  <c r="J13042" i="8"/>
  <c r="J13041" i="8"/>
  <c r="J13040" i="8"/>
  <c r="J13039" i="8"/>
  <c r="J13038" i="8"/>
  <c r="J13037" i="8"/>
  <c r="J13036" i="8"/>
  <c r="J13035" i="8"/>
  <c r="J13034" i="8"/>
  <c r="J13033" i="8"/>
  <c r="J13032" i="8"/>
  <c r="J13031" i="8"/>
  <c r="J13030" i="8"/>
  <c r="J13029" i="8"/>
  <c r="J13028" i="8"/>
  <c r="H13027" i="8"/>
  <c r="H13043" i="8" s="1"/>
  <c r="J13025" i="8"/>
  <c r="J13024" i="8"/>
  <c r="J13023" i="8"/>
  <c r="J13022" i="8"/>
  <c r="J13021" i="8"/>
  <c r="J13020" i="8"/>
  <c r="J13019" i="8"/>
  <c r="J13018" i="8"/>
  <c r="J13017" i="8"/>
  <c r="J13016" i="8"/>
  <c r="J13015" i="8"/>
  <c r="J13014" i="8"/>
  <c r="J13013" i="8"/>
  <c r="J13012"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I12962" i="8"/>
  <c r="J12961" i="8"/>
  <c r="J12960" i="8"/>
  <c r="J12959" i="8"/>
  <c r="J12958" i="8"/>
  <c r="J12957" i="8"/>
  <c r="J12956" i="8"/>
  <c r="J12955" i="8"/>
  <c r="J12954" i="8"/>
  <c r="J12953" i="8"/>
  <c r="J12952" i="8"/>
  <c r="J12951" i="8"/>
  <c r="J12950" i="8"/>
  <c r="J12949" i="8"/>
  <c r="J12948" i="8"/>
  <c r="J12947" i="8"/>
  <c r="H12946" i="8"/>
  <c r="H12962" i="8" s="1"/>
  <c r="I12944" i="8"/>
  <c r="J12943" i="8"/>
  <c r="J12942" i="8"/>
  <c r="J12941" i="8"/>
  <c r="J12940" i="8"/>
  <c r="J12939" i="8"/>
  <c r="J12938" i="8"/>
  <c r="J12937" i="8"/>
  <c r="J12936" i="8"/>
  <c r="J12935" i="8"/>
  <c r="J12934" i="8"/>
  <c r="J12933" i="8"/>
  <c r="J12932" i="8"/>
  <c r="J12931" i="8"/>
  <c r="J12930" i="8"/>
  <c r="J12929" i="8"/>
  <c r="H12928" i="8"/>
  <c r="H12944" i="8" s="1"/>
  <c r="J12926" i="8"/>
  <c r="J12925" i="8"/>
  <c r="J12924" i="8"/>
  <c r="J12923" i="8"/>
  <c r="J12922" i="8"/>
  <c r="J12921" i="8"/>
  <c r="J12920" i="8"/>
  <c r="J12919" i="8"/>
  <c r="J12918" i="8"/>
  <c r="J12917" i="8"/>
  <c r="J12916" i="8"/>
  <c r="J12915" i="8"/>
  <c r="J12914" i="8"/>
  <c r="J12913"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I12863" i="8"/>
  <c r="J12862" i="8"/>
  <c r="J12861" i="8"/>
  <c r="J12860" i="8"/>
  <c r="J12859" i="8"/>
  <c r="J12858" i="8"/>
  <c r="J12857" i="8"/>
  <c r="J12856" i="8"/>
  <c r="J12855" i="8"/>
  <c r="J12854" i="8"/>
  <c r="J12853" i="8"/>
  <c r="J12852" i="8"/>
  <c r="J12851" i="8"/>
  <c r="J12850" i="8"/>
  <c r="J12849" i="8"/>
  <c r="J12848" i="8"/>
  <c r="H12847" i="8"/>
  <c r="H12863" i="8" s="1"/>
  <c r="I12845" i="8"/>
  <c r="J12844" i="8"/>
  <c r="J12843" i="8"/>
  <c r="J12842" i="8"/>
  <c r="J12841" i="8"/>
  <c r="J12840" i="8"/>
  <c r="J12839" i="8"/>
  <c r="J12838" i="8"/>
  <c r="J12837" i="8"/>
  <c r="J12836" i="8"/>
  <c r="J12835" i="8"/>
  <c r="J12834" i="8"/>
  <c r="J12833" i="8"/>
  <c r="J12832" i="8"/>
  <c r="J12831" i="8"/>
  <c r="J12830" i="8"/>
  <c r="H12829" i="8"/>
  <c r="H12845" i="8" s="1"/>
  <c r="J12827" i="8"/>
  <c r="J12826" i="8"/>
  <c r="J12825" i="8"/>
  <c r="J12824" i="8"/>
  <c r="J12823" i="8"/>
  <c r="J12822" i="8"/>
  <c r="J12821" i="8"/>
  <c r="J12820" i="8"/>
  <c r="J12819" i="8"/>
  <c r="J12818" i="8"/>
  <c r="J12817" i="8"/>
  <c r="J12816" i="8"/>
  <c r="J12815" i="8"/>
  <c r="J12814" i="8"/>
  <c r="J12813" i="8"/>
  <c r="J12812" i="8"/>
  <c r="J12811" i="8"/>
  <c r="J12810" i="8"/>
  <c r="J12809" i="8"/>
  <c r="J12808" i="8"/>
  <c r="J12807" i="8"/>
  <c r="J12806" i="8"/>
  <c r="J12805" i="8"/>
  <c r="J12804" i="8"/>
  <c r="J12803" i="8"/>
  <c r="J12802" i="8"/>
  <c r="J12801" i="8"/>
  <c r="J12800" i="8"/>
  <c r="J12799" i="8"/>
  <c r="J12798" i="8"/>
  <c r="J12797" i="8"/>
  <c r="J12796" i="8"/>
  <c r="J12795" i="8"/>
  <c r="J12794" i="8"/>
  <c r="J12793" i="8"/>
  <c r="J12792" i="8"/>
  <c r="J12791" i="8"/>
  <c r="J12790" i="8"/>
  <c r="J12789" i="8"/>
  <c r="J12788" i="8"/>
  <c r="J12787" i="8"/>
  <c r="J12786" i="8"/>
  <c r="J12785" i="8"/>
  <c r="J12784" i="8"/>
  <c r="J12783" i="8"/>
  <c r="J12782" i="8"/>
  <c r="J12781" i="8"/>
  <c r="J12780" i="8"/>
  <c r="J12779" i="8"/>
  <c r="J12778" i="8"/>
  <c r="J12777" i="8"/>
  <c r="J12776" i="8"/>
  <c r="J12775" i="8"/>
  <c r="J12774" i="8"/>
  <c r="J12773" i="8"/>
  <c r="J12772" i="8"/>
  <c r="J12771" i="8"/>
  <c r="J12770" i="8"/>
  <c r="J12769" i="8"/>
  <c r="J12768" i="8"/>
  <c r="I12764" i="8"/>
  <c r="J12763" i="8"/>
  <c r="J12762" i="8"/>
  <c r="J12761" i="8"/>
  <c r="J12760" i="8"/>
  <c r="J12759" i="8"/>
  <c r="J12758" i="8"/>
  <c r="J12757" i="8"/>
  <c r="J12756" i="8"/>
  <c r="J12755" i="8"/>
  <c r="J12754" i="8"/>
  <c r="J12753" i="8"/>
  <c r="J12752" i="8"/>
  <c r="J12751" i="8"/>
  <c r="J12750" i="8"/>
  <c r="J12749" i="8"/>
  <c r="H12748" i="8"/>
  <c r="H12764" i="8" s="1"/>
  <c r="I12746" i="8"/>
  <c r="J12745" i="8"/>
  <c r="J12744" i="8"/>
  <c r="J12743" i="8"/>
  <c r="J12742" i="8"/>
  <c r="J12741" i="8"/>
  <c r="J12740" i="8"/>
  <c r="J12739" i="8"/>
  <c r="J12738" i="8"/>
  <c r="J12737" i="8"/>
  <c r="J12736" i="8"/>
  <c r="J12735" i="8"/>
  <c r="J12734" i="8"/>
  <c r="J12733" i="8"/>
  <c r="J12732" i="8"/>
  <c r="J12731" i="8"/>
  <c r="H12730" i="8"/>
  <c r="H12746" i="8" s="1"/>
  <c r="J12728" i="8"/>
  <c r="J12727" i="8"/>
  <c r="J12726" i="8"/>
  <c r="J12725" i="8"/>
  <c r="J12724" i="8"/>
  <c r="J12723" i="8"/>
  <c r="J12722" i="8"/>
  <c r="J12721" i="8"/>
  <c r="J12720" i="8"/>
  <c r="J12719" i="8"/>
  <c r="J12718" i="8"/>
  <c r="J12717" i="8"/>
  <c r="J12716" i="8"/>
  <c r="J12715" i="8"/>
  <c r="J12714" i="8"/>
  <c r="J12713" i="8"/>
  <c r="J12712" i="8"/>
  <c r="J12711" i="8"/>
  <c r="J12710" i="8"/>
  <c r="J12709" i="8"/>
  <c r="J12708" i="8"/>
  <c r="J12707" i="8"/>
  <c r="J12706" i="8"/>
  <c r="J12705" i="8"/>
  <c r="J12704" i="8"/>
  <c r="J12703" i="8"/>
  <c r="J12702" i="8"/>
  <c r="J12701" i="8"/>
  <c r="J12700" i="8"/>
  <c r="J12699" i="8"/>
  <c r="J12698" i="8"/>
  <c r="J12697" i="8"/>
  <c r="J12696" i="8"/>
  <c r="J12695" i="8"/>
  <c r="J12694" i="8"/>
  <c r="J12693" i="8"/>
  <c r="J12692" i="8"/>
  <c r="J12691" i="8"/>
  <c r="J12690" i="8"/>
  <c r="J12689" i="8"/>
  <c r="J12688" i="8"/>
  <c r="J12687" i="8"/>
  <c r="J12686" i="8"/>
  <c r="J12685" i="8"/>
  <c r="J12684" i="8"/>
  <c r="J12683" i="8"/>
  <c r="J12682" i="8"/>
  <c r="J12681" i="8"/>
  <c r="J12680" i="8"/>
  <c r="J12679" i="8"/>
  <c r="J12678" i="8"/>
  <c r="J12677" i="8"/>
  <c r="J12676" i="8"/>
  <c r="J12675" i="8"/>
  <c r="J12674" i="8"/>
  <c r="J12673" i="8"/>
  <c r="J12672" i="8"/>
  <c r="J12671" i="8"/>
  <c r="J12670" i="8"/>
  <c r="J12669" i="8"/>
  <c r="I12665" i="8"/>
  <c r="J12664" i="8"/>
  <c r="J12663" i="8"/>
  <c r="J12662" i="8"/>
  <c r="J12661" i="8"/>
  <c r="J12660" i="8"/>
  <c r="J12659" i="8"/>
  <c r="J12658" i="8"/>
  <c r="J12657" i="8"/>
  <c r="J12656" i="8"/>
  <c r="J12655" i="8"/>
  <c r="J12654" i="8"/>
  <c r="J12653" i="8"/>
  <c r="J12652" i="8"/>
  <c r="J12651" i="8"/>
  <c r="J12650" i="8"/>
  <c r="H12649" i="8"/>
  <c r="H12665" i="8" s="1"/>
  <c r="I12647" i="8"/>
  <c r="J12646" i="8"/>
  <c r="J12645" i="8"/>
  <c r="J12644" i="8"/>
  <c r="J12643" i="8"/>
  <c r="J12642" i="8"/>
  <c r="J12641" i="8"/>
  <c r="J12640" i="8"/>
  <c r="J12639" i="8"/>
  <c r="J12638" i="8"/>
  <c r="J12637" i="8"/>
  <c r="J12636" i="8"/>
  <c r="J12635" i="8"/>
  <c r="J12634" i="8"/>
  <c r="J12633" i="8"/>
  <c r="J12632" i="8"/>
  <c r="H12631" i="8"/>
  <c r="H12647" i="8" s="1"/>
  <c r="J12629" i="8"/>
  <c r="J12628" i="8"/>
  <c r="J12627" i="8"/>
  <c r="J12626" i="8"/>
  <c r="J12625" i="8"/>
  <c r="J12624" i="8"/>
  <c r="J12623" i="8"/>
  <c r="J12622" i="8"/>
  <c r="J12621" i="8"/>
  <c r="J12620" i="8"/>
  <c r="J12619" i="8"/>
  <c r="J12618" i="8"/>
  <c r="J12617" i="8"/>
  <c r="J12616" i="8"/>
  <c r="J12615" i="8"/>
  <c r="J12614" i="8"/>
  <c r="J12613" i="8"/>
  <c r="J12612" i="8"/>
  <c r="J12611" i="8"/>
  <c r="J12610" i="8"/>
  <c r="J12609" i="8"/>
  <c r="J12608" i="8"/>
  <c r="J12607" i="8"/>
  <c r="J12606" i="8"/>
  <c r="J12605" i="8"/>
  <c r="J12604" i="8"/>
  <c r="J12603" i="8"/>
  <c r="J12602" i="8"/>
  <c r="J12601" i="8"/>
  <c r="J12600" i="8"/>
  <c r="J12599" i="8"/>
  <c r="J12598" i="8"/>
  <c r="J12597" i="8"/>
  <c r="J12596" i="8"/>
  <c r="J12595" i="8"/>
  <c r="J12594" i="8"/>
  <c r="J12593" i="8"/>
  <c r="J12592" i="8"/>
  <c r="J12591" i="8"/>
  <c r="J12590" i="8"/>
  <c r="J12589" i="8"/>
  <c r="J12588" i="8"/>
  <c r="J12587" i="8"/>
  <c r="J12586" i="8"/>
  <c r="J12585" i="8"/>
  <c r="J12584" i="8"/>
  <c r="J12583" i="8"/>
  <c r="J12582" i="8"/>
  <c r="J12581" i="8"/>
  <c r="J12580" i="8"/>
  <c r="J12579" i="8"/>
  <c r="J12578" i="8"/>
  <c r="J12577" i="8"/>
  <c r="J12576" i="8"/>
  <c r="J12575" i="8"/>
  <c r="J12574" i="8"/>
  <c r="J12573" i="8"/>
  <c r="J12572" i="8"/>
  <c r="J12571" i="8"/>
  <c r="J12570" i="8"/>
  <c r="I12566" i="8"/>
  <c r="J12565" i="8"/>
  <c r="J12564" i="8"/>
  <c r="J12563" i="8"/>
  <c r="J12562" i="8"/>
  <c r="J12561" i="8"/>
  <c r="J12560" i="8"/>
  <c r="J12559" i="8"/>
  <c r="J12558" i="8"/>
  <c r="J12557" i="8"/>
  <c r="J12556" i="8"/>
  <c r="J12555" i="8"/>
  <c r="J12554" i="8"/>
  <c r="J12553" i="8"/>
  <c r="J12552" i="8"/>
  <c r="J12551" i="8"/>
  <c r="H12550" i="8"/>
  <c r="H12566" i="8" s="1"/>
  <c r="I12548" i="8"/>
  <c r="J12547" i="8"/>
  <c r="J12546" i="8"/>
  <c r="J12545" i="8"/>
  <c r="J12544" i="8"/>
  <c r="J12543" i="8"/>
  <c r="J12542" i="8"/>
  <c r="J12541" i="8"/>
  <c r="J12540" i="8"/>
  <c r="J12539" i="8"/>
  <c r="J12538" i="8"/>
  <c r="J12537" i="8"/>
  <c r="J12536" i="8"/>
  <c r="J12535" i="8"/>
  <c r="J12534" i="8"/>
  <c r="J12533" i="8"/>
  <c r="H12532" i="8"/>
  <c r="H12548" i="8" s="1"/>
  <c r="J12530" i="8"/>
  <c r="J12529" i="8"/>
  <c r="J12528" i="8"/>
  <c r="J12527" i="8"/>
  <c r="J12526" i="8"/>
  <c r="J12525" i="8"/>
  <c r="J12524" i="8"/>
  <c r="J12523" i="8"/>
  <c r="J12522" i="8"/>
  <c r="J12521" i="8"/>
  <c r="J12520" i="8"/>
  <c r="J12519" i="8"/>
  <c r="J12518" i="8"/>
  <c r="J12517" i="8"/>
  <c r="J12516" i="8"/>
  <c r="J12515" i="8"/>
  <c r="J12514" i="8"/>
  <c r="J12513" i="8"/>
  <c r="J12512" i="8"/>
  <c r="J12511" i="8"/>
  <c r="J12510" i="8"/>
  <c r="J12509" i="8"/>
  <c r="J12508" i="8"/>
  <c r="J12507" i="8"/>
  <c r="J12506" i="8"/>
  <c r="J12505" i="8"/>
  <c r="J12504" i="8"/>
  <c r="J12503" i="8"/>
  <c r="J12502" i="8"/>
  <c r="J12501" i="8"/>
  <c r="J12500" i="8"/>
  <c r="J12499" i="8"/>
  <c r="J12498" i="8"/>
  <c r="J12497" i="8"/>
  <c r="J12496" i="8"/>
  <c r="J12495" i="8"/>
  <c r="J12494" i="8"/>
  <c r="J12493" i="8"/>
  <c r="J12492" i="8"/>
  <c r="J12491" i="8"/>
  <c r="J12490" i="8"/>
  <c r="J12489" i="8"/>
  <c r="J12488" i="8"/>
  <c r="J12487" i="8"/>
  <c r="J12486" i="8"/>
  <c r="J12485" i="8"/>
  <c r="J12484" i="8"/>
  <c r="J12483" i="8"/>
  <c r="J12482" i="8"/>
  <c r="J12481" i="8"/>
  <c r="J12480" i="8"/>
  <c r="J12479" i="8"/>
  <c r="J12478" i="8"/>
  <c r="J12477" i="8"/>
  <c r="J12476" i="8"/>
  <c r="J12475" i="8"/>
  <c r="J12474" i="8"/>
  <c r="J12473" i="8"/>
  <c r="J12472" i="8"/>
  <c r="J12471" i="8"/>
  <c r="I12467" i="8"/>
  <c r="J12466" i="8"/>
  <c r="J12465" i="8"/>
  <c r="J12464" i="8"/>
  <c r="J12463" i="8"/>
  <c r="J12462" i="8"/>
  <c r="J12461" i="8"/>
  <c r="J12460" i="8"/>
  <c r="J12459" i="8"/>
  <c r="J12458" i="8"/>
  <c r="J12457" i="8"/>
  <c r="J12456" i="8"/>
  <c r="J12455" i="8"/>
  <c r="J12454" i="8"/>
  <c r="J12453" i="8"/>
  <c r="J12452" i="8"/>
  <c r="H12451" i="8"/>
  <c r="H12467" i="8" s="1"/>
  <c r="I12449" i="8"/>
  <c r="J12448" i="8"/>
  <c r="J12447" i="8"/>
  <c r="J12446" i="8"/>
  <c r="J12445" i="8"/>
  <c r="J12444" i="8"/>
  <c r="J12443" i="8"/>
  <c r="J12442" i="8"/>
  <c r="J12441" i="8"/>
  <c r="J12440" i="8"/>
  <c r="J12439" i="8"/>
  <c r="J12438" i="8"/>
  <c r="J12437" i="8"/>
  <c r="J12436" i="8"/>
  <c r="J12435" i="8"/>
  <c r="J12434" i="8"/>
  <c r="H12433" i="8"/>
  <c r="H12449" i="8" s="1"/>
  <c r="J12431" i="8"/>
  <c r="J12430" i="8"/>
  <c r="J12429" i="8"/>
  <c r="J12428" i="8"/>
  <c r="J12427" i="8"/>
  <c r="J12426" i="8"/>
  <c r="J12425" i="8"/>
  <c r="J12424" i="8"/>
  <c r="J12423" i="8"/>
  <c r="J12422" i="8"/>
  <c r="J12421" i="8"/>
  <c r="J12420" i="8"/>
  <c r="J12419" i="8"/>
  <c r="J12418" i="8"/>
  <c r="J12417" i="8"/>
  <c r="J12416" i="8"/>
  <c r="J12415" i="8"/>
  <c r="J12414" i="8"/>
  <c r="J12413" i="8"/>
  <c r="J12412" i="8"/>
  <c r="J12411" i="8"/>
  <c r="J12410" i="8"/>
  <c r="J12409" i="8"/>
  <c r="J12408" i="8"/>
  <c r="J12407" i="8"/>
  <c r="J12406" i="8"/>
  <c r="J12405" i="8"/>
  <c r="J12404" i="8"/>
  <c r="J12403" i="8"/>
  <c r="J12402" i="8"/>
  <c r="J12401" i="8"/>
  <c r="J12400" i="8"/>
  <c r="J12399" i="8"/>
  <c r="J12398" i="8"/>
  <c r="J12397" i="8"/>
  <c r="J12396" i="8"/>
  <c r="J12395" i="8"/>
  <c r="J12394" i="8"/>
  <c r="J12393" i="8"/>
  <c r="J12392" i="8"/>
  <c r="J12391" i="8"/>
  <c r="J12390" i="8"/>
  <c r="J12389" i="8"/>
  <c r="J12388" i="8"/>
  <c r="J12387" i="8"/>
  <c r="J12386" i="8"/>
  <c r="J12385" i="8"/>
  <c r="J12384" i="8"/>
  <c r="J12383" i="8"/>
  <c r="J12382" i="8"/>
  <c r="J12381" i="8"/>
  <c r="J12380" i="8"/>
  <c r="J12379" i="8"/>
  <c r="J12378" i="8"/>
  <c r="J12377" i="8"/>
  <c r="J12376" i="8"/>
  <c r="J12375" i="8"/>
  <c r="J12374" i="8"/>
  <c r="J12373" i="8"/>
  <c r="J12372" i="8"/>
  <c r="H9551" i="8"/>
  <c r="H9069" i="8"/>
  <c r="I9141" i="8"/>
  <c r="J9140" i="8"/>
  <c r="J9139" i="8"/>
  <c r="J9138" i="8"/>
  <c r="J9137" i="8"/>
  <c r="J9136" i="8"/>
  <c r="J9135" i="8"/>
  <c r="J9134" i="8"/>
  <c r="J9133" i="8"/>
  <c r="J9132" i="8"/>
  <c r="J9131" i="8"/>
  <c r="J9130" i="8"/>
  <c r="J9129" i="8"/>
  <c r="J9128" i="8"/>
  <c r="J9127" i="8"/>
  <c r="J9126" i="8"/>
  <c r="H8829" i="8"/>
  <c r="H8811" i="8"/>
  <c r="H8631" i="8"/>
  <c r="H8613" i="8"/>
  <c r="I9002" i="8"/>
  <c r="J9001" i="8"/>
  <c r="J9000" i="8"/>
  <c r="J8999" i="8"/>
  <c r="J8998" i="8"/>
  <c r="J8997" i="8"/>
  <c r="J8996" i="8"/>
  <c r="J8995" i="8"/>
  <c r="J8994" i="8"/>
  <c r="J8993" i="8"/>
  <c r="J8992" i="8"/>
  <c r="J8991" i="8"/>
  <c r="J8990" i="8"/>
  <c r="J8989" i="8"/>
  <c r="J8988" i="8"/>
  <c r="J8987" i="8"/>
  <c r="I8983" i="8"/>
  <c r="J8982" i="8"/>
  <c r="J8981" i="8"/>
  <c r="J8980" i="8"/>
  <c r="J8979" i="8"/>
  <c r="J8978" i="8"/>
  <c r="J8977" i="8"/>
  <c r="J8976" i="8"/>
  <c r="J8975" i="8"/>
  <c r="J8974" i="8"/>
  <c r="J8973" i="8"/>
  <c r="J8972" i="8"/>
  <c r="J8971" i="8"/>
  <c r="J8970" i="8"/>
  <c r="J8969" i="8"/>
  <c r="J8968" i="8"/>
  <c r="H8967" i="8"/>
  <c r="H8983" i="8" s="1"/>
  <c r="I8965" i="8"/>
  <c r="J8964" i="8"/>
  <c r="J8963" i="8"/>
  <c r="J8962" i="8"/>
  <c r="J8961" i="8"/>
  <c r="J8960" i="8"/>
  <c r="J8959" i="8"/>
  <c r="J8958" i="8"/>
  <c r="J8957" i="8"/>
  <c r="J8956" i="8"/>
  <c r="J8955" i="8"/>
  <c r="J8954" i="8"/>
  <c r="J8953" i="8"/>
  <c r="J8952" i="8"/>
  <c r="J8951" i="8"/>
  <c r="J8950" i="8"/>
  <c r="H8949" i="8"/>
  <c r="H8965" i="8" s="1"/>
  <c r="I8934" i="8"/>
  <c r="J8933" i="8"/>
  <c r="J8932" i="8"/>
  <c r="J8931" i="8"/>
  <c r="J8930" i="8"/>
  <c r="J8929" i="8"/>
  <c r="J8928" i="8"/>
  <c r="J8927" i="8"/>
  <c r="J8926" i="8"/>
  <c r="J8925" i="8"/>
  <c r="J8924" i="8"/>
  <c r="J8923" i="8"/>
  <c r="J8922" i="8"/>
  <c r="J8921" i="8"/>
  <c r="J8920" i="8"/>
  <c r="J8919" i="8"/>
  <c r="H8918" i="8"/>
  <c r="H8934" i="8" s="1"/>
  <c r="I8916" i="8"/>
  <c r="J8915" i="8"/>
  <c r="J8914" i="8"/>
  <c r="J8913" i="8"/>
  <c r="J8912" i="8"/>
  <c r="J8911" i="8"/>
  <c r="J8910" i="8"/>
  <c r="J8909" i="8"/>
  <c r="J8908" i="8"/>
  <c r="J8907" i="8"/>
  <c r="J8906" i="8"/>
  <c r="J8905" i="8"/>
  <c r="J8904" i="8"/>
  <c r="J8903" i="8"/>
  <c r="J8902" i="8"/>
  <c r="J8901" i="8"/>
  <c r="H8900" i="8"/>
  <c r="H8916" i="8" s="1"/>
  <c r="H2233" i="8"/>
  <c r="H2249" i="8" s="1"/>
  <c r="H2215" i="8"/>
  <c r="H2231" i="8" s="1"/>
  <c r="I2249" i="8"/>
  <c r="J2248" i="8"/>
  <c r="J2247" i="8"/>
  <c r="J2246" i="8"/>
  <c r="J2245" i="8"/>
  <c r="J2244" i="8"/>
  <c r="J2243" i="8"/>
  <c r="J2242" i="8"/>
  <c r="J2241" i="8"/>
  <c r="J2240" i="8"/>
  <c r="J2239" i="8"/>
  <c r="J2238" i="8"/>
  <c r="J2237" i="8"/>
  <c r="J2236" i="8"/>
  <c r="J2235" i="8"/>
  <c r="J2234" i="8"/>
  <c r="I2231" i="8"/>
  <c r="J2230" i="8"/>
  <c r="J2229" i="8"/>
  <c r="J2228" i="8"/>
  <c r="J2227" i="8"/>
  <c r="J2226" i="8"/>
  <c r="J2225" i="8"/>
  <c r="J2224" i="8"/>
  <c r="J2223" i="8"/>
  <c r="J2222" i="8"/>
  <c r="J2221" i="8"/>
  <c r="J2220" i="8"/>
  <c r="J2219" i="8"/>
  <c r="J2218" i="8"/>
  <c r="J2217" i="8"/>
  <c r="J2216" i="8"/>
  <c r="G35" i="7" l="1"/>
  <c r="F34" i="7"/>
  <c r="J12847" i="8"/>
  <c r="J12863" i="8" s="1"/>
  <c r="J12829" i="8"/>
  <c r="J12845" i="8" s="1"/>
  <c r="J13027" i="8"/>
  <c r="J13043" i="8" s="1"/>
  <c r="J13045" i="8"/>
  <c r="J13061" i="8" s="1"/>
  <c r="J12928" i="8"/>
  <c r="J12944" i="8" s="1"/>
  <c r="J12946" i="8"/>
  <c r="J12962" i="8" s="1"/>
  <c r="J12730" i="8"/>
  <c r="J12746" i="8" s="1"/>
  <c r="J12748" i="8"/>
  <c r="J12764" i="8" s="1"/>
  <c r="J12631" i="8"/>
  <c r="J12647" i="8" s="1"/>
  <c r="J12649" i="8"/>
  <c r="J12665" i="8" s="1"/>
  <c r="J12532" i="8"/>
  <c r="J12548" i="8" s="1"/>
  <c r="J12550" i="8"/>
  <c r="J12566" i="8" s="1"/>
  <c r="J12433" i="8"/>
  <c r="J12449" i="8" s="1"/>
  <c r="J12451" i="8"/>
  <c r="J12467" i="8" s="1"/>
  <c r="H8986" i="8"/>
  <c r="H9002" i="8" s="1"/>
  <c r="J8918" i="8"/>
  <c r="J8934" i="8" s="1"/>
  <c r="J8967" i="8"/>
  <c r="J8983" i="8" s="1"/>
  <c r="J8900" i="8"/>
  <c r="J8916" i="8" s="1"/>
  <c r="J8949" i="8"/>
  <c r="J8965" i="8" s="1"/>
  <c r="J2215" i="8"/>
  <c r="J2231" i="8" s="1"/>
  <c r="J2233" i="8"/>
  <c r="J2249" i="8" s="1"/>
  <c r="G34" i="7" l="1"/>
  <c r="F33" i="7"/>
  <c r="G33" i="7" s="1"/>
  <c r="J8986" i="8"/>
  <c r="J9002" i="8" s="1"/>
  <c r="D138" i="7"/>
  <c r="C108" i="7"/>
  <c r="C109" i="7"/>
  <c r="C107" i="7"/>
  <c r="H7415" i="8"/>
  <c r="H7397" i="8"/>
  <c r="H7374" i="8"/>
  <c r="E57" i="5"/>
  <c r="E58" i="5"/>
  <c r="E59" i="5"/>
  <c r="E60" i="5"/>
  <c r="E61" i="5"/>
  <c r="E62" i="5"/>
  <c r="C58" i="5"/>
  <c r="C59" i="5"/>
  <c r="C60" i="5"/>
  <c r="C61" i="5"/>
  <c r="C62" i="5"/>
  <c r="C57" i="5"/>
  <c r="H88" i="8"/>
  <c r="H288" i="8"/>
  <c r="H189" i="8"/>
  <c r="H13975" i="8"/>
  <c r="H13875" i="8"/>
  <c r="H13522" i="8"/>
  <c r="H13284" i="8"/>
  <c r="H12352" i="8"/>
  <c r="H12114" i="8"/>
  <c r="H11876" i="8"/>
  <c r="H11637" i="8"/>
  <c r="H11435" i="8"/>
  <c r="H11336" i="8"/>
  <c r="H11237" i="8"/>
  <c r="H10998" i="8"/>
  <c r="H10899" i="8"/>
  <c r="H10800" i="8"/>
  <c r="H9429" i="8"/>
  <c r="H1890" i="8"/>
  <c r="H14908" i="8"/>
  <c r="H14749" i="8"/>
  <c r="H14650" i="8"/>
  <c r="H14511" i="8"/>
  <c r="H14412" i="8"/>
  <c r="H14313" i="8"/>
  <c r="H14214" i="8"/>
  <c r="H14115" i="8"/>
  <c r="H13423" i="8"/>
  <c r="H13185" i="8"/>
  <c r="H12253" i="8"/>
  <c r="H12015" i="8"/>
  <c r="H11777" i="8"/>
  <c r="H11538" i="8"/>
  <c r="H11138" i="8"/>
  <c r="H10701" i="8"/>
  <c r="H10602" i="8"/>
  <c r="H10085" i="8"/>
  <c r="H9986" i="8"/>
  <c r="H9668" i="8"/>
  <c r="H9569" i="8"/>
  <c r="H9330" i="8"/>
  <c r="H9231" i="8"/>
  <c r="H7284" i="8"/>
  <c r="H9087" i="8"/>
  <c r="H9106" i="8" s="1"/>
  <c r="H9125" i="8" s="1"/>
  <c r="H651" i="8"/>
  <c r="H669" i="8" s="1"/>
  <c r="H106" i="8"/>
  <c r="H525" i="8" s="1"/>
  <c r="H10481" i="8"/>
  <c r="H10382" i="8"/>
  <c r="H7497" i="8"/>
  <c r="H7329" i="8"/>
  <c r="H633" i="8"/>
  <c r="H270" i="8"/>
  <c r="H171" i="8"/>
  <c r="H14890" i="8"/>
  <c r="H14731" i="8"/>
  <c r="H14632" i="8"/>
  <c r="H14493" i="8"/>
  <c r="H14394" i="8"/>
  <c r="H14295" i="8"/>
  <c r="H14196" i="8"/>
  <c r="H14097" i="8"/>
  <c r="H13957" i="8"/>
  <c r="H13857" i="8"/>
  <c r="H13504" i="8"/>
  <c r="H13405" i="8"/>
  <c r="H13266" i="8"/>
  <c r="H13167" i="8"/>
  <c r="H12334" i="8"/>
  <c r="H12235" i="8"/>
  <c r="H12096" i="8"/>
  <c r="H11997" i="8"/>
  <c r="H11858" i="8"/>
  <c r="H11759" i="8"/>
  <c r="H11619" i="8"/>
  <c r="H11520" i="8"/>
  <c r="H11417" i="8"/>
  <c r="H11318" i="8"/>
  <c r="H11219" i="8"/>
  <c r="H11120" i="8"/>
  <c r="H10980" i="8"/>
  <c r="H10881" i="8"/>
  <c r="H10782" i="8"/>
  <c r="H10683" i="8"/>
  <c r="H10584" i="8"/>
  <c r="H10463" i="8"/>
  <c r="H10364" i="8"/>
  <c r="H10067" i="8"/>
  <c r="H9968" i="8"/>
  <c r="H9650" i="8"/>
  <c r="H9411" i="8"/>
  <c r="H9312" i="8"/>
  <c r="H9213" i="8"/>
  <c r="H7479" i="8"/>
  <c r="H7311" i="8"/>
  <c r="H7266" i="8"/>
  <c r="H1872" i="8"/>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34" i="7"/>
  <c r="G534" i="7" s="1"/>
  <c r="D533" i="7"/>
  <c r="D532" i="7"/>
  <c r="D531" i="7"/>
  <c r="G531" i="7" s="1"/>
  <c r="D530" i="7"/>
  <c r="G530" i="7" s="1"/>
  <c r="D529" i="7"/>
  <c r="D528" i="7"/>
  <c r="D527" i="7"/>
  <c r="G527" i="7" s="1"/>
  <c r="D526" i="7"/>
  <c r="G526" i="7" s="1"/>
  <c r="D525" i="7"/>
  <c r="D524" i="7"/>
  <c r="D523" i="7"/>
  <c r="G523" i="7" s="1"/>
  <c r="D522" i="7"/>
  <c r="G522" i="7" s="1"/>
  <c r="D521" i="7"/>
  <c r="D520" i="7"/>
  <c r="D519" i="7"/>
  <c r="G519" i="7" s="1"/>
  <c r="D518" i="7"/>
  <c r="G518" i="7" s="1"/>
  <c r="D517" i="7"/>
  <c r="D516" i="7"/>
  <c r="D515" i="7"/>
  <c r="G515" i="7" s="1"/>
  <c r="D514" i="7"/>
  <c r="G514" i="7" s="1"/>
  <c r="D513" i="7"/>
  <c r="D512" i="7"/>
  <c r="D511" i="7"/>
  <c r="G511" i="7" s="1"/>
  <c r="D510" i="7"/>
  <c r="G510" i="7" s="1"/>
  <c r="D509" i="7"/>
  <c r="D508" i="7"/>
  <c r="D507" i="7"/>
  <c r="G507" i="7" s="1"/>
  <c r="D506" i="7"/>
  <c r="G506" i="7" s="1"/>
  <c r="D505" i="7"/>
  <c r="D504" i="7"/>
  <c r="D503" i="7"/>
  <c r="G503" i="7" s="1"/>
  <c r="D502" i="7"/>
  <c r="G502" i="7" s="1"/>
  <c r="D501" i="7"/>
  <c r="D500" i="7"/>
  <c r="D499" i="7"/>
  <c r="G499" i="7" s="1"/>
  <c r="D498" i="7"/>
  <c r="G498" i="7" s="1"/>
  <c r="D497" i="7"/>
  <c r="D496" i="7"/>
  <c r="D495" i="7"/>
  <c r="G495" i="7" s="1"/>
  <c r="D494" i="7"/>
  <c r="G494" i="7" s="1"/>
  <c r="D493" i="7"/>
  <c r="D492" i="7"/>
  <c r="D491" i="7"/>
  <c r="G491" i="7" s="1"/>
  <c r="D490" i="7"/>
  <c r="G490" i="7" s="1"/>
  <c r="D489" i="7"/>
  <c r="D488" i="7"/>
  <c r="D487" i="7"/>
  <c r="G487" i="7" s="1"/>
  <c r="D486" i="7"/>
  <c r="D485" i="7"/>
  <c r="D478" i="7"/>
  <c r="G478" i="7" s="1"/>
  <c r="D477" i="7"/>
  <c r="G477" i="7" s="1"/>
  <c r="D476" i="7"/>
  <c r="G476" i="7" s="1"/>
  <c r="D475" i="7"/>
  <c r="G475" i="7" s="1"/>
  <c r="D474" i="7"/>
  <c r="G474" i="7" s="1"/>
  <c r="D473" i="7"/>
  <c r="G473" i="7" s="1"/>
  <c r="D472" i="7"/>
  <c r="G472" i="7" s="1"/>
  <c r="D471" i="7"/>
  <c r="G471" i="7" s="1"/>
  <c r="D470" i="7"/>
  <c r="G470" i="7" s="1"/>
  <c r="D469" i="7"/>
  <c r="G469" i="7" s="1"/>
  <c r="D468" i="7"/>
  <c r="G468" i="7" s="1"/>
  <c r="D467" i="7"/>
  <c r="G467" i="7" s="1"/>
  <c r="D466" i="7"/>
  <c r="G466" i="7" s="1"/>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437" i="7"/>
  <c r="G437" i="7" s="1"/>
  <c r="D436" i="7"/>
  <c r="G436" i="7" s="1"/>
  <c r="D392" i="7"/>
  <c r="G392" i="7" s="1"/>
  <c r="D420" i="7"/>
  <c r="G420" i="7" s="1"/>
  <c r="D419" i="7"/>
  <c r="G419" i="7" s="1"/>
  <c r="D418" i="7"/>
  <c r="G418" i="7" s="1"/>
  <c r="D417" i="7"/>
  <c r="G417" i="7" s="1"/>
  <c r="D416" i="7"/>
  <c r="G416" i="7" s="1"/>
  <c r="D415" i="7"/>
  <c r="G415" i="7" s="1"/>
  <c r="D414" i="7"/>
  <c r="G414" i="7" s="1"/>
  <c r="D413" i="7"/>
  <c r="G413"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94" i="7"/>
  <c r="G394" i="7" s="1"/>
  <c r="D393" i="7"/>
  <c r="G393" i="7" s="1"/>
  <c r="D386" i="7"/>
  <c r="G386" i="7" s="1"/>
  <c r="D385" i="7"/>
  <c r="G385" i="7" s="1"/>
  <c r="D384" i="7"/>
  <c r="G384" i="7" s="1"/>
  <c r="D383" i="7"/>
  <c r="G383" i="7" s="1"/>
  <c r="D382" i="7"/>
  <c r="G382" i="7" s="1"/>
  <c r="D381" i="7"/>
  <c r="G381"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59" i="7"/>
  <c r="G359" i="7" s="1"/>
  <c r="D358" i="7"/>
  <c r="G358" i="7" s="1"/>
  <c r="D347" i="7"/>
  <c r="G347" i="7" s="1"/>
  <c r="D346" i="7"/>
  <c r="G346" i="7" s="1"/>
  <c r="D345" i="7"/>
  <c r="G345"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21" i="7"/>
  <c r="G321" i="7" s="1"/>
  <c r="D320" i="7"/>
  <c r="G320" i="7" s="1"/>
  <c r="D315" i="7"/>
  <c r="G315" i="7" s="1"/>
  <c r="D314" i="7"/>
  <c r="G314" i="7" s="1"/>
  <c r="D313" i="7"/>
  <c r="G313"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9" i="7"/>
  <c r="G289" i="7" s="1"/>
  <c r="D288" i="7"/>
  <c r="G288" i="7" s="1"/>
  <c r="D283" i="7"/>
  <c r="G283" i="7" s="1"/>
  <c r="D282" i="7"/>
  <c r="G282" i="7" s="1"/>
  <c r="D281" i="7"/>
  <c r="G281"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7" i="7"/>
  <c r="G257" i="7" s="1"/>
  <c r="D256" i="7"/>
  <c r="G256" i="7" s="1"/>
  <c r="D251" i="7"/>
  <c r="G251" i="7" s="1"/>
  <c r="D250" i="7"/>
  <c r="G250" i="7" s="1"/>
  <c r="D249" i="7"/>
  <c r="G249" i="7" s="1"/>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D208" i="7"/>
  <c r="G208" i="7" s="1"/>
  <c r="D207" i="7"/>
  <c r="G207" i="7" s="1"/>
  <c r="D206" i="7"/>
  <c r="G206" i="7" s="1"/>
  <c r="D205" i="7"/>
  <c r="G205" i="7" s="1"/>
  <c r="D357" i="7"/>
  <c r="G357" i="7" s="1"/>
  <c r="F196" i="7"/>
  <c r="F195" i="7"/>
  <c r="F194" i="7"/>
  <c r="F193" i="7"/>
  <c r="F192" i="7"/>
  <c r="F191" i="7"/>
  <c r="F190" i="7"/>
  <c r="F189" i="7"/>
  <c r="F188" i="7"/>
  <c r="F187" i="7"/>
  <c r="F186" i="7"/>
  <c r="F185" i="7"/>
  <c r="F184" i="7"/>
  <c r="F183" i="7"/>
  <c r="D196" i="7"/>
  <c r="D195" i="7"/>
  <c r="D194" i="7"/>
  <c r="D193" i="7"/>
  <c r="D192" i="7"/>
  <c r="D191" i="7"/>
  <c r="D190" i="7"/>
  <c r="D189" i="7"/>
  <c r="D188" i="7"/>
  <c r="D187" i="7"/>
  <c r="D186"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485"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57"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18"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54" i="7"/>
  <c r="C205" i="7"/>
  <c r="C206"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184" i="7"/>
  <c r="C186" i="7"/>
  <c r="C187" i="7"/>
  <c r="C188" i="7"/>
  <c r="C189" i="7"/>
  <c r="C190" i="7"/>
  <c r="C191" i="7"/>
  <c r="C192" i="7"/>
  <c r="C193" i="7"/>
  <c r="C194" i="7"/>
  <c r="C195" i="7"/>
  <c r="C196" i="7"/>
  <c r="C162" i="7"/>
  <c r="C163" i="7"/>
  <c r="C164" i="7"/>
  <c r="C165" i="7"/>
  <c r="C166" i="7"/>
  <c r="C167" i="7"/>
  <c r="C168" i="7"/>
  <c r="C169" i="7"/>
  <c r="C170" i="7"/>
  <c r="C171" i="7"/>
  <c r="C172" i="7"/>
  <c r="C173" i="7"/>
  <c r="C174" i="7"/>
  <c r="C175" i="7"/>
  <c r="C176" i="7"/>
  <c r="F176" i="7"/>
  <c r="F175" i="7"/>
  <c r="F174" i="7"/>
  <c r="F173" i="7"/>
  <c r="F172" i="7"/>
  <c r="F171" i="7"/>
  <c r="F170" i="7"/>
  <c r="F169" i="7"/>
  <c r="F168" i="7"/>
  <c r="F167" i="7"/>
  <c r="F166" i="7"/>
  <c r="F165" i="7"/>
  <c r="F164" i="7"/>
  <c r="F163" i="7"/>
  <c r="F162" i="7"/>
  <c r="D176" i="7"/>
  <c r="D175" i="7"/>
  <c r="D174" i="7"/>
  <c r="D173" i="7"/>
  <c r="D172" i="7"/>
  <c r="D171" i="7"/>
  <c r="D170" i="7"/>
  <c r="D169" i="7"/>
  <c r="D168" i="7"/>
  <c r="D167" i="7"/>
  <c r="D166" i="7"/>
  <c r="D165" i="7"/>
  <c r="D164" i="7"/>
  <c r="D162" i="7"/>
  <c r="D163" i="7"/>
  <c r="F157" i="7"/>
  <c r="F156" i="7"/>
  <c r="F155" i="7"/>
  <c r="F154" i="7"/>
  <c r="F153" i="7"/>
  <c r="F152" i="7"/>
  <c r="F151" i="7"/>
  <c r="F150" i="7"/>
  <c r="F149" i="7"/>
  <c r="F148" i="7"/>
  <c r="F147" i="7"/>
  <c r="F146" i="7"/>
  <c r="F145" i="7"/>
  <c r="F144" i="7"/>
  <c r="F143" i="7"/>
  <c r="F142" i="7"/>
  <c r="F141" i="7"/>
  <c r="F140" i="7"/>
  <c r="F139" i="7"/>
  <c r="F138" i="7"/>
  <c r="D157" i="7"/>
  <c r="D156" i="7"/>
  <c r="D155" i="7"/>
  <c r="D154" i="7"/>
  <c r="D153" i="7"/>
  <c r="D152" i="7"/>
  <c r="D151" i="7"/>
  <c r="D150" i="7"/>
  <c r="D149" i="7"/>
  <c r="D148" i="7"/>
  <c r="D147" i="7"/>
  <c r="D146" i="7"/>
  <c r="D145" i="7"/>
  <c r="D144" i="7"/>
  <c r="D143" i="7"/>
  <c r="D142" i="7"/>
  <c r="D141" i="7"/>
  <c r="D140" i="7"/>
  <c r="D139" i="7"/>
  <c r="C135" i="7"/>
  <c r="C140" i="7"/>
  <c r="C141" i="7"/>
  <c r="C142" i="7"/>
  <c r="C143" i="7"/>
  <c r="C144" i="7"/>
  <c r="C145" i="7"/>
  <c r="C146" i="7"/>
  <c r="C147" i="7"/>
  <c r="C148" i="7"/>
  <c r="C149" i="7"/>
  <c r="C150" i="7"/>
  <c r="C151" i="7"/>
  <c r="C152" i="7"/>
  <c r="C153" i="7"/>
  <c r="C154" i="7"/>
  <c r="C155" i="7"/>
  <c r="C156" i="7"/>
  <c r="C157" i="7"/>
  <c r="C134" i="7"/>
  <c r="F130" i="7"/>
  <c r="F129" i="7"/>
  <c r="F128" i="7"/>
  <c r="F127" i="7"/>
  <c r="F126" i="7"/>
  <c r="F125" i="7"/>
  <c r="F124" i="7"/>
  <c r="F123" i="7"/>
  <c r="F122" i="7"/>
  <c r="F121" i="7"/>
  <c r="F120" i="7"/>
  <c r="F119" i="7"/>
  <c r="F118" i="7"/>
  <c r="F117" i="7"/>
  <c r="F116" i="7"/>
  <c r="F115" i="7"/>
  <c r="F114" i="7"/>
  <c r="F113" i="7"/>
  <c r="F112" i="7"/>
  <c r="F111" i="7"/>
  <c r="F110" i="7"/>
  <c r="F109" i="7"/>
  <c r="F108" i="7"/>
  <c r="F107" i="7"/>
  <c r="D130" i="7"/>
  <c r="G130" i="7" s="1"/>
  <c r="D129" i="7"/>
  <c r="G129" i="7" s="1"/>
  <c r="D128" i="7"/>
  <c r="G128" i="7" s="1"/>
  <c r="D127" i="7"/>
  <c r="G127" i="7" s="1"/>
  <c r="D126" i="7"/>
  <c r="G126" i="7" s="1"/>
  <c r="D125" i="7"/>
  <c r="G125" i="7" s="1"/>
  <c r="D124" i="7"/>
  <c r="G124" i="7" s="1"/>
  <c r="D123" i="7"/>
  <c r="G123" i="7" s="1"/>
  <c r="D122" i="7"/>
  <c r="G122" i="7" s="1"/>
  <c r="D121" i="7"/>
  <c r="G121" i="7" s="1"/>
  <c r="D120" i="7"/>
  <c r="G120" i="7" s="1"/>
  <c r="D119" i="7"/>
  <c r="G119" i="7" s="1"/>
  <c r="D118" i="7"/>
  <c r="G118" i="7" s="1"/>
  <c r="D117" i="7"/>
  <c r="G117" i="7" s="1"/>
  <c r="D116" i="7"/>
  <c r="D115" i="7"/>
  <c r="G115" i="7" s="1"/>
  <c r="D114" i="7"/>
  <c r="G114" i="7" s="1"/>
  <c r="D113" i="7"/>
  <c r="G113" i="7" s="1"/>
  <c r="D112" i="7"/>
  <c r="G112" i="7" s="1"/>
  <c r="D111" i="7"/>
  <c r="G111" i="7" s="1"/>
  <c r="D110" i="7"/>
  <c r="G110" i="7" s="1"/>
  <c r="D109" i="7"/>
  <c r="G109" i="7" s="1"/>
  <c r="D108" i="7"/>
  <c r="G108" i="7" s="1"/>
  <c r="C51" i="7"/>
  <c r="D51" i="7"/>
  <c r="F5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5" i="7"/>
  <c r="F64" i="7"/>
  <c r="F63" i="7"/>
  <c r="F62" i="7"/>
  <c r="F61" i="7"/>
  <c r="F60" i="7"/>
  <c r="F59" i="7"/>
  <c r="F58" i="7"/>
  <c r="F57" i="7"/>
  <c r="F56" i="7"/>
  <c r="F55" i="7"/>
  <c r="F54" i="7"/>
  <c r="F53" i="7"/>
  <c r="F52" i="7"/>
  <c r="D100" i="7"/>
  <c r="D99" i="7"/>
  <c r="D98" i="7"/>
  <c r="D97" i="7"/>
  <c r="D96" i="7"/>
  <c r="D95" i="7"/>
  <c r="D94" i="7"/>
  <c r="D93" i="7"/>
  <c r="D92" i="7"/>
  <c r="D91" i="7"/>
  <c r="D90" i="7"/>
  <c r="D89" i="7"/>
  <c r="D88" i="7"/>
  <c r="D87" i="7"/>
  <c r="D86" i="7"/>
  <c r="D85" i="7"/>
  <c r="D84" i="7"/>
  <c r="D83" i="7"/>
  <c r="D81" i="7"/>
  <c r="D82" i="7"/>
  <c r="D80" i="7"/>
  <c r="D79" i="7"/>
  <c r="D78" i="7"/>
  <c r="D77" i="7"/>
  <c r="D76" i="7"/>
  <c r="D75" i="7"/>
  <c r="D74" i="7"/>
  <c r="D73" i="7"/>
  <c r="D72" i="7"/>
  <c r="D71" i="7"/>
  <c r="D70" i="7"/>
  <c r="D69" i="7"/>
  <c r="D68" i="7"/>
  <c r="D67" i="7"/>
  <c r="D65" i="7"/>
  <c r="D64" i="7"/>
  <c r="D63" i="7"/>
  <c r="D62" i="7"/>
  <c r="D61" i="7"/>
  <c r="D60" i="7"/>
  <c r="D59" i="7"/>
  <c r="D58" i="7"/>
  <c r="D57" i="7"/>
  <c r="D56" i="7"/>
  <c r="D55" i="7"/>
  <c r="D54" i="7"/>
  <c r="D53" i="7"/>
  <c r="D52"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H1906" i="8" l="1"/>
  <c r="H2297" i="8"/>
  <c r="J669" i="8"/>
  <c r="J685" i="8" s="1"/>
  <c r="H685" i="8"/>
  <c r="J525" i="8"/>
  <c r="J541" i="8" s="1"/>
  <c r="H544" i="8"/>
  <c r="H541" i="8"/>
  <c r="H816" i="8"/>
  <c r="H835" i="8" s="1"/>
  <c r="H851" i="8" s="1"/>
  <c r="D8" i="7"/>
  <c r="H13065" i="8"/>
  <c r="H13084" i="8" s="1"/>
  <c r="G488" i="7"/>
  <c r="G492" i="7"/>
  <c r="G496" i="7"/>
  <c r="G500" i="7"/>
  <c r="G504" i="7"/>
  <c r="G508" i="7"/>
  <c r="G512" i="7"/>
  <c r="G516" i="7"/>
  <c r="G520" i="7"/>
  <c r="G524" i="7"/>
  <c r="G528" i="7"/>
  <c r="G532" i="7"/>
  <c r="D107" i="7"/>
  <c r="G107" i="7" s="1"/>
  <c r="H10501" i="8"/>
  <c r="H7434" i="8"/>
  <c r="H13674" i="8"/>
  <c r="F60" i="5"/>
  <c r="G116" i="7"/>
  <c r="G489" i="7"/>
  <c r="G493" i="7"/>
  <c r="G497" i="7"/>
  <c r="G501" i="7"/>
  <c r="G505" i="7"/>
  <c r="G509" i="7"/>
  <c r="G513" i="7"/>
  <c r="G517" i="7"/>
  <c r="G521" i="7"/>
  <c r="G525" i="7"/>
  <c r="G529" i="7"/>
  <c r="G533" i="7"/>
  <c r="F61" i="5"/>
  <c r="F57" i="5"/>
  <c r="F62" i="5"/>
  <c r="F58" i="5"/>
  <c r="F59" i="5"/>
  <c r="G551" i="7"/>
  <c r="G555" i="7"/>
  <c r="G559" i="7"/>
  <c r="G563" i="7"/>
  <c r="G567" i="7"/>
  <c r="G571" i="7"/>
  <c r="G575" i="7"/>
  <c r="G579" i="7"/>
  <c r="G583" i="7"/>
  <c r="G587" i="7"/>
  <c r="G591" i="7"/>
  <c r="G595" i="7"/>
  <c r="G599" i="7"/>
  <c r="G603" i="7"/>
  <c r="G607" i="7"/>
  <c r="G611" i="7"/>
  <c r="G186" i="7"/>
  <c r="G190" i="7"/>
  <c r="G194" i="7"/>
  <c r="G187" i="7"/>
  <c r="G191" i="7"/>
  <c r="G195" i="7"/>
  <c r="G548" i="7"/>
  <c r="G552" i="7"/>
  <c r="G556" i="7"/>
  <c r="G560" i="7"/>
  <c r="G564" i="7"/>
  <c r="G568" i="7"/>
  <c r="G572" i="7"/>
  <c r="G576" i="7"/>
  <c r="G580" i="7"/>
  <c r="G584" i="7"/>
  <c r="G588" i="7"/>
  <c r="G592" i="7"/>
  <c r="G596" i="7"/>
  <c r="G600" i="7"/>
  <c r="G604" i="7"/>
  <c r="G608" i="7"/>
  <c r="G612" i="7"/>
  <c r="G188" i="7"/>
  <c r="G192" i="7"/>
  <c r="G196" i="7"/>
  <c r="G553" i="7"/>
  <c r="G557" i="7"/>
  <c r="G561" i="7"/>
  <c r="G565" i="7"/>
  <c r="G569" i="7"/>
  <c r="G573" i="7"/>
  <c r="G577" i="7"/>
  <c r="G581" i="7"/>
  <c r="G585" i="7"/>
  <c r="G589" i="7"/>
  <c r="G593" i="7"/>
  <c r="G597" i="7"/>
  <c r="G601" i="7"/>
  <c r="G605" i="7"/>
  <c r="G609" i="7"/>
  <c r="G613" i="7"/>
  <c r="C56" i="5"/>
  <c r="D7" i="7"/>
  <c r="G185" i="7"/>
  <c r="G189" i="7"/>
  <c r="G193" i="7"/>
  <c r="G554" i="7"/>
  <c r="G558" i="7"/>
  <c r="G562" i="7"/>
  <c r="G566" i="7"/>
  <c r="G570" i="7"/>
  <c r="G574" i="7"/>
  <c r="G578" i="7"/>
  <c r="G582" i="7"/>
  <c r="G586" i="7"/>
  <c r="G590" i="7"/>
  <c r="G594" i="7"/>
  <c r="G598" i="7"/>
  <c r="G602" i="7"/>
  <c r="G606" i="7"/>
  <c r="G610" i="7"/>
  <c r="G614" i="7"/>
  <c r="G173" i="7"/>
  <c r="G172" i="7"/>
  <c r="G150" i="7"/>
  <c r="G154" i="7"/>
  <c r="G153" i="7"/>
  <c r="G157" i="7"/>
  <c r="G145" i="7"/>
  <c r="G149" i="7"/>
  <c r="G165" i="7"/>
  <c r="G169" i="7"/>
  <c r="G141" i="7"/>
  <c r="G167" i="7"/>
  <c r="G139" i="7"/>
  <c r="G143" i="7"/>
  <c r="G147" i="7"/>
  <c r="G151" i="7"/>
  <c r="G155" i="7"/>
  <c r="G51" i="7"/>
  <c r="G138" i="7"/>
  <c r="G142" i="7"/>
  <c r="G146" i="7"/>
  <c r="G85" i="7"/>
  <c r="G89" i="7"/>
  <c r="G93" i="7"/>
  <c r="G97" i="7"/>
  <c r="G166" i="7"/>
  <c r="G174" i="7"/>
  <c r="G162" i="7"/>
  <c r="G170" i="7"/>
  <c r="G82" i="7"/>
  <c r="G140" i="7"/>
  <c r="G144" i="7"/>
  <c r="G148" i="7"/>
  <c r="G152" i="7"/>
  <c r="G156" i="7"/>
  <c r="G164" i="7"/>
  <c r="G168" i="7"/>
  <c r="G176" i="7"/>
  <c r="G163" i="7"/>
  <c r="G171" i="7"/>
  <c r="G175" i="7"/>
  <c r="G55" i="7"/>
  <c r="G63" i="7"/>
  <c r="G75" i="7"/>
  <c r="G87" i="7"/>
  <c r="G99" i="7"/>
  <c r="G59" i="7"/>
  <c r="G67" i="7"/>
  <c r="G71" i="7"/>
  <c r="G79" i="7"/>
  <c r="G83" i="7"/>
  <c r="G91" i="7"/>
  <c r="G95" i="7"/>
  <c r="G58" i="7"/>
  <c r="G62" i="7"/>
  <c r="G66" i="7"/>
  <c r="G70" i="7"/>
  <c r="G74" i="7"/>
  <c r="G78" i="7"/>
  <c r="G86" i="7"/>
  <c r="G90" i="7"/>
  <c r="G94" i="7"/>
  <c r="G98" i="7"/>
  <c r="G81" i="7"/>
  <c r="G61" i="7"/>
  <c r="G65" i="7"/>
  <c r="G73" i="7"/>
  <c r="G57" i="7"/>
  <c r="G69" i="7"/>
  <c r="G77" i="7"/>
  <c r="G56" i="7"/>
  <c r="G60" i="7"/>
  <c r="G64" i="7"/>
  <c r="G68" i="7"/>
  <c r="G72" i="7"/>
  <c r="G76" i="7"/>
  <c r="G80" i="7"/>
  <c r="G84" i="7"/>
  <c r="G88" i="7"/>
  <c r="G92" i="7"/>
  <c r="G96" i="7"/>
  <c r="G100" i="7"/>
  <c r="J544" i="8" l="1"/>
  <c r="J560" i="8" s="1"/>
  <c r="H560" i="8"/>
  <c r="H813" i="8"/>
  <c r="H832" i="8" s="1"/>
  <c r="F32" i="7"/>
  <c r="F31" i="7"/>
  <c r="F30" i="7"/>
  <c r="F29" i="7"/>
  <c r="F28" i="7"/>
  <c r="F27" i="7"/>
  <c r="F26" i="7"/>
  <c r="F25" i="7"/>
  <c r="F24" i="7"/>
  <c r="F23" i="7"/>
  <c r="F22" i="7"/>
  <c r="F21" i="7"/>
  <c r="F20" i="7"/>
  <c r="F19" i="7"/>
  <c r="F18" i="7"/>
  <c r="F17" i="7"/>
  <c r="F16" i="7"/>
  <c r="F15" i="7"/>
  <c r="F14" i="7"/>
  <c r="F13" i="7"/>
  <c r="F12" i="7"/>
  <c r="F11" i="7"/>
  <c r="F10" i="7"/>
  <c r="D32" i="7"/>
  <c r="D31" i="7"/>
  <c r="D30" i="7"/>
  <c r="G30" i="7" s="1"/>
  <c r="D29" i="7"/>
  <c r="D28" i="7"/>
  <c r="D27" i="7"/>
  <c r="D26" i="7"/>
  <c r="G26" i="7" s="1"/>
  <c r="D25" i="7"/>
  <c r="C25" i="7"/>
  <c r="C26" i="7"/>
  <c r="C27" i="7"/>
  <c r="C28" i="7"/>
  <c r="C29" i="7"/>
  <c r="C30" i="7"/>
  <c r="C31" i="7"/>
  <c r="C32" i="7"/>
  <c r="D24" i="7"/>
  <c r="D23" i="7"/>
  <c r="D22" i="7"/>
  <c r="D21" i="7"/>
  <c r="D20" i="7"/>
  <c r="D19" i="7"/>
  <c r="D18" i="7"/>
  <c r="D17" i="7"/>
  <c r="D16" i="7"/>
  <c r="D15" i="7"/>
  <c r="G15" i="7" s="1"/>
  <c r="D14" i="7"/>
  <c r="D13" i="7"/>
  <c r="D12" i="7"/>
  <c r="D11" i="7"/>
  <c r="D10" i="7"/>
  <c r="C10" i="7"/>
  <c r="C11" i="7"/>
  <c r="C12" i="7"/>
  <c r="C13" i="7"/>
  <c r="C14" i="7"/>
  <c r="C15" i="7"/>
  <c r="C16" i="7"/>
  <c r="C17" i="7"/>
  <c r="C18" i="7"/>
  <c r="C19" i="7"/>
  <c r="C20" i="7"/>
  <c r="C21" i="7"/>
  <c r="C22" i="7"/>
  <c r="C23" i="7"/>
  <c r="C24" i="7"/>
  <c r="C9" i="7"/>
  <c r="C43" i="5"/>
  <c r="C94" i="6"/>
  <c r="C52" i="5"/>
  <c r="E55" i="5"/>
  <c r="C86" i="5"/>
  <c r="F106" i="7"/>
  <c r="D106" i="7"/>
  <c r="D180" i="7"/>
  <c r="F180" i="7"/>
  <c r="F423" i="7"/>
  <c r="F49" i="7"/>
  <c r="F48" i="7"/>
  <c r="F43" i="7"/>
  <c r="F41" i="7"/>
  <c r="F40" i="7"/>
  <c r="F39" i="7"/>
  <c r="D49" i="7"/>
  <c r="G14" i="7" l="1"/>
  <c r="G18" i="7"/>
  <c r="G13" i="7"/>
  <c r="G17" i="7"/>
  <c r="G20" i="7"/>
  <c r="G24" i="7"/>
  <c r="G21" i="7"/>
  <c r="G29" i="7"/>
  <c r="G16" i="7"/>
  <c r="G25" i="7"/>
  <c r="G23" i="7"/>
  <c r="G19" i="7"/>
  <c r="G11" i="7"/>
  <c r="G10" i="7"/>
  <c r="G22" i="7"/>
  <c r="G12" i="7"/>
  <c r="G31" i="7"/>
  <c r="G27" i="7"/>
  <c r="G32" i="7"/>
  <c r="G28" i="7"/>
  <c r="I14981" i="8" l="1"/>
  <c r="I14943" i="8"/>
  <c r="H14906" i="8"/>
  <c r="H14765" i="8"/>
  <c r="H14747" i="8"/>
  <c r="H14648" i="8"/>
  <c r="H14527" i="8"/>
  <c r="H14509" i="8"/>
  <c r="H14410" i="8"/>
  <c r="H14329" i="8"/>
  <c r="H14311" i="8"/>
  <c r="H14230" i="8"/>
  <c r="H14212" i="8"/>
  <c r="H14131" i="8"/>
  <c r="H14113" i="8"/>
  <c r="H13973" i="8"/>
  <c r="H13891" i="8"/>
  <c r="I14029" i="8"/>
  <c r="J14028" i="8"/>
  <c r="J14027" i="8"/>
  <c r="J14026" i="8"/>
  <c r="J14025" i="8"/>
  <c r="J14024" i="8"/>
  <c r="J14023" i="8"/>
  <c r="J14022" i="8"/>
  <c r="J14021" i="8"/>
  <c r="J14020" i="8"/>
  <c r="J14019" i="8"/>
  <c r="J14018" i="8"/>
  <c r="J14017" i="8"/>
  <c r="J14016" i="8"/>
  <c r="J14015" i="8"/>
  <c r="J14014" i="8"/>
  <c r="I14113" i="8"/>
  <c r="I13991" i="8"/>
  <c r="I13973" i="8"/>
  <c r="I13891" i="8"/>
  <c r="I13873" i="8"/>
  <c r="H13873" i="8"/>
  <c r="D317" i="7"/>
  <c r="I13690" i="8"/>
  <c r="F286" i="7"/>
  <c r="D286" i="7"/>
  <c r="F285" i="7"/>
  <c r="D285" i="7"/>
  <c r="D253" i="7"/>
  <c r="I13538" i="8"/>
  <c r="F435" i="7" s="1"/>
  <c r="H13538" i="8"/>
  <c r="I13520" i="8"/>
  <c r="H13520" i="8"/>
  <c r="H13439" i="8"/>
  <c r="I13421" i="8"/>
  <c r="H13421" i="8"/>
  <c r="I13300" i="8"/>
  <c r="F434" i="7" s="1"/>
  <c r="I13282" i="8"/>
  <c r="H13282" i="8"/>
  <c r="H13183" i="8"/>
  <c r="I13100" i="8"/>
  <c r="I13081" i="8"/>
  <c r="I12368" i="8"/>
  <c r="F433" i="7" s="1"/>
  <c r="I12350" i="8"/>
  <c r="I12269" i="8"/>
  <c r="H12269" i="8"/>
  <c r="H12251" i="8"/>
  <c r="I12130" i="8"/>
  <c r="F432" i="7" s="1"/>
  <c r="H12130" i="8"/>
  <c r="D432" i="7" s="1"/>
  <c r="I12112" i="8"/>
  <c r="H12112" i="8"/>
  <c r="H12031" i="8"/>
  <c r="H12013" i="8"/>
  <c r="I11930" i="8"/>
  <c r="I11911" i="8"/>
  <c r="I11892" i="8"/>
  <c r="F431" i="7" s="1"/>
  <c r="H11892" i="8"/>
  <c r="D431" i="7" s="1"/>
  <c r="I11874" i="8"/>
  <c r="H11874" i="8"/>
  <c r="I11793" i="8"/>
  <c r="H11793" i="8"/>
  <c r="H11775" i="8"/>
  <c r="I11672" i="8"/>
  <c r="I11653" i="8"/>
  <c r="F430" i="7" s="1"/>
  <c r="I11635" i="8"/>
  <c r="I11554" i="8"/>
  <c r="H11554" i="8"/>
  <c r="H11536" i="8"/>
  <c r="F429" i="7"/>
  <c r="I11451" i="8"/>
  <c r="H11451" i="8"/>
  <c r="I11433" i="8"/>
  <c r="H11433" i="8"/>
  <c r="I11352" i="8"/>
  <c r="H11352" i="8"/>
  <c r="I11334" i="8"/>
  <c r="H11334" i="8"/>
  <c r="I11253" i="8"/>
  <c r="H11253" i="8"/>
  <c r="I11235" i="8"/>
  <c r="H11235" i="8"/>
  <c r="H11154" i="8"/>
  <c r="H11136" i="8"/>
  <c r="I9703" i="8"/>
  <c r="J9702" i="8"/>
  <c r="J9701" i="8"/>
  <c r="J9700" i="8"/>
  <c r="J9699" i="8"/>
  <c r="J9698" i="8"/>
  <c r="J9697" i="8"/>
  <c r="J9696" i="8"/>
  <c r="J9695" i="8"/>
  <c r="J9694" i="8"/>
  <c r="J9693" i="8"/>
  <c r="J9692" i="8"/>
  <c r="J9691" i="8"/>
  <c r="J9690" i="8"/>
  <c r="J9689" i="8"/>
  <c r="J9688" i="8"/>
  <c r="I11033" i="8"/>
  <c r="I11014" i="8"/>
  <c r="H11014" i="8"/>
  <c r="D204" i="7" s="1"/>
  <c r="I10996" i="8"/>
  <c r="H10996" i="8"/>
  <c r="I10915" i="8"/>
  <c r="H10915" i="8"/>
  <c r="I10897" i="8"/>
  <c r="H10897" i="8"/>
  <c r="I10816" i="8"/>
  <c r="H10816" i="8"/>
  <c r="I10798" i="8"/>
  <c r="H10798" i="8"/>
  <c r="I10717" i="8"/>
  <c r="I10699" i="8"/>
  <c r="H10699" i="8"/>
  <c r="H10618" i="8"/>
  <c r="I10600" i="8"/>
  <c r="H10600" i="8"/>
  <c r="H10497" i="8"/>
  <c r="D50" i="7" s="1"/>
  <c r="H10398" i="8"/>
  <c r="H10380" i="8"/>
  <c r="H10101" i="8"/>
  <c r="H10083" i="8"/>
  <c r="H10002" i="8"/>
  <c r="H9984" i="8"/>
  <c r="H6981" i="8"/>
  <c r="F37" i="7"/>
  <c r="H9666" i="8"/>
  <c r="H9585" i="8"/>
  <c r="H9427" i="8"/>
  <c r="H9346" i="8"/>
  <c r="H9247" i="8"/>
  <c r="D136" i="7"/>
  <c r="D135" i="7"/>
  <c r="D134" i="7"/>
  <c r="F547" i="7"/>
  <c r="F254" i="7" l="1"/>
  <c r="G547" i="7"/>
  <c r="F202" i="7"/>
  <c r="F203" i="7"/>
  <c r="F204" i="7"/>
  <c r="G204" i="7" s="1"/>
  <c r="F319" i="7"/>
  <c r="F318" i="7"/>
  <c r="D318" i="7"/>
  <c r="D203" i="7"/>
  <c r="G286" i="7"/>
  <c r="G431" i="7"/>
  <c r="G432" i="7"/>
  <c r="H13690" i="8"/>
  <c r="H11656" i="8"/>
  <c r="H11675" i="8" s="1"/>
  <c r="H11691" i="8" s="1"/>
  <c r="H13081" i="8"/>
  <c r="H9687" i="8"/>
  <c r="H9703" i="8" s="1"/>
  <c r="H12368" i="8"/>
  <c r="D433" i="7" s="1"/>
  <c r="G433" i="7" s="1"/>
  <c r="H14013" i="8"/>
  <c r="H14029" i="8" s="1"/>
  <c r="H9684" i="8"/>
  <c r="D429" i="7"/>
  <c r="H11653" i="8"/>
  <c r="D430" i="7" s="1"/>
  <c r="G430" i="7" s="1"/>
  <c r="H13300" i="8"/>
  <c r="D434" i="7" s="1"/>
  <c r="G434" i="7" s="1"/>
  <c r="H13541" i="8"/>
  <c r="H13991" i="8"/>
  <c r="D319" i="7" s="1"/>
  <c r="H14768" i="8"/>
  <c r="H14784" i="8" s="1"/>
  <c r="H9448" i="8"/>
  <c r="H9467" i="8" s="1"/>
  <c r="H14666" i="8"/>
  <c r="H11895" i="8"/>
  <c r="H12133" i="8"/>
  <c r="H12152" i="8" s="1"/>
  <c r="H14530" i="8"/>
  <c r="H9445" i="8"/>
  <c r="D137" i="7" s="1"/>
  <c r="H11017" i="8"/>
  <c r="H11033" i="8" s="1"/>
  <c r="H7390" i="8"/>
  <c r="D543" i="7" s="1"/>
  <c r="H7372" i="8"/>
  <c r="I7372" i="8"/>
  <c r="I7327" i="8"/>
  <c r="H7327" i="8"/>
  <c r="H7300" i="8"/>
  <c r="D540" i="7" s="1"/>
  <c r="I7282" i="8"/>
  <c r="H7282" i="8"/>
  <c r="H7253" i="8"/>
  <c r="D481" i="7"/>
  <c r="D480" i="7"/>
  <c r="D391" i="7"/>
  <c r="D349" i="7"/>
  <c r="D178" i="7"/>
  <c r="H8827" i="8"/>
  <c r="H8647" i="8"/>
  <c r="D159" i="7" s="1"/>
  <c r="H8629" i="8"/>
  <c r="F105" i="7"/>
  <c r="F104" i="7"/>
  <c r="D104" i="7"/>
  <c r="F103" i="7"/>
  <c r="D103" i="7"/>
  <c r="H2630" i="8"/>
  <c r="I2612" i="8"/>
  <c r="H2612" i="8"/>
  <c r="J2535" i="8"/>
  <c r="F9" i="7"/>
  <c r="I1888" i="8"/>
  <c r="H1888" i="8"/>
  <c r="H1077" i="8"/>
  <c r="H6220" i="8" s="1"/>
  <c r="H1059" i="8"/>
  <c r="H958" i="8"/>
  <c r="H977" i="8" s="1"/>
  <c r="H667" i="8"/>
  <c r="H688" i="8" s="1"/>
  <c r="H649" i="8"/>
  <c r="I649" i="8"/>
  <c r="I187" i="8"/>
  <c r="I88" i="8"/>
  <c r="H6236" i="8" l="1"/>
  <c r="H704" i="8"/>
  <c r="J688" i="8"/>
  <c r="J704" i="8" s="1"/>
  <c r="H707" i="8"/>
  <c r="D36" i="7"/>
  <c r="H2313" i="8"/>
  <c r="D102" i="7"/>
  <c r="G319" i="7"/>
  <c r="H9141" i="8"/>
  <c r="J9125" i="8"/>
  <c r="J9141" i="8" s="1"/>
  <c r="G203" i="7"/>
  <c r="G318" i="7"/>
  <c r="D316" i="7"/>
  <c r="D435" i="7"/>
  <c r="G435" i="7" s="1"/>
  <c r="D254" i="7"/>
  <c r="H11672" i="8"/>
  <c r="J14013" i="8"/>
  <c r="J14029" i="8" s="1"/>
  <c r="H13100" i="8"/>
  <c r="J9687" i="8"/>
  <c r="J9703" i="8" s="1"/>
  <c r="H14787" i="8"/>
  <c r="H14803" i="8" s="1"/>
  <c r="H11036" i="8"/>
  <c r="H14546" i="8"/>
  <c r="H14549" i="8"/>
  <c r="H14565" i="8" s="1"/>
  <c r="H13560" i="8"/>
  <c r="H13576" i="8" s="1"/>
  <c r="H13557" i="8"/>
  <c r="H11911" i="8"/>
  <c r="H11914" i="8"/>
  <c r="H11930" i="8" s="1"/>
  <c r="D9" i="7"/>
  <c r="D6" i="7" s="1"/>
  <c r="H974" i="8"/>
  <c r="H996" i="8"/>
  <c r="H7345" i="8"/>
  <c r="D542" i="7" s="1"/>
  <c r="D105" i="7"/>
  <c r="D181" i="7"/>
  <c r="C74" i="5"/>
  <c r="E139" i="6"/>
  <c r="E138" i="6"/>
  <c r="E137" i="6"/>
  <c r="E136" i="6"/>
  <c r="E135" i="6"/>
  <c r="E134" i="6"/>
  <c r="E133" i="6"/>
  <c r="E132" i="6"/>
  <c r="E131" i="6"/>
  <c r="E130" i="6"/>
  <c r="E129" i="6"/>
  <c r="E128" i="6"/>
  <c r="E127" i="6"/>
  <c r="E125" i="6"/>
  <c r="E124" i="6"/>
  <c r="E123" i="6"/>
  <c r="E122" i="6"/>
  <c r="E119" i="6"/>
  <c r="E117" i="6"/>
  <c r="E116" i="6"/>
  <c r="E115" i="6"/>
  <c r="E110" i="6"/>
  <c r="E109" i="6"/>
  <c r="E107" i="6"/>
  <c r="E105" i="6"/>
  <c r="E104" i="6"/>
  <c r="E103" i="6"/>
  <c r="E102" i="6"/>
  <c r="E101" i="6"/>
  <c r="E100" i="6"/>
  <c r="E99" i="6"/>
  <c r="E98" i="6"/>
  <c r="E97" i="6"/>
  <c r="E96" i="6"/>
  <c r="E95" i="6"/>
  <c r="E94" i="6"/>
  <c r="E91" i="6"/>
  <c r="E87" i="6"/>
  <c r="E82" i="6"/>
  <c r="E81" i="6"/>
  <c r="E78" i="6"/>
  <c r="E77" i="6"/>
  <c r="E76" i="6"/>
  <c r="E75" i="6"/>
  <c r="E74" i="6"/>
  <c r="E73" i="6"/>
  <c r="E72" i="6"/>
  <c r="E71" i="6"/>
  <c r="E70" i="6"/>
  <c r="E69" i="6"/>
  <c r="E67" i="6"/>
  <c r="E66" i="6"/>
  <c r="E65" i="6"/>
  <c r="E64" i="6"/>
  <c r="E63" i="6"/>
  <c r="E62" i="6"/>
  <c r="E61" i="6"/>
  <c r="E60" i="6"/>
  <c r="E58" i="6"/>
  <c r="E57" i="6"/>
  <c r="E56" i="6"/>
  <c r="E55" i="6"/>
  <c r="E54" i="6"/>
  <c r="E53" i="6"/>
  <c r="E52" i="6"/>
  <c r="E51" i="6"/>
  <c r="E50" i="6"/>
  <c r="E49" i="6"/>
  <c r="E48" i="6"/>
  <c r="E47" i="6"/>
  <c r="E46" i="6"/>
  <c r="E45" i="6"/>
  <c r="E43" i="6"/>
  <c r="E42" i="6"/>
  <c r="E40" i="6"/>
  <c r="E38" i="6"/>
  <c r="E37" i="6"/>
  <c r="E36" i="6"/>
  <c r="E34" i="6"/>
  <c r="E33" i="6"/>
  <c r="E31" i="6"/>
  <c r="E27" i="6"/>
  <c r="E26" i="6"/>
  <c r="E25" i="6"/>
  <c r="E24" i="6"/>
  <c r="E22" i="6"/>
  <c r="E21" i="6"/>
  <c r="E20" i="6"/>
  <c r="E19" i="6"/>
  <c r="E13" i="6"/>
  <c r="E11" i="6"/>
  <c r="E10" i="6"/>
  <c r="E8" i="6"/>
  <c r="E7" i="6"/>
  <c r="E6" i="6"/>
  <c r="C139" i="6"/>
  <c r="C138" i="6"/>
  <c r="C136" i="6"/>
  <c r="C135" i="6"/>
  <c r="C134" i="6"/>
  <c r="C133" i="6"/>
  <c r="C132" i="6"/>
  <c r="C131" i="6"/>
  <c r="C130" i="6"/>
  <c r="C129" i="6"/>
  <c r="C128" i="6"/>
  <c r="C127" i="6"/>
  <c r="C125" i="6"/>
  <c r="C124" i="6"/>
  <c r="C123" i="6"/>
  <c r="C122" i="6"/>
  <c r="C119" i="6"/>
  <c r="C116" i="6"/>
  <c r="C115" i="6"/>
  <c r="C110" i="6"/>
  <c r="C109" i="6"/>
  <c r="C107" i="6"/>
  <c r="C105" i="6"/>
  <c r="C104" i="6"/>
  <c r="C103" i="6"/>
  <c r="C102" i="6"/>
  <c r="C101" i="6"/>
  <c r="C100" i="6"/>
  <c r="C99" i="6"/>
  <c r="C98" i="6"/>
  <c r="C97" i="6"/>
  <c r="C96" i="6"/>
  <c r="C95" i="6"/>
  <c r="C91" i="6"/>
  <c r="C87" i="6"/>
  <c r="C82" i="6"/>
  <c r="C81" i="6"/>
  <c r="C78" i="6"/>
  <c r="C77" i="6"/>
  <c r="C76" i="6"/>
  <c r="C75" i="6"/>
  <c r="C74" i="6"/>
  <c r="C73" i="6"/>
  <c r="C72" i="6"/>
  <c r="C71" i="6"/>
  <c r="C70" i="6"/>
  <c r="C69" i="6"/>
  <c r="C67" i="6"/>
  <c r="C66" i="6"/>
  <c r="C65" i="6"/>
  <c r="C64" i="6"/>
  <c r="C63" i="6"/>
  <c r="C62" i="6"/>
  <c r="C61" i="6"/>
  <c r="C60" i="6"/>
  <c r="C58" i="6"/>
  <c r="C57" i="6"/>
  <c r="C56" i="6"/>
  <c r="C55" i="6"/>
  <c r="C54" i="6"/>
  <c r="C53" i="6"/>
  <c r="C52" i="6"/>
  <c r="C51" i="6"/>
  <c r="C50" i="6"/>
  <c r="C49" i="6"/>
  <c r="C48" i="6"/>
  <c r="C47" i="6"/>
  <c r="C46" i="6"/>
  <c r="C45" i="6"/>
  <c r="C43" i="6"/>
  <c r="C42" i="6"/>
  <c r="C40" i="6"/>
  <c r="C37" i="6"/>
  <c r="C36" i="6"/>
  <c r="C34" i="6"/>
  <c r="C33" i="6"/>
  <c r="C31" i="6"/>
  <c r="C27" i="6"/>
  <c r="C26" i="6"/>
  <c r="C25" i="6"/>
  <c r="C24" i="6"/>
  <c r="C22" i="6"/>
  <c r="C21" i="6"/>
  <c r="C20" i="6"/>
  <c r="C19" i="6"/>
  <c r="C13" i="6"/>
  <c r="C11" i="6"/>
  <c r="C10" i="6"/>
  <c r="C8" i="6"/>
  <c r="C7" i="6"/>
  <c r="C6" i="6"/>
  <c r="C80" i="5"/>
  <c r="C79" i="5" s="1"/>
  <c r="E87" i="5"/>
  <c r="E83" i="5"/>
  <c r="E84" i="5"/>
  <c r="E82" i="5"/>
  <c r="E80" i="5"/>
  <c r="E79" i="5" s="1"/>
  <c r="E77" i="5"/>
  <c r="E78" i="5"/>
  <c r="E76" i="5"/>
  <c r="E72" i="5"/>
  <c r="E73" i="5"/>
  <c r="E71" i="5"/>
  <c r="E66" i="5"/>
  <c r="E67" i="5"/>
  <c r="E68" i="5"/>
  <c r="E69" i="5"/>
  <c r="E65" i="5"/>
  <c r="E56" i="5"/>
  <c r="E51" i="5"/>
  <c r="E53" i="5"/>
  <c r="E54" i="5"/>
  <c r="E50" i="5"/>
  <c r="E48" i="5"/>
  <c r="E42" i="5"/>
  <c r="E43" i="5"/>
  <c r="E44" i="5"/>
  <c r="E45" i="5"/>
  <c r="E46" i="5"/>
  <c r="E41" i="5"/>
  <c r="E36" i="5"/>
  <c r="E37" i="5"/>
  <c r="E38" i="5"/>
  <c r="E39" i="5"/>
  <c r="E35" i="5"/>
  <c r="E31" i="5"/>
  <c r="E32" i="5"/>
  <c r="E33" i="5"/>
  <c r="E30" i="5"/>
  <c r="E25" i="5"/>
  <c r="E26" i="5"/>
  <c r="E27" i="5"/>
  <c r="E28" i="5"/>
  <c r="E24" i="5"/>
  <c r="E22" i="5"/>
  <c r="E18" i="5"/>
  <c r="E19" i="5"/>
  <c r="E20" i="5"/>
  <c r="E21" i="5"/>
  <c r="E17" i="5"/>
  <c r="E9" i="5"/>
  <c r="E10" i="5"/>
  <c r="E11" i="5"/>
  <c r="E12" i="5"/>
  <c r="E13" i="5"/>
  <c r="E14" i="5"/>
  <c r="E15" i="5"/>
  <c r="E8" i="5"/>
  <c r="C87" i="5"/>
  <c r="F87" i="5" s="1"/>
  <c r="I21" i="16" s="1"/>
  <c r="C83" i="5"/>
  <c r="C82" i="5"/>
  <c r="C77" i="5"/>
  <c r="C78" i="5"/>
  <c r="C76" i="5"/>
  <c r="C72" i="5"/>
  <c r="C73" i="5"/>
  <c r="C71" i="5"/>
  <c r="C66" i="5"/>
  <c r="C67" i="5"/>
  <c r="C68" i="5"/>
  <c r="C69" i="5"/>
  <c r="C65" i="5"/>
  <c r="C51" i="5"/>
  <c r="C53" i="5"/>
  <c r="C54" i="5"/>
  <c r="C55" i="5"/>
  <c r="C50" i="5"/>
  <c r="C48" i="5"/>
  <c r="C42" i="5"/>
  <c r="C44" i="5"/>
  <c r="C45" i="5"/>
  <c r="C46" i="5"/>
  <c r="C41" i="5"/>
  <c r="C36" i="5"/>
  <c r="C37" i="5"/>
  <c r="C38" i="5"/>
  <c r="C39" i="5"/>
  <c r="C35" i="5"/>
  <c r="C31" i="5"/>
  <c r="C32" i="5"/>
  <c r="C33" i="5"/>
  <c r="C30" i="5"/>
  <c r="C25" i="5"/>
  <c r="C26" i="5"/>
  <c r="C27" i="5"/>
  <c r="C28" i="5"/>
  <c r="C24" i="5"/>
  <c r="C18" i="5"/>
  <c r="C19" i="5"/>
  <c r="C20" i="5"/>
  <c r="C21" i="5"/>
  <c r="C22" i="5"/>
  <c r="C17" i="5"/>
  <c r="C9" i="5"/>
  <c r="C10" i="5"/>
  <c r="C11" i="5"/>
  <c r="C12" i="5"/>
  <c r="C13" i="5"/>
  <c r="C14" i="5"/>
  <c r="C15" i="5"/>
  <c r="C8" i="5"/>
  <c r="J14822" i="8"/>
  <c r="J14821" i="8"/>
  <c r="J14820" i="8"/>
  <c r="J14818" i="8"/>
  <c r="J14817" i="8"/>
  <c r="J14816" i="8"/>
  <c r="J14815" i="8"/>
  <c r="J14814" i="8"/>
  <c r="J14813" i="8"/>
  <c r="J14812" i="8"/>
  <c r="J14811" i="8"/>
  <c r="J14809" i="8"/>
  <c r="J14808" i="8"/>
  <c r="J13689" i="8"/>
  <c r="J13688" i="8"/>
  <c r="J13687" i="8"/>
  <c r="J13686" i="8"/>
  <c r="J13685" i="8"/>
  <c r="J13684" i="8"/>
  <c r="J13683" i="8"/>
  <c r="J13682" i="8"/>
  <c r="J13681" i="8"/>
  <c r="J13680" i="8"/>
  <c r="J13679" i="8"/>
  <c r="J13678" i="8"/>
  <c r="J13677" i="8"/>
  <c r="J13676" i="8"/>
  <c r="J13675" i="8"/>
  <c r="J13674" i="8"/>
  <c r="J13990" i="8"/>
  <c r="J13989" i="8"/>
  <c r="J13988" i="8"/>
  <c r="J13987" i="8"/>
  <c r="J13986" i="8"/>
  <c r="J13985" i="8"/>
  <c r="J13984" i="8"/>
  <c r="J13983" i="8"/>
  <c r="J13982" i="8"/>
  <c r="J13981" i="8"/>
  <c r="J13980" i="8"/>
  <c r="J13979" i="8"/>
  <c r="J13978" i="8"/>
  <c r="J13977" i="8"/>
  <c r="J13976" i="8"/>
  <c r="J13975" i="8"/>
  <c r="J13972" i="8"/>
  <c r="J13971" i="8"/>
  <c r="J13970" i="8"/>
  <c r="J13969" i="8"/>
  <c r="J13968" i="8"/>
  <c r="J13967" i="8"/>
  <c r="J13966" i="8"/>
  <c r="J13965" i="8"/>
  <c r="J13964" i="8"/>
  <c r="J13963" i="8"/>
  <c r="J13962" i="8"/>
  <c r="J13961" i="8"/>
  <c r="J13960" i="8"/>
  <c r="J13959" i="8"/>
  <c r="J13958" i="8"/>
  <c r="J13957" i="8"/>
  <c r="J13955" i="8"/>
  <c r="J13954" i="8"/>
  <c r="J13953" i="8"/>
  <c r="J13952" i="8"/>
  <c r="J13951" i="8"/>
  <c r="J13950" i="8"/>
  <c r="J13949" i="8"/>
  <c r="J13948" i="8"/>
  <c r="J13947" i="8"/>
  <c r="J13946" i="8"/>
  <c r="J13945" i="8"/>
  <c r="J13944" i="8"/>
  <c r="J13943" i="8"/>
  <c r="J13942" i="8"/>
  <c r="J13941" i="8"/>
  <c r="J13940" i="8"/>
  <c r="J13939" i="8"/>
  <c r="J13938" i="8"/>
  <c r="J13937" i="8"/>
  <c r="J13936" i="8"/>
  <c r="J13935" i="8"/>
  <c r="J13934"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0" i="8"/>
  <c r="J13889" i="8"/>
  <c r="J13888" i="8"/>
  <c r="J13887" i="8"/>
  <c r="J13886" i="8"/>
  <c r="J13885" i="8"/>
  <c r="J13884" i="8"/>
  <c r="J13883" i="8"/>
  <c r="J13882" i="8"/>
  <c r="J13881" i="8"/>
  <c r="J13880" i="8"/>
  <c r="J13879" i="8"/>
  <c r="J13878" i="8"/>
  <c r="J13877" i="8"/>
  <c r="J13876" i="8"/>
  <c r="J13875" i="8"/>
  <c r="J13872" i="8"/>
  <c r="J13871" i="8"/>
  <c r="J13870" i="8"/>
  <c r="J13869" i="8"/>
  <c r="J13868" i="8"/>
  <c r="J13867" i="8"/>
  <c r="J13866" i="8"/>
  <c r="J13865" i="8"/>
  <c r="J13864" i="8"/>
  <c r="J13863" i="8"/>
  <c r="J13862" i="8"/>
  <c r="J13861" i="8"/>
  <c r="J13860" i="8"/>
  <c r="J13859" i="8"/>
  <c r="J13858" i="8"/>
  <c r="J13857" i="8"/>
  <c r="J13855" i="8"/>
  <c r="J13854" i="8"/>
  <c r="J13853" i="8"/>
  <c r="J13852" i="8"/>
  <c r="J13851" i="8"/>
  <c r="J13850" i="8"/>
  <c r="J13849" i="8"/>
  <c r="J13848" i="8"/>
  <c r="J13847" i="8"/>
  <c r="J13846" i="8"/>
  <c r="J13845" i="8"/>
  <c r="J13844" i="8"/>
  <c r="J13843" i="8"/>
  <c r="J13842" i="8"/>
  <c r="J13841" i="8"/>
  <c r="J13840" i="8"/>
  <c r="J13839" i="8"/>
  <c r="J13838" i="8"/>
  <c r="J13837" i="8"/>
  <c r="J13836" i="8"/>
  <c r="J13835" i="8"/>
  <c r="J13834" i="8"/>
  <c r="J13833" i="8"/>
  <c r="J13832" i="8"/>
  <c r="J13831" i="8"/>
  <c r="J13830" i="8"/>
  <c r="J13829" i="8"/>
  <c r="J13828" i="8"/>
  <c r="J13827" i="8"/>
  <c r="J13826" i="8"/>
  <c r="J13825" i="8"/>
  <c r="J13824" i="8"/>
  <c r="J13823" i="8"/>
  <c r="J13822" i="8"/>
  <c r="J13821" i="8"/>
  <c r="J13820" i="8"/>
  <c r="J13819" i="8"/>
  <c r="J13818" i="8"/>
  <c r="J13817" i="8"/>
  <c r="J13816" i="8"/>
  <c r="J13815" i="8"/>
  <c r="J13814" i="8"/>
  <c r="J13813" i="8"/>
  <c r="J13812" i="8"/>
  <c r="J13811" i="8"/>
  <c r="J13810" i="8"/>
  <c r="J13809" i="8"/>
  <c r="J13808" i="8"/>
  <c r="J13807" i="8"/>
  <c r="J13806" i="8"/>
  <c r="J13805" i="8"/>
  <c r="J13804" i="8"/>
  <c r="J13803" i="8"/>
  <c r="J13802" i="8"/>
  <c r="J13801" i="8"/>
  <c r="J13800" i="8"/>
  <c r="J13799" i="8"/>
  <c r="J13798" i="8"/>
  <c r="J13797" i="8"/>
  <c r="J13796" i="8"/>
  <c r="F317" i="7"/>
  <c r="F316" i="7" s="1"/>
  <c r="E126" i="6"/>
  <c r="C126" i="6"/>
  <c r="F287" i="7"/>
  <c r="F284" i="7" s="1"/>
  <c r="D287" i="7"/>
  <c r="C121" i="6"/>
  <c r="F253" i="7"/>
  <c r="J15000" i="8"/>
  <c r="J14999" i="8"/>
  <c r="J14998" i="8"/>
  <c r="J14996" i="8"/>
  <c r="J14995" i="8"/>
  <c r="J14994" i="8"/>
  <c r="J14993" i="8"/>
  <c r="J14992" i="8"/>
  <c r="J14991" i="8"/>
  <c r="J14990" i="8"/>
  <c r="J14989" i="8"/>
  <c r="J14987" i="8"/>
  <c r="J14986" i="8"/>
  <c r="J14980" i="8"/>
  <c r="J14979" i="8"/>
  <c r="J14978" i="8"/>
  <c r="J14977" i="8"/>
  <c r="J14976" i="8"/>
  <c r="J14975" i="8"/>
  <c r="J14974" i="8"/>
  <c r="J14973" i="8"/>
  <c r="J14972" i="8"/>
  <c r="J14971" i="8"/>
  <c r="J14970" i="8"/>
  <c r="J14969" i="8"/>
  <c r="J14968" i="8"/>
  <c r="J14967" i="8"/>
  <c r="J14966" i="8"/>
  <c r="J14942" i="8"/>
  <c r="J14941" i="8"/>
  <c r="J14940" i="8"/>
  <c r="J14939" i="8"/>
  <c r="J14938" i="8"/>
  <c r="J14937" i="8"/>
  <c r="J14936" i="8"/>
  <c r="J14935" i="8"/>
  <c r="J14934" i="8"/>
  <c r="J14933" i="8"/>
  <c r="J14932" i="8"/>
  <c r="J14931" i="8"/>
  <c r="J14930" i="8"/>
  <c r="J14929" i="8"/>
  <c r="J14928" i="8"/>
  <c r="I14962" i="8"/>
  <c r="J14961" i="8"/>
  <c r="J14960" i="8"/>
  <c r="J14959" i="8"/>
  <c r="J14958" i="8"/>
  <c r="J14957" i="8"/>
  <c r="J14956" i="8"/>
  <c r="J14955" i="8"/>
  <c r="J14954" i="8"/>
  <c r="J14953" i="8"/>
  <c r="J14952" i="8"/>
  <c r="J14951" i="8"/>
  <c r="J14950" i="8"/>
  <c r="J14949" i="8"/>
  <c r="J14948" i="8"/>
  <c r="J14947" i="8"/>
  <c r="I14924" i="8"/>
  <c r="F539" i="7" s="1"/>
  <c r="J14923" i="8"/>
  <c r="J14922" i="8"/>
  <c r="J14921" i="8"/>
  <c r="J14920" i="8"/>
  <c r="J14919" i="8"/>
  <c r="J14918" i="8"/>
  <c r="J14917" i="8"/>
  <c r="J14916" i="8"/>
  <c r="J14915" i="8"/>
  <c r="J14914" i="8"/>
  <c r="J14913" i="8"/>
  <c r="J14912" i="8"/>
  <c r="J14911" i="8"/>
  <c r="J14910" i="8"/>
  <c r="J14909" i="8"/>
  <c r="I14906" i="8"/>
  <c r="J14905" i="8"/>
  <c r="J14904" i="8"/>
  <c r="J14903" i="8"/>
  <c r="J14902" i="8"/>
  <c r="J14901" i="8"/>
  <c r="J14900" i="8"/>
  <c r="J14899" i="8"/>
  <c r="J14898" i="8"/>
  <c r="J14897" i="8"/>
  <c r="J14896" i="8"/>
  <c r="J14895" i="8"/>
  <c r="J14894" i="8"/>
  <c r="J14893" i="8"/>
  <c r="J14892" i="8"/>
  <c r="J14891" i="8"/>
  <c r="J14888" i="8"/>
  <c r="J14887" i="8"/>
  <c r="J14886" i="8"/>
  <c r="J14885" i="8"/>
  <c r="J14884" i="8"/>
  <c r="J14883" i="8"/>
  <c r="J14882" i="8"/>
  <c r="J14881" i="8"/>
  <c r="J14880" i="8"/>
  <c r="J14879" i="8"/>
  <c r="J14878" i="8"/>
  <c r="J14877" i="8"/>
  <c r="J14876" i="8"/>
  <c r="J14875" i="8"/>
  <c r="J14874" i="8"/>
  <c r="J14873" i="8"/>
  <c r="J14872" i="8"/>
  <c r="J14871" i="8"/>
  <c r="J14870" i="8"/>
  <c r="J14869" i="8"/>
  <c r="J14868" i="8"/>
  <c r="J14867" i="8"/>
  <c r="J14866" i="8"/>
  <c r="J14865" i="8"/>
  <c r="J14864" i="8"/>
  <c r="J14863" i="8"/>
  <c r="J14862" i="8"/>
  <c r="J14861" i="8"/>
  <c r="J14860" i="8"/>
  <c r="J14859" i="8"/>
  <c r="J14858" i="8"/>
  <c r="J14857" i="8"/>
  <c r="J14856" i="8"/>
  <c r="J14855" i="8"/>
  <c r="J14854" i="8"/>
  <c r="J14853" i="8"/>
  <c r="J14852" i="8"/>
  <c r="J14851" i="8"/>
  <c r="J14850" i="8"/>
  <c r="J14849" i="8"/>
  <c r="J14848" i="8"/>
  <c r="J14847" i="8"/>
  <c r="J14846" i="8"/>
  <c r="J14845" i="8"/>
  <c r="J14844" i="8"/>
  <c r="J14843" i="8"/>
  <c r="J14842" i="8"/>
  <c r="J14841" i="8"/>
  <c r="J14840" i="8"/>
  <c r="J14839" i="8"/>
  <c r="J14838" i="8"/>
  <c r="J14837" i="8"/>
  <c r="J14836" i="8"/>
  <c r="J14835" i="8"/>
  <c r="J14834" i="8"/>
  <c r="J14833" i="8"/>
  <c r="J14832" i="8"/>
  <c r="J14831" i="8"/>
  <c r="J14830" i="8"/>
  <c r="J14829" i="8"/>
  <c r="I14803" i="8"/>
  <c r="J14802" i="8"/>
  <c r="J14801" i="8"/>
  <c r="J14800" i="8"/>
  <c r="J14799" i="8"/>
  <c r="J14798" i="8"/>
  <c r="J14797" i="8"/>
  <c r="J14796" i="8"/>
  <c r="J14795" i="8"/>
  <c r="J14794" i="8"/>
  <c r="J14793" i="8"/>
  <c r="J14792" i="8"/>
  <c r="J14791" i="8"/>
  <c r="J14790" i="8"/>
  <c r="J14789" i="8"/>
  <c r="J14788" i="8"/>
  <c r="J14787" i="8"/>
  <c r="I14565" i="8"/>
  <c r="J14564" i="8"/>
  <c r="J14563" i="8"/>
  <c r="J14562" i="8"/>
  <c r="J14561" i="8"/>
  <c r="J14560" i="8"/>
  <c r="J14559" i="8"/>
  <c r="J14558" i="8"/>
  <c r="J14557" i="8"/>
  <c r="J14556" i="8"/>
  <c r="J14555" i="8"/>
  <c r="J14554" i="8"/>
  <c r="J14553" i="8"/>
  <c r="J14552" i="8"/>
  <c r="J14551" i="8"/>
  <c r="J14550" i="8"/>
  <c r="J14549" i="8"/>
  <c r="I14784" i="8"/>
  <c r="J14783" i="8"/>
  <c r="J14782" i="8"/>
  <c r="J14781" i="8"/>
  <c r="J14780" i="8"/>
  <c r="J14779" i="8"/>
  <c r="J14778" i="8"/>
  <c r="J14777" i="8"/>
  <c r="J14776" i="8"/>
  <c r="J14775" i="8"/>
  <c r="J14774" i="8"/>
  <c r="J14773" i="8"/>
  <c r="J14772" i="8"/>
  <c r="J14771" i="8"/>
  <c r="J14770" i="8"/>
  <c r="J14769" i="8"/>
  <c r="I14765" i="8"/>
  <c r="J14764" i="8"/>
  <c r="J14763" i="8"/>
  <c r="J14762" i="8"/>
  <c r="J14761" i="8"/>
  <c r="J14760" i="8"/>
  <c r="J14759" i="8"/>
  <c r="J14758" i="8"/>
  <c r="J14757" i="8"/>
  <c r="J14756" i="8"/>
  <c r="J14755" i="8"/>
  <c r="J14754" i="8"/>
  <c r="J14753" i="8"/>
  <c r="J14752" i="8"/>
  <c r="J14751" i="8"/>
  <c r="J14750" i="8"/>
  <c r="I14747" i="8"/>
  <c r="J14746" i="8"/>
  <c r="J14745" i="8"/>
  <c r="J14744" i="8"/>
  <c r="J14743" i="8"/>
  <c r="J14742" i="8"/>
  <c r="J14741" i="8"/>
  <c r="J14740" i="8"/>
  <c r="J14739" i="8"/>
  <c r="J14738" i="8"/>
  <c r="J14737" i="8"/>
  <c r="J14736" i="8"/>
  <c r="J14735" i="8"/>
  <c r="J14734" i="8"/>
  <c r="J14733" i="8"/>
  <c r="J14732" i="8"/>
  <c r="J14729" i="8"/>
  <c r="J14728" i="8"/>
  <c r="J14727" i="8"/>
  <c r="J14726" i="8"/>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4685" i="8"/>
  <c r="J14684" i="8"/>
  <c r="J14683" i="8"/>
  <c r="J14682" i="8"/>
  <c r="J14681" i="8"/>
  <c r="J14680" i="8"/>
  <c r="J14679" i="8"/>
  <c r="J14678" i="8"/>
  <c r="J14677" i="8"/>
  <c r="J14676" i="8"/>
  <c r="J14675" i="8"/>
  <c r="J14674" i="8"/>
  <c r="J14673" i="8"/>
  <c r="J14672" i="8"/>
  <c r="J14671" i="8"/>
  <c r="J14670" i="8"/>
  <c r="I14666" i="8"/>
  <c r="J14665" i="8"/>
  <c r="J14664" i="8"/>
  <c r="J14663" i="8"/>
  <c r="J14662" i="8"/>
  <c r="J14661" i="8"/>
  <c r="J14660" i="8"/>
  <c r="J14659" i="8"/>
  <c r="J14658" i="8"/>
  <c r="J14657" i="8"/>
  <c r="J14656" i="8"/>
  <c r="J14655" i="8"/>
  <c r="J14654" i="8"/>
  <c r="J14653" i="8"/>
  <c r="J14652" i="8"/>
  <c r="J14651" i="8"/>
  <c r="I14648" i="8"/>
  <c r="J14647" i="8"/>
  <c r="J14646" i="8"/>
  <c r="J14645" i="8"/>
  <c r="J14644" i="8"/>
  <c r="J14643" i="8"/>
  <c r="J14642" i="8"/>
  <c r="J14641" i="8"/>
  <c r="J14640" i="8"/>
  <c r="J14639" i="8"/>
  <c r="J14638" i="8"/>
  <c r="J14637" i="8"/>
  <c r="J14636" i="8"/>
  <c r="J14635" i="8"/>
  <c r="J14634" i="8"/>
  <c r="J14633" i="8"/>
  <c r="J14630" i="8"/>
  <c r="J14629" i="8"/>
  <c r="J14628" i="8"/>
  <c r="J14627" i="8"/>
  <c r="J14626" i="8"/>
  <c r="J14625" i="8"/>
  <c r="J14624" i="8"/>
  <c r="J14623" i="8"/>
  <c r="J14622" i="8"/>
  <c r="J14621" i="8"/>
  <c r="J14620" i="8"/>
  <c r="J14619" i="8"/>
  <c r="J14618" i="8"/>
  <c r="J14617" i="8"/>
  <c r="J14616" i="8"/>
  <c r="J14615" i="8"/>
  <c r="J14614" i="8"/>
  <c r="J14613" i="8"/>
  <c r="J14612" i="8"/>
  <c r="J14611" i="8"/>
  <c r="J14610" i="8"/>
  <c r="J14609" i="8"/>
  <c r="J14608" i="8"/>
  <c r="J14607" i="8"/>
  <c r="J14606" i="8"/>
  <c r="J14605" i="8"/>
  <c r="J14604" i="8"/>
  <c r="J14603" i="8"/>
  <c r="J14602" i="8"/>
  <c r="J14601" i="8"/>
  <c r="J14600" i="8"/>
  <c r="J14599" i="8"/>
  <c r="J14598" i="8"/>
  <c r="J14597" i="8"/>
  <c r="J14596" i="8"/>
  <c r="J14595" i="8"/>
  <c r="J14594" i="8"/>
  <c r="J14593" i="8"/>
  <c r="J14592" i="8"/>
  <c r="J14591" i="8"/>
  <c r="J14590" i="8"/>
  <c r="J14589" i="8"/>
  <c r="J14588" i="8"/>
  <c r="J14587" i="8"/>
  <c r="J14586" i="8"/>
  <c r="J14585" i="8"/>
  <c r="J14584" i="8"/>
  <c r="J14583" i="8"/>
  <c r="J14582" i="8"/>
  <c r="J14581" i="8"/>
  <c r="J14580" i="8"/>
  <c r="J14579" i="8"/>
  <c r="J14578" i="8"/>
  <c r="J14577" i="8"/>
  <c r="J14576" i="8"/>
  <c r="J14575" i="8"/>
  <c r="J14574" i="8"/>
  <c r="J14573" i="8"/>
  <c r="J14572" i="8"/>
  <c r="J14571" i="8"/>
  <c r="I14428" i="8"/>
  <c r="F352" i="7" s="1"/>
  <c r="J14427" i="8"/>
  <c r="J14426" i="8"/>
  <c r="J14425" i="8"/>
  <c r="J14424" i="8"/>
  <c r="J14423" i="8"/>
  <c r="J14422" i="8"/>
  <c r="J14421" i="8"/>
  <c r="J14420" i="8"/>
  <c r="J14419" i="8"/>
  <c r="J14418" i="8"/>
  <c r="J14417" i="8"/>
  <c r="J14416" i="8"/>
  <c r="J14415" i="8"/>
  <c r="J14414" i="8"/>
  <c r="J14413" i="8"/>
  <c r="H14428" i="8"/>
  <c r="D352" i="7" s="1"/>
  <c r="I14410" i="8"/>
  <c r="J14409" i="8"/>
  <c r="J14408" i="8"/>
  <c r="J14407" i="8"/>
  <c r="J14406" i="8"/>
  <c r="J14405" i="8"/>
  <c r="J14404" i="8"/>
  <c r="J14403" i="8"/>
  <c r="J14402" i="8"/>
  <c r="J14401" i="8"/>
  <c r="J14400" i="8"/>
  <c r="J14399" i="8"/>
  <c r="J14398" i="8"/>
  <c r="J14397" i="8"/>
  <c r="J14396" i="8"/>
  <c r="J14395" i="8"/>
  <c r="J14392" i="8"/>
  <c r="J14391" i="8"/>
  <c r="J14390" i="8"/>
  <c r="J14389" i="8"/>
  <c r="J14388" i="8"/>
  <c r="J14387" i="8"/>
  <c r="J14386" i="8"/>
  <c r="J14385" i="8"/>
  <c r="J14384" i="8"/>
  <c r="J14383" i="8"/>
  <c r="J14382" i="8"/>
  <c r="J14381" i="8"/>
  <c r="J14380" i="8"/>
  <c r="J14379" i="8"/>
  <c r="J14378" i="8"/>
  <c r="J14377" i="8"/>
  <c r="J14376" i="8"/>
  <c r="J14375" i="8"/>
  <c r="J14374" i="8"/>
  <c r="J14373" i="8"/>
  <c r="J14372" i="8"/>
  <c r="J14371" i="8"/>
  <c r="J14370" i="8"/>
  <c r="J14369" i="8"/>
  <c r="J14368" i="8"/>
  <c r="J14367" i="8"/>
  <c r="J14366" i="8"/>
  <c r="J14365" i="8"/>
  <c r="J14364" i="8"/>
  <c r="J14363" i="8"/>
  <c r="J14362" i="8"/>
  <c r="J14361" i="8"/>
  <c r="J14360" i="8"/>
  <c r="J14359" i="8"/>
  <c r="J14358" i="8"/>
  <c r="J14357" i="8"/>
  <c r="J14356" i="8"/>
  <c r="J14355" i="8"/>
  <c r="J14354" i="8"/>
  <c r="J14353" i="8"/>
  <c r="J14352" i="8"/>
  <c r="J14351" i="8"/>
  <c r="J14350" i="8"/>
  <c r="J14349" i="8"/>
  <c r="J14348" i="8"/>
  <c r="J14347" i="8"/>
  <c r="J14346" i="8"/>
  <c r="J14345" i="8"/>
  <c r="J14344" i="8"/>
  <c r="J14343" i="8"/>
  <c r="J14342" i="8"/>
  <c r="J14341" i="8"/>
  <c r="J14340" i="8"/>
  <c r="J14339" i="8"/>
  <c r="J14338" i="8"/>
  <c r="J14337" i="8"/>
  <c r="J14336" i="8"/>
  <c r="J14335" i="8"/>
  <c r="J14334" i="8"/>
  <c r="J14333" i="8"/>
  <c r="I14230" i="8"/>
  <c r="J14229" i="8"/>
  <c r="J14228" i="8"/>
  <c r="J14227" i="8"/>
  <c r="J14226" i="8"/>
  <c r="J14225" i="8"/>
  <c r="J14224" i="8"/>
  <c r="J14223" i="8"/>
  <c r="J14222" i="8"/>
  <c r="J14221" i="8"/>
  <c r="J14220" i="8"/>
  <c r="J14219" i="8"/>
  <c r="J14218" i="8"/>
  <c r="J14217" i="8"/>
  <c r="J14216" i="8"/>
  <c r="J14215" i="8"/>
  <c r="I14212" i="8"/>
  <c r="J14211" i="8"/>
  <c r="J14210" i="8"/>
  <c r="J14209" i="8"/>
  <c r="J14208" i="8"/>
  <c r="J14207" i="8"/>
  <c r="J14206" i="8"/>
  <c r="J14205" i="8"/>
  <c r="J14204" i="8"/>
  <c r="J14203" i="8"/>
  <c r="J14202" i="8"/>
  <c r="J14201" i="8"/>
  <c r="J14200" i="8"/>
  <c r="J14199" i="8"/>
  <c r="J14198" i="8"/>
  <c r="J14197" i="8"/>
  <c r="J14194" i="8"/>
  <c r="J14193" i="8"/>
  <c r="J14192" i="8"/>
  <c r="J14191" i="8"/>
  <c r="J14190" i="8"/>
  <c r="J14189" i="8"/>
  <c r="J14188" i="8"/>
  <c r="J14187" i="8"/>
  <c r="J14186" i="8"/>
  <c r="J14185" i="8"/>
  <c r="J14184" i="8"/>
  <c r="J14183" i="8"/>
  <c r="J14182" i="8"/>
  <c r="J14181" i="8"/>
  <c r="J14180" i="8"/>
  <c r="J14179" i="8"/>
  <c r="J14178" i="8"/>
  <c r="J14177" i="8"/>
  <c r="J14176" i="8"/>
  <c r="J14175" i="8"/>
  <c r="J14174" i="8"/>
  <c r="J14173" i="8"/>
  <c r="J14172" i="8"/>
  <c r="J14171" i="8"/>
  <c r="J14170" i="8"/>
  <c r="J14169" i="8"/>
  <c r="J14168" i="8"/>
  <c r="J14167" i="8"/>
  <c r="J14166" i="8"/>
  <c r="J14165" i="8"/>
  <c r="J14164" i="8"/>
  <c r="J14163" i="8"/>
  <c r="J14162" i="8"/>
  <c r="J14161" i="8"/>
  <c r="J14160" i="8"/>
  <c r="J14159" i="8"/>
  <c r="J14158" i="8"/>
  <c r="J14157" i="8"/>
  <c r="J14156" i="8"/>
  <c r="J14155" i="8"/>
  <c r="J14154" i="8"/>
  <c r="J14153" i="8"/>
  <c r="J14152" i="8"/>
  <c r="J14151" i="8"/>
  <c r="J14150" i="8"/>
  <c r="J14149" i="8"/>
  <c r="J14148" i="8"/>
  <c r="J14147" i="8"/>
  <c r="J14146" i="8"/>
  <c r="J14145" i="8"/>
  <c r="J14144" i="8"/>
  <c r="J14143" i="8"/>
  <c r="J14142" i="8"/>
  <c r="J14141" i="8"/>
  <c r="J14140" i="8"/>
  <c r="J14139" i="8"/>
  <c r="J14138" i="8"/>
  <c r="J14137" i="8"/>
  <c r="J14136" i="8"/>
  <c r="J14135" i="8"/>
  <c r="I14546" i="8"/>
  <c r="J14545" i="8"/>
  <c r="J14544" i="8"/>
  <c r="J14543" i="8"/>
  <c r="J14542" i="8"/>
  <c r="J14541" i="8"/>
  <c r="J14540" i="8"/>
  <c r="J14539" i="8"/>
  <c r="J14538" i="8"/>
  <c r="J14537" i="8"/>
  <c r="J14536" i="8"/>
  <c r="J14535" i="8"/>
  <c r="J14534" i="8"/>
  <c r="J14533" i="8"/>
  <c r="J14532" i="8"/>
  <c r="J14531" i="8"/>
  <c r="I14527" i="8"/>
  <c r="J14526" i="8"/>
  <c r="J14525" i="8"/>
  <c r="J14524" i="8"/>
  <c r="J14523" i="8"/>
  <c r="J14522" i="8"/>
  <c r="J14521" i="8"/>
  <c r="J14520" i="8"/>
  <c r="J14519" i="8"/>
  <c r="J14518" i="8"/>
  <c r="J14517" i="8"/>
  <c r="J14516" i="8"/>
  <c r="J14515" i="8"/>
  <c r="J14514" i="8"/>
  <c r="J14513" i="8"/>
  <c r="J14512" i="8"/>
  <c r="I14509" i="8"/>
  <c r="J14508" i="8"/>
  <c r="J14507" i="8"/>
  <c r="J14506" i="8"/>
  <c r="J14505" i="8"/>
  <c r="J14504" i="8"/>
  <c r="J14503" i="8"/>
  <c r="J14502" i="8"/>
  <c r="J14501" i="8"/>
  <c r="J14500" i="8"/>
  <c r="J14499" i="8"/>
  <c r="J14498" i="8"/>
  <c r="J14497" i="8"/>
  <c r="J14496" i="8"/>
  <c r="J14495" i="8"/>
  <c r="J14494" i="8"/>
  <c r="J14491" i="8"/>
  <c r="J14490" i="8"/>
  <c r="J14489" i="8"/>
  <c r="J14488" i="8"/>
  <c r="J14487" i="8"/>
  <c r="J14486" i="8"/>
  <c r="J14485" i="8"/>
  <c r="J14484" i="8"/>
  <c r="J14483" i="8"/>
  <c r="J14482" i="8"/>
  <c r="J14481" i="8"/>
  <c r="J14480" i="8"/>
  <c r="J14479" i="8"/>
  <c r="J14478" i="8"/>
  <c r="J14477" i="8"/>
  <c r="J14476" i="8"/>
  <c r="J14475" i="8"/>
  <c r="J14474" i="8"/>
  <c r="J14473" i="8"/>
  <c r="J14472" i="8"/>
  <c r="J14471" i="8"/>
  <c r="J14470" i="8"/>
  <c r="J14469" i="8"/>
  <c r="J14468" i="8"/>
  <c r="J14467" i="8"/>
  <c r="J14466" i="8"/>
  <c r="J14465" i="8"/>
  <c r="J14464" i="8"/>
  <c r="J14463" i="8"/>
  <c r="J14462" i="8"/>
  <c r="J14461" i="8"/>
  <c r="J14460" i="8"/>
  <c r="J14459" i="8"/>
  <c r="J14458" i="8"/>
  <c r="J14457" i="8"/>
  <c r="J14456" i="8"/>
  <c r="J14455" i="8"/>
  <c r="J14454" i="8"/>
  <c r="J14453" i="8"/>
  <c r="J14452" i="8"/>
  <c r="J14451" i="8"/>
  <c r="J14450" i="8"/>
  <c r="J14449" i="8"/>
  <c r="J14448" i="8"/>
  <c r="J14447" i="8"/>
  <c r="J14446" i="8"/>
  <c r="J14445" i="8"/>
  <c r="J14444" i="8"/>
  <c r="J14443" i="8"/>
  <c r="J14442" i="8"/>
  <c r="J14441" i="8"/>
  <c r="J14440" i="8"/>
  <c r="J14439" i="8"/>
  <c r="J14438" i="8"/>
  <c r="J14437" i="8"/>
  <c r="J14436" i="8"/>
  <c r="J14435" i="8"/>
  <c r="J14434" i="8"/>
  <c r="J14433" i="8"/>
  <c r="J14432" i="8"/>
  <c r="I14329" i="8"/>
  <c r="J14328" i="8"/>
  <c r="J14327" i="8"/>
  <c r="J14326" i="8"/>
  <c r="J14325" i="8"/>
  <c r="J14324" i="8"/>
  <c r="J14323" i="8"/>
  <c r="J14322" i="8"/>
  <c r="J14321" i="8"/>
  <c r="J14320" i="8"/>
  <c r="J14319" i="8"/>
  <c r="J14318" i="8"/>
  <c r="J14317" i="8"/>
  <c r="J14316" i="8"/>
  <c r="J14315" i="8"/>
  <c r="J14314" i="8"/>
  <c r="I14311" i="8"/>
  <c r="J14310" i="8"/>
  <c r="J14309" i="8"/>
  <c r="J14308" i="8"/>
  <c r="J14307" i="8"/>
  <c r="J14306" i="8"/>
  <c r="J14305" i="8"/>
  <c r="J14304" i="8"/>
  <c r="J14303" i="8"/>
  <c r="J14302" i="8"/>
  <c r="J14301" i="8"/>
  <c r="J14300" i="8"/>
  <c r="J14299" i="8"/>
  <c r="J14298" i="8"/>
  <c r="J14297" i="8"/>
  <c r="J14296"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J14270" i="8"/>
  <c r="J14269" i="8"/>
  <c r="J14268" i="8"/>
  <c r="J14267" i="8"/>
  <c r="J14266" i="8"/>
  <c r="J14265" i="8"/>
  <c r="J14264" i="8"/>
  <c r="J14263" i="8"/>
  <c r="J14262" i="8"/>
  <c r="J14261" i="8"/>
  <c r="J14260" i="8"/>
  <c r="J14259" i="8"/>
  <c r="J14258" i="8"/>
  <c r="J14257" i="8"/>
  <c r="J14256" i="8"/>
  <c r="J14255" i="8"/>
  <c r="J14254" i="8"/>
  <c r="J14253" i="8"/>
  <c r="J14252" i="8"/>
  <c r="J14251" i="8"/>
  <c r="J14250" i="8"/>
  <c r="J14249" i="8"/>
  <c r="J14248" i="8"/>
  <c r="J14247" i="8"/>
  <c r="J14246" i="8"/>
  <c r="J14245" i="8"/>
  <c r="J14244" i="8"/>
  <c r="J14243" i="8"/>
  <c r="J14242" i="8"/>
  <c r="J14241" i="8"/>
  <c r="J14240" i="8"/>
  <c r="J14239" i="8"/>
  <c r="J14238" i="8"/>
  <c r="J14237" i="8"/>
  <c r="J14236" i="8"/>
  <c r="J14235" i="8"/>
  <c r="J14234" i="8"/>
  <c r="I14131" i="8"/>
  <c r="J14130" i="8"/>
  <c r="J14129" i="8"/>
  <c r="J14128" i="8"/>
  <c r="J14127" i="8"/>
  <c r="J14126" i="8"/>
  <c r="J14125" i="8"/>
  <c r="J14124" i="8"/>
  <c r="J14123" i="8"/>
  <c r="J14122" i="8"/>
  <c r="J14121" i="8"/>
  <c r="J14120" i="8"/>
  <c r="J14119" i="8"/>
  <c r="J14118" i="8"/>
  <c r="J14117" i="8"/>
  <c r="J14116" i="8"/>
  <c r="J14112" i="8"/>
  <c r="J14111" i="8"/>
  <c r="J14110" i="8"/>
  <c r="J14109" i="8"/>
  <c r="J14108" i="8"/>
  <c r="J14107" i="8"/>
  <c r="J14106" i="8"/>
  <c r="J14105" i="8"/>
  <c r="J14104" i="8"/>
  <c r="J14103" i="8"/>
  <c r="J14102" i="8"/>
  <c r="J14101" i="8"/>
  <c r="J14100" i="8"/>
  <c r="J14099" i="8"/>
  <c r="J14098" i="8"/>
  <c r="J14095" i="8"/>
  <c r="J14094" i="8"/>
  <c r="J14093" i="8"/>
  <c r="J14092" i="8"/>
  <c r="J14091" i="8"/>
  <c r="J14090" i="8"/>
  <c r="J14089" i="8"/>
  <c r="J14088" i="8"/>
  <c r="J14087" i="8"/>
  <c r="J14086" i="8"/>
  <c r="J14085" i="8"/>
  <c r="J14084" i="8"/>
  <c r="J14083" i="8"/>
  <c r="J14082" i="8"/>
  <c r="J14081" i="8"/>
  <c r="J14080" i="8"/>
  <c r="J14079" i="8"/>
  <c r="J14078" i="8"/>
  <c r="J14077" i="8"/>
  <c r="J14076" i="8"/>
  <c r="J14075" i="8"/>
  <c r="J14074" i="8"/>
  <c r="J14073" i="8"/>
  <c r="J14072" i="8"/>
  <c r="J14071" i="8"/>
  <c r="J14070" i="8"/>
  <c r="J14069" i="8"/>
  <c r="J14068" i="8"/>
  <c r="J14067" i="8"/>
  <c r="J14066" i="8"/>
  <c r="J14065" i="8"/>
  <c r="J14064" i="8"/>
  <c r="J14063" i="8"/>
  <c r="J14062" i="8"/>
  <c r="J14061" i="8"/>
  <c r="J14060" i="8"/>
  <c r="J14059" i="8"/>
  <c r="J14058" i="8"/>
  <c r="J14057" i="8"/>
  <c r="J14056" i="8"/>
  <c r="J14055" i="8"/>
  <c r="J14054" i="8"/>
  <c r="J14053" i="8"/>
  <c r="J14052" i="8"/>
  <c r="J14051" i="8"/>
  <c r="J14050" i="8"/>
  <c r="J14049" i="8"/>
  <c r="J14048" i="8"/>
  <c r="J14047" i="8"/>
  <c r="J14046" i="8"/>
  <c r="J14045" i="8"/>
  <c r="J14044" i="8"/>
  <c r="J14043" i="8"/>
  <c r="J14042" i="8"/>
  <c r="J14041" i="8"/>
  <c r="J14040" i="8"/>
  <c r="J14039" i="8"/>
  <c r="J14038" i="8"/>
  <c r="J14037" i="8"/>
  <c r="J14036" i="8"/>
  <c r="I13576" i="8"/>
  <c r="J13575" i="8"/>
  <c r="J13574" i="8"/>
  <c r="J13573" i="8"/>
  <c r="J13572" i="8"/>
  <c r="J13571" i="8"/>
  <c r="J13570" i="8"/>
  <c r="J13569" i="8"/>
  <c r="J13568" i="8"/>
  <c r="J13567" i="8"/>
  <c r="J13566" i="8"/>
  <c r="J13565" i="8"/>
  <c r="J13564" i="8"/>
  <c r="J13563" i="8"/>
  <c r="J13562" i="8"/>
  <c r="J13561" i="8"/>
  <c r="J13560" i="8"/>
  <c r="I13557" i="8"/>
  <c r="J13556" i="8"/>
  <c r="J13555" i="8"/>
  <c r="J13554" i="8"/>
  <c r="J13553" i="8"/>
  <c r="J13552" i="8"/>
  <c r="J13551" i="8"/>
  <c r="J13550" i="8"/>
  <c r="J13549" i="8"/>
  <c r="J13548" i="8"/>
  <c r="J13547" i="8"/>
  <c r="J13546" i="8"/>
  <c r="J13545" i="8"/>
  <c r="J13544" i="8"/>
  <c r="J13543" i="8"/>
  <c r="J13542" i="8"/>
  <c r="J13541" i="8"/>
  <c r="J13537" i="8"/>
  <c r="J13536" i="8"/>
  <c r="J13535" i="8"/>
  <c r="J13534" i="8"/>
  <c r="J13533" i="8"/>
  <c r="J13532" i="8"/>
  <c r="J13531" i="8"/>
  <c r="J13530" i="8"/>
  <c r="J13529" i="8"/>
  <c r="J13528" i="8"/>
  <c r="J13527" i="8"/>
  <c r="J13526" i="8"/>
  <c r="J13525" i="8"/>
  <c r="J13524" i="8"/>
  <c r="J13523" i="8"/>
  <c r="J13522" i="8"/>
  <c r="J13519" i="8"/>
  <c r="J13518" i="8"/>
  <c r="J13517" i="8"/>
  <c r="J13516" i="8"/>
  <c r="J13515" i="8"/>
  <c r="J13514" i="8"/>
  <c r="J13513" i="8"/>
  <c r="J13512" i="8"/>
  <c r="J13511" i="8"/>
  <c r="J13510" i="8"/>
  <c r="J13509" i="8"/>
  <c r="J13508" i="8"/>
  <c r="J13507" i="8"/>
  <c r="J13506" i="8"/>
  <c r="J13505" i="8"/>
  <c r="J13504" i="8"/>
  <c r="J13502" i="8"/>
  <c r="J13501" i="8"/>
  <c r="J13500" i="8"/>
  <c r="J13499" i="8"/>
  <c r="J13498" i="8"/>
  <c r="J13497" i="8"/>
  <c r="J13496" i="8"/>
  <c r="J13495" i="8"/>
  <c r="J13494" i="8"/>
  <c r="J13493" i="8"/>
  <c r="J13492" i="8"/>
  <c r="J13491" i="8"/>
  <c r="J13490" i="8"/>
  <c r="J13489" i="8"/>
  <c r="J13488" i="8"/>
  <c r="J13487" i="8"/>
  <c r="J13486" i="8"/>
  <c r="J13485" i="8"/>
  <c r="J13484" i="8"/>
  <c r="J13483" i="8"/>
  <c r="J13482" i="8"/>
  <c r="J13481" i="8"/>
  <c r="J13480" i="8"/>
  <c r="J13479" i="8"/>
  <c r="J13478" i="8"/>
  <c r="J13477" i="8"/>
  <c r="J13476" i="8"/>
  <c r="J13475" i="8"/>
  <c r="J13474" i="8"/>
  <c r="J13473" i="8"/>
  <c r="J13472" i="8"/>
  <c r="J13471" i="8"/>
  <c r="J13470" i="8"/>
  <c r="J13469" i="8"/>
  <c r="J13468" i="8"/>
  <c r="J13467" i="8"/>
  <c r="J13466" i="8"/>
  <c r="J13465" i="8"/>
  <c r="J13464" i="8"/>
  <c r="J13463" i="8"/>
  <c r="J13462" i="8"/>
  <c r="J13461" i="8"/>
  <c r="J13460" i="8"/>
  <c r="J13459" i="8"/>
  <c r="J13458" i="8"/>
  <c r="J13457" i="8"/>
  <c r="J13456" i="8"/>
  <c r="J13455" i="8"/>
  <c r="J13454" i="8"/>
  <c r="J13453" i="8"/>
  <c r="J13452" i="8"/>
  <c r="J13451" i="8"/>
  <c r="J13450" i="8"/>
  <c r="J13449" i="8"/>
  <c r="J13448" i="8"/>
  <c r="J13447" i="8"/>
  <c r="J13446" i="8"/>
  <c r="J13445" i="8"/>
  <c r="J13444" i="8"/>
  <c r="J13443" i="8"/>
  <c r="I13439" i="8"/>
  <c r="J13438" i="8"/>
  <c r="J13437" i="8"/>
  <c r="J13436" i="8"/>
  <c r="J13435" i="8"/>
  <c r="J13434" i="8"/>
  <c r="J13433" i="8"/>
  <c r="J13432" i="8"/>
  <c r="J13431" i="8"/>
  <c r="J13430" i="8"/>
  <c r="J13429" i="8"/>
  <c r="J13428" i="8"/>
  <c r="J13427" i="8"/>
  <c r="J13426" i="8"/>
  <c r="J13425" i="8"/>
  <c r="J13424" i="8"/>
  <c r="J13420" i="8"/>
  <c r="J13419" i="8"/>
  <c r="J13418" i="8"/>
  <c r="J13417" i="8"/>
  <c r="J13416" i="8"/>
  <c r="J13415" i="8"/>
  <c r="J13414" i="8"/>
  <c r="J13413" i="8"/>
  <c r="J13412" i="8"/>
  <c r="J13411" i="8"/>
  <c r="J13410" i="8"/>
  <c r="J13409" i="8"/>
  <c r="J13408" i="8"/>
  <c r="J13407" i="8"/>
  <c r="J13406" i="8"/>
  <c r="J13403" i="8"/>
  <c r="J13402" i="8"/>
  <c r="J13401" i="8"/>
  <c r="J13400" i="8"/>
  <c r="J13399" i="8"/>
  <c r="J13398" i="8"/>
  <c r="J13397" i="8"/>
  <c r="J13396" i="8"/>
  <c r="J13395" i="8"/>
  <c r="J13394" i="8"/>
  <c r="J13393" i="8"/>
  <c r="J13392" i="8"/>
  <c r="J13391" i="8"/>
  <c r="J13390" i="8"/>
  <c r="J13389" i="8"/>
  <c r="J13388" i="8"/>
  <c r="J13387" i="8"/>
  <c r="J13386" i="8"/>
  <c r="J13385" i="8"/>
  <c r="J13384" i="8"/>
  <c r="J13383" i="8"/>
  <c r="J13382" i="8"/>
  <c r="J13381" i="8"/>
  <c r="J13380" i="8"/>
  <c r="J13379" i="8"/>
  <c r="J13378" i="8"/>
  <c r="J13377" i="8"/>
  <c r="J13376" i="8"/>
  <c r="J13375" i="8"/>
  <c r="J13374" i="8"/>
  <c r="J13373" i="8"/>
  <c r="J13372" i="8"/>
  <c r="J13371" i="8"/>
  <c r="J13370" i="8"/>
  <c r="J13369" i="8"/>
  <c r="J13368" i="8"/>
  <c r="J13367" i="8"/>
  <c r="J13366" i="8"/>
  <c r="J13365" i="8"/>
  <c r="J13364" i="8"/>
  <c r="J13363" i="8"/>
  <c r="J13362" i="8"/>
  <c r="J13361" i="8"/>
  <c r="J13360" i="8"/>
  <c r="J13359" i="8"/>
  <c r="J13358" i="8"/>
  <c r="J13357" i="8"/>
  <c r="J13356" i="8"/>
  <c r="J13355" i="8"/>
  <c r="J13354" i="8"/>
  <c r="J13353" i="8"/>
  <c r="J13352" i="8"/>
  <c r="J13351" i="8"/>
  <c r="J13350" i="8"/>
  <c r="J13349" i="8"/>
  <c r="J13348" i="8"/>
  <c r="J13347" i="8"/>
  <c r="J13346" i="8"/>
  <c r="J13345" i="8"/>
  <c r="J13344" i="8"/>
  <c r="I13338" i="8"/>
  <c r="J13337" i="8"/>
  <c r="J13336" i="8"/>
  <c r="J13335" i="8"/>
  <c r="J13334" i="8"/>
  <c r="J13333" i="8"/>
  <c r="J13332" i="8"/>
  <c r="J13331" i="8"/>
  <c r="J13330" i="8"/>
  <c r="J13329" i="8"/>
  <c r="J13328" i="8"/>
  <c r="J13327" i="8"/>
  <c r="J13326" i="8"/>
  <c r="J13325" i="8"/>
  <c r="J13324" i="8"/>
  <c r="J13323" i="8"/>
  <c r="I13319" i="8"/>
  <c r="J13318" i="8"/>
  <c r="J13317" i="8"/>
  <c r="J13316" i="8"/>
  <c r="J13315" i="8"/>
  <c r="J13314" i="8"/>
  <c r="J13313" i="8"/>
  <c r="J13312" i="8"/>
  <c r="J13311" i="8"/>
  <c r="J13310" i="8"/>
  <c r="J13309" i="8"/>
  <c r="J13308" i="8"/>
  <c r="J13307" i="8"/>
  <c r="J13306" i="8"/>
  <c r="J13305" i="8"/>
  <c r="J13304" i="8"/>
  <c r="J13299" i="8"/>
  <c r="J13298" i="8"/>
  <c r="J13297" i="8"/>
  <c r="J13296" i="8"/>
  <c r="J13295" i="8"/>
  <c r="J13294" i="8"/>
  <c r="J13293" i="8"/>
  <c r="J13292" i="8"/>
  <c r="J13291" i="8"/>
  <c r="J13290" i="8"/>
  <c r="J13289" i="8"/>
  <c r="J13288" i="8"/>
  <c r="J13287" i="8"/>
  <c r="J13286" i="8"/>
  <c r="J13285" i="8"/>
  <c r="J13284" i="8"/>
  <c r="J13281" i="8"/>
  <c r="J13280" i="8"/>
  <c r="J13279" i="8"/>
  <c r="J13278" i="8"/>
  <c r="J13277" i="8"/>
  <c r="J13276" i="8"/>
  <c r="J13275" i="8"/>
  <c r="J13274" i="8"/>
  <c r="J13273" i="8"/>
  <c r="J13272" i="8"/>
  <c r="J13271" i="8"/>
  <c r="J13270" i="8"/>
  <c r="J13269" i="8"/>
  <c r="J13268" i="8"/>
  <c r="J13267" i="8"/>
  <c r="J13266" i="8"/>
  <c r="J13264" i="8"/>
  <c r="J13263" i="8"/>
  <c r="J13262" i="8"/>
  <c r="J13261" i="8"/>
  <c r="J13260" i="8"/>
  <c r="J13259" i="8"/>
  <c r="J13258" i="8"/>
  <c r="J13257" i="8"/>
  <c r="J13256" i="8"/>
  <c r="J13255" i="8"/>
  <c r="J13254" i="8"/>
  <c r="J13253" i="8"/>
  <c r="J13252" i="8"/>
  <c r="J13251" i="8"/>
  <c r="J13250" i="8"/>
  <c r="J13249" i="8"/>
  <c r="J13248" i="8"/>
  <c r="J13247" i="8"/>
  <c r="J13246" i="8"/>
  <c r="J13245" i="8"/>
  <c r="J13244" i="8"/>
  <c r="J13243" i="8"/>
  <c r="J13242" i="8"/>
  <c r="J13241" i="8"/>
  <c r="J13240" i="8"/>
  <c r="J13239" i="8"/>
  <c r="J13238" i="8"/>
  <c r="J13237" i="8"/>
  <c r="J13236" i="8"/>
  <c r="J13235" i="8"/>
  <c r="J13234" i="8"/>
  <c r="J13233" i="8"/>
  <c r="J13232" i="8"/>
  <c r="J13231" i="8"/>
  <c r="J13230" i="8"/>
  <c r="J13229" i="8"/>
  <c r="J13228" i="8"/>
  <c r="J13227" i="8"/>
  <c r="J13226" i="8"/>
  <c r="J13225" i="8"/>
  <c r="J13224" i="8"/>
  <c r="J13223" i="8"/>
  <c r="J13222" i="8"/>
  <c r="J13221" i="8"/>
  <c r="J13220" i="8"/>
  <c r="J13219" i="8"/>
  <c r="J13218" i="8"/>
  <c r="J13217" i="8"/>
  <c r="J13216" i="8"/>
  <c r="J13215" i="8"/>
  <c r="J13214" i="8"/>
  <c r="J13213" i="8"/>
  <c r="J13212" i="8"/>
  <c r="J13211" i="8"/>
  <c r="J13210" i="8"/>
  <c r="J13209" i="8"/>
  <c r="J13208" i="8"/>
  <c r="J13207" i="8"/>
  <c r="J13206" i="8"/>
  <c r="J13205" i="8"/>
  <c r="I13201" i="8"/>
  <c r="J13200" i="8"/>
  <c r="J13199" i="8"/>
  <c r="J13198" i="8"/>
  <c r="J13197" i="8"/>
  <c r="J13196" i="8"/>
  <c r="J13195" i="8"/>
  <c r="J13194" i="8"/>
  <c r="J13193" i="8"/>
  <c r="J13192" i="8"/>
  <c r="J13191" i="8"/>
  <c r="J13190" i="8"/>
  <c r="J13189" i="8"/>
  <c r="J13188" i="8"/>
  <c r="J13187" i="8"/>
  <c r="J13186" i="8"/>
  <c r="I13183" i="8"/>
  <c r="J13182" i="8"/>
  <c r="J13181" i="8"/>
  <c r="J13180" i="8"/>
  <c r="J13179" i="8"/>
  <c r="J13178" i="8"/>
  <c r="J13177" i="8"/>
  <c r="J13176" i="8"/>
  <c r="J13175" i="8"/>
  <c r="J13174" i="8"/>
  <c r="J13173" i="8"/>
  <c r="J13172" i="8"/>
  <c r="J13171" i="8"/>
  <c r="J13170" i="8"/>
  <c r="J13169" i="8"/>
  <c r="J13168" i="8"/>
  <c r="J13165" i="8"/>
  <c r="J13164" i="8"/>
  <c r="J13163" i="8"/>
  <c r="J13162" i="8"/>
  <c r="J13161" i="8"/>
  <c r="J13160" i="8"/>
  <c r="J13159" i="8"/>
  <c r="J13158" i="8"/>
  <c r="J13157" i="8"/>
  <c r="J13156" i="8"/>
  <c r="J13155" i="8"/>
  <c r="J13154" i="8"/>
  <c r="J13153" i="8"/>
  <c r="J13152" i="8"/>
  <c r="J13151" i="8"/>
  <c r="J13150" i="8"/>
  <c r="J13149" i="8"/>
  <c r="J13148" i="8"/>
  <c r="J13147" i="8"/>
  <c r="J13146" i="8"/>
  <c r="J13145" i="8"/>
  <c r="J13144" i="8"/>
  <c r="J13143" i="8"/>
  <c r="J13142" i="8"/>
  <c r="J13141" i="8"/>
  <c r="J13140" i="8"/>
  <c r="J13139" i="8"/>
  <c r="J13138" i="8"/>
  <c r="J13137" i="8"/>
  <c r="J13136" i="8"/>
  <c r="J13135" i="8"/>
  <c r="J13134" i="8"/>
  <c r="J13133" i="8"/>
  <c r="J13132" i="8"/>
  <c r="J13131" i="8"/>
  <c r="J13130" i="8"/>
  <c r="J13129" i="8"/>
  <c r="J13128" i="8"/>
  <c r="J13127" i="8"/>
  <c r="J13126" i="8"/>
  <c r="J13125" i="8"/>
  <c r="J13124" i="8"/>
  <c r="J13123" i="8"/>
  <c r="J13122" i="8"/>
  <c r="J13121" i="8"/>
  <c r="J13120" i="8"/>
  <c r="J13119" i="8"/>
  <c r="J13118" i="8"/>
  <c r="J13117" i="8"/>
  <c r="J13116" i="8"/>
  <c r="J13115" i="8"/>
  <c r="J13114" i="8"/>
  <c r="J13113" i="8"/>
  <c r="J13112" i="8"/>
  <c r="J13111" i="8"/>
  <c r="J13110" i="8"/>
  <c r="J13109" i="8"/>
  <c r="J13108" i="8"/>
  <c r="J13107" i="8"/>
  <c r="J13106" i="8"/>
  <c r="J13099" i="8"/>
  <c r="J13098" i="8"/>
  <c r="J13097" i="8"/>
  <c r="J13096" i="8"/>
  <c r="J13095" i="8"/>
  <c r="J13094" i="8"/>
  <c r="J13093" i="8"/>
  <c r="J13092" i="8"/>
  <c r="J13091" i="8"/>
  <c r="J13090" i="8"/>
  <c r="J13089" i="8"/>
  <c r="J13088" i="8"/>
  <c r="J13087" i="8"/>
  <c r="J13086" i="8"/>
  <c r="J13085" i="8"/>
  <c r="J13084" i="8"/>
  <c r="J13080" i="8"/>
  <c r="J13079" i="8"/>
  <c r="J13078" i="8"/>
  <c r="J13077" i="8"/>
  <c r="J13076" i="8"/>
  <c r="J13075" i="8"/>
  <c r="J13074" i="8"/>
  <c r="J13073" i="8"/>
  <c r="J13072" i="8"/>
  <c r="J13071" i="8"/>
  <c r="J13070" i="8"/>
  <c r="J13069" i="8"/>
  <c r="J13068" i="8"/>
  <c r="J13067" i="8"/>
  <c r="J13066" i="8"/>
  <c r="J13065" i="8"/>
  <c r="J12367" i="8"/>
  <c r="J12366" i="8"/>
  <c r="J12365" i="8"/>
  <c r="J12364" i="8"/>
  <c r="J12363" i="8"/>
  <c r="J12362" i="8"/>
  <c r="J12361" i="8"/>
  <c r="J12360" i="8"/>
  <c r="J12359" i="8"/>
  <c r="J12358" i="8"/>
  <c r="J12357" i="8"/>
  <c r="J12356" i="8"/>
  <c r="J12355" i="8"/>
  <c r="J12354" i="8"/>
  <c r="J12353" i="8"/>
  <c r="J12352" i="8"/>
  <c r="H12350" i="8"/>
  <c r="J12349" i="8"/>
  <c r="J12348" i="8"/>
  <c r="J12347" i="8"/>
  <c r="J12346" i="8"/>
  <c r="J12345" i="8"/>
  <c r="J12344" i="8"/>
  <c r="J12343" i="8"/>
  <c r="J12342" i="8"/>
  <c r="J12341" i="8"/>
  <c r="J12340" i="8"/>
  <c r="J12339" i="8"/>
  <c r="J12338" i="8"/>
  <c r="J12337" i="8"/>
  <c r="J12336" i="8"/>
  <c r="J12335" i="8"/>
  <c r="J12334" i="8"/>
  <c r="J12332" i="8"/>
  <c r="J12331" i="8"/>
  <c r="J12330" i="8"/>
  <c r="J12329" i="8"/>
  <c r="J12328" i="8"/>
  <c r="J12327" i="8"/>
  <c r="J12326" i="8"/>
  <c r="J12325" i="8"/>
  <c r="J12324" i="8"/>
  <c r="J12323" i="8"/>
  <c r="J12322" i="8"/>
  <c r="J12321" i="8"/>
  <c r="J12320" i="8"/>
  <c r="J12319" i="8"/>
  <c r="J12318" i="8"/>
  <c r="J12317" i="8"/>
  <c r="J12316" i="8"/>
  <c r="J12315" i="8"/>
  <c r="J12314" i="8"/>
  <c r="J12313" i="8"/>
  <c r="J12312" i="8"/>
  <c r="J12311" i="8"/>
  <c r="J12310" i="8"/>
  <c r="J12309" i="8"/>
  <c r="J12308" i="8"/>
  <c r="J12307" i="8"/>
  <c r="J12306" i="8"/>
  <c r="J12305" i="8"/>
  <c r="J12304" i="8"/>
  <c r="J12303" i="8"/>
  <c r="J12302" i="8"/>
  <c r="J12301" i="8"/>
  <c r="J12300" i="8"/>
  <c r="J12299" i="8"/>
  <c r="J12298" i="8"/>
  <c r="J12297" i="8"/>
  <c r="J12296" i="8"/>
  <c r="J12295" i="8"/>
  <c r="J12294" i="8"/>
  <c r="J12293" i="8"/>
  <c r="J12292" i="8"/>
  <c r="J12291" i="8"/>
  <c r="J12290" i="8"/>
  <c r="J12289" i="8"/>
  <c r="J12288" i="8"/>
  <c r="J12287" i="8"/>
  <c r="J12286" i="8"/>
  <c r="J12285" i="8"/>
  <c r="J12284" i="8"/>
  <c r="J12283" i="8"/>
  <c r="J12282" i="8"/>
  <c r="J12281" i="8"/>
  <c r="J12280" i="8"/>
  <c r="J12279" i="8"/>
  <c r="J12278" i="8"/>
  <c r="J12277" i="8"/>
  <c r="J12276" i="8"/>
  <c r="J12275" i="8"/>
  <c r="J12274" i="8"/>
  <c r="J12273" i="8"/>
  <c r="J12268" i="8"/>
  <c r="J12267" i="8"/>
  <c r="J12266" i="8"/>
  <c r="J12265" i="8"/>
  <c r="J12264" i="8"/>
  <c r="J12263" i="8"/>
  <c r="J12262" i="8"/>
  <c r="J12261" i="8"/>
  <c r="J12260" i="8"/>
  <c r="J12259" i="8"/>
  <c r="J12258" i="8"/>
  <c r="J12257" i="8"/>
  <c r="J12256" i="8"/>
  <c r="J12255" i="8"/>
  <c r="J12254" i="8"/>
  <c r="I12251" i="8"/>
  <c r="J12250" i="8"/>
  <c r="J12249" i="8"/>
  <c r="J12248" i="8"/>
  <c r="J12247" i="8"/>
  <c r="J12246" i="8"/>
  <c r="J12245" i="8"/>
  <c r="J12244" i="8"/>
  <c r="J12243" i="8"/>
  <c r="J12242" i="8"/>
  <c r="J12241" i="8"/>
  <c r="J12240" i="8"/>
  <c r="J12239" i="8"/>
  <c r="J12238" i="8"/>
  <c r="J12237" i="8"/>
  <c r="J12236" i="8"/>
  <c r="J12233" i="8"/>
  <c r="J12232" i="8"/>
  <c r="J12231" i="8"/>
  <c r="J12230" i="8"/>
  <c r="J12229" i="8"/>
  <c r="J12228" i="8"/>
  <c r="J12227" i="8"/>
  <c r="J12226" i="8"/>
  <c r="J12225" i="8"/>
  <c r="J12224" i="8"/>
  <c r="J12223" i="8"/>
  <c r="J12222" i="8"/>
  <c r="J12221" i="8"/>
  <c r="J12220" i="8"/>
  <c r="J12219" i="8"/>
  <c r="J12218" i="8"/>
  <c r="J12217" i="8"/>
  <c r="J12216" i="8"/>
  <c r="J12215" i="8"/>
  <c r="J12214" i="8"/>
  <c r="J12213" i="8"/>
  <c r="J12212" i="8"/>
  <c r="J12211" i="8"/>
  <c r="J12210" i="8"/>
  <c r="J12209" i="8"/>
  <c r="J12208" i="8"/>
  <c r="J12207" i="8"/>
  <c r="J12206" i="8"/>
  <c r="J12205" i="8"/>
  <c r="J12204" i="8"/>
  <c r="J12203" i="8"/>
  <c r="J12202" i="8"/>
  <c r="J12201" i="8"/>
  <c r="J12200" i="8"/>
  <c r="J12199" i="8"/>
  <c r="J12198" i="8"/>
  <c r="J12197" i="8"/>
  <c r="J12196" i="8"/>
  <c r="J12195" i="8"/>
  <c r="J12194" i="8"/>
  <c r="J12193" i="8"/>
  <c r="J12192" i="8"/>
  <c r="J12191" i="8"/>
  <c r="J12190" i="8"/>
  <c r="J12189" i="8"/>
  <c r="J12188" i="8"/>
  <c r="J12187" i="8"/>
  <c r="J12186" i="8"/>
  <c r="J12185" i="8"/>
  <c r="J12184" i="8"/>
  <c r="J12183" i="8"/>
  <c r="J12182" i="8"/>
  <c r="J12181" i="8"/>
  <c r="J12180" i="8"/>
  <c r="J12179" i="8"/>
  <c r="J12178" i="8"/>
  <c r="J12177" i="8"/>
  <c r="J12176" i="8"/>
  <c r="J12175" i="8"/>
  <c r="J12174" i="8"/>
  <c r="I12168" i="8"/>
  <c r="H12168" i="8"/>
  <c r="J12167" i="8"/>
  <c r="J12166" i="8"/>
  <c r="J12165" i="8"/>
  <c r="J12164" i="8"/>
  <c r="J12163" i="8"/>
  <c r="J12162" i="8"/>
  <c r="J12161" i="8"/>
  <c r="J12160" i="8"/>
  <c r="J12159" i="8"/>
  <c r="J12158" i="8"/>
  <c r="J12157" i="8"/>
  <c r="J12156" i="8"/>
  <c r="J12155" i="8"/>
  <c r="J12154" i="8"/>
  <c r="J12153" i="8"/>
  <c r="J12152" i="8"/>
  <c r="I12149" i="8"/>
  <c r="H12149" i="8"/>
  <c r="J12148" i="8"/>
  <c r="J12147" i="8"/>
  <c r="J12146" i="8"/>
  <c r="J12145" i="8"/>
  <c r="J12144" i="8"/>
  <c r="J12143" i="8"/>
  <c r="J12142" i="8"/>
  <c r="J12141" i="8"/>
  <c r="J12140" i="8"/>
  <c r="J12139" i="8"/>
  <c r="J12138" i="8"/>
  <c r="J12137" i="8"/>
  <c r="J12136" i="8"/>
  <c r="J12135" i="8"/>
  <c r="J12134" i="8"/>
  <c r="J12133" i="8"/>
  <c r="J12129" i="8"/>
  <c r="J12128" i="8"/>
  <c r="J12127" i="8"/>
  <c r="J12126" i="8"/>
  <c r="J12125" i="8"/>
  <c r="J12124" i="8"/>
  <c r="J12123" i="8"/>
  <c r="J12122" i="8"/>
  <c r="J12121" i="8"/>
  <c r="J12120" i="8"/>
  <c r="J12119" i="8"/>
  <c r="J12118" i="8"/>
  <c r="J12117" i="8"/>
  <c r="J12116" i="8"/>
  <c r="J12115" i="8"/>
  <c r="J12114" i="8"/>
  <c r="J12111" i="8"/>
  <c r="J12110" i="8"/>
  <c r="J12109" i="8"/>
  <c r="J12108" i="8"/>
  <c r="J12107" i="8"/>
  <c r="J12106" i="8"/>
  <c r="J12105" i="8"/>
  <c r="J12104" i="8"/>
  <c r="J12103" i="8"/>
  <c r="J12102" i="8"/>
  <c r="J12101" i="8"/>
  <c r="J12100" i="8"/>
  <c r="J12099" i="8"/>
  <c r="J12098" i="8"/>
  <c r="J12097" i="8"/>
  <c r="J12096" i="8"/>
  <c r="J12094" i="8"/>
  <c r="J12093" i="8"/>
  <c r="J12092" i="8"/>
  <c r="J12091" i="8"/>
  <c r="J12090" i="8"/>
  <c r="J12089" i="8"/>
  <c r="J12088" i="8"/>
  <c r="J12087" i="8"/>
  <c r="J12086" i="8"/>
  <c r="J12085" i="8"/>
  <c r="J12084" i="8"/>
  <c r="J12083" i="8"/>
  <c r="J12082" i="8"/>
  <c r="J12081" i="8"/>
  <c r="J12080" i="8"/>
  <c r="J12079" i="8"/>
  <c r="J12078" i="8"/>
  <c r="J12077" i="8"/>
  <c r="J12076" i="8"/>
  <c r="J12075" i="8"/>
  <c r="J12074" i="8"/>
  <c r="J12073" i="8"/>
  <c r="J12072" i="8"/>
  <c r="J12071" i="8"/>
  <c r="J12070" i="8"/>
  <c r="J12069" i="8"/>
  <c r="J12068" i="8"/>
  <c r="J12067" i="8"/>
  <c r="J12066" i="8"/>
  <c r="J12065" i="8"/>
  <c r="J12064" i="8"/>
  <c r="J12063" i="8"/>
  <c r="J12062" i="8"/>
  <c r="J12061" i="8"/>
  <c r="J12060" i="8"/>
  <c r="J12059"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I12031" i="8"/>
  <c r="J12030" i="8"/>
  <c r="J12029" i="8"/>
  <c r="J12028" i="8"/>
  <c r="J12027" i="8"/>
  <c r="J12026" i="8"/>
  <c r="J12025" i="8"/>
  <c r="J12024" i="8"/>
  <c r="J12023" i="8"/>
  <c r="J12022" i="8"/>
  <c r="J12021" i="8"/>
  <c r="J12020" i="8"/>
  <c r="J12019" i="8"/>
  <c r="J12018" i="8"/>
  <c r="J12017" i="8"/>
  <c r="J12016" i="8"/>
  <c r="I12013" i="8"/>
  <c r="J12012" i="8"/>
  <c r="J12011" i="8"/>
  <c r="J12010" i="8"/>
  <c r="J12009" i="8"/>
  <c r="J12008" i="8"/>
  <c r="J12007" i="8"/>
  <c r="J12006" i="8"/>
  <c r="J12005" i="8"/>
  <c r="J12004" i="8"/>
  <c r="J12003" i="8"/>
  <c r="J12002" i="8"/>
  <c r="J12001" i="8"/>
  <c r="J12000" i="8"/>
  <c r="J11999" i="8"/>
  <c r="J11998" i="8"/>
  <c r="J11995" i="8"/>
  <c r="J11994" i="8"/>
  <c r="J11993" i="8"/>
  <c r="J11992" i="8"/>
  <c r="J11991" i="8"/>
  <c r="J11990" i="8"/>
  <c r="J11989" i="8"/>
  <c r="J11988" i="8"/>
  <c r="J11987" i="8"/>
  <c r="J11986" i="8"/>
  <c r="J11985" i="8"/>
  <c r="J11984" i="8"/>
  <c r="J11983" i="8"/>
  <c r="J11982" i="8"/>
  <c r="J11981" i="8"/>
  <c r="J11980" i="8"/>
  <c r="J11979" i="8"/>
  <c r="J11978" i="8"/>
  <c r="J11977" i="8"/>
  <c r="J11976" i="8"/>
  <c r="J11975" i="8"/>
  <c r="J11974" i="8"/>
  <c r="J11973" i="8"/>
  <c r="J11972" i="8"/>
  <c r="J11971" i="8"/>
  <c r="J11970" i="8"/>
  <c r="J11969" i="8"/>
  <c r="J11968" i="8"/>
  <c r="J11967" i="8"/>
  <c r="J11966" i="8"/>
  <c r="J11965" i="8"/>
  <c r="J11964" i="8"/>
  <c r="J11963" i="8"/>
  <c r="J11962" i="8"/>
  <c r="J11961" i="8"/>
  <c r="J11960" i="8"/>
  <c r="J11959" i="8"/>
  <c r="J11958" i="8"/>
  <c r="J11957" i="8"/>
  <c r="J11956" i="8"/>
  <c r="J11955" i="8"/>
  <c r="J11954" i="8"/>
  <c r="J11953" i="8"/>
  <c r="J11952" i="8"/>
  <c r="J11951" i="8"/>
  <c r="J11950" i="8"/>
  <c r="J11949" i="8"/>
  <c r="J11948" i="8"/>
  <c r="J11947" i="8"/>
  <c r="J11946" i="8"/>
  <c r="J11945" i="8"/>
  <c r="J11944" i="8"/>
  <c r="J11943" i="8"/>
  <c r="J11942" i="8"/>
  <c r="J11941" i="8"/>
  <c r="J11940" i="8"/>
  <c r="J11939" i="8"/>
  <c r="J11938" i="8"/>
  <c r="J11937" i="8"/>
  <c r="J11936" i="8"/>
  <c r="J11929" i="8"/>
  <c r="J11928" i="8"/>
  <c r="J11927" i="8"/>
  <c r="J11926" i="8"/>
  <c r="J11925" i="8"/>
  <c r="J11924" i="8"/>
  <c r="J11923" i="8"/>
  <c r="J11922" i="8"/>
  <c r="J11921" i="8"/>
  <c r="J11920" i="8"/>
  <c r="J11919" i="8"/>
  <c r="J11918" i="8"/>
  <c r="J11917" i="8"/>
  <c r="J11916" i="8"/>
  <c r="J11915" i="8"/>
  <c r="J11914" i="8"/>
  <c r="J11910" i="8"/>
  <c r="J11909" i="8"/>
  <c r="J11908" i="8"/>
  <c r="J11907" i="8"/>
  <c r="J11906" i="8"/>
  <c r="J11905" i="8"/>
  <c r="J11904" i="8"/>
  <c r="J11903" i="8"/>
  <c r="J11902" i="8"/>
  <c r="J11901" i="8"/>
  <c r="J11900" i="8"/>
  <c r="J11899" i="8"/>
  <c r="J11898" i="8"/>
  <c r="J11897" i="8"/>
  <c r="J11896" i="8"/>
  <c r="J11895" i="8"/>
  <c r="J11891" i="8"/>
  <c r="J11890" i="8"/>
  <c r="J11889" i="8"/>
  <c r="J11888" i="8"/>
  <c r="J11887" i="8"/>
  <c r="J11886" i="8"/>
  <c r="J11885" i="8"/>
  <c r="J11884" i="8"/>
  <c r="J11883" i="8"/>
  <c r="J11882" i="8"/>
  <c r="J11881" i="8"/>
  <c r="J11880" i="8"/>
  <c r="J11879" i="8"/>
  <c r="J11878" i="8"/>
  <c r="J11877" i="8"/>
  <c r="J11876" i="8"/>
  <c r="J11873" i="8"/>
  <c r="J11872" i="8"/>
  <c r="J11871" i="8"/>
  <c r="J11870" i="8"/>
  <c r="J11869" i="8"/>
  <c r="J11868" i="8"/>
  <c r="J11867" i="8"/>
  <c r="J11866" i="8"/>
  <c r="J11865" i="8"/>
  <c r="J11864" i="8"/>
  <c r="J11863" i="8"/>
  <c r="J11862" i="8"/>
  <c r="J11861" i="8"/>
  <c r="J11860" i="8"/>
  <c r="J11859" i="8"/>
  <c r="J11858" i="8"/>
  <c r="J11856" i="8"/>
  <c r="J11855" i="8"/>
  <c r="J11854" i="8"/>
  <c r="J11853" i="8"/>
  <c r="J11852" i="8"/>
  <c r="J11851" i="8"/>
  <c r="J11850" i="8"/>
  <c r="J11849" i="8"/>
  <c r="J11848" i="8"/>
  <c r="J11847" i="8"/>
  <c r="J11846" i="8"/>
  <c r="J11845" i="8"/>
  <c r="J11844" i="8"/>
  <c r="J11843" i="8"/>
  <c r="J11842" i="8"/>
  <c r="J11841" i="8"/>
  <c r="J11840" i="8"/>
  <c r="J11839" i="8"/>
  <c r="J11838" i="8"/>
  <c r="J11837" i="8"/>
  <c r="J11836" i="8"/>
  <c r="J11835" i="8"/>
  <c r="J11834" i="8"/>
  <c r="J11833" i="8"/>
  <c r="J11832" i="8"/>
  <c r="J11831" i="8"/>
  <c r="J11830" i="8"/>
  <c r="J11829" i="8"/>
  <c r="J11828" i="8"/>
  <c r="J11827" i="8"/>
  <c r="J11826" i="8"/>
  <c r="J11825" i="8"/>
  <c r="J11824" i="8"/>
  <c r="J11823" i="8"/>
  <c r="J11822" i="8"/>
  <c r="J11821" i="8"/>
  <c r="J11820" i="8"/>
  <c r="J11819" i="8"/>
  <c r="J11818" i="8"/>
  <c r="J11817" i="8"/>
  <c r="J11816" i="8"/>
  <c r="J11815" i="8"/>
  <c r="J11814" i="8"/>
  <c r="J11813" i="8"/>
  <c r="J11812" i="8"/>
  <c r="J11811" i="8"/>
  <c r="J11810" i="8"/>
  <c r="J11809" i="8"/>
  <c r="J11808" i="8"/>
  <c r="J11807" i="8"/>
  <c r="J11806" i="8"/>
  <c r="J11805" i="8"/>
  <c r="J11804" i="8"/>
  <c r="J11803" i="8"/>
  <c r="J11802" i="8"/>
  <c r="J11801" i="8"/>
  <c r="J11800" i="8"/>
  <c r="J11799" i="8"/>
  <c r="J11798" i="8"/>
  <c r="J11797" i="8"/>
  <c r="J11792" i="8"/>
  <c r="J11791" i="8"/>
  <c r="J11790" i="8"/>
  <c r="J11789" i="8"/>
  <c r="J11788" i="8"/>
  <c r="J11787" i="8"/>
  <c r="J11786" i="8"/>
  <c r="J11785" i="8"/>
  <c r="J11784" i="8"/>
  <c r="J11783" i="8"/>
  <c r="J11782" i="8"/>
  <c r="J11781" i="8"/>
  <c r="J11780" i="8"/>
  <c r="J11779" i="8"/>
  <c r="J11778" i="8"/>
  <c r="I11775" i="8"/>
  <c r="J11774" i="8"/>
  <c r="J11773" i="8"/>
  <c r="J11772" i="8"/>
  <c r="J11771" i="8"/>
  <c r="J11770" i="8"/>
  <c r="J11769" i="8"/>
  <c r="J11768" i="8"/>
  <c r="J11767" i="8"/>
  <c r="J11766" i="8"/>
  <c r="J11765" i="8"/>
  <c r="J11764" i="8"/>
  <c r="J11763" i="8"/>
  <c r="J11762" i="8"/>
  <c r="J11761" i="8"/>
  <c r="J11760"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J11706" i="8"/>
  <c r="J11705" i="8"/>
  <c r="J11704" i="8"/>
  <c r="J11703" i="8"/>
  <c r="J11702" i="8"/>
  <c r="J11701" i="8"/>
  <c r="J11700" i="8"/>
  <c r="J11699" i="8"/>
  <c r="J11698" i="8"/>
  <c r="I11691" i="8"/>
  <c r="J11690" i="8"/>
  <c r="J11689" i="8"/>
  <c r="J11688" i="8"/>
  <c r="J11687" i="8"/>
  <c r="J11686" i="8"/>
  <c r="J11685" i="8"/>
  <c r="J11684" i="8"/>
  <c r="J11683" i="8"/>
  <c r="J11682" i="8"/>
  <c r="J11681" i="8"/>
  <c r="J11680" i="8"/>
  <c r="J11679" i="8"/>
  <c r="J11678" i="8"/>
  <c r="J11677" i="8"/>
  <c r="J11676" i="8"/>
  <c r="J11675" i="8"/>
  <c r="J11671" i="8"/>
  <c r="J11670" i="8"/>
  <c r="J11669" i="8"/>
  <c r="J11668" i="8"/>
  <c r="J11667" i="8"/>
  <c r="J11666" i="8"/>
  <c r="J11665" i="8"/>
  <c r="J11664" i="8"/>
  <c r="J11663" i="8"/>
  <c r="J11662" i="8"/>
  <c r="J11661" i="8"/>
  <c r="J11660" i="8"/>
  <c r="J11659" i="8"/>
  <c r="J11658" i="8"/>
  <c r="J11657" i="8"/>
  <c r="J11656" i="8"/>
  <c r="J11652" i="8"/>
  <c r="J11651" i="8"/>
  <c r="J11650" i="8"/>
  <c r="J11649" i="8"/>
  <c r="J11648" i="8"/>
  <c r="J11647" i="8"/>
  <c r="J11646" i="8"/>
  <c r="J11645" i="8"/>
  <c r="J11644" i="8"/>
  <c r="J11643" i="8"/>
  <c r="J11642" i="8"/>
  <c r="J11641" i="8"/>
  <c r="J11640" i="8"/>
  <c r="J11639" i="8"/>
  <c r="J11638" i="8"/>
  <c r="J11637" i="8"/>
  <c r="H11635" i="8"/>
  <c r="J11634" i="8"/>
  <c r="J11633" i="8"/>
  <c r="J11632" i="8"/>
  <c r="J11631" i="8"/>
  <c r="J11630" i="8"/>
  <c r="J11629" i="8"/>
  <c r="J11628" i="8"/>
  <c r="J11627" i="8"/>
  <c r="J11626" i="8"/>
  <c r="J11625" i="8"/>
  <c r="J11624" i="8"/>
  <c r="J11623" i="8"/>
  <c r="J11622" i="8"/>
  <c r="J11621" i="8"/>
  <c r="J11620" i="8"/>
  <c r="J11619" i="8"/>
  <c r="J11617" i="8"/>
  <c r="J11616" i="8"/>
  <c r="J11615" i="8"/>
  <c r="J11614" i="8"/>
  <c r="J11613" i="8"/>
  <c r="J11612" i="8"/>
  <c r="J11611" i="8"/>
  <c r="J11610" i="8"/>
  <c r="J11609" i="8"/>
  <c r="J11608" i="8"/>
  <c r="J11607" i="8"/>
  <c r="J11606" i="8"/>
  <c r="J11605" i="8"/>
  <c r="J11604" i="8"/>
  <c r="J11603" i="8"/>
  <c r="J11602" i="8"/>
  <c r="J11601" i="8"/>
  <c r="J11600" i="8"/>
  <c r="J11599" i="8"/>
  <c r="J11598" i="8"/>
  <c r="J11597" i="8"/>
  <c r="J11596" i="8"/>
  <c r="J11595" i="8"/>
  <c r="J11594" i="8"/>
  <c r="J11593" i="8"/>
  <c r="J11592" i="8"/>
  <c r="J11591" i="8"/>
  <c r="J11590" i="8"/>
  <c r="J11589" i="8"/>
  <c r="J11588" i="8"/>
  <c r="J11587" i="8"/>
  <c r="J11586" i="8"/>
  <c r="J11585" i="8"/>
  <c r="J11584" i="8"/>
  <c r="J11583" i="8"/>
  <c r="J11582" i="8"/>
  <c r="J11581" i="8"/>
  <c r="J11580" i="8"/>
  <c r="J11579" i="8"/>
  <c r="J11578" i="8"/>
  <c r="J11577" i="8"/>
  <c r="J11576" i="8"/>
  <c r="J11575" i="8"/>
  <c r="J11574" i="8"/>
  <c r="J11573" i="8"/>
  <c r="J11572" i="8"/>
  <c r="J11571" i="8"/>
  <c r="J11570" i="8"/>
  <c r="J11569" i="8"/>
  <c r="J11568" i="8"/>
  <c r="J11567" i="8"/>
  <c r="J11566" i="8"/>
  <c r="J11565" i="8"/>
  <c r="J11564" i="8"/>
  <c r="J11563" i="8"/>
  <c r="J11562" i="8"/>
  <c r="J11561" i="8"/>
  <c r="J11560" i="8"/>
  <c r="J11559" i="8"/>
  <c r="J11558" i="8"/>
  <c r="J11553" i="8"/>
  <c r="J11552" i="8"/>
  <c r="J11551" i="8"/>
  <c r="J11550" i="8"/>
  <c r="J11549" i="8"/>
  <c r="J11548" i="8"/>
  <c r="J11547" i="8"/>
  <c r="J11546" i="8"/>
  <c r="J11545" i="8"/>
  <c r="J11544" i="8"/>
  <c r="J11543" i="8"/>
  <c r="J11542" i="8"/>
  <c r="J11541" i="8"/>
  <c r="J11540" i="8"/>
  <c r="J11539" i="8"/>
  <c r="I11536" i="8"/>
  <c r="J11535" i="8"/>
  <c r="J11534" i="8"/>
  <c r="J11533" i="8"/>
  <c r="J11532" i="8"/>
  <c r="J11531" i="8"/>
  <c r="J11530" i="8"/>
  <c r="J11529" i="8"/>
  <c r="J11528" i="8"/>
  <c r="J11527" i="8"/>
  <c r="J11526" i="8"/>
  <c r="J11525" i="8"/>
  <c r="J11524" i="8"/>
  <c r="J11523" i="8"/>
  <c r="J11522" i="8"/>
  <c r="J11521" i="8"/>
  <c r="J11518" i="8"/>
  <c r="J11517" i="8"/>
  <c r="J11516" i="8"/>
  <c r="J11515" i="8"/>
  <c r="J11514" i="8"/>
  <c r="J11513" i="8"/>
  <c r="J11512" i="8"/>
  <c r="J11511" i="8"/>
  <c r="J11510" i="8"/>
  <c r="J11509" i="8"/>
  <c r="J11508" i="8"/>
  <c r="J11507" i="8"/>
  <c r="J11506" i="8"/>
  <c r="J11505" i="8"/>
  <c r="J11504" i="8"/>
  <c r="J11503" i="8"/>
  <c r="J11502" i="8"/>
  <c r="J11501" i="8"/>
  <c r="J11500" i="8"/>
  <c r="J11499" i="8"/>
  <c r="J11498" i="8"/>
  <c r="J11497" i="8"/>
  <c r="J11496" i="8"/>
  <c r="J11495" i="8"/>
  <c r="J11494" i="8"/>
  <c r="J11493" i="8"/>
  <c r="J11492" i="8"/>
  <c r="J11491" i="8"/>
  <c r="J11490" i="8"/>
  <c r="J11489" i="8"/>
  <c r="J11488" i="8"/>
  <c r="J11487" i="8"/>
  <c r="J11486" i="8"/>
  <c r="J11485" i="8"/>
  <c r="J11484" i="8"/>
  <c r="J11483" i="8"/>
  <c r="J11482" i="8"/>
  <c r="J11481" i="8"/>
  <c r="J11480" i="8"/>
  <c r="J11479" i="8"/>
  <c r="J11478" i="8"/>
  <c r="J11477" i="8"/>
  <c r="J11476" i="8"/>
  <c r="J11475" i="8"/>
  <c r="J11474" i="8"/>
  <c r="J11473" i="8"/>
  <c r="J11472" i="8"/>
  <c r="J11471" i="8"/>
  <c r="J11470" i="8"/>
  <c r="J11469" i="8"/>
  <c r="J11468" i="8"/>
  <c r="J11467" i="8"/>
  <c r="J11466" i="8"/>
  <c r="J11465" i="8"/>
  <c r="J11464" i="8"/>
  <c r="J11463" i="8"/>
  <c r="J11462" i="8"/>
  <c r="J11461" i="8"/>
  <c r="J11460" i="8"/>
  <c r="J11459" i="8"/>
  <c r="D101" i="7" l="1"/>
  <c r="H723" i="8"/>
  <c r="J707" i="8"/>
  <c r="J723" i="8" s="1"/>
  <c r="J14810" i="8"/>
  <c r="F255" i="7"/>
  <c r="F252" i="7" s="1"/>
  <c r="D351" i="7"/>
  <c r="D350" i="7"/>
  <c r="C38" i="6"/>
  <c r="F38" i="6" s="1"/>
  <c r="J786" i="8"/>
  <c r="G352" i="7"/>
  <c r="G287" i="7"/>
  <c r="D284" i="7"/>
  <c r="E23" i="5"/>
  <c r="E81" i="5"/>
  <c r="E7" i="5"/>
  <c r="E16" i="5"/>
  <c r="E29" i="5"/>
  <c r="C7" i="5"/>
  <c r="C16" i="5"/>
  <c r="C40" i="5"/>
  <c r="C81" i="5"/>
  <c r="C64" i="5"/>
  <c r="C75" i="5"/>
  <c r="C29" i="5"/>
  <c r="C49" i="5"/>
  <c r="C34" i="5"/>
  <c r="C23" i="5"/>
  <c r="C70" i="5"/>
  <c r="E121" i="6"/>
  <c r="F121" i="6" s="1"/>
  <c r="H11052" i="8"/>
  <c r="J11036" i="8"/>
  <c r="J13891" i="8"/>
  <c r="J13991" i="8"/>
  <c r="J13520" i="8"/>
  <c r="J13538" i="8"/>
  <c r="J13282" i="8"/>
  <c r="J13300" i="8"/>
  <c r="H14924" i="8"/>
  <c r="D539" i="7" s="1"/>
  <c r="H14927" i="8"/>
  <c r="J14927" i="8" s="1"/>
  <c r="J14943" i="8" s="1"/>
  <c r="J11653" i="8"/>
  <c r="J11874" i="8"/>
  <c r="J11892" i="8"/>
  <c r="J11911" i="8"/>
  <c r="J11930" i="8"/>
  <c r="J12112" i="8"/>
  <c r="J12130" i="8"/>
  <c r="J12368" i="8"/>
  <c r="J13081" i="8"/>
  <c r="J13100" i="8"/>
  <c r="H13201" i="8"/>
  <c r="H13303" i="8"/>
  <c r="J13690" i="8"/>
  <c r="E120" i="6"/>
  <c r="F8" i="5"/>
  <c r="F8" i="6"/>
  <c r="F21" i="6"/>
  <c r="F25" i="6"/>
  <c r="F34" i="6"/>
  <c r="F43" i="6"/>
  <c r="F47" i="6"/>
  <c r="F51" i="6"/>
  <c r="F55" i="6"/>
  <c r="F63" i="6"/>
  <c r="F67" i="6"/>
  <c r="F71" i="6"/>
  <c r="F75" i="6"/>
  <c r="F98" i="6"/>
  <c r="F102" i="6"/>
  <c r="F110" i="6"/>
  <c r="F115" i="6"/>
  <c r="F124" i="6"/>
  <c r="F128" i="6"/>
  <c r="F132" i="6"/>
  <c r="F136" i="6"/>
  <c r="F13" i="6"/>
  <c r="F22" i="6"/>
  <c r="F26" i="6"/>
  <c r="F40" i="6"/>
  <c r="F48" i="6"/>
  <c r="F52" i="6"/>
  <c r="F56" i="6"/>
  <c r="F60" i="6"/>
  <c r="F64" i="6"/>
  <c r="F72" i="6"/>
  <c r="F76" i="6"/>
  <c r="F81" i="6"/>
  <c r="F95" i="6"/>
  <c r="F99" i="6"/>
  <c r="F103" i="6"/>
  <c r="F107" i="6"/>
  <c r="F116" i="6"/>
  <c r="F125" i="6"/>
  <c r="F129" i="6"/>
  <c r="F133" i="6"/>
  <c r="F137" i="6"/>
  <c r="F6" i="6"/>
  <c r="F10" i="6"/>
  <c r="F19" i="6"/>
  <c r="F27" i="6"/>
  <c r="F31" i="6"/>
  <c r="F36" i="6"/>
  <c r="F45" i="6"/>
  <c r="F49" i="6"/>
  <c r="F53" i="6"/>
  <c r="F57" i="6"/>
  <c r="F61" i="6"/>
  <c r="F65" i="6"/>
  <c r="F69" i="6"/>
  <c r="F73" i="6"/>
  <c r="F77" i="6"/>
  <c r="F82" i="6"/>
  <c r="F87" i="6"/>
  <c r="F91" i="6"/>
  <c r="F96" i="6"/>
  <c r="F100" i="6"/>
  <c r="F104" i="6"/>
  <c r="F122" i="6"/>
  <c r="F126" i="6"/>
  <c r="F130" i="6"/>
  <c r="F134" i="6"/>
  <c r="F138" i="6"/>
  <c r="F7" i="6"/>
  <c r="F11" i="6"/>
  <c r="F20" i="6"/>
  <c r="F24" i="6"/>
  <c r="F33" i="6"/>
  <c r="F37" i="6"/>
  <c r="F42" i="6"/>
  <c r="F46" i="6"/>
  <c r="F50" i="6"/>
  <c r="F54" i="6"/>
  <c r="F58" i="6"/>
  <c r="F62" i="6"/>
  <c r="F66" i="6"/>
  <c r="F70" i="6"/>
  <c r="F74" i="6"/>
  <c r="F78" i="6"/>
  <c r="F97" i="6"/>
  <c r="F101" i="6"/>
  <c r="F105" i="6"/>
  <c r="F109" i="6"/>
  <c r="F119" i="6"/>
  <c r="F123" i="6"/>
  <c r="F127" i="6"/>
  <c r="F131" i="6"/>
  <c r="F135" i="6"/>
  <c r="F139" i="6"/>
  <c r="J13973" i="8"/>
  <c r="J13873" i="8"/>
  <c r="J14565" i="8"/>
  <c r="J14196" i="8"/>
  <c r="J14212" i="8" s="1"/>
  <c r="J14731" i="8"/>
  <c r="J14747" i="8" s="1"/>
  <c r="J14803" i="8"/>
  <c r="J14890" i="8"/>
  <c r="J14906" i="8" s="1"/>
  <c r="J14908" i="8"/>
  <c r="J14924" i="8" s="1"/>
  <c r="J14749" i="8"/>
  <c r="J14765" i="8" s="1"/>
  <c r="J14632" i="8"/>
  <c r="J14648" i="8" s="1"/>
  <c r="J14650" i="8"/>
  <c r="J14666" i="8" s="1"/>
  <c r="J14394" i="8"/>
  <c r="J14410" i="8" s="1"/>
  <c r="J14412" i="8"/>
  <c r="J14428" i="8" s="1"/>
  <c r="J13185" i="8"/>
  <c r="J13201" i="8" s="1"/>
  <c r="J14214" i="8"/>
  <c r="J14230" i="8" s="1"/>
  <c r="J13557" i="8"/>
  <c r="J13576" i="8"/>
  <c r="J14097" i="8"/>
  <c r="J14113" i="8" s="1"/>
  <c r="J14115" i="8"/>
  <c r="J14131" i="8" s="1"/>
  <c r="J14295" i="8"/>
  <c r="J14311" i="8" s="1"/>
  <c r="J14313" i="8"/>
  <c r="J14329" i="8" s="1"/>
  <c r="J14493" i="8"/>
  <c r="J14509" i="8" s="1"/>
  <c r="J14511" i="8"/>
  <c r="J14527" i="8" s="1"/>
  <c r="J13405" i="8"/>
  <c r="J13421" i="8" s="1"/>
  <c r="J13423" i="8"/>
  <c r="J13439" i="8" s="1"/>
  <c r="J13167" i="8"/>
  <c r="J13183" i="8" s="1"/>
  <c r="J12235" i="8"/>
  <c r="J12251" i="8" s="1"/>
  <c r="J12350" i="8"/>
  <c r="J12015" i="8"/>
  <c r="J12031" i="8" s="1"/>
  <c r="J12253" i="8"/>
  <c r="J12269" i="8" s="1"/>
  <c r="J11997" i="8"/>
  <c r="J12013" i="8" s="1"/>
  <c r="J12149" i="8"/>
  <c r="J12168" i="8"/>
  <c r="J11759" i="8"/>
  <c r="J11775" i="8" s="1"/>
  <c r="J11777" i="8"/>
  <c r="J11793" i="8" s="1"/>
  <c r="J11672" i="8"/>
  <c r="J11691" i="8"/>
  <c r="J11635" i="8"/>
  <c r="J11520" i="8"/>
  <c r="J11536" i="8" s="1"/>
  <c r="J11538" i="8"/>
  <c r="J11554" i="8" s="1"/>
  <c r="J11450" i="8"/>
  <c r="J11449" i="8"/>
  <c r="J11448" i="8"/>
  <c r="J11447" i="8"/>
  <c r="J11446" i="8"/>
  <c r="J11445" i="8"/>
  <c r="J11444" i="8"/>
  <c r="J11443" i="8"/>
  <c r="J11442" i="8"/>
  <c r="J11441" i="8"/>
  <c r="J11440" i="8"/>
  <c r="J11439" i="8"/>
  <c r="J11438" i="8"/>
  <c r="J11437" i="8"/>
  <c r="J11436" i="8"/>
  <c r="J11435" i="8"/>
  <c r="J11432" i="8"/>
  <c r="J11431" i="8"/>
  <c r="J11430" i="8"/>
  <c r="J11429" i="8"/>
  <c r="J11428" i="8"/>
  <c r="J11427" i="8"/>
  <c r="J11426" i="8"/>
  <c r="J11425" i="8"/>
  <c r="J11424" i="8"/>
  <c r="J11423" i="8"/>
  <c r="J11422" i="8"/>
  <c r="J11421" i="8"/>
  <c r="J11420" i="8"/>
  <c r="J11419" i="8"/>
  <c r="J11418" i="8"/>
  <c r="J11417" i="8"/>
  <c r="J11415" i="8"/>
  <c r="J11414" i="8"/>
  <c r="J11413" i="8"/>
  <c r="J11412" i="8"/>
  <c r="J11411" i="8"/>
  <c r="J11410" i="8"/>
  <c r="J11409" i="8"/>
  <c r="J11408" i="8"/>
  <c r="J11407" i="8"/>
  <c r="J11406" i="8"/>
  <c r="J11405" i="8"/>
  <c r="J11404" i="8"/>
  <c r="J11403" i="8"/>
  <c r="J11402" i="8"/>
  <c r="J11401" i="8"/>
  <c r="J11400" i="8"/>
  <c r="J11399" i="8"/>
  <c r="J11398" i="8"/>
  <c r="J11397" i="8"/>
  <c r="J11396" i="8"/>
  <c r="J11395" i="8"/>
  <c r="J11394" i="8"/>
  <c r="J11393" i="8"/>
  <c r="J11392" i="8"/>
  <c r="J11391" i="8"/>
  <c r="J11390" i="8"/>
  <c r="J11389" i="8"/>
  <c r="J11388" i="8"/>
  <c r="J11387" i="8"/>
  <c r="J11386" i="8"/>
  <c r="J11385" i="8"/>
  <c r="J11384" i="8"/>
  <c r="J11383" i="8"/>
  <c r="J11382" i="8"/>
  <c r="J11381" i="8"/>
  <c r="J11380" i="8"/>
  <c r="J11379" i="8"/>
  <c r="J11378" i="8"/>
  <c r="J11377" i="8"/>
  <c r="J11376" i="8"/>
  <c r="J11375" i="8"/>
  <c r="J11374" i="8"/>
  <c r="J11373" i="8"/>
  <c r="J11372" i="8"/>
  <c r="J11371" i="8"/>
  <c r="J11370" i="8"/>
  <c r="J11369" i="8"/>
  <c r="J11368" i="8"/>
  <c r="J11367" i="8"/>
  <c r="J11366" i="8"/>
  <c r="J11365" i="8"/>
  <c r="J11364" i="8"/>
  <c r="J11363" i="8"/>
  <c r="J11362" i="8"/>
  <c r="J11361" i="8"/>
  <c r="J11360" i="8"/>
  <c r="J11359" i="8"/>
  <c r="J11358" i="8"/>
  <c r="J11357" i="8"/>
  <c r="J11356" i="8"/>
  <c r="J11351" i="8"/>
  <c r="J11350" i="8"/>
  <c r="J11349" i="8"/>
  <c r="J11348" i="8"/>
  <c r="J11347" i="8"/>
  <c r="J11346" i="8"/>
  <c r="J11345" i="8"/>
  <c r="J11344" i="8"/>
  <c r="J11343" i="8"/>
  <c r="J11342" i="8"/>
  <c r="J11341" i="8"/>
  <c r="J11340" i="8"/>
  <c r="J11339" i="8"/>
  <c r="J11338" i="8"/>
  <c r="J11337" i="8"/>
  <c r="J11336" i="8"/>
  <c r="J11333" i="8"/>
  <c r="J11332" i="8"/>
  <c r="J11331" i="8"/>
  <c r="J11330" i="8"/>
  <c r="J11329" i="8"/>
  <c r="J11328" i="8"/>
  <c r="J11327" i="8"/>
  <c r="J11326" i="8"/>
  <c r="J11325" i="8"/>
  <c r="J11324" i="8"/>
  <c r="J11323" i="8"/>
  <c r="J11322" i="8"/>
  <c r="J11321" i="8"/>
  <c r="J11320" i="8"/>
  <c r="J11319" i="8"/>
  <c r="J11318"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J11289" i="8"/>
  <c r="J11288" i="8"/>
  <c r="J11287" i="8"/>
  <c r="J11286" i="8"/>
  <c r="J11285" i="8"/>
  <c r="J11284" i="8"/>
  <c r="J11283" i="8"/>
  <c r="J11282" i="8"/>
  <c r="J11281" i="8"/>
  <c r="J11280" i="8"/>
  <c r="J11279" i="8"/>
  <c r="J11278" i="8"/>
  <c r="J11277" i="8"/>
  <c r="J11276" i="8"/>
  <c r="J11275" i="8"/>
  <c r="J11274" i="8"/>
  <c r="J11273" i="8"/>
  <c r="J11272" i="8"/>
  <c r="J11271" i="8"/>
  <c r="J11270" i="8"/>
  <c r="J11269" i="8"/>
  <c r="J11268" i="8"/>
  <c r="J11267" i="8"/>
  <c r="J11266" i="8"/>
  <c r="J11265" i="8"/>
  <c r="J11264" i="8"/>
  <c r="J11263" i="8"/>
  <c r="J11262" i="8"/>
  <c r="J11261" i="8"/>
  <c r="J11260" i="8"/>
  <c r="J11259" i="8"/>
  <c r="J11258" i="8"/>
  <c r="J11257" i="8"/>
  <c r="J11252" i="8"/>
  <c r="J11251" i="8"/>
  <c r="J11250" i="8"/>
  <c r="J11249" i="8"/>
  <c r="J11248" i="8"/>
  <c r="J11247" i="8"/>
  <c r="J11246" i="8"/>
  <c r="J11245" i="8"/>
  <c r="J11244" i="8"/>
  <c r="J11243" i="8"/>
  <c r="J11242" i="8"/>
  <c r="J11241" i="8"/>
  <c r="J11240" i="8"/>
  <c r="J11239" i="8"/>
  <c r="J11238" i="8"/>
  <c r="J11237" i="8"/>
  <c r="J11234" i="8"/>
  <c r="J11233" i="8"/>
  <c r="J11232" i="8"/>
  <c r="J11231" i="8"/>
  <c r="J11230" i="8"/>
  <c r="J11229" i="8"/>
  <c r="J11228" i="8"/>
  <c r="J11227" i="8"/>
  <c r="J11226" i="8"/>
  <c r="J11225" i="8"/>
  <c r="J11224" i="8"/>
  <c r="J11223" i="8"/>
  <c r="J11222" i="8"/>
  <c r="J11221" i="8"/>
  <c r="J11220" i="8"/>
  <c r="J11219"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J11190" i="8"/>
  <c r="J11189" i="8"/>
  <c r="J11188" i="8"/>
  <c r="J11187" i="8"/>
  <c r="J11186" i="8"/>
  <c r="J11185" i="8"/>
  <c r="J11184" i="8"/>
  <c r="J11183" i="8"/>
  <c r="J11182" i="8"/>
  <c r="J11181" i="8"/>
  <c r="J11180" i="8"/>
  <c r="J11179" i="8"/>
  <c r="J11178" i="8"/>
  <c r="J11177" i="8"/>
  <c r="J11176" i="8"/>
  <c r="J11175" i="8"/>
  <c r="J11174" i="8"/>
  <c r="J11173" i="8"/>
  <c r="J11172" i="8"/>
  <c r="J11171" i="8"/>
  <c r="J11170" i="8"/>
  <c r="J11169" i="8"/>
  <c r="J11168" i="8"/>
  <c r="J11167" i="8"/>
  <c r="J11166" i="8"/>
  <c r="J11165" i="8"/>
  <c r="J11164" i="8"/>
  <c r="J11163" i="8"/>
  <c r="J11162" i="8"/>
  <c r="J11161" i="8"/>
  <c r="J11160" i="8"/>
  <c r="J11159" i="8"/>
  <c r="J11158" i="8"/>
  <c r="I11154" i="8"/>
  <c r="F422" i="7" s="1"/>
  <c r="F421" i="7" s="1"/>
  <c r="J11153" i="8"/>
  <c r="J11152" i="8"/>
  <c r="J11151" i="8"/>
  <c r="J11150" i="8"/>
  <c r="J11149" i="8"/>
  <c r="J11148" i="8"/>
  <c r="J11147" i="8"/>
  <c r="J11146" i="8"/>
  <c r="J11145" i="8"/>
  <c r="J11144" i="8"/>
  <c r="J11143" i="8"/>
  <c r="J11142" i="8"/>
  <c r="J11141" i="8"/>
  <c r="J11140" i="8"/>
  <c r="J11139" i="8"/>
  <c r="I11136" i="8"/>
  <c r="J11135" i="8"/>
  <c r="J11134" i="8"/>
  <c r="J11133" i="8"/>
  <c r="J11132" i="8"/>
  <c r="J11131" i="8"/>
  <c r="J11130" i="8"/>
  <c r="J11129" i="8"/>
  <c r="J11128" i="8"/>
  <c r="J11127" i="8"/>
  <c r="J11126" i="8"/>
  <c r="J11125" i="8"/>
  <c r="J11124" i="8"/>
  <c r="J11123" i="8"/>
  <c r="J11122" i="8"/>
  <c r="J11121" i="8"/>
  <c r="J11118" i="8"/>
  <c r="J11117" i="8"/>
  <c r="J11116" i="8"/>
  <c r="J11115" i="8"/>
  <c r="J11114" i="8"/>
  <c r="J11113" i="8"/>
  <c r="J11112" i="8"/>
  <c r="J11111" i="8"/>
  <c r="J11110"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J11063" i="8"/>
  <c r="J11062" i="8"/>
  <c r="J11061" i="8"/>
  <c r="J11060" i="8"/>
  <c r="J11059" i="8"/>
  <c r="F482" i="7"/>
  <c r="F481" i="7"/>
  <c r="F480" i="7"/>
  <c r="E112" i="6"/>
  <c r="C112" i="6"/>
  <c r="I11052" i="8"/>
  <c r="J11051" i="8"/>
  <c r="J11050" i="8"/>
  <c r="J11049" i="8"/>
  <c r="J11048" i="8"/>
  <c r="J11047" i="8"/>
  <c r="J11046" i="8"/>
  <c r="J11045" i="8"/>
  <c r="J11044" i="8"/>
  <c r="J11043" i="8"/>
  <c r="J11042" i="8"/>
  <c r="J11041" i="8"/>
  <c r="J11040" i="8"/>
  <c r="J11039" i="8"/>
  <c r="J11038" i="8"/>
  <c r="J11037" i="8"/>
  <c r="J11032" i="8"/>
  <c r="J11031" i="8"/>
  <c r="J11030" i="8"/>
  <c r="J11029" i="8"/>
  <c r="J11028" i="8"/>
  <c r="J11027" i="8"/>
  <c r="J11026" i="8"/>
  <c r="J11025" i="8"/>
  <c r="J11024" i="8"/>
  <c r="J11023" i="8"/>
  <c r="J11022" i="8"/>
  <c r="J11021" i="8"/>
  <c r="J11020" i="8"/>
  <c r="J11019" i="8"/>
  <c r="J11018" i="8"/>
  <c r="J11017" i="8"/>
  <c r="J11013" i="8"/>
  <c r="J11012" i="8"/>
  <c r="J11011" i="8"/>
  <c r="J11010" i="8"/>
  <c r="J11009" i="8"/>
  <c r="J11008" i="8"/>
  <c r="J11007" i="8"/>
  <c r="J11006" i="8"/>
  <c r="J11005" i="8"/>
  <c r="J11004" i="8"/>
  <c r="J11003" i="8"/>
  <c r="J11002" i="8"/>
  <c r="J11001" i="8"/>
  <c r="J11000" i="8"/>
  <c r="J10999" i="8"/>
  <c r="J10998" i="8"/>
  <c r="J10995" i="8"/>
  <c r="J10994" i="8"/>
  <c r="J10993" i="8"/>
  <c r="J10992" i="8"/>
  <c r="J10991" i="8"/>
  <c r="J10990" i="8"/>
  <c r="J10989" i="8"/>
  <c r="J10988" i="8"/>
  <c r="J10987" i="8"/>
  <c r="J10986" i="8"/>
  <c r="J10985" i="8"/>
  <c r="J10984" i="8"/>
  <c r="J10983" i="8"/>
  <c r="J10982" i="8"/>
  <c r="J10981" i="8"/>
  <c r="J10978" i="8"/>
  <c r="J10977" i="8"/>
  <c r="J10976" i="8"/>
  <c r="J10975" i="8"/>
  <c r="J10974" i="8"/>
  <c r="J10973" i="8"/>
  <c r="J10972" i="8"/>
  <c r="J10971" i="8"/>
  <c r="J10970" i="8"/>
  <c r="J10969" i="8"/>
  <c r="J10968" i="8"/>
  <c r="J10967" i="8"/>
  <c r="J10966" i="8"/>
  <c r="J10965" i="8"/>
  <c r="J10964" i="8"/>
  <c r="J10963" i="8"/>
  <c r="J10962" i="8"/>
  <c r="J10961" i="8"/>
  <c r="J10960" i="8"/>
  <c r="J10959" i="8"/>
  <c r="J10958" i="8"/>
  <c r="J10957" i="8"/>
  <c r="J10956" i="8"/>
  <c r="J10955" i="8"/>
  <c r="J10954" i="8"/>
  <c r="J10953" i="8"/>
  <c r="J10952" i="8"/>
  <c r="J10951" i="8"/>
  <c r="J10950" i="8"/>
  <c r="J10949" i="8"/>
  <c r="J10948" i="8"/>
  <c r="J10947" i="8"/>
  <c r="J10946" i="8"/>
  <c r="J10945" i="8"/>
  <c r="J10944" i="8"/>
  <c r="J10943" i="8"/>
  <c r="J10942" i="8"/>
  <c r="J10941" i="8"/>
  <c r="J10940" i="8"/>
  <c r="J10939" i="8"/>
  <c r="J10938" i="8"/>
  <c r="J10937" i="8"/>
  <c r="J10936" i="8"/>
  <c r="J10935" i="8"/>
  <c r="J10934" i="8"/>
  <c r="J10933" i="8"/>
  <c r="J10932" i="8"/>
  <c r="J10931" i="8"/>
  <c r="J10930" i="8"/>
  <c r="J10929" i="8"/>
  <c r="J10928" i="8"/>
  <c r="J10927" i="8"/>
  <c r="J10926" i="8"/>
  <c r="J10925" i="8"/>
  <c r="J10924" i="8"/>
  <c r="J10923" i="8"/>
  <c r="J10922" i="8"/>
  <c r="J10921" i="8"/>
  <c r="J10920" i="8"/>
  <c r="J10919" i="8"/>
  <c r="J10914" i="8"/>
  <c r="J10913" i="8"/>
  <c r="J10912" i="8"/>
  <c r="J10911" i="8"/>
  <c r="J10910" i="8"/>
  <c r="J10909" i="8"/>
  <c r="J10908" i="8"/>
  <c r="J10907" i="8"/>
  <c r="J10906" i="8"/>
  <c r="J10905" i="8"/>
  <c r="J10904" i="8"/>
  <c r="J10903" i="8"/>
  <c r="J10902" i="8"/>
  <c r="J10901" i="8"/>
  <c r="J10900" i="8"/>
  <c r="J10899" i="8"/>
  <c r="J10896" i="8"/>
  <c r="J10895" i="8"/>
  <c r="J10894" i="8"/>
  <c r="J10893" i="8"/>
  <c r="J10892" i="8"/>
  <c r="J10891" i="8"/>
  <c r="J10890" i="8"/>
  <c r="J10889" i="8"/>
  <c r="J10888" i="8"/>
  <c r="J10887" i="8"/>
  <c r="J10886" i="8"/>
  <c r="J10885" i="8"/>
  <c r="J10884" i="8"/>
  <c r="J10883" i="8"/>
  <c r="J10882"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J10852" i="8"/>
  <c r="J10851" i="8"/>
  <c r="J10850" i="8"/>
  <c r="J10849" i="8"/>
  <c r="J10848" i="8"/>
  <c r="J10847" i="8"/>
  <c r="J10846" i="8"/>
  <c r="J10845" i="8"/>
  <c r="J10844" i="8"/>
  <c r="J10843" i="8"/>
  <c r="J10842" i="8"/>
  <c r="J10841" i="8"/>
  <c r="J10840" i="8"/>
  <c r="J10839" i="8"/>
  <c r="J10838" i="8"/>
  <c r="J10837" i="8"/>
  <c r="J10836" i="8"/>
  <c r="J10835" i="8"/>
  <c r="J10834" i="8"/>
  <c r="J10833" i="8"/>
  <c r="J10832" i="8"/>
  <c r="J10831" i="8"/>
  <c r="J10830" i="8"/>
  <c r="J10829" i="8"/>
  <c r="J10828" i="8"/>
  <c r="J10827" i="8"/>
  <c r="J10826" i="8"/>
  <c r="J10825" i="8"/>
  <c r="J10824" i="8"/>
  <c r="J10823" i="8"/>
  <c r="J10822" i="8"/>
  <c r="J10821" i="8"/>
  <c r="J10820" i="8"/>
  <c r="J10815" i="8"/>
  <c r="J10814" i="8"/>
  <c r="J10813" i="8"/>
  <c r="J10812" i="8"/>
  <c r="J10811" i="8"/>
  <c r="J10810" i="8"/>
  <c r="J10809" i="8"/>
  <c r="J10808" i="8"/>
  <c r="J10807" i="8"/>
  <c r="J10806" i="8"/>
  <c r="J10805" i="8"/>
  <c r="J10804" i="8"/>
  <c r="J10803" i="8"/>
  <c r="J10802" i="8"/>
  <c r="J10801" i="8"/>
  <c r="J10800" i="8"/>
  <c r="J10797" i="8"/>
  <c r="J10796" i="8"/>
  <c r="J10795" i="8"/>
  <c r="J10794" i="8"/>
  <c r="J10793" i="8"/>
  <c r="J10792" i="8"/>
  <c r="J10791" i="8"/>
  <c r="J10790" i="8"/>
  <c r="J10789" i="8"/>
  <c r="J10788" i="8"/>
  <c r="J10787" i="8"/>
  <c r="J10786" i="8"/>
  <c r="J10785" i="8"/>
  <c r="J10784" i="8"/>
  <c r="J10783" i="8"/>
  <c r="J10780" i="8"/>
  <c r="J10779" i="8"/>
  <c r="J10778" i="8"/>
  <c r="J10777" i="8"/>
  <c r="J10776" i="8"/>
  <c r="J10775" i="8"/>
  <c r="J10774" i="8"/>
  <c r="J10773" i="8"/>
  <c r="J10772" i="8"/>
  <c r="J10771" i="8"/>
  <c r="J10770" i="8"/>
  <c r="J10769" i="8"/>
  <c r="J10768" i="8"/>
  <c r="J10767" i="8"/>
  <c r="J10766" i="8"/>
  <c r="J10765" i="8"/>
  <c r="J10764" i="8"/>
  <c r="J10763" i="8"/>
  <c r="J10762" i="8"/>
  <c r="J10761" i="8"/>
  <c r="J10760" i="8"/>
  <c r="J10759" i="8"/>
  <c r="J10758" i="8"/>
  <c r="J10757" i="8"/>
  <c r="J10756" i="8"/>
  <c r="J10755" i="8"/>
  <c r="J10754" i="8"/>
  <c r="J10753" i="8"/>
  <c r="J10752" i="8"/>
  <c r="J10751" i="8"/>
  <c r="J10750" i="8"/>
  <c r="J10749" i="8"/>
  <c r="J10748" i="8"/>
  <c r="J10747" i="8"/>
  <c r="J10746" i="8"/>
  <c r="J10745" i="8"/>
  <c r="J10744" i="8"/>
  <c r="J10743" i="8"/>
  <c r="J10742" i="8"/>
  <c r="J10741" i="8"/>
  <c r="J10740" i="8"/>
  <c r="J10739" i="8"/>
  <c r="J10738" i="8"/>
  <c r="J10737" i="8"/>
  <c r="J10736" i="8"/>
  <c r="J10735" i="8"/>
  <c r="J10734" i="8"/>
  <c r="J10733" i="8"/>
  <c r="J10732" i="8"/>
  <c r="J10731" i="8"/>
  <c r="J10730" i="8"/>
  <c r="J10729" i="8"/>
  <c r="J10728" i="8"/>
  <c r="J10727" i="8"/>
  <c r="J10726" i="8"/>
  <c r="J10725" i="8"/>
  <c r="J10724" i="8"/>
  <c r="J10723" i="8"/>
  <c r="J10722" i="8"/>
  <c r="J10721" i="8"/>
  <c r="H10717" i="8"/>
  <c r="D199" i="7" s="1"/>
  <c r="J10716" i="8"/>
  <c r="J10715" i="8"/>
  <c r="J10714" i="8"/>
  <c r="J10713" i="8"/>
  <c r="J10712" i="8"/>
  <c r="J10711" i="8"/>
  <c r="J10710" i="8"/>
  <c r="J10709" i="8"/>
  <c r="J10708" i="8"/>
  <c r="J10707" i="8"/>
  <c r="J10706" i="8"/>
  <c r="J10705" i="8"/>
  <c r="J10704" i="8"/>
  <c r="J10703" i="8"/>
  <c r="J10702" i="8"/>
  <c r="J10701" i="8"/>
  <c r="J10698" i="8"/>
  <c r="J10697" i="8"/>
  <c r="J10696" i="8"/>
  <c r="J10695" i="8"/>
  <c r="J10694" i="8"/>
  <c r="J10693" i="8"/>
  <c r="J10692" i="8"/>
  <c r="J10691" i="8"/>
  <c r="J10690" i="8"/>
  <c r="J10689" i="8"/>
  <c r="J10688" i="8"/>
  <c r="J10687" i="8"/>
  <c r="J10686" i="8"/>
  <c r="J10685" i="8"/>
  <c r="J10684" i="8"/>
  <c r="J10683" i="8"/>
  <c r="J10681" i="8"/>
  <c r="J10680" i="8"/>
  <c r="J10679" i="8"/>
  <c r="J10678" i="8"/>
  <c r="J10677" i="8"/>
  <c r="J10676" i="8"/>
  <c r="J10675" i="8"/>
  <c r="J10674" i="8"/>
  <c r="J10673" i="8"/>
  <c r="J10672" i="8"/>
  <c r="J10671" i="8"/>
  <c r="J10670" i="8"/>
  <c r="J10669" i="8"/>
  <c r="J10668" i="8"/>
  <c r="J10667" i="8"/>
  <c r="J10666" i="8"/>
  <c r="J10665" i="8"/>
  <c r="J10664" i="8"/>
  <c r="J10663" i="8"/>
  <c r="J10662" i="8"/>
  <c r="J10661" i="8"/>
  <c r="J10660" i="8"/>
  <c r="J10659" i="8"/>
  <c r="J10658" i="8"/>
  <c r="J10657" i="8"/>
  <c r="J10656" i="8"/>
  <c r="J10655" i="8"/>
  <c r="J10654" i="8"/>
  <c r="J10653" i="8"/>
  <c r="J10652" i="8"/>
  <c r="J10651" i="8"/>
  <c r="J10650" i="8"/>
  <c r="J10649" i="8"/>
  <c r="J10648" i="8"/>
  <c r="J10647" i="8"/>
  <c r="J10646" i="8"/>
  <c r="J10645" i="8"/>
  <c r="J10644" i="8"/>
  <c r="J10643" i="8"/>
  <c r="J10642" i="8"/>
  <c r="J10641" i="8"/>
  <c r="J10640" i="8"/>
  <c r="J10639" i="8"/>
  <c r="J10638" i="8"/>
  <c r="J10637" i="8"/>
  <c r="J10636" i="8"/>
  <c r="J10635" i="8"/>
  <c r="J10634" i="8"/>
  <c r="J10633" i="8"/>
  <c r="J10632" i="8"/>
  <c r="J10631" i="8"/>
  <c r="J10630" i="8"/>
  <c r="J10629" i="8"/>
  <c r="J10628" i="8"/>
  <c r="J10627" i="8"/>
  <c r="J10626" i="8"/>
  <c r="J10625" i="8"/>
  <c r="J10624" i="8"/>
  <c r="J10623" i="8"/>
  <c r="J10622" i="8"/>
  <c r="I10618" i="8"/>
  <c r="J10617" i="8"/>
  <c r="J10616" i="8"/>
  <c r="J10615" i="8"/>
  <c r="J10614" i="8"/>
  <c r="J10613" i="8"/>
  <c r="J10612" i="8"/>
  <c r="J10611" i="8"/>
  <c r="J10610" i="8"/>
  <c r="J10609" i="8"/>
  <c r="J10608" i="8"/>
  <c r="J10607" i="8"/>
  <c r="J10606" i="8"/>
  <c r="J10605" i="8"/>
  <c r="J10604" i="8"/>
  <c r="J10603" i="8"/>
  <c r="J10602" i="8"/>
  <c r="J10599" i="8"/>
  <c r="J10598" i="8"/>
  <c r="J10597" i="8"/>
  <c r="J10596" i="8"/>
  <c r="J10595" i="8"/>
  <c r="J10594" i="8"/>
  <c r="J10593" i="8"/>
  <c r="J10592" i="8"/>
  <c r="J10591" i="8"/>
  <c r="J10590" i="8"/>
  <c r="J10589" i="8"/>
  <c r="J10588" i="8"/>
  <c r="J10587" i="8"/>
  <c r="J10586" i="8"/>
  <c r="J10585" i="8"/>
  <c r="J10584" i="8"/>
  <c r="J10582" i="8"/>
  <c r="J10581" i="8"/>
  <c r="J10580" i="8"/>
  <c r="J10579" i="8"/>
  <c r="J10578" i="8"/>
  <c r="J10577" i="8"/>
  <c r="J10576" i="8"/>
  <c r="J10575" i="8"/>
  <c r="J10574" i="8"/>
  <c r="J10573" i="8"/>
  <c r="J10572" i="8"/>
  <c r="J10571" i="8"/>
  <c r="J10570" i="8"/>
  <c r="J10569" i="8"/>
  <c r="J10568" i="8"/>
  <c r="J10567" i="8"/>
  <c r="J10566" i="8"/>
  <c r="J10565" i="8"/>
  <c r="J10564" i="8"/>
  <c r="J10563" i="8"/>
  <c r="J10562" i="8"/>
  <c r="J10561" i="8"/>
  <c r="J10560" i="8"/>
  <c r="J10559" i="8"/>
  <c r="J10558" i="8"/>
  <c r="J10557" i="8"/>
  <c r="J10556" i="8"/>
  <c r="J10555" i="8"/>
  <c r="J10554" i="8"/>
  <c r="J10553" i="8"/>
  <c r="J10552" i="8"/>
  <c r="J10551" i="8"/>
  <c r="J10550" i="8"/>
  <c r="J10549" i="8"/>
  <c r="J10548" i="8"/>
  <c r="J10547" i="8"/>
  <c r="J10546" i="8"/>
  <c r="J10545" i="8"/>
  <c r="J10544" i="8"/>
  <c r="J10543" i="8"/>
  <c r="J10542" i="8"/>
  <c r="J10541" i="8"/>
  <c r="J10540" i="8"/>
  <c r="J10539" i="8"/>
  <c r="J10538" i="8"/>
  <c r="J10537" i="8"/>
  <c r="J10536" i="8"/>
  <c r="J10535" i="8"/>
  <c r="J10534" i="8"/>
  <c r="J10533" i="8"/>
  <c r="J10532" i="8"/>
  <c r="J10531" i="8"/>
  <c r="J10530" i="8"/>
  <c r="J10529" i="8"/>
  <c r="J10528" i="8"/>
  <c r="J10527" i="8"/>
  <c r="J10526" i="8"/>
  <c r="J10525" i="8"/>
  <c r="J10524" i="8"/>
  <c r="J10523" i="8"/>
  <c r="I10517" i="8"/>
  <c r="H10517" i="8"/>
  <c r="J10516" i="8"/>
  <c r="J10515" i="8"/>
  <c r="J10514" i="8"/>
  <c r="J10513" i="8"/>
  <c r="J10512" i="8"/>
  <c r="J10511" i="8"/>
  <c r="J10510" i="8"/>
  <c r="J10509" i="8"/>
  <c r="J10508" i="8"/>
  <c r="J10507" i="8"/>
  <c r="J10506" i="8"/>
  <c r="J10505" i="8"/>
  <c r="J10504" i="8"/>
  <c r="J10503" i="8"/>
  <c r="J10502" i="8"/>
  <c r="J10501" i="8"/>
  <c r="I10497" i="8"/>
  <c r="F50" i="7" s="1"/>
  <c r="J10496" i="8"/>
  <c r="J10495" i="8"/>
  <c r="J10494" i="8"/>
  <c r="J10493" i="8"/>
  <c r="J10492" i="8"/>
  <c r="J10491" i="8"/>
  <c r="J10490" i="8"/>
  <c r="J10489" i="8"/>
  <c r="J10488" i="8"/>
  <c r="J10487" i="8"/>
  <c r="J10486" i="8"/>
  <c r="J10485" i="8"/>
  <c r="J10484" i="8"/>
  <c r="J10483" i="8"/>
  <c r="J10482" i="8"/>
  <c r="I10479" i="8"/>
  <c r="J10478" i="8"/>
  <c r="J10477" i="8"/>
  <c r="J10476" i="8"/>
  <c r="J10475" i="8"/>
  <c r="J10474" i="8"/>
  <c r="J10473" i="8"/>
  <c r="J10472" i="8"/>
  <c r="J10471" i="8"/>
  <c r="J10470" i="8"/>
  <c r="J10469" i="8"/>
  <c r="J10468" i="8"/>
  <c r="J10467" i="8"/>
  <c r="J10466" i="8"/>
  <c r="J10465" i="8"/>
  <c r="J10464" i="8"/>
  <c r="H10479" i="8"/>
  <c r="C92" i="6" s="1"/>
  <c r="J10461" i="8"/>
  <c r="J10460" i="8"/>
  <c r="J10459" i="8"/>
  <c r="J10458" i="8"/>
  <c r="J10457" i="8"/>
  <c r="J10456" i="8"/>
  <c r="J10455" i="8"/>
  <c r="J10454" i="8"/>
  <c r="J10453" i="8"/>
  <c r="J10452" i="8"/>
  <c r="J10451" i="8"/>
  <c r="J10450" i="8"/>
  <c r="J10449" i="8"/>
  <c r="J10448" i="8"/>
  <c r="J10447" i="8"/>
  <c r="J10446" i="8"/>
  <c r="J10445" i="8"/>
  <c r="J10444" i="8"/>
  <c r="J10443" i="8"/>
  <c r="J10442" i="8"/>
  <c r="J10441" i="8"/>
  <c r="J10440" i="8"/>
  <c r="J10439" i="8"/>
  <c r="J10438" i="8"/>
  <c r="J10437" i="8"/>
  <c r="J10436" i="8"/>
  <c r="J10435" i="8"/>
  <c r="J10434" i="8"/>
  <c r="J10433" i="8"/>
  <c r="J10432" i="8"/>
  <c r="J10431" i="8"/>
  <c r="J10430" i="8"/>
  <c r="J10429" i="8"/>
  <c r="J10428" i="8"/>
  <c r="J10427" i="8"/>
  <c r="J10426" i="8"/>
  <c r="J10425" i="8"/>
  <c r="J10424" i="8"/>
  <c r="J10423" i="8"/>
  <c r="J10422" i="8"/>
  <c r="J10421" i="8"/>
  <c r="J10420" i="8"/>
  <c r="J10419" i="8"/>
  <c r="J10418" i="8"/>
  <c r="J10417" i="8"/>
  <c r="J10416" i="8"/>
  <c r="J10415" i="8"/>
  <c r="J10414" i="8"/>
  <c r="J10413" i="8"/>
  <c r="J10412" i="8"/>
  <c r="J10411" i="8"/>
  <c r="J10410" i="8"/>
  <c r="J10409" i="8"/>
  <c r="J10408" i="8"/>
  <c r="J10407" i="8"/>
  <c r="J10406" i="8"/>
  <c r="J10405" i="8"/>
  <c r="J10404" i="8"/>
  <c r="J10403" i="8"/>
  <c r="J10402" i="8"/>
  <c r="I10398" i="8"/>
  <c r="F47" i="7" s="1"/>
  <c r="J10397" i="8"/>
  <c r="J10396" i="8"/>
  <c r="J10395" i="8"/>
  <c r="J10394" i="8"/>
  <c r="J10393" i="8"/>
  <c r="J10392" i="8"/>
  <c r="J10391" i="8"/>
  <c r="J10390" i="8"/>
  <c r="J10389" i="8"/>
  <c r="J10388" i="8"/>
  <c r="J10387" i="8"/>
  <c r="J10386" i="8"/>
  <c r="J10385" i="8"/>
  <c r="J10384" i="8"/>
  <c r="J10383" i="8"/>
  <c r="I10380" i="8"/>
  <c r="J10379" i="8"/>
  <c r="J10378" i="8"/>
  <c r="J10377" i="8"/>
  <c r="J10376" i="8"/>
  <c r="J10375" i="8"/>
  <c r="J10374" i="8"/>
  <c r="J10373" i="8"/>
  <c r="J10372" i="8"/>
  <c r="J10371" i="8"/>
  <c r="J10370" i="8"/>
  <c r="J10369" i="8"/>
  <c r="J10368" i="8"/>
  <c r="J10367" i="8"/>
  <c r="J10366" i="8"/>
  <c r="J10365" i="8"/>
  <c r="J10362" i="8"/>
  <c r="J10361" i="8"/>
  <c r="J10360" i="8"/>
  <c r="J10359" i="8"/>
  <c r="J10358" i="8"/>
  <c r="J10357" i="8"/>
  <c r="J10356" i="8"/>
  <c r="J10355" i="8"/>
  <c r="J10354" i="8"/>
  <c r="J10353" i="8"/>
  <c r="J10352" i="8"/>
  <c r="J10351" i="8"/>
  <c r="J10350" i="8"/>
  <c r="J10349" i="8"/>
  <c r="J10348" i="8"/>
  <c r="J10347" i="8"/>
  <c r="J10346" i="8"/>
  <c r="J10345" i="8"/>
  <c r="J10344" i="8"/>
  <c r="J10343" i="8"/>
  <c r="J10342" i="8"/>
  <c r="J10341" i="8"/>
  <c r="J10340" i="8"/>
  <c r="J10339" i="8"/>
  <c r="J10338" i="8"/>
  <c r="J10337" i="8"/>
  <c r="J10336" i="8"/>
  <c r="J10335" i="8"/>
  <c r="J10334" i="8"/>
  <c r="J10333" i="8"/>
  <c r="J10332" i="8"/>
  <c r="J10331" i="8"/>
  <c r="J10330" i="8"/>
  <c r="J10329" i="8"/>
  <c r="J10328" i="8"/>
  <c r="J10327" i="8"/>
  <c r="J10326" i="8"/>
  <c r="J10325" i="8"/>
  <c r="J10324" i="8"/>
  <c r="J10323" i="8"/>
  <c r="J10322" i="8"/>
  <c r="J10321" i="8"/>
  <c r="J10320" i="8"/>
  <c r="J10319" i="8"/>
  <c r="J10318" i="8"/>
  <c r="J10317" i="8"/>
  <c r="J10316" i="8"/>
  <c r="J10315" i="8"/>
  <c r="J10314" i="8"/>
  <c r="J10313" i="8"/>
  <c r="J10312" i="8"/>
  <c r="J10311" i="8"/>
  <c r="J10310" i="8"/>
  <c r="J10309" i="8"/>
  <c r="J10308" i="8"/>
  <c r="J10307" i="8"/>
  <c r="J10306" i="8"/>
  <c r="J10305" i="8"/>
  <c r="J10304" i="8"/>
  <c r="J10303" i="8"/>
  <c r="F46" i="7"/>
  <c r="E90" i="6"/>
  <c r="C90" i="6"/>
  <c r="F45" i="7"/>
  <c r="I10101" i="8"/>
  <c r="F44" i="7" s="1"/>
  <c r="J10100" i="8"/>
  <c r="J10099" i="8"/>
  <c r="J10098" i="8"/>
  <c r="J10097" i="8"/>
  <c r="J10096" i="8"/>
  <c r="J10095" i="8"/>
  <c r="J10094" i="8"/>
  <c r="J10093" i="8"/>
  <c r="J10092" i="8"/>
  <c r="J10091" i="8"/>
  <c r="J10090" i="8"/>
  <c r="J10089" i="8"/>
  <c r="J10088" i="8"/>
  <c r="J10087" i="8"/>
  <c r="J10086" i="8"/>
  <c r="I10083" i="8"/>
  <c r="J10082" i="8"/>
  <c r="J10081" i="8"/>
  <c r="J10080" i="8"/>
  <c r="J10079" i="8"/>
  <c r="J10078" i="8"/>
  <c r="J10077" i="8"/>
  <c r="J10076" i="8"/>
  <c r="J10075" i="8"/>
  <c r="J10074" i="8"/>
  <c r="J10073" i="8"/>
  <c r="J10072" i="8"/>
  <c r="J10071" i="8"/>
  <c r="J10070" i="8"/>
  <c r="J10069" i="8"/>
  <c r="J10068" i="8"/>
  <c r="J10065" i="8"/>
  <c r="J10064" i="8"/>
  <c r="J10063" i="8"/>
  <c r="J10062" i="8"/>
  <c r="J10061" i="8"/>
  <c r="J10060" i="8"/>
  <c r="J10059" i="8"/>
  <c r="J10058" i="8"/>
  <c r="J10057" i="8"/>
  <c r="J10056" i="8"/>
  <c r="J10055" i="8"/>
  <c r="J10054" i="8"/>
  <c r="J10053" i="8"/>
  <c r="J10052" i="8"/>
  <c r="J10051" i="8"/>
  <c r="J10050" i="8"/>
  <c r="J10049" i="8"/>
  <c r="J10048" i="8"/>
  <c r="J10047" i="8"/>
  <c r="J10046" i="8"/>
  <c r="J10045" i="8"/>
  <c r="J10044" i="8"/>
  <c r="J10043" i="8"/>
  <c r="J10042" i="8"/>
  <c r="J10041" i="8"/>
  <c r="J10040" i="8"/>
  <c r="J10039" i="8"/>
  <c r="J10038" i="8"/>
  <c r="J10037" i="8"/>
  <c r="J10036" i="8"/>
  <c r="J10035" i="8"/>
  <c r="J10034" i="8"/>
  <c r="J10033" i="8"/>
  <c r="J10032" i="8"/>
  <c r="J10031" i="8"/>
  <c r="J10030" i="8"/>
  <c r="J10029" i="8"/>
  <c r="J10028" i="8"/>
  <c r="J10027" i="8"/>
  <c r="J10026" i="8"/>
  <c r="J10025" i="8"/>
  <c r="J10024" i="8"/>
  <c r="J10023" i="8"/>
  <c r="J10022" i="8"/>
  <c r="J10021" i="8"/>
  <c r="J10020" i="8"/>
  <c r="J10019" i="8"/>
  <c r="J10018" i="8"/>
  <c r="J10017" i="8"/>
  <c r="J10016" i="8"/>
  <c r="J10015" i="8"/>
  <c r="J10014" i="8"/>
  <c r="J10013" i="8"/>
  <c r="J10012" i="8"/>
  <c r="J10011" i="8"/>
  <c r="J10010" i="8"/>
  <c r="J10009" i="8"/>
  <c r="J10008" i="8"/>
  <c r="J10007" i="8"/>
  <c r="J10006" i="8"/>
  <c r="I10002" i="8"/>
  <c r="F42" i="7" s="1"/>
  <c r="J10001" i="8"/>
  <c r="J10000" i="8"/>
  <c r="J9999" i="8"/>
  <c r="J9998" i="8"/>
  <c r="J9997" i="8"/>
  <c r="J9996" i="8"/>
  <c r="J9995" i="8"/>
  <c r="J9994" i="8"/>
  <c r="J9993" i="8"/>
  <c r="J9992" i="8"/>
  <c r="J9991" i="8"/>
  <c r="J9990" i="8"/>
  <c r="J9989" i="8"/>
  <c r="J9988" i="8"/>
  <c r="J9987" i="8"/>
  <c r="I9984" i="8"/>
  <c r="J9983" i="8"/>
  <c r="J9982" i="8"/>
  <c r="J9981" i="8"/>
  <c r="J9980" i="8"/>
  <c r="J9979" i="8"/>
  <c r="J9978" i="8"/>
  <c r="J9977" i="8"/>
  <c r="J9976" i="8"/>
  <c r="J9975" i="8"/>
  <c r="J9974" i="8"/>
  <c r="J9973" i="8"/>
  <c r="J9972" i="8"/>
  <c r="J9971" i="8"/>
  <c r="J9970" i="8"/>
  <c r="J9969" i="8"/>
  <c r="J9966" i="8"/>
  <c r="J9965" i="8"/>
  <c r="J9964" i="8"/>
  <c r="J9963" i="8"/>
  <c r="J9962" i="8"/>
  <c r="J9961" i="8"/>
  <c r="J9960" i="8"/>
  <c r="J9959" i="8"/>
  <c r="J9958" i="8"/>
  <c r="J9957" i="8"/>
  <c r="J9956" i="8"/>
  <c r="J9955" i="8"/>
  <c r="J9954" i="8"/>
  <c r="J9953" i="8"/>
  <c r="J9952" i="8"/>
  <c r="J9951" i="8"/>
  <c r="J9950" i="8"/>
  <c r="J9949" i="8"/>
  <c r="J9948" i="8"/>
  <c r="J9947" i="8"/>
  <c r="J9946" i="8"/>
  <c r="J9945" i="8"/>
  <c r="J9944" i="8"/>
  <c r="J9943" i="8"/>
  <c r="J9942" i="8"/>
  <c r="J9941" i="8"/>
  <c r="J9940" i="8"/>
  <c r="J9939" i="8"/>
  <c r="J9938" i="8"/>
  <c r="J9937" i="8"/>
  <c r="J9936" i="8"/>
  <c r="J9935" i="8"/>
  <c r="J9934" i="8"/>
  <c r="J9933" i="8"/>
  <c r="J9932" i="8"/>
  <c r="J9931" i="8"/>
  <c r="J9930" i="8"/>
  <c r="J9929" i="8"/>
  <c r="J9928" i="8"/>
  <c r="J9927" i="8"/>
  <c r="J9926" i="8"/>
  <c r="J9925" i="8"/>
  <c r="J9924" i="8"/>
  <c r="J9923" i="8"/>
  <c r="J9922" i="8"/>
  <c r="J9921" i="8"/>
  <c r="J9920" i="8"/>
  <c r="J9919" i="8"/>
  <c r="J9918" i="8"/>
  <c r="J9917" i="8"/>
  <c r="J9916" i="8"/>
  <c r="J9915" i="8"/>
  <c r="J9914" i="8"/>
  <c r="J9913" i="8"/>
  <c r="J9912" i="8"/>
  <c r="J9911" i="8"/>
  <c r="J9910" i="8"/>
  <c r="J9909" i="8"/>
  <c r="J9908" i="8"/>
  <c r="J9907" i="8"/>
  <c r="I6981" i="8"/>
  <c r="J6980" i="8"/>
  <c r="J6979" i="8"/>
  <c r="J6978" i="8"/>
  <c r="J6977" i="8"/>
  <c r="J6976" i="8"/>
  <c r="E80" i="6"/>
  <c r="C80" i="6"/>
  <c r="C89" i="6"/>
  <c r="I9684" i="8"/>
  <c r="J9683" i="8"/>
  <c r="J9682" i="8"/>
  <c r="J9681" i="8"/>
  <c r="J9680" i="8"/>
  <c r="J9679" i="8"/>
  <c r="J9678" i="8"/>
  <c r="J9677" i="8"/>
  <c r="J9676" i="8"/>
  <c r="J9675" i="8"/>
  <c r="J9674" i="8"/>
  <c r="J9673" i="8"/>
  <c r="J9672" i="8"/>
  <c r="J9671" i="8"/>
  <c r="J9670" i="8"/>
  <c r="J9669" i="8"/>
  <c r="I9666" i="8"/>
  <c r="J9665" i="8"/>
  <c r="J9664" i="8"/>
  <c r="J9663" i="8"/>
  <c r="J9662" i="8"/>
  <c r="J9661" i="8"/>
  <c r="J9660" i="8"/>
  <c r="J9659" i="8"/>
  <c r="J9658" i="8"/>
  <c r="J9657" i="8"/>
  <c r="J9656" i="8"/>
  <c r="J9655" i="8"/>
  <c r="J9654" i="8"/>
  <c r="J9653" i="8"/>
  <c r="J9652" i="8"/>
  <c r="J9651"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611" i="8"/>
  <c r="J9610" i="8"/>
  <c r="J9609" i="8"/>
  <c r="J9608" i="8"/>
  <c r="J9607" i="8"/>
  <c r="J9606" i="8"/>
  <c r="J9605" i="8"/>
  <c r="J9604" i="8"/>
  <c r="J9603" i="8"/>
  <c r="J9602" i="8"/>
  <c r="J9601" i="8"/>
  <c r="J9600" i="8"/>
  <c r="J9599" i="8"/>
  <c r="J9598" i="8"/>
  <c r="J9597" i="8"/>
  <c r="J9596" i="8"/>
  <c r="J9595" i="8"/>
  <c r="J9594" i="8"/>
  <c r="J9593" i="8"/>
  <c r="J9592" i="8"/>
  <c r="J9591" i="8"/>
  <c r="J9590" i="8"/>
  <c r="J9589" i="8"/>
  <c r="I9585" i="8"/>
  <c r="J9584" i="8"/>
  <c r="J9583" i="8"/>
  <c r="J9582" i="8"/>
  <c r="J9581" i="8"/>
  <c r="J9580" i="8"/>
  <c r="J9579" i="8"/>
  <c r="J9578" i="8"/>
  <c r="J9577" i="8"/>
  <c r="J9576" i="8"/>
  <c r="J9575" i="8"/>
  <c r="J9574" i="8"/>
  <c r="J9573" i="8"/>
  <c r="J9572" i="8"/>
  <c r="J9571" i="8"/>
  <c r="J9570" i="8"/>
  <c r="I9567" i="8"/>
  <c r="J9566" i="8"/>
  <c r="J9565" i="8"/>
  <c r="J9564" i="8"/>
  <c r="J9563" i="8"/>
  <c r="J9562" i="8"/>
  <c r="J9561" i="8"/>
  <c r="J9560" i="8"/>
  <c r="J9559" i="8"/>
  <c r="J9558" i="8"/>
  <c r="J9557" i="8"/>
  <c r="J9556" i="8"/>
  <c r="J9555" i="8"/>
  <c r="J9554" i="8"/>
  <c r="J9553" i="8"/>
  <c r="J9552" i="8"/>
  <c r="H9567" i="8"/>
  <c r="J9549" i="8"/>
  <c r="J9548" i="8"/>
  <c r="J9547" i="8"/>
  <c r="J9546" i="8"/>
  <c r="J9545" i="8"/>
  <c r="J9544" i="8"/>
  <c r="J9543" i="8"/>
  <c r="J9542" i="8"/>
  <c r="J9541" i="8"/>
  <c r="J9540" i="8"/>
  <c r="J9539" i="8"/>
  <c r="J9538" i="8"/>
  <c r="J9537" i="8"/>
  <c r="J9536" i="8"/>
  <c r="J9535" i="8"/>
  <c r="J9534" i="8"/>
  <c r="J9533" i="8"/>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I9464" i="8"/>
  <c r="H9464" i="8"/>
  <c r="J9463" i="8"/>
  <c r="J9462" i="8"/>
  <c r="J9461" i="8"/>
  <c r="J9460" i="8"/>
  <c r="J9459" i="8"/>
  <c r="J9458" i="8"/>
  <c r="J9457" i="8"/>
  <c r="J9456" i="8"/>
  <c r="J9455" i="8"/>
  <c r="J9454" i="8"/>
  <c r="J9453" i="8"/>
  <c r="J9452" i="8"/>
  <c r="J9451" i="8"/>
  <c r="J9450" i="8"/>
  <c r="J9449" i="8"/>
  <c r="J9448" i="8"/>
  <c r="I9346" i="8"/>
  <c r="J9345" i="8"/>
  <c r="J9344" i="8"/>
  <c r="J9343" i="8"/>
  <c r="J9342" i="8"/>
  <c r="J9341" i="8"/>
  <c r="J9340" i="8"/>
  <c r="J9339" i="8"/>
  <c r="J9338" i="8"/>
  <c r="J9337" i="8"/>
  <c r="J9336" i="8"/>
  <c r="J9335" i="8"/>
  <c r="J9334" i="8"/>
  <c r="J9333" i="8"/>
  <c r="J9332" i="8"/>
  <c r="J9331" i="8"/>
  <c r="I9328" i="8"/>
  <c r="J9327" i="8"/>
  <c r="J9326" i="8"/>
  <c r="J9325" i="8"/>
  <c r="J9324" i="8"/>
  <c r="J9323" i="8"/>
  <c r="J9322" i="8"/>
  <c r="J9321" i="8"/>
  <c r="J9320" i="8"/>
  <c r="J9319" i="8"/>
  <c r="J9318" i="8"/>
  <c r="J9317" i="8"/>
  <c r="J9316" i="8"/>
  <c r="J9315" i="8"/>
  <c r="J9314" i="8"/>
  <c r="J9313" i="8"/>
  <c r="H9328"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J9255" i="8"/>
  <c r="J9254" i="8"/>
  <c r="J9253" i="8"/>
  <c r="J9252" i="8"/>
  <c r="J9251" i="8"/>
  <c r="D133" i="7"/>
  <c r="I9483" i="8"/>
  <c r="H9483" i="8"/>
  <c r="J9482" i="8"/>
  <c r="J9481" i="8"/>
  <c r="J9480" i="8"/>
  <c r="J9479" i="8"/>
  <c r="J9478" i="8"/>
  <c r="J9477" i="8"/>
  <c r="J9476" i="8"/>
  <c r="J9475" i="8"/>
  <c r="J9474" i="8"/>
  <c r="J9473" i="8"/>
  <c r="J9472" i="8"/>
  <c r="J9471" i="8"/>
  <c r="J9470" i="8"/>
  <c r="J9469" i="8"/>
  <c r="J9468" i="8"/>
  <c r="J9467" i="8"/>
  <c r="I9445" i="8"/>
  <c r="F137" i="7" s="1"/>
  <c r="G137" i="7" s="1"/>
  <c r="J9444" i="8"/>
  <c r="J9443" i="8"/>
  <c r="J9442" i="8"/>
  <c r="J9441" i="8"/>
  <c r="J9440" i="8"/>
  <c r="J9439" i="8"/>
  <c r="J9438" i="8"/>
  <c r="J9437" i="8"/>
  <c r="J9436" i="8"/>
  <c r="J9435" i="8"/>
  <c r="J9434" i="8"/>
  <c r="J9433" i="8"/>
  <c r="J9432" i="8"/>
  <c r="J9431" i="8"/>
  <c r="J9430" i="8"/>
  <c r="I9427" i="8"/>
  <c r="J9426" i="8"/>
  <c r="J9425" i="8"/>
  <c r="J9424" i="8"/>
  <c r="J9423" i="8"/>
  <c r="J9422" i="8"/>
  <c r="J9421" i="8"/>
  <c r="J9420" i="8"/>
  <c r="J9419" i="8"/>
  <c r="J9418" i="8"/>
  <c r="J9417" i="8"/>
  <c r="J9416" i="8"/>
  <c r="J9415" i="8"/>
  <c r="J9414" i="8"/>
  <c r="J9413" i="8"/>
  <c r="J9412" i="8"/>
  <c r="J9409" i="8"/>
  <c r="J9408" i="8"/>
  <c r="J9407" i="8"/>
  <c r="J9406" i="8"/>
  <c r="J9405" i="8"/>
  <c r="J9404" i="8"/>
  <c r="J9403" i="8"/>
  <c r="J9402" i="8"/>
  <c r="J9401" i="8"/>
  <c r="J9400" i="8"/>
  <c r="J9399" i="8"/>
  <c r="J9398" i="8"/>
  <c r="J9397" i="8"/>
  <c r="J9396" i="8"/>
  <c r="J9395" i="8"/>
  <c r="J9394" i="8"/>
  <c r="J9393" i="8"/>
  <c r="J9392" i="8"/>
  <c r="J9391" i="8"/>
  <c r="J9390" i="8"/>
  <c r="J9389" i="8"/>
  <c r="J9388" i="8"/>
  <c r="J9387" i="8"/>
  <c r="J9386" i="8"/>
  <c r="J9385" i="8"/>
  <c r="J9384" i="8"/>
  <c r="J9383" i="8"/>
  <c r="J9382" i="8"/>
  <c r="J9381" i="8"/>
  <c r="J9380" i="8"/>
  <c r="J9379" i="8"/>
  <c r="J9378" i="8"/>
  <c r="J9377" i="8"/>
  <c r="J9376" i="8"/>
  <c r="J9375" i="8"/>
  <c r="J9374" i="8"/>
  <c r="J9373" i="8"/>
  <c r="J9372" i="8"/>
  <c r="J9371" i="8"/>
  <c r="J9370" i="8"/>
  <c r="J9369" i="8"/>
  <c r="J9368" i="8"/>
  <c r="J9367" i="8"/>
  <c r="J9366" i="8"/>
  <c r="J9365" i="8"/>
  <c r="J9364" i="8"/>
  <c r="J9363" i="8"/>
  <c r="J9362" i="8"/>
  <c r="J9361" i="8"/>
  <c r="J9360" i="8"/>
  <c r="J9359" i="8"/>
  <c r="J9358" i="8"/>
  <c r="J9357" i="8"/>
  <c r="J9356" i="8"/>
  <c r="J9355" i="8"/>
  <c r="J9354" i="8"/>
  <c r="J9353" i="8"/>
  <c r="J9352" i="8"/>
  <c r="J9351" i="8"/>
  <c r="J9350" i="8"/>
  <c r="I9247" i="8"/>
  <c r="F132" i="7" s="1"/>
  <c r="J9246" i="8"/>
  <c r="J9245" i="8"/>
  <c r="J9244" i="8"/>
  <c r="J9243" i="8"/>
  <c r="J9242" i="8"/>
  <c r="J9241" i="8"/>
  <c r="J9240" i="8"/>
  <c r="J9239" i="8"/>
  <c r="J9238" i="8"/>
  <c r="J9237" i="8"/>
  <c r="J9236" i="8"/>
  <c r="J9235" i="8"/>
  <c r="J9234" i="8"/>
  <c r="J9233" i="8"/>
  <c r="J9232" i="8"/>
  <c r="I9229" i="8"/>
  <c r="J9228" i="8"/>
  <c r="J9227" i="8"/>
  <c r="J9226" i="8"/>
  <c r="J9225" i="8"/>
  <c r="J9224" i="8"/>
  <c r="J9223" i="8"/>
  <c r="J9222" i="8"/>
  <c r="J9221" i="8"/>
  <c r="J9220" i="8"/>
  <c r="J9219" i="8"/>
  <c r="J9218" i="8"/>
  <c r="J9217" i="8"/>
  <c r="J9216" i="8"/>
  <c r="J9215" i="8"/>
  <c r="J9214" i="8"/>
  <c r="H9229"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J9156" i="8"/>
  <c r="J9155" i="8"/>
  <c r="J9154" i="8"/>
  <c r="J9153" i="8"/>
  <c r="J9152" i="8"/>
  <c r="F136" i="7"/>
  <c r="G136" i="7" s="1"/>
  <c r="F135" i="7"/>
  <c r="G135" i="7" s="1"/>
  <c r="I7532" i="8"/>
  <c r="J7531" i="8"/>
  <c r="J7530" i="8"/>
  <c r="J7529" i="8"/>
  <c r="J7528" i="8"/>
  <c r="J7527" i="8"/>
  <c r="J7526" i="8"/>
  <c r="J7525" i="8"/>
  <c r="J7524" i="8"/>
  <c r="J7523" i="8"/>
  <c r="J7522" i="8"/>
  <c r="J7521" i="8"/>
  <c r="J7520" i="8"/>
  <c r="J7519" i="8"/>
  <c r="J7518" i="8"/>
  <c r="J7517" i="8"/>
  <c r="I7495" i="8"/>
  <c r="J7494" i="8"/>
  <c r="J7493" i="8"/>
  <c r="J7492" i="8"/>
  <c r="J7491" i="8"/>
  <c r="J7490" i="8"/>
  <c r="J7489" i="8"/>
  <c r="J7488" i="8"/>
  <c r="J7487" i="8"/>
  <c r="J7486" i="8"/>
  <c r="J7485" i="8"/>
  <c r="J7484" i="8"/>
  <c r="J7483" i="8"/>
  <c r="J7482" i="8"/>
  <c r="J7481" i="8"/>
  <c r="J7480" i="8"/>
  <c r="I7413" i="8"/>
  <c r="E18" i="6" s="1"/>
  <c r="J7412" i="8"/>
  <c r="J7411" i="8"/>
  <c r="J7410" i="8"/>
  <c r="J7409" i="8"/>
  <c r="J7408" i="8"/>
  <c r="J7407" i="8"/>
  <c r="J7406" i="8"/>
  <c r="J7405" i="8"/>
  <c r="J7404" i="8"/>
  <c r="J7403" i="8"/>
  <c r="J7402" i="8"/>
  <c r="J7401" i="8"/>
  <c r="J7400" i="8"/>
  <c r="J7399" i="8"/>
  <c r="J7398" i="8"/>
  <c r="J7371" i="8"/>
  <c r="J7370" i="8"/>
  <c r="J7369" i="8"/>
  <c r="J7368" i="8"/>
  <c r="J7367" i="8"/>
  <c r="J7366" i="8"/>
  <c r="J7365" i="8"/>
  <c r="J7364" i="8"/>
  <c r="J7363" i="8"/>
  <c r="J7362" i="8"/>
  <c r="J7361" i="8"/>
  <c r="J7360" i="8"/>
  <c r="J7359" i="8"/>
  <c r="J7358" i="8"/>
  <c r="J7357" i="8"/>
  <c r="J7326" i="8"/>
  <c r="J7325" i="8"/>
  <c r="J7324" i="8"/>
  <c r="J7323" i="8"/>
  <c r="J7322" i="8"/>
  <c r="J7321" i="8"/>
  <c r="J7320" i="8"/>
  <c r="J7319" i="8"/>
  <c r="J7318" i="8"/>
  <c r="J7317" i="8"/>
  <c r="J7316" i="8"/>
  <c r="J7315" i="8"/>
  <c r="J7314" i="8"/>
  <c r="J7313" i="8"/>
  <c r="J7312" i="8"/>
  <c r="E114" i="6"/>
  <c r="J7281" i="8"/>
  <c r="J7280" i="8"/>
  <c r="J7279" i="8"/>
  <c r="J7278" i="8"/>
  <c r="J7277" i="8"/>
  <c r="J7276" i="8"/>
  <c r="J7275" i="8"/>
  <c r="J7274" i="8"/>
  <c r="J7273" i="8"/>
  <c r="J7272" i="8"/>
  <c r="J7271" i="8"/>
  <c r="J7270" i="8"/>
  <c r="J7269" i="8"/>
  <c r="J7268" i="8"/>
  <c r="J7267" i="8"/>
  <c r="E30" i="6"/>
  <c r="C30" i="6"/>
  <c r="C23" i="6"/>
  <c r="E106" i="6"/>
  <c r="E108" i="6"/>
  <c r="C108" i="6"/>
  <c r="C9" i="6"/>
  <c r="E12" i="6"/>
  <c r="C12" i="6"/>
  <c r="I9085" i="8"/>
  <c r="J9084" i="8"/>
  <c r="J9083" i="8"/>
  <c r="J9082" i="8"/>
  <c r="J9081" i="8"/>
  <c r="J9080" i="8"/>
  <c r="J9079" i="8"/>
  <c r="J9078" i="8"/>
  <c r="J9077" i="8"/>
  <c r="J9076" i="8"/>
  <c r="J9075" i="8"/>
  <c r="J9074" i="8"/>
  <c r="J9073" i="8"/>
  <c r="J9072" i="8"/>
  <c r="J9071" i="8"/>
  <c r="J9070" i="8"/>
  <c r="H9085" i="8"/>
  <c r="C59" i="6" s="1"/>
  <c r="E83" i="6"/>
  <c r="C83" i="6"/>
  <c r="I8827" i="8"/>
  <c r="J8826" i="8"/>
  <c r="J8825" i="8"/>
  <c r="J8824" i="8"/>
  <c r="J8823" i="8"/>
  <c r="J8822" i="8"/>
  <c r="J8821" i="8"/>
  <c r="J8820" i="8"/>
  <c r="J8819" i="8"/>
  <c r="J8818" i="8"/>
  <c r="J8817" i="8"/>
  <c r="J8816" i="8"/>
  <c r="J8815" i="8"/>
  <c r="J8814" i="8"/>
  <c r="J8813" i="8"/>
  <c r="J8812" i="8"/>
  <c r="J8727" i="8"/>
  <c r="J8726" i="8"/>
  <c r="J8725" i="8"/>
  <c r="J8724" i="8"/>
  <c r="J8723" i="8"/>
  <c r="J8722" i="8"/>
  <c r="J8721" i="8"/>
  <c r="J8720" i="8"/>
  <c r="J8719" i="8"/>
  <c r="J8718" i="8"/>
  <c r="J8717" i="8"/>
  <c r="J8716" i="8"/>
  <c r="J8715" i="8"/>
  <c r="J8714" i="8"/>
  <c r="J8713" i="8"/>
  <c r="I8629" i="8"/>
  <c r="J8628" i="8"/>
  <c r="J8627" i="8"/>
  <c r="J8626" i="8"/>
  <c r="J8625" i="8"/>
  <c r="J8624" i="8"/>
  <c r="J8623" i="8"/>
  <c r="J8622" i="8"/>
  <c r="J8621" i="8"/>
  <c r="J8620" i="8"/>
  <c r="J8619" i="8"/>
  <c r="J8618" i="8"/>
  <c r="J8617" i="8"/>
  <c r="J8616" i="8"/>
  <c r="J8615" i="8"/>
  <c r="J8614" i="8"/>
  <c r="I2630" i="8"/>
  <c r="F102" i="7" s="1"/>
  <c r="F101" i="7" s="1"/>
  <c r="J2629" i="8"/>
  <c r="J2628" i="8"/>
  <c r="J2627" i="8"/>
  <c r="J2626" i="8"/>
  <c r="J2625" i="8"/>
  <c r="J2624" i="8"/>
  <c r="J2623" i="8"/>
  <c r="J2622" i="8"/>
  <c r="J2621" i="8"/>
  <c r="J2620" i="8"/>
  <c r="J2619" i="8"/>
  <c r="J2618" i="8"/>
  <c r="J2617" i="8"/>
  <c r="J2616" i="8"/>
  <c r="J2615" i="8"/>
  <c r="E41" i="6"/>
  <c r="J2611" i="8"/>
  <c r="J2610" i="8"/>
  <c r="J2609" i="8"/>
  <c r="J2608" i="8"/>
  <c r="J2607" i="8"/>
  <c r="J2606" i="8"/>
  <c r="J2605" i="8"/>
  <c r="J2604" i="8"/>
  <c r="J2603" i="8"/>
  <c r="J2602" i="8"/>
  <c r="J2601" i="8"/>
  <c r="J2600" i="8"/>
  <c r="J2599" i="8"/>
  <c r="J2598" i="8"/>
  <c r="J2597" i="8"/>
  <c r="C41" i="6"/>
  <c r="J1905" i="8"/>
  <c r="J1904" i="8"/>
  <c r="J1903" i="8"/>
  <c r="J1902" i="8"/>
  <c r="J1901" i="8"/>
  <c r="J1900" i="8"/>
  <c r="J1899" i="8"/>
  <c r="J1898" i="8"/>
  <c r="J1897" i="8"/>
  <c r="J1896" i="8"/>
  <c r="J1895" i="8"/>
  <c r="J1894" i="8"/>
  <c r="J1893" i="8"/>
  <c r="J1892" i="8"/>
  <c r="J1891" i="8"/>
  <c r="J1887" i="8"/>
  <c r="J1886" i="8"/>
  <c r="J1885" i="8"/>
  <c r="J1884" i="8"/>
  <c r="J1883" i="8"/>
  <c r="J1882" i="8"/>
  <c r="J1881" i="8"/>
  <c r="J1880" i="8"/>
  <c r="J1879" i="8"/>
  <c r="J1878" i="8"/>
  <c r="J1877" i="8"/>
  <c r="J1876" i="8"/>
  <c r="J1875" i="8"/>
  <c r="J1874" i="8"/>
  <c r="J1873" i="8"/>
  <c r="I1077" i="8"/>
  <c r="F7" i="7" s="1"/>
  <c r="J1076" i="8"/>
  <c r="J1075" i="8"/>
  <c r="J1074" i="8"/>
  <c r="J1073" i="8"/>
  <c r="J1072" i="8"/>
  <c r="J1071" i="8"/>
  <c r="J1070" i="8"/>
  <c r="J1069" i="8"/>
  <c r="J1068" i="8"/>
  <c r="J1067" i="8"/>
  <c r="J1066" i="8"/>
  <c r="J1065" i="8"/>
  <c r="J1064" i="8"/>
  <c r="J1063" i="8"/>
  <c r="J1062" i="8"/>
  <c r="I1059" i="8"/>
  <c r="J1058" i="8"/>
  <c r="J1057" i="8"/>
  <c r="J1056" i="8"/>
  <c r="J1055" i="8"/>
  <c r="J1054" i="8"/>
  <c r="J1053" i="8"/>
  <c r="J1052" i="8"/>
  <c r="J1051" i="8"/>
  <c r="J1050" i="8"/>
  <c r="J1049" i="8"/>
  <c r="J1048" i="8"/>
  <c r="J1047" i="8"/>
  <c r="J1046" i="8"/>
  <c r="J1045" i="8"/>
  <c r="J1044" i="8"/>
  <c r="I955" i="8"/>
  <c r="F538" i="7" s="1"/>
  <c r="J954" i="8"/>
  <c r="J953" i="8"/>
  <c r="J952" i="8"/>
  <c r="J951" i="8"/>
  <c r="J950" i="8"/>
  <c r="J949" i="8"/>
  <c r="J948" i="8"/>
  <c r="J947" i="8"/>
  <c r="J946" i="8"/>
  <c r="J945" i="8"/>
  <c r="J944" i="8"/>
  <c r="J943" i="8"/>
  <c r="J942" i="8"/>
  <c r="J941" i="8"/>
  <c r="J940" i="8"/>
  <c r="H955" i="8"/>
  <c r="D538" i="7" s="1"/>
  <c r="I937" i="8"/>
  <c r="J936" i="8"/>
  <c r="J935" i="8"/>
  <c r="J934" i="8"/>
  <c r="J933" i="8"/>
  <c r="J932" i="8"/>
  <c r="J931" i="8"/>
  <c r="J930" i="8"/>
  <c r="J929" i="8"/>
  <c r="J928" i="8"/>
  <c r="J927" i="8"/>
  <c r="J926" i="8"/>
  <c r="J925" i="8"/>
  <c r="J924" i="8"/>
  <c r="J923" i="8"/>
  <c r="J922" i="8"/>
  <c r="H937" i="8"/>
  <c r="I667" i="8"/>
  <c r="J666" i="8"/>
  <c r="J665" i="8"/>
  <c r="J664" i="8"/>
  <c r="J663" i="8"/>
  <c r="J662" i="8"/>
  <c r="J661" i="8"/>
  <c r="J660" i="8"/>
  <c r="J659" i="8"/>
  <c r="J658" i="8"/>
  <c r="J657" i="8"/>
  <c r="J656" i="8"/>
  <c r="J655" i="8"/>
  <c r="J654" i="8"/>
  <c r="J653" i="8"/>
  <c r="J652" i="8"/>
  <c r="E17" i="6"/>
  <c r="J648" i="8"/>
  <c r="J647" i="8"/>
  <c r="J646" i="8"/>
  <c r="J645" i="8"/>
  <c r="J644" i="8"/>
  <c r="J643" i="8"/>
  <c r="J642" i="8"/>
  <c r="J641" i="8"/>
  <c r="J640" i="8"/>
  <c r="J639" i="8"/>
  <c r="J638" i="8"/>
  <c r="J637" i="8"/>
  <c r="J636" i="8"/>
  <c r="J635" i="8"/>
  <c r="J634" i="8"/>
  <c r="C17" i="6"/>
  <c r="J303" i="8"/>
  <c r="J302" i="8"/>
  <c r="J301" i="8"/>
  <c r="J300" i="8"/>
  <c r="J299" i="8"/>
  <c r="J298" i="8"/>
  <c r="J297" i="8"/>
  <c r="J296" i="8"/>
  <c r="J295" i="8"/>
  <c r="J294" i="8"/>
  <c r="J293" i="8"/>
  <c r="J292" i="8"/>
  <c r="J291" i="8"/>
  <c r="J290" i="8"/>
  <c r="J289" i="8"/>
  <c r="J288" i="8"/>
  <c r="I286" i="8"/>
  <c r="I304" i="8" s="1"/>
  <c r="F546" i="7" s="1"/>
  <c r="H286" i="8"/>
  <c r="H304" i="8" s="1"/>
  <c r="D550" i="7" s="1"/>
  <c r="G550" i="7" s="1"/>
  <c r="J189" i="8"/>
  <c r="I205" i="8"/>
  <c r="F545" i="7" s="1"/>
  <c r="H187" i="8"/>
  <c r="I106" i="8"/>
  <c r="J87" i="8"/>
  <c r="J86" i="8"/>
  <c r="J85" i="8"/>
  <c r="J84" i="8"/>
  <c r="J83" i="8"/>
  <c r="J82" i="8"/>
  <c r="J81" i="8"/>
  <c r="J80" i="8"/>
  <c r="J79" i="8"/>
  <c r="J78" i="8"/>
  <c r="J77" i="8"/>
  <c r="J76" i="8"/>
  <c r="J75" i="8"/>
  <c r="J74" i="8"/>
  <c r="J73" i="8"/>
  <c r="J204" i="8"/>
  <c r="J203" i="8"/>
  <c r="J202" i="8"/>
  <c r="J201" i="8"/>
  <c r="J200" i="8"/>
  <c r="J199" i="8"/>
  <c r="J198" i="8"/>
  <c r="J197" i="8"/>
  <c r="J196" i="8"/>
  <c r="J195" i="8"/>
  <c r="J194" i="8"/>
  <c r="J193" i="8"/>
  <c r="J192" i="8"/>
  <c r="J191" i="8"/>
  <c r="J190" i="8"/>
  <c r="J209" i="8"/>
  <c r="J210" i="8"/>
  <c r="J211" i="8"/>
  <c r="J212" i="8"/>
  <c r="J213" i="8"/>
  <c r="J214" i="8"/>
  <c r="J859" i="8"/>
  <c r="J858" i="8"/>
  <c r="F38" i="7" l="1"/>
  <c r="E89" i="6"/>
  <c r="F89" i="6" s="1"/>
  <c r="J14988" i="8"/>
  <c r="E85" i="6"/>
  <c r="C85" i="6"/>
  <c r="E23" i="6"/>
  <c r="F199" i="7"/>
  <c r="F8" i="7"/>
  <c r="F6" i="7" s="1"/>
  <c r="G6" i="7" s="1"/>
  <c r="F133" i="7"/>
  <c r="E16" i="6"/>
  <c r="F36" i="7"/>
  <c r="G36" i="7" s="1"/>
  <c r="E93" i="6"/>
  <c r="E118" i="6"/>
  <c r="F479" i="7"/>
  <c r="C63" i="5"/>
  <c r="E92" i="6"/>
  <c r="F92" i="6" s="1"/>
  <c r="C28" i="6"/>
  <c r="E28" i="6"/>
  <c r="J10816" i="8"/>
  <c r="H13322" i="8"/>
  <c r="H13319" i="8"/>
  <c r="J13303" i="8"/>
  <c r="J13319" i="8" s="1"/>
  <c r="H14946" i="8"/>
  <c r="H14943" i="8"/>
  <c r="J11253" i="8"/>
  <c r="J11334" i="8"/>
  <c r="J11352" i="8"/>
  <c r="J11433" i="8"/>
  <c r="J11451" i="8"/>
  <c r="C84" i="6"/>
  <c r="E84" i="6"/>
  <c r="E79" i="6" s="1"/>
  <c r="E59" i="6"/>
  <c r="F59" i="6" s="1"/>
  <c r="J11014" i="8"/>
  <c r="J11033" i="8"/>
  <c r="E29" i="6"/>
  <c r="J10915" i="8"/>
  <c r="E113" i="6"/>
  <c r="F17" i="6"/>
  <c r="F41" i="6"/>
  <c r="F12" i="6"/>
  <c r="F83" i="6"/>
  <c r="F23" i="6"/>
  <c r="F30" i="6"/>
  <c r="F90" i="6"/>
  <c r="F108" i="6"/>
  <c r="C68" i="6"/>
  <c r="E68" i="6"/>
  <c r="F112" i="6"/>
  <c r="E35" i="6"/>
  <c r="E32" i="6" s="1"/>
  <c r="C16" i="6"/>
  <c r="E88" i="6"/>
  <c r="E14" i="6"/>
  <c r="F80" i="6"/>
  <c r="J14768" i="8"/>
  <c r="J14784" i="8" s="1"/>
  <c r="J14530" i="8"/>
  <c r="J14546" i="8" s="1"/>
  <c r="J11235" i="8"/>
  <c r="J11120" i="8"/>
  <c r="J11136" i="8" s="1"/>
  <c r="J11138" i="8"/>
  <c r="J11154" i="8" s="1"/>
  <c r="J11052" i="8"/>
  <c r="J9668" i="8"/>
  <c r="J9684" i="8" s="1"/>
  <c r="J10364" i="8"/>
  <c r="J10380" i="8" s="1"/>
  <c r="J10463" i="8"/>
  <c r="J10479" i="8" s="1"/>
  <c r="J10782" i="8"/>
  <c r="J10798" i="8" s="1"/>
  <c r="J10881" i="8"/>
  <c r="J10897" i="8" s="1"/>
  <c r="J10980" i="8"/>
  <c r="J10996" i="8" s="1"/>
  <c r="J10600" i="8"/>
  <c r="J10699" i="8"/>
  <c r="J10517" i="8"/>
  <c r="J10618" i="8"/>
  <c r="J10717" i="8"/>
  <c r="J10481" i="8"/>
  <c r="J10497" i="8" s="1"/>
  <c r="J10382" i="8"/>
  <c r="J10398" i="8" s="1"/>
  <c r="J10067" i="8"/>
  <c r="J10083" i="8" s="1"/>
  <c r="J10085" i="8"/>
  <c r="J10101" i="8" s="1"/>
  <c r="J9968" i="8"/>
  <c r="J9984" i="8" s="1"/>
  <c r="J9986" i="8"/>
  <c r="J10002" i="8" s="1"/>
  <c r="J6981" i="8"/>
  <c r="J9551" i="8"/>
  <c r="J9567" i="8" s="1"/>
  <c r="J9650" i="8"/>
  <c r="J9666" i="8" s="1"/>
  <c r="J9569" i="8"/>
  <c r="J9585" i="8" s="1"/>
  <c r="J9464" i="8"/>
  <c r="J9312" i="8"/>
  <c r="J9328" i="8" s="1"/>
  <c r="J9330" i="8"/>
  <c r="J9346" i="8" s="1"/>
  <c r="J9483" i="8"/>
  <c r="J9213" i="8"/>
  <c r="J9229" i="8" s="1"/>
  <c r="J9231" i="8"/>
  <c r="J9247" i="8" s="1"/>
  <c r="J9411" i="8"/>
  <c r="J9427" i="8" s="1"/>
  <c r="J9429" i="8"/>
  <c r="J9445" i="8" s="1"/>
  <c r="C106" i="6"/>
  <c r="F106" i="6" s="1"/>
  <c r="J9069" i="8"/>
  <c r="J9085" i="8" s="1"/>
  <c r="J8811" i="8"/>
  <c r="J8827" i="8" s="1"/>
  <c r="J8613" i="8"/>
  <c r="J8629" i="8" s="1"/>
  <c r="J2596" i="8"/>
  <c r="J2612" i="8" s="1"/>
  <c r="J2614" i="8"/>
  <c r="J2630" i="8" s="1"/>
  <c r="J939" i="8"/>
  <c r="J955" i="8" s="1"/>
  <c r="J921" i="8"/>
  <c r="J937" i="8" s="1"/>
  <c r="J633" i="8"/>
  <c r="J649" i="8" s="1"/>
  <c r="J651" i="8"/>
  <c r="J667" i="8" s="1"/>
  <c r="J72" i="8"/>
  <c r="J88" i="8" s="1"/>
  <c r="D132" i="7"/>
  <c r="D131" i="7" s="1"/>
  <c r="F537" i="7"/>
  <c r="D541" i="7"/>
  <c r="F134" i="7"/>
  <c r="H13338" i="8"/>
  <c r="J13322" i="8"/>
  <c r="J13338" i="8" s="1"/>
  <c r="H14965" i="8"/>
  <c r="H14981" i="8" s="1"/>
  <c r="H14962" i="8"/>
  <c r="J14946" i="8"/>
  <c r="J14962" i="8" s="1"/>
  <c r="D537" i="7"/>
  <c r="I7551" i="8"/>
  <c r="J7550" i="8"/>
  <c r="J7549" i="8"/>
  <c r="J7548" i="8"/>
  <c r="J7547" i="8"/>
  <c r="J7546" i="8"/>
  <c r="J7545" i="8"/>
  <c r="J7544" i="8"/>
  <c r="J7543" i="8"/>
  <c r="J7542" i="8"/>
  <c r="J7541" i="8"/>
  <c r="J7540" i="8"/>
  <c r="J7539" i="8"/>
  <c r="J7538" i="8"/>
  <c r="J7537" i="8"/>
  <c r="J7536" i="8"/>
  <c r="I7513" i="8"/>
  <c r="J7512" i="8"/>
  <c r="J7511" i="8"/>
  <c r="J7510" i="8"/>
  <c r="J7509" i="8"/>
  <c r="J7508" i="8"/>
  <c r="J7507" i="8"/>
  <c r="J7506" i="8"/>
  <c r="J7505" i="8"/>
  <c r="J7504" i="8"/>
  <c r="J7503" i="8"/>
  <c r="J7502" i="8"/>
  <c r="J7501" i="8"/>
  <c r="J7500" i="8"/>
  <c r="J7499" i="8"/>
  <c r="J7498" i="8"/>
  <c r="H7513" i="8"/>
  <c r="D536" i="7" s="1"/>
  <c r="H7516" i="8"/>
  <c r="H7535" i="8" s="1"/>
  <c r="J7497" i="8"/>
  <c r="I7469" i="8"/>
  <c r="J7468" i="8"/>
  <c r="J7467" i="8"/>
  <c r="J7466" i="8"/>
  <c r="J7465" i="8"/>
  <c r="J7464" i="8"/>
  <c r="J7463" i="8"/>
  <c r="J7462" i="8"/>
  <c r="J7461" i="8"/>
  <c r="J7460" i="8"/>
  <c r="J7459" i="8"/>
  <c r="J7458" i="8"/>
  <c r="J7457" i="8"/>
  <c r="J7456" i="8"/>
  <c r="J7455" i="8"/>
  <c r="J7454" i="8"/>
  <c r="J2594" i="8"/>
  <c r="J2593" i="8"/>
  <c r="J2592" i="8"/>
  <c r="J2591" i="8"/>
  <c r="J2590" i="8"/>
  <c r="J2589" i="8"/>
  <c r="J2588" i="8"/>
  <c r="J2587" i="8"/>
  <c r="J2586" i="8"/>
  <c r="J2585" i="8"/>
  <c r="J2584" i="8"/>
  <c r="J2583" i="8"/>
  <c r="J2582" i="8"/>
  <c r="J2581" i="8"/>
  <c r="J2579" i="8"/>
  <c r="J2578" i="8"/>
  <c r="J2577" i="8"/>
  <c r="J2576" i="8"/>
  <c r="J2575" i="8"/>
  <c r="J2574" i="8"/>
  <c r="J2573" i="8"/>
  <c r="J2572" i="8"/>
  <c r="J2571" i="8"/>
  <c r="J2570" i="8"/>
  <c r="J2569" i="8"/>
  <c r="J2568" i="8"/>
  <c r="J2567" i="8"/>
  <c r="J2566" i="8"/>
  <c r="J2565" i="8"/>
  <c r="J2564" i="8"/>
  <c r="J2563" i="8"/>
  <c r="J2562" i="8"/>
  <c r="J2561" i="8"/>
  <c r="J2560" i="8"/>
  <c r="J2559" i="8"/>
  <c r="J2558" i="8"/>
  <c r="J2557" i="8"/>
  <c r="J2556" i="8"/>
  <c r="J2555" i="8"/>
  <c r="J2554" i="8"/>
  <c r="J2553" i="8"/>
  <c r="J2552" i="8"/>
  <c r="J2551" i="8"/>
  <c r="J2550" i="8"/>
  <c r="J2549" i="8"/>
  <c r="J2548" i="8"/>
  <c r="J2547" i="8"/>
  <c r="J2546" i="8"/>
  <c r="J2545" i="8"/>
  <c r="J2544" i="8"/>
  <c r="J2543" i="8"/>
  <c r="J2542" i="8"/>
  <c r="J2541" i="8"/>
  <c r="J2540" i="8"/>
  <c r="J2539" i="8"/>
  <c r="J2538" i="8"/>
  <c r="J2537" i="8"/>
  <c r="J2536" i="8"/>
  <c r="F391" i="7"/>
  <c r="G391" i="7" s="1"/>
  <c r="F388" i="7"/>
  <c r="F349" i="7"/>
  <c r="G349" i="7" s="1"/>
  <c r="I9122" i="8"/>
  <c r="J9121" i="8"/>
  <c r="J9120" i="8"/>
  <c r="J9119" i="8"/>
  <c r="J9118" i="8"/>
  <c r="J9117" i="8"/>
  <c r="J9116" i="8"/>
  <c r="J9115" i="8"/>
  <c r="J9114" i="8"/>
  <c r="J9113" i="8"/>
  <c r="J9112" i="8"/>
  <c r="J9111" i="8"/>
  <c r="J9110" i="8"/>
  <c r="J9109" i="8"/>
  <c r="J9108" i="8"/>
  <c r="J9107" i="8"/>
  <c r="H9103" i="8"/>
  <c r="D198" i="7" s="1"/>
  <c r="D197" i="7" s="1"/>
  <c r="I9103" i="8"/>
  <c r="J9102" i="8"/>
  <c r="J9101" i="8"/>
  <c r="J9100" i="8"/>
  <c r="J9099" i="8"/>
  <c r="J9098" i="8"/>
  <c r="J9097" i="8"/>
  <c r="J9096" i="8"/>
  <c r="J9095" i="8"/>
  <c r="J9094" i="8"/>
  <c r="J9093" i="8"/>
  <c r="J9092" i="8"/>
  <c r="J9091" i="8"/>
  <c r="J9090" i="8"/>
  <c r="J9089" i="8"/>
  <c r="J9088" i="8"/>
  <c r="J9067" i="8"/>
  <c r="J9066" i="8"/>
  <c r="J9065" i="8"/>
  <c r="J9064" i="8"/>
  <c r="J9063" i="8"/>
  <c r="J9062" i="8"/>
  <c r="J9061" i="8"/>
  <c r="J9060" i="8"/>
  <c r="J9059" i="8"/>
  <c r="J9058" i="8"/>
  <c r="J9057" i="8"/>
  <c r="J9056" i="8"/>
  <c r="J9055" i="8"/>
  <c r="J9054" i="8"/>
  <c r="J9053" i="8"/>
  <c r="J9052" i="8"/>
  <c r="J9051" i="8"/>
  <c r="J9050" i="8"/>
  <c r="J9049" i="8"/>
  <c r="J9048" i="8"/>
  <c r="J9047" i="8"/>
  <c r="J9046" i="8"/>
  <c r="J9045" i="8"/>
  <c r="J9044" i="8"/>
  <c r="J9043" i="8"/>
  <c r="J9042" i="8"/>
  <c r="J9041" i="8"/>
  <c r="J9040" i="8"/>
  <c r="J9039" i="8"/>
  <c r="J9038" i="8"/>
  <c r="J9037" i="8"/>
  <c r="J9036" i="8"/>
  <c r="J9035" i="8"/>
  <c r="J9034" i="8"/>
  <c r="J9033" i="8"/>
  <c r="J9032" i="8"/>
  <c r="J9031" i="8"/>
  <c r="J9030" i="8"/>
  <c r="J9029" i="8"/>
  <c r="J9028" i="8"/>
  <c r="J9027" i="8"/>
  <c r="J9026" i="8"/>
  <c r="J9025" i="8"/>
  <c r="J9024" i="8"/>
  <c r="J9023" i="8"/>
  <c r="J9022" i="8"/>
  <c r="J9021" i="8"/>
  <c r="J9020" i="8"/>
  <c r="J9019" i="8"/>
  <c r="J9018" i="8"/>
  <c r="J9017" i="8"/>
  <c r="J9016" i="8"/>
  <c r="J9015" i="8"/>
  <c r="J9014" i="8"/>
  <c r="J9013" i="8"/>
  <c r="J9012" i="8"/>
  <c r="J9011" i="8"/>
  <c r="J9010" i="8"/>
  <c r="J9009" i="8"/>
  <c r="J9008" i="8"/>
  <c r="F182" i="7"/>
  <c r="F181" i="7"/>
  <c r="G181" i="7" s="1"/>
  <c r="F179" i="7"/>
  <c r="F178" i="7"/>
  <c r="G178" i="7" s="1"/>
  <c r="J8863" i="8"/>
  <c r="J8862" i="8"/>
  <c r="J8861" i="8"/>
  <c r="J8860" i="8"/>
  <c r="J8859" i="8"/>
  <c r="J8858" i="8"/>
  <c r="J8857" i="8"/>
  <c r="J8856" i="8"/>
  <c r="J8855" i="8"/>
  <c r="J8854" i="8"/>
  <c r="J8853" i="8"/>
  <c r="J8852" i="8"/>
  <c r="J8851" i="8"/>
  <c r="J8850" i="8"/>
  <c r="J8849" i="8"/>
  <c r="I8845" i="8"/>
  <c r="F161" i="7" s="1"/>
  <c r="J8844" i="8"/>
  <c r="J8843" i="8"/>
  <c r="J8842" i="8"/>
  <c r="J8841" i="8"/>
  <c r="J8840" i="8"/>
  <c r="J8839" i="8"/>
  <c r="J8838" i="8"/>
  <c r="J8837" i="8"/>
  <c r="J8836" i="8"/>
  <c r="J8835" i="8"/>
  <c r="J8834" i="8"/>
  <c r="J8833" i="8"/>
  <c r="J8832" i="8"/>
  <c r="J8831" i="8"/>
  <c r="J8830" i="8"/>
  <c r="J8809" i="8"/>
  <c r="J8808" i="8"/>
  <c r="J8807" i="8"/>
  <c r="J8806" i="8"/>
  <c r="J8805" i="8"/>
  <c r="J8804" i="8"/>
  <c r="J8803" i="8"/>
  <c r="J8802" i="8"/>
  <c r="J8801" i="8"/>
  <c r="J8800" i="8"/>
  <c r="J8799" i="8"/>
  <c r="J8798" i="8"/>
  <c r="J8797" i="8"/>
  <c r="J8796" i="8"/>
  <c r="J8795" i="8"/>
  <c r="J8794" i="8"/>
  <c r="J8793" i="8"/>
  <c r="J8792" i="8"/>
  <c r="J8791" i="8"/>
  <c r="J8790" i="8"/>
  <c r="J8789" i="8"/>
  <c r="J8788" i="8"/>
  <c r="J8787" i="8"/>
  <c r="J8786" i="8"/>
  <c r="J8785" i="8"/>
  <c r="J8784" i="8"/>
  <c r="J8783" i="8"/>
  <c r="J8782" i="8"/>
  <c r="J8781" i="8"/>
  <c r="J8780" i="8"/>
  <c r="J8779" i="8"/>
  <c r="J8778" i="8"/>
  <c r="J8777" i="8"/>
  <c r="J8776" i="8"/>
  <c r="J8775" i="8"/>
  <c r="J8774" i="8"/>
  <c r="J8773" i="8"/>
  <c r="J8772" i="8"/>
  <c r="J8771" i="8"/>
  <c r="J8770" i="8"/>
  <c r="J8769" i="8"/>
  <c r="J8768" i="8"/>
  <c r="J8767" i="8"/>
  <c r="J8766" i="8"/>
  <c r="J8765" i="8"/>
  <c r="J8764" i="8"/>
  <c r="J8763" i="8"/>
  <c r="J8762" i="8"/>
  <c r="J8761" i="8"/>
  <c r="J8760" i="8"/>
  <c r="J8759" i="8"/>
  <c r="J8758" i="8"/>
  <c r="J8757" i="8"/>
  <c r="J8756" i="8"/>
  <c r="J8755" i="8"/>
  <c r="J8754" i="8"/>
  <c r="J8753" i="8"/>
  <c r="J8752" i="8"/>
  <c r="J8751" i="8"/>
  <c r="J8750" i="8"/>
  <c r="F160" i="7"/>
  <c r="J8745" i="8"/>
  <c r="J8744" i="8"/>
  <c r="J8743" i="8"/>
  <c r="J8742" i="8"/>
  <c r="J8741" i="8"/>
  <c r="J8740" i="8"/>
  <c r="J8739" i="8"/>
  <c r="J8738" i="8"/>
  <c r="J8737" i="8"/>
  <c r="J8736" i="8"/>
  <c r="J8735" i="8"/>
  <c r="J8734" i="8"/>
  <c r="J8733" i="8"/>
  <c r="J8732" i="8"/>
  <c r="J8731" i="8"/>
  <c r="J8710" i="8"/>
  <c r="J8709" i="8"/>
  <c r="J8708" i="8"/>
  <c r="J8707" i="8"/>
  <c r="J8706" i="8"/>
  <c r="J8705" i="8"/>
  <c r="J8704" i="8"/>
  <c r="J8703" i="8"/>
  <c r="J8702" i="8"/>
  <c r="J8701" i="8"/>
  <c r="J8700" i="8"/>
  <c r="J8698" i="8"/>
  <c r="J8697" i="8"/>
  <c r="J8696" i="8"/>
  <c r="J8695" i="8"/>
  <c r="J8694" i="8"/>
  <c r="J8693" i="8"/>
  <c r="J8692" i="8"/>
  <c r="J8691" i="8"/>
  <c r="J8690" i="8"/>
  <c r="J8689" i="8"/>
  <c r="J8688" i="8"/>
  <c r="J8687" i="8"/>
  <c r="J8686" i="8"/>
  <c r="J8685" i="8"/>
  <c r="J8684" i="8"/>
  <c r="J8683" i="8"/>
  <c r="J8682" i="8"/>
  <c r="J8681" i="8"/>
  <c r="J8680" i="8"/>
  <c r="J8679" i="8"/>
  <c r="J8678" i="8"/>
  <c r="J8677" i="8"/>
  <c r="J8676" i="8"/>
  <c r="J8675" i="8"/>
  <c r="J8674" i="8"/>
  <c r="J8673" i="8"/>
  <c r="J8672" i="8"/>
  <c r="J8671" i="8"/>
  <c r="J8670" i="8"/>
  <c r="J8669" i="8"/>
  <c r="J8668" i="8"/>
  <c r="J8667" i="8"/>
  <c r="J8666" i="8"/>
  <c r="J8665" i="8"/>
  <c r="J8664" i="8"/>
  <c r="J8663" i="8"/>
  <c r="J8662" i="8"/>
  <c r="J8661" i="8"/>
  <c r="J8660" i="8"/>
  <c r="J8659" i="8"/>
  <c r="J8658" i="8"/>
  <c r="J8657" i="8"/>
  <c r="J8656" i="8"/>
  <c r="J8655" i="8"/>
  <c r="J8654" i="8"/>
  <c r="J8653" i="8"/>
  <c r="J8652" i="8"/>
  <c r="J8651" i="8"/>
  <c r="I8647" i="8"/>
  <c r="F159" i="7" s="1"/>
  <c r="J8646" i="8"/>
  <c r="J8645" i="8"/>
  <c r="J8644" i="8"/>
  <c r="J8643" i="8"/>
  <c r="J8642" i="8"/>
  <c r="J8641" i="8"/>
  <c r="J8640" i="8"/>
  <c r="J8639" i="8"/>
  <c r="J8638" i="8"/>
  <c r="J8637" i="8"/>
  <c r="J8636" i="8"/>
  <c r="J8635" i="8"/>
  <c r="J8634" i="8"/>
  <c r="J8633" i="8"/>
  <c r="J8632" i="8"/>
  <c r="J8611" i="8"/>
  <c r="J8610" i="8"/>
  <c r="J8609" i="8"/>
  <c r="J8608" i="8"/>
  <c r="J8607" i="8"/>
  <c r="J8606" i="8"/>
  <c r="J8605" i="8"/>
  <c r="J8604" i="8"/>
  <c r="J8603" i="8"/>
  <c r="J8602" i="8"/>
  <c r="J8601" i="8"/>
  <c r="J8600" i="8"/>
  <c r="J8599" i="8"/>
  <c r="J8598" i="8"/>
  <c r="J8597" i="8"/>
  <c r="J8596" i="8"/>
  <c r="J8595" i="8"/>
  <c r="J8594" i="8"/>
  <c r="J8593" i="8"/>
  <c r="J8592" i="8"/>
  <c r="J8591" i="8"/>
  <c r="J8590" i="8"/>
  <c r="J8589" i="8"/>
  <c r="J8588" i="8"/>
  <c r="J8587" i="8"/>
  <c r="J8586" i="8"/>
  <c r="J8585" i="8"/>
  <c r="J8584" i="8"/>
  <c r="J8583" i="8"/>
  <c r="J8582" i="8"/>
  <c r="J8581" i="8"/>
  <c r="J8580" i="8"/>
  <c r="J8579" i="8"/>
  <c r="J2298" i="8"/>
  <c r="J2299" i="8"/>
  <c r="J2300" i="8"/>
  <c r="J2301" i="8"/>
  <c r="J2302" i="8"/>
  <c r="J2303" i="8"/>
  <c r="J2304" i="8"/>
  <c r="J2305" i="8"/>
  <c r="J2306" i="8"/>
  <c r="J2307" i="8"/>
  <c r="J2308" i="8"/>
  <c r="J2309" i="8"/>
  <c r="J2312" i="8"/>
  <c r="J2311" i="8"/>
  <c r="J2310" i="8"/>
  <c r="I7450" i="8"/>
  <c r="J7449" i="8"/>
  <c r="J7448" i="8"/>
  <c r="J7447" i="8"/>
  <c r="J7446" i="8"/>
  <c r="J7445" i="8"/>
  <c r="J7444" i="8"/>
  <c r="J7443" i="8"/>
  <c r="J7442" i="8"/>
  <c r="J7441" i="8"/>
  <c r="J7440" i="8"/>
  <c r="J7439" i="8"/>
  <c r="J7438" i="8"/>
  <c r="J7437" i="8"/>
  <c r="J7436" i="8"/>
  <c r="J7435" i="8"/>
  <c r="H7450" i="8"/>
  <c r="J7395" i="8"/>
  <c r="J7394" i="8"/>
  <c r="J7352" i="8"/>
  <c r="J7353" i="8"/>
  <c r="J7354" i="8"/>
  <c r="J7351" i="8"/>
  <c r="J7305" i="8"/>
  <c r="J7306" i="8"/>
  <c r="J7307" i="8"/>
  <c r="J7308" i="8"/>
  <c r="J7309" i="8"/>
  <c r="J7304" i="8"/>
  <c r="J7258" i="8"/>
  <c r="J7259" i="8"/>
  <c r="J7260" i="8"/>
  <c r="J7261" i="8"/>
  <c r="J7262" i="8"/>
  <c r="J7263" i="8"/>
  <c r="J7264" i="8"/>
  <c r="J7257" i="8"/>
  <c r="I7431" i="8"/>
  <c r="F544" i="7" s="1"/>
  <c r="J7430" i="8"/>
  <c r="J7429" i="8"/>
  <c r="J7428" i="8"/>
  <c r="J7427" i="8"/>
  <c r="J7426" i="8"/>
  <c r="J7425" i="8"/>
  <c r="J7424" i="8"/>
  <c r="J7423" i="8"/>
  <c r="J7422" i="8"/>
  <c r="J7421" i="8"/>
  <c r="J7420" i="8"/>
  <c r="J7419" i="8"/>
  <c r="J7418" i="8"/>
  <c r="J7417" i="8"/>
  <c r="J7416" i="8"/>
  <c r="J7374" i="8"/>
  <c r="I7390" i="8"/>
  <c r="F543" i="7" s="1"/>
  <c r="G543" i="7" s="1"/>
  <c r="J7389" i="8"/>
  <c r="J7388" i="8"/>
  <c r="J7387" i="8"/>
  <c r="J7386" i="8"/>
  <c r="J7385" i="8"/>
  <c r="J7384" i="8"/>
  <c r="J7383" i="8"/>
  <c r="J7382" i="8"/>
  <c r="J7381" i="8"/>
  <c r="J7380" i="8"/>
  <c r="J7379" i="8"/>
  <c r="J7378" i="8"/>
  <c r="J7377" i="8"/>
  <c r="J7376" i="8"/>
  <c r="J7375" i="8"/>
  <c r="J7284" i="8"/>
  <c r="I7345" i="8"/>
  <c r="F542" i="7" s="1"/>
  <c r="G542" i="7" s="1"/>
  <c r="J7344" i="8"/>
  <c r="J7343" i="8"/>
  <c r="J7342" i="8"/>
  <c r="J7341" i="8"/>
  <c r="J7340" i="8"/>
  <c r="J7339" i="8"/>
  <c r="J7338" i="8"/>
  <c r="J7337" i="8"/>
  <c r="J7336" i="8"/>
  <c r="J7335" i="8"/>
  <c r="J7334" i="8"/>
  <c r="J7333" i="8"/>
  <c r="J7332" i="8"/>
  <c r="J7331" i="8"/>
  <c r="J7330" i="8"/>
  <c r="I7300" i="8"/>
  <c r="F540" i="7" s="1"/>
  <c r="G540" i="7" s="1"/>
  <c r="J7299" i="8"/>
  <c r="J7298" i="8"/>
  <c r="J7297" i="8"/>
  <c r="J7296" i="8"/>
  <c r="J7295" i="8"/>
  <c r="J7294" i="8"/>
  <c r="J7293" i="8"/>
  <c r="J7292" i="8"/>
  <c r="J7291" i="8"/>
  <c r="J7290" i="8"/>
  <c r="J7289" i="8"/>
  <c r="J7288" i="8"/>
  <c r="J7287" i="8"/>
  <c r="J7286" i="8"/>
  <c r="J7285" i="8"/>
  <c r="I7253" i="8"/>
  <c r="J7252" i="8"/>
  <c r="J7251" i="8"/>
  <c r="J7250" i="8"/>
  <c r="J7249" i="8"/>
  <c r="J7248" i="8"/>
  <c r="J7247" i="8"/>
  <c r="J7246" i="8"/>
  <c r="F536" i="7"/>
  <c r="J868" i="8"/>
  <c r="J867" i="8"/>
  <c r="J866" i="8"/>
  <c r="J865" i="8"/>
  <c r="J864" i="8"/>
  <c r="J863" i="8"/>
  <c r="J862" i="8"/>
  <c r="J861" i="8"/>
  <c r="J860" i="8"/>
  <c r="I1012" i="8"/>
  <c r="J1011" i="8"/>
  <c r="J1010" i="8"/>
  <c r="J1009" i="8"/>
  <c r="J1008" i="8"/>
  <c r="J1007" i="8"/>
  <c r="J1006" i="8"/>
  <c r="J1005" i="8"/>
  <c r="J1004" i="8"/>
  <c r="J1003" i="8"/>
  <c r="J1002" i="8"/>
  <c r="J1001" i="8"/>
  <c r="J1000" i="8"/>
  <c r="J999" i="8"/>
  <c r="J998" i="8"/>
  <c r="J997" i="8"/>
  <c r="I993" i="8"/>
  <c r="J992" i="8"/>
  <c r="J991" i="8"/>
  <c r="J990" i="8"/>
  <c r="J989" i="8"/>
  <c r="J988" i="8"/>
  <c r="J987" i="8"/>
  <c r="J986" i="8"/>
  <c r="J985" i="8"/>
  <c r="J984" i="8"/>
  <c r="J983" i="8"/>
  <c r="J982" i="8"/>
  <c r="J981" i="8"/>
  <c r="J980" i="8"/>
  <c r="J979" i="8"/>
  <c r="J978" i="8"/>
  <c r="I974" i="8"/>
  <c r="J973" i="8"/>
  <c r="J972" i="8"/>
  <c r="J971" i="8"/>
  <c r="J970" i="8"/>
  <c r="J969" i="8"/>
  <c r="J968" i="8"/>
  <c r="J967" i="8"/>
  <c r="J966" i="8"/>
  <c r="J965" i="8"/>
  <c r="J964" i="8"/>
  <c r="J963" i="8"/>
  <c r="J962" i="8"/>
  <c r="J961" i="8"/>
  <c r="J960" i="8"/>
  <c r="J95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I851" i="8"/>
  <c r="J850" i="8"/>
  <c r="J849" i="8"/>
  <c r="J848" i="8"/>
  <c r="J847" i="8"/>
  <c r="J846" i="8"/>
  <c r="J845" i="8"/>
  <c r="J844" i="8"/>
  <c r="J843" i="8"/>
  <c r="J842" i="8"/>
  <c r="J841" i="8"/>
  <c r="J840" i="8"/>
  <c r="J839" i="8"/>
  <c r="J838" i="8"/>
  <c r="J837" i="8"/>
  <c r="J836" i="8"/>
  <c r="I832" i="8"/>
  <c r="J831" i="8"/>
  <c r="J830" i="8"/>
  <c r="J829" i="8"/>
  <c r="J828" i="8"/>
  <c r="J827" i="8"/>
  <c r="J826" i="8"/>
  <c r="J825" i="8"/>
  <c r="J824" i="8"/>
  <c r="J823" i="8"/>
  <c r="J822" i="8"/>
  <c r="J821" i="8"/>
  <c r="J820" i="8"/>
  <c r="J819" i="8"/>
  <c r="J818" i="8"/>
  <c r="J817" i="8"/>
  <c r="I813" i="8"/>
  <c r="J812" i="8"/>
  <c r="J811" i="8"/>
  <c r="J810" i="8"/>
  <c r="J809" i="8"/>
  <c r="J808" i="8"/>
  <c r="J807" i="8"/>
  <c r="J806" i="8"/>
  <c r="J805" i="8"/>
  <c r="J804" i="8"/>
  <c r="J803" i="8"/>
  <c r="J802" i="8"/>
  <c r="J801" i="8"/>
  <c r="J800" i="8"/>
  <c r="J799" i="8"/>
  <c r="J798"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2" i="8"/>
  <c r="J581" i="8"/>
  <c r="J580" i="8"/>
  <c r="J579" i="8"/>
  <c r="J578" i="8"/>
  <c r="J577" i="8"/>
  <c r="J576" i="8"/>
  <c r="J575" i="8"/>
  <c r="H205" i="8"/>
  <c r="D549" i="7" s="1"/>
  <c r="G549" i="7" s="1"/>
  <c r="J285" i="8"/>
  <c r="J284" i="8"/>
  <c r="J283" i="8"/>
  <c r="J282" i="8"/>
  <c r="J281" i="8"/>
  <c r="J280" i="8"/>
  <c r="J279" i="8"/>
  <c r="J278" i="8"/>
  <c r="J277" i="8"/>
  <c r="J276" i="8"/>
  <c r="J275" i="8"/>
  <c r="J274" i="8"/>
  <c r="J273" i="8"/>
  <c r="J272" i="8"/>
  <c r="J271"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186" i="8"/>
  <c r="J185" i="8"/>
  <c r="J184" i="8"/>
  <c r="J183" i="8"/>
  <c r="J182" i="8"/>
  <c r="J181" i="8"/>
  <c r="J180" i="8"/>
  <c r="J179" i="8"/>
  <c r="J178" i="8"/>
  <c r="J177" i="8"/>
  <c r="J176" i="8"/>
  <c r="J175" i="8"/>
  <c r="J174" i="8"/>
  <c r="J173" i="8"/>
  <c r="J172"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91" i="8"/>
  <c r="J92" i="8"/>
  <c r="J93" i="8"/>
  <c r="J94" i="8"/>
  <c r="J95" i="8"/>
  <c r="J96" i="8"/>
  <c r="J97" i="8"/>
  <c r="J98" i="8"/>
  <c r="J99" i="8"/>
  <c r="J100" i="8"/>
  <c r="J101" i="8"/>
  <c r="J102" i="8"/>
  <c r="J103" i="8"/>
  <c r="J104" i="8"/>
  <c r="J105" i="8"/>
  <c r="J11" i="8"/>
  <c r="J12" i="8"/>
  <c r="J13" i="8"/>
  <c r="J14" i="8"/>
  <c r="J15" i="8"/>
  <c r="J16" i="8"/>
  <c r="J17" i="8"/>
  <c r="J18" i="8"/>
  <c r="J19" i="8"/>
  <c r="J20"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10" i="8"/>
  <c r="G97" i="3"/>
  <c r="I19" i="16" s="1"/>
  <c r="G94" i="3"/>
  <c r="I18" i="16" s="1"/>
  <c r="G91" i="3"/>
  <c r="G88" i="3"/>
  <c r="G87" i="3" s="1"/>
  <c r="G85" i="3"/>
  <c r="G83" i="3"/>
  <c r="G79" i="3"/>
  <c r="G76" i="3"/>
  <c r="G72" i="3"/>
  <c r="G63" i="3"/>
  <c r="G51" i="3"/>
  <c r="G46" i="3"/>
  <c r="G44" i="3"/>
  <c r="G41" i="3"/>
  <c r="G32" i="3"/>
  <c r="G22" i="3"/>
  <c r="F97" i="3"/>
  <c r="F94" i="3"/>
  <c r="F91" i="3"/>
  <c r="F88" i="3"/>
  <c r="F87" i="3" s="1"/>
  <c r="F85" i="3"/>
  <c r="F83" i="3"/>
  <c r="F79" i="3"/>
  <c r="F76" i="3"/>
  <c r="F72" i="3"/>
  <c r="F63" i="3"/>
  <c r="F51" i="3"/>
  <c r="F46" i="3"/>
  <c r="F44" i="3"/>
  <c r="F41" i="3"/>
  <c r="F32" i="3"/>
  <c r="F22" i="3"/>
  <c r="F9" i="3"/>
  <c r="J7516" i="8"/>
  <c r="J7532" i="8" s="1"/>
  <c r="F198" i="7"/>
  <c r="F197" i="7" s="1"/>
  <c r="H8845" i="8"/>
  <c r="D161" i="7" s="1"/>
  <c r="D388" i="7"/>
  <c r="H7431" i="8"/>
  <c r="D544" i="7" s="1"/>
  <c r="J8829" i="8"/>
  <c r="H9122" i="8"/>
  <c r="J9087" i="8"/>
  <c r="J8631" i="8"/>
  <c r="J7329" i="8"/>
  <c r="J7415" i="8"/>
  <c r="J7434" i="8"/>
  <c r="J90" i="8"/>
  <c r="H1012" i="8"/>
  <c r="J996" i="8"/>
  <c r="J270" i="8"/>
  <c r="J171" i="8"/>
  <c r="J7266" i="8"/>
  <c r="J7282" i="8" s="1"/>
  <c r="J9106" i="8"/>
  <c r="J797" i="8"/>
  <c r="J958" i="8"/>
  <c r="J816" i="8"/>
  <c r="C114" i="6"/>
  <c r="F114" i="6" s="1"/>
  <c r="H993" i="8"/>
  <c r="J835" i="8"/>
  <c r="G101" i="7"/>
  <c r="G102" i="7"/>
  <c r="G103" i="7"/>
  <c r="G104" i="7"/>
  <c r="G105" i="7"/>
  <c r="G106" i="7"/>
  <c r="G133" i="7"/>
  <c r="G180" i="7"/>
  <c r="G183" i="7"/>
  <c r="G184" i="7"/>
  <c r="G199" i="7"/>
  <c r="G202" i="7"/>
  <c r="G253" i="7"/>
  <c r="G254" i="7"/>
  <c r="G284" i="7"/>
  <c r="G285" i="7"/>
  <c r="G316" i="7"/>
  <c r="G317" i="7"/>
  <c r="G429" i="7"/>
  <c r="G480" i="7"/>
  <c r="G481" i="7"/>
  <c r="G485" i="7"/>
  <c r="G486" i="7"/>
  <c r="G538" i="7"/>
  <c r="G539" i="7"/>
  <c r="G546" i="7"/>
  <c r="G38" i="7"/>
  <c r="G39" i="7"/>
  <c r="G40" i="7"/>
  <c r="G41" i="7"/>
  <c r="G42" i="7"/>
  <c r="G43" i="7"/>
  <c r="G44" i="7"/>
  <c r="G45" i="7"/>
  <c r="G46" i="7"/>
  <c r="G47" i="7"/>
  <c r="G48" i="7"/>
  <c r="G49" i="7"/>
  <c r="G50" i="7"/>
  <c r="G52" i="7"/>
  <c r="G53" i="7"/>
  <c r="G54" i="7"/>
  <c r="G37" i="7"/>
  <c r="G8" i="7"/>
  <c r="G9" i="7"/>
  <c r="G7" i="7"/>
  <c r="J7311" i="8"/>
  <c r="J7327" i="8" s="1"/>
  <c r="C14" i="6"/>
  <c r="H7495" i="8"/>
  <c r="C29" i="6" s="1"/>
  <c r="F29" i="6" s="1"/>
  <c r="J7479" i="8"/>
  <c r="J7495" i="8" s="1"/>
  <c r="J7356" i="8"/>
  <c r="J7372" i="8" s="1"/>
  <c r="J977" i="8"/>
  <c r="E86" i="5"/>
  <c r="F79" i="5"/>
  <c r="F78" i="5"/>
  <c r="F76" i="5"/>
  <c r="E75" i="5"/>
  <c r="F75" i="5" s="1"/>
  <c r="F66" i="5"/>
  <c r="E64" i="5"/>
  <c r="F55" i="5"/>
  <c r="F53" i="5"/>
  <c r="F51" i="5"/>
  <c r="E49" i="5"/>
  <c r="F49" i="5" s="1"/>
  <c r="E47" i="5"/>
  <c r="F48" i="5"/>
  <c r="F45" i="5"/>
  <c r="F43" i="5"/>
  <c r="E40" i="5"/>
  <c r="F41" i="5"/>
  <c r="F38" i="5"/>
  <c r="F35" i="5"/>
  <c r="F32" i="5"/>
  <c r="F30" i="5"/>
  <c r="F27" i="5"/>
  <c r="F25" i="5"/>
  <c r="F22" i="5"/>
  <c r="F20" i="5"/>
  <c r="F18" i="5"/>
  <c r="F15" i="5"/>
  <c r="F13" i="5"/>
  <c r="F11" i="5"/>
  <c r="F10" i="5"/>
  <c r="F9" i="5"/>
  <c r="D97" i="3"/>
  <c r="D94" i="3"/>
  <c r="D83" i="3"/>
  <c r="D91" i="3"/>
  <c r="D88" i="3"/>
  <c r="D85" i="3"/>
  <c r="D79" i="3"/>
  <c r="D76" i="3"/>
  <c r="D63" i="3"/>
  <c r="D51" i="3"/>
  <c r="D46" i="3"/>
  <c r="D44" i="3"/>
  <c r="D41" i="3"/>
  <c r="D32" i="3"/>
  <c r="D22" i="3"/>
  <c r="D9" i="3"/>
  <c r="J7397" i="8"/>
  <c r="J7413" i="8" s="1"/>
  <c r="C35" i="6"/>
  <c r="J1061" i="8"/>
  <c r="J1077" i="8" s="1"/>
  <c r="J1043" i="8"/>
  <c r="J1059" i="8" s="1"/>
  <c r="F82" i="5"/>
  <c r="F80" i="5"/>
  <c r="F68" i="5"/>
  <c r="F71" i="5"/>
  <c r="F73" i="5"/>
  <c r="E34" i="5"/>
  <c r="F34" i="5" s="1"/>
  <c r="E70" i="5"/>
  <c r="F70" i="5" s="1"/>
  <c r="F77" i="5"/>
  <c r="F12" i="5"/>
  <c r="F14" i="5"/>
  <c r="F17" i="5"/>
  <c r="F19" i="5"/>
  <c r="F21" i="5"/>
  <c r="F24" i="5"/>
  <c r="F26" i="5"/>
  <c r="F28" i="5"/>
  <c r="F31" i="5"/>
  <c r="F33" i="5"/>
  <c r="F36" i="5"/>
  <c r="F39" i="5"/>
  <c r="F42" i="5"/>
  <c r="F44" i="5"/>
  <c r="F46" i="5"/>
  <c r="F50" i="5"/>
  <c r="F52" i="5"/>
  <c r="F54" i="5"/>
  <c r="F65" i="5"/>
  <c r="F67" i="5"/>
  <c r="F69" i="5"/>
  <c r="F72" i="5"/>
  <c r="C47" i="5"/>
  <c r="C88" i="5" s="1"/>
  <c r="H7413" i="8"/>
  <c r="C18" i="6" s="1"/>
  <c r="C88" i="6"/>
  <c r="C86" i="6" s="1"/>
  <c r="J1890" i="8"/>
  <c r="J1906" i="8" s="1"/>
  <c r="J2297" i="8"/>
  <c r="F16" i="5"/>
  <c r="F29" i="5"/>
  <c r="F7" i="5"/>
  <c r="F81" i="5"/>
  <c r="F56" i="5"/>
  <c r="F23" i="5"/>
  <c r="J1872" i="8"/>
  <c r="J1888" i="8" s="1"/>
  <c r="F94" i="6"/>
  <c r="E88" i="5" l="1"/>
  <c r="F387" i="7"/>
  <c r="F16" i="6"/>
  <c r="E15" i="6"/>
  <c r="E111" i="6"/>
  <c r="E86" i="6"/>
  <c r="F86" i="6" s="1"/>
  <c r="G132" i="7"/>
  <c r="J2313" i="8"/>
  <c r="F93" i="3"/>
  <c r="D179" i="7"/>
  <c r="D177" i="7" s="1"/>
  <c r="G182" i="7"/>
  <c r="F353" i="7"/>
  <c r="F85" i="6"/>
  <c r="C79" i="6"/>
  <c r="F79" i="6" s="1"/>
  <c r="F68" i="6"/>
  <c r="G8" i="3"/>
  <c r="F64" i="5"/>
  <c r="J13" i="16"/>
  <c r="D353" i="7"/>
  <c r="D255" i="7"/>
  <c r="C120" i="6"/>
  <c r="D482" i="7"/>
  <c r="G545" i="7"/>
  <c r="F86" i="5"/>
  <c r="I15" i="16" s="1"/>
  <c r="D50" i="3"/>
  <c r="F43" i="3"/>
  <c r="F8" i="3"/>
  <c r="I23" i="16"/>
  <c r="G537" i="7"/>
  <c r="G50" i="3"/>
  <c r="G43" i="3"/>
  <c r="J7450" i="8"/>
  <c r="F50" i="3"/>
  <c r="D8" i="3"/>
  <c r="D43" i="3"/>
  <c r="D87" i="3"/>
  <c r="G93" i="3"/>
  <c r="F541" i="7"/>
  <c r="G541" i="7" s="1"/>
  <c r="F84" i="6"/>
  <c r="F158" i="7"/>
  <c r="F28" i="6"/>
  <c r="J187" i="8"/>
  <c r="J205" i="8" s="1"/>
  <c r="J106" i="8"/>
  <c r="J7390" i="8"/>
  <c r="D93" i="3"/>
  <c r="H7532" i="8"/>
  <c r="F131" i="7"/>
  <c r="G131" i="7" s="1"/>
  <c r="G134" i="7"/>
  <c r="J8845" i="8"/>
  <c r="J8647" i="8"/>
  <c r="J9103" i="8"/>
  <c r="J7300" i="8"/>
  <c r="J7535" i="8"/>
  <c r="J7551" i="8" s="1"/>
  <c r="H7551" i="8"/>
  <c r="J286" i="8"/>
  <c r="J304" i="8" s="1"/>
  <c r="J851" i="8"/>
  <c r="J974" i="8"/>
  <c r="J1012" i="8"/>
  <c r="J7253" i="8"/>
  <c r="J7431" i="8"/>
  <c r="J14965" i="8"/>
  <c r="J14981" i="8" s="1"/>
  <c r="J993" i="8"/>
  <c r="C15" i="6"/>
  <c r="J832" i="8"/>
  <c r="J813" i="8"/>
  <c r="J9122" i="8"/>
  <c r="J7345" i="8"/>
  <c r="J7513" i="8"/>
  <c r="H7453" i="8"/>
  <c r="G536" i="7"/>
  <c r="G544" i="7"/>
  <c r="F18" i="6"/>
  <c r="G198" i="7"/>
  <c r="G161" i="7"/>
  <c r="F177" i="7"/>
  <c r="C5" i="6"/>
  <c r="F14" i="6"/>
  <c r="C32" i="6"/>
  <c r="F35" i="6"/>
  <c r="F47" i="5"/>
  <c r="C6" i="5"/>
  <c r="E6" i="5"/>
  <c r="F40" i="5"/>
  <c r="E63" i="5"/>
  <c r="F63" i="5" s="1"/>
  <c r="G159" i="7"/>
  <c r="F88" i="6"/>
  <c r="G388" i="7"/>
  <c r="D387" i="7"/>
  <c r="G197" i="7"/>
  <c r="C93" i="6"/>
  <c r="I13" i="16" l="1"/>
  <c r="D85" i="5"/>
  <c r="D84" i="5"/>
  <c r="F15" i="6"/>
  <c r="G179" i="7"/>
  <c r="G177" i="7"/>
  <c r="F7" i="3"/>
  <c r="G353" i="7"/>
  <c r="E9" i="6"/>
  <c r="F9" i="6" s="1"/>
  <c r="F5" i="6" s="1"/>
  <c r="D348" i="7"/>
  <c r="D535" i="7"/>
  <c r="G7" i="3"/>
  <c r="E44" i="6"/>
  <c r="E39" i="6" s="1"/>
  <c r="C118" i="6"/>
  <c r="F118" i="6" s="1"/>
  <c r="F120" i="6"/>
  <c r="G255" i="7"/>
  <c r="D252" i="7"/>
  <c r="H6299" i="8"/>
  <c r="J6283" i="8"/>
  <c r="J6299" i="8" s="1"/>
  <c r="D479" i="7"/>
  <c r="G482" i="7"/>
  <c r="D7" i="3"/>
  <c r="D99" i="3" s="1"/>
  <c r="F535" i="7"/>
  <c r="F6" i="5"/>
  <c r="H7469" i="8"/>
  <c r="J7453" i="8"/>
  <c r="J7469" i="8" s="1"/>
  <c r="G387" i="7"/>
  <c r="F93" i="6"/>
  <c r="F32" i="6"/>
  <c r="D61" i="5"/>
  <c r="D57" i="5"/>
  <c r="D74" i="5"/>
  <c r="D16" i="5"/>
  <c r="D32" i="5"/>
  <c r="D48" i="5"/>
  <c r="D69" i="5"/>
  <c r="D87" i="5"/>
  <c r="D21" i="5"/>
  <c r="D37" i="5"/>
  <c r="D53" i="5"/>
  <c r="D79" i="5"/>
  <c r="D14" i="5"/>
  <c r="D30" i="5"/>
  <c r="D46" i="5"/>
  <c r="D71" i="5"/>
  <c r="D7" i="5"/>
  <c r="D23" i="5"/>
  <c r="D39" i="5"/>
  <c r="D55" i="5"/>
  <c r="D77" i="5"/>
  <c r="F88" i="5"/>
  <c r="D60" i="5"/>
  <c r="D12" i="5"/>
  <c r="D36" i="5"/>
  <c r="D56" i="5"/>
  <c r="D82" i="5"/>
  <c r="D25" i="5"/>
  <c r="D45" i="5"/>
  <c r="D75" i="5"/>
  <c r="D18" i="5"/>
  <c r="D38" i="5"/>
  <c r="D67" i="5"/>
  <c r="D11" i="5"/>
  <c r="D31" i="5"/>
  <c r="D51" i="5"/>
  <c r="D81" i="5"/>
  <c r="D59" i="5"/>
  <c r="D20" i="5"/>
  <c r="D40" i="5"/>
  <c r="D65" i="5"/>
  <c r="D9" i="5"/>
  <c r="D29" i="5"/>
  <c r="D49" i="5"/>
  <c r="D83" i="5"/>
  <c r="D22" i="5"/>
  <c r="D42" i="5"/>
  <c r="D76" i="5"/>
  <c r="D15" i="5"/>
  <c r="D35" i="5"/>
  <c r="D64" i="5"/>
  <c r="D86" i="5"/>
  <c r="D58" i="5"/>
  <c r="D63" i="5"/>
  <c r="D24" i="5"/>
  <c r="D44" i="5"/>
  <c r="D73" i="5"/>
  <c r="D13" i="5"/>
  <c r="D33" i="5"/>
  <c r="D66" i="5"/>
  <c r="D88" i="5"/>
  <c r="D26" i="5"/>
  <c r="D50" i="5"/>
  <c r="D80" i="5"/>
  <c r="D19" i="5"/>
  <c r="D43" i="5"/>
  <c r="D68" i="5"/>
  <c r="D62" i="5"/>
  <c r="D78" i="5"/>
  <c r="D10" i="5"/>
  <c r="D27" i="5"/>
  <c r="D8" i="5"/>
  <c r="D17" i="5"/>
  <c r="D47" i="5"/>
  <c r="D28" i="5"/>
  <c r="D41" i="5"/>
  <c r="D54" i="5"/>
  <c r="D70" i="5"/>
  <c r="D34" i="5"/>
  <c r="D72" i="5"/>
  <c r="D52" i="5"/>
  <c r="D6" i="5"/>
  <c r="F99" i="3" l="1"/>
  <c r="G99" i="3" s="1"/>
  <c r="F101" i="3"/>
  <c r="I12" i="16"/>
  <c r="I14" i="16" s="1"/>
  <c r="I16" i="16" s="1"/>
  <c r="D101" i="3"/>
  <c r="E99" i="3" s="1"/>
  <c r="J12" i="16"/>
  <c r="H6301" i="8"/>
  <c r="H6599" i="8" s="1"/>
  <c r="C113" i="6"/>
  <c r="F113" i="6" s="1"/>
  <c r="H6615" i="8"/>
  <c r="J6599" i="8"/>
  <c r="J6615" i="8" s="1"/>
  <c r="F350" i="7"/>
  <c r="G350" i="7" s="1"/>
  <c r="F351" i="7"/>
  <c r="G351" i="7" s="1"/>
  <c r="E5" i="6"/>
  <c r="E140" i="6" s="1"/>
  <c r="G252" i="7"/>
  <c r="H6302" i="8"/>
  <c r="J6302" i="8" s="1"/>
  <c r="J6301" i="8"/>
  <c r="G479" i="7"/>
  <c r="C117" i="6"/>
  <c r="G535" i="7"/>
  <c r="H14807" i="8" l="1"/>
  <c r="H14985" i="8" s="1"/>
  <c r="D422" i="7"/>
  <c r="G422" i="7" s="1"/>
  <c r="E21" i="3"/>
  <c r="E7" i="3"/>
  <c r="E75" i="3"/>
  <c r="E34" i="3"/>
  <c r="E24" i="3"/>
  <c r="E87" i="3"/>
  <c r="E80" i="3"/>
  <c r="E86" i="3"/>
  <c r="E88" i="3"/>
  <c r="E16" i="3"/>
  <c r="E78" i="3"/>
  <c r="E45" i="3"/>
  <c r="E42" i="3"/>
  <c r="E31" i="3"/>
  <c r="E9" i="3"/>
  <c r="E82" i="3"/>
  <c r="E11" i="3"/>
  <c r="E49" i="3"/>
  <c r="E89" i="3"/>
  <c r="E14" i="3"/>
  <c r="E90" i="3"/>
  <c r="E35" i="3"/>
  <c r="E57" i="3"/>
  <c r="E20" i="3"/>
  <c r="E38" i="3"/>
  <c r="E72" i="3"/>
  <c r="E43" i="3"/>
  <c r="E8" i="3"/>
  <c r="E48" i="3"/>
  <c r="E59" i="3"/>
  <c r="E66" i="3"/>
  <c r="E83" i="3"/>
  <c r="E17" i="3"/>
  <c r="E28" i="3"/>
  <c r="E39" i="3"/>
  <c r="E46" i="3"/>
  <c r="E79" i="3"/>
  <c r="E13" i="3"/>
  <c r="E56" i="3"/>
  <c r="E67" i="3"/>
  <c r="E96" i="3"/>
  <c r="E10" i="3"/>
  <c r="E25" i="3"/>
  <c r="E52" i="3"/>
  <c r="E63" i="3"/>
  <c r="E71" i="3"/>
  <c r="E53" i="3"/>
  <c r="E76" i="3"/>
  <c r="E97" i="3"/>
  <c r="E22" i="3"/>
  <c r="E44" i="3"/>
  <c r="E91" i="3"/>
  <c r="E98" i="3"/>
  <c r="E64" i="3"/>
  <c r="E32" i="3"/>
  <c r="E77" i="3"/>
  <c r="E27" i="3"/>
  <c r="E84" i="3"/>
  <c r="E50" i="3"/>
  <c r="E18" i="3"/>
  <c r="E65" i="3"/>
  <c r="E33" i="3"/>
  <c r="E94" i="3"/>
  <c r="E60" i="3"/>
  <c r="E12" i="3"/>
  <c r="E55" i="3"/>
  <c r="E23" i="3"/>
  <c r="E62" i="3"/>
  <c r="E30" i="3"/>
  <c r="E95" i="3"/>
  <c r="E61" i="3"/>
  <c r="E29" i="3"/>
  <c r="E6" i="3"/>
  <c r="E73" i="3"/>
  <c r="E40" i="3"/>
  <c r="E85" i="3"/>
  <c r="E51" i="3"/>
  <c r="E19" i="3"/>
  <c r="E58" i="3"/>
  <c r="E26" i="3"/>
  <c r="E74" i="3"/>
  <c r="E41" i="3"/>
  <c r="E92" i="3"/>
  <c r="E68" i="3"/>
  <c r="E36" i="3"/>
  <c r="E81" i="3"/>
  <c r="E47" i="3"/>
  <c r="E15" i="3"/>
  <c r="E54" i="3"/>
  <c r="E101" i="3"/>
  <c r="E37" i="3"/>
  <c r="F348" i="7"/>
  <c r="D423" i="7"/>
  <c r="G423" i="7" s="1"/>
  <c r="E93" i="3"/>
  <c r="F117" i="6"/>
  <c r="C111" i="6"/>
  <c r="G348" i="7" l="1"/>
  <c r="F615" i="7"/>
  <c r="J6220" i="8"/>
  <c r="J6236" i="8" s="1"/>
  <c r="D421" i="7"/>
  <c r="F111" i="6"/>
  <c r="G421" i="7" l="1"/>
  <c r="J14807" i="8"/>
  <c r="J14823" i="8" s="1"/>
  <c r="H14823" i="8"/>
  <c r="H15001" i="8" l="1"/>
  <c r="J14985" i="8"/>
  <c r="J15001" i="8" s="1"/>
  <c r="C44" i="6"/>
  <c r="F44" i="6" l="1"/>
  <c r="C39" i="6"/>
  <c r="C140" i="6" l="1"/>
  <c r="F39" i="6"/>
  <c r="D25" i="6" l="1"/>
  <c r="D90" i="6"/>
  <c r="D108" i="6"/>
  <c r="D70" i="6"/>
  <c r="D84" i="6"/>
  <c r="D118" i="6"/>
  <c r="D86" i="6"/>
  <c r="D28" i="6"/>
  <c r="D101" i="6"/>
  <c r="D10" i="6"/>
  <c r="D88" i="6"/>
  <c r="D68" i="6"/>
  <c r="D80" i="6"/>
  <c r="D128" i="6"/>
  <c r="D15" i="6"/>
  <c r="D67" i="6"/>
  <c r="D43" i="6"/>
  <c r="D110" i="6"/>
  <c r="D69" i="6"/>
  <c r="D55" i="6"/>
  <c r="D42" i="6"/>
  <c r="D87" i="6"/>
  <c r="D36" i="6"/>
  <c r="D99" i="6"/>
  <c r="D22" i="6"/>
  <c r="D57" i="6"/>
  <c r="D21" i="6"/>
  <c r="D134" i="6"/>
  <c r="D120" i="6"/>
  <c r="D53" i="6"/>
  <c r="D113" i="6"/>
  <c r="D137" i="6"/>
  <c r="D13" i="6"/>
  <c r="D17" i="6"/>
  <c r="D103" i="6"/>
  <c r="D30" i="6"/>
  <c r="D95" i="6"/>
  <c r="D116" i="6"/>
  <c r="D38" i="6"/>
  <c r="D85" i="6"/>
  <c r="D82" i="6"/>
  <c r="D41" i="6"/>
  <c r="D37" i="6"/>
  <c r="D79" i="6"/>
  <c r="D73" i="6"/>
  <c r="D119" i="6"/>
  <c r="D62" i="6"/>
  <c r="D92" i="6"/>
  <c r="D91" i="6"/>
  <c r="D40" i="6"/>
  <c r="D122" i="6"/>
  <c r="D11" i="6"/>
  <c r="D94" i="6"/>
  <c r="D14" i="6"/>
  <c r="D114" i="6"/>
  <c r="D81" i="6"/>
  <c r="D111" i="6"/>
  <c r="D45" i="6"/>
  <c r="D6" i="6"/>
  <c r="D51" i="6"/>
  <c r="D125" i="6"/>
  <c r="D63" i="6"/>
  <c r="D8" i="6"/>
  <c r="D105" i="6"/>
  <c r="D126" i="6"/>
  <c r="D12" i="6"/>
  <c r="D33" i="6"/>
  <c r="D54" i="6"/>
  <c r="D49" i="6"/>
  <c r="D16" i="6"/>
  <c r="D136" i="6"/>
  <c r="D127" i="6"/>
  <c r="D9" i="6"/>
  <c r="D107" i="6"/>
  <c r="D89" i="6"/>
  <c r="D61" i="6"/>
  <c r="D29" i="6"/>
  <c r="D27" i="6"/>
  <c r="D75" i="6"/>
  <c r="D35" i="6"/>
  <c r="D130" i="6"/>
  <c r="D129" i="6"/>
  <c r="D97" i="6"/>
  <c r="D140" i="6"/>
  <c r="F140" i="6"/>
  <c r="D76" i="6"/>
  <c r="D5" i="6"/>
  <c r="D139" i="6"/>
  <c r="D50" i="6"/>
  <c r="D77" i="6"/>
  <c r="D123" i="6"/>
  <c r="D32" i="6"/>
  <c r="D64" i="6"/>
  <c r="D47" i="6"/>
  <c r="D121" i="6"/>
  <c r="D124" i="6"/>
  <c r="C141" i="6"/>
  <c r="D132" i="6"/>
  <c r="D78" i="6"/>
  <c r="D72" i="6"/>
  <c r="D131" i="6"/>
  <c r="D135" i="6"/>
  <c r="D60" i="6"/>
  <c r="D31" i="6"/>
  <c r="D83" i="6"/>
  <c r="D100" i="6"/>
  <c r="D58" i="6"/>
  <c r="D115" i="6"/>
  <c r="D56" i="6"/>
  <c r="D71" i="6"/>
  <c r="D66" i="6"/>
  <c r="D93" i="6"/>
  <c r="D117" i="6"/>
  <c r="D98" i="6"/>
  <c r="D48" i="6"/>
  <c r="D20" i="6"/>
  <c r="D96" i="6"/>
  <c r="D109" i="6"/>
  <c r="D133" i="6"/>
  <c r="D46" i="6"/>
  <c r="D106" i="6"/>
  <c r="D26" i="6"/>
  <c r="D7" i="6"/>
  <c r="D19" i="6"/>
  <c r="D24" i="6"/>
  <c r="D52" i="6"/>
  <c r="D112" i="6"/>
  <c r="D65" i="6"/>
  <c r="D18" i="6"/>
  <c r="D59" i="6"/>
  <c r="D74" i="6"/>
  <c r="D34" i="6"/>
  <c r="D138" i="6"/>
  <c r="D102" i="6"/>
  <c r="D23" i="6"/>
  <c r="D104" i="6"/>
  <c r="D44" i="6"/>
  <c r="D39" i="6"/>
  <c r="D160" i="7"/>
  <c r="G160" i="7" s="1"/>
  <c r="D158" i="7" l="1"/>
  <c r="D615" i="7" s="1"/>
  <c r="G158" i="7" l="1"/>
  <c r="E35" i="7" l="1"/>
  <c r="E34" i="7"/>
  <c r="E498" i="7"/>
  <c r="E323" i="7"/>
  <c r="E365" i="7"/>
  <c r="E174" i="7"/>
  <c r="E387" i="7"/>
  <c r="E535" i="7"/>
  <c r="E527" i="7"/>
  <c r="E551" i="7"/>
  <c r="E595" i="7"/>
  <c r="E72" i="7"/>
  <c r="E150" i="7"/>
  <c r="E370" i="7"/>
  <c r="E188" i="7"/>
  <c r="E501" i="7"/>
  <c r="E485" i="7"/>
  <c r="E59" i="7"/>
  <c r="E364" i="7"/>
  <c r="E15" i="7"/>
  <c r="E561" i="7"/>
  <c r="E231" i="7"/>
  <c r="E459" i="7"/>
  <c r="E499" i="7"/>
  <c r="E32" i="7"/>
  <c r="E453" i="7"/>
  <c r="E467" i="7"/>
  <c r="E585" i="7"/>
  <c r="E571" i="7"/>
  <c r="E40" i="7"/>
  <c r="E223" i="7"/>
  <c r="E345" i="7"/>
  <c r="E497" i="7"/>
  <c r="E50" i="7"/>
  <c r="E402" i="7"/>
  <c r="E299" i="7"/>
  <c r="E360" i="7"/>
  <c r="E27" i="7"/>
  <c r="E385" i="7"/>
  <c r="E22" i="7"/>
  <c r="E411" i="7"/>
  <c r="E271" i="7"/>
  <c r="E241" i="7"/>
  <c r="E359" i="7"/>
  <c r="E522" i="7"/>
  <c r="E434" i="7"/>
  <c r="E51" i="7"/>
  <c r="E432" i="7"/>
  <c r="E388" i="7"/>
  <c r="E397" i="7"/>
  <c r="E279" i="7"/>
  <c r="E407" i="7"/>
  <c r="E238" i="7"/>
  <c r="E19" i="7"/>
  <c r="E611" i="7"/>
  <c r="E438" i="7"/>
  <c r="E189" i="7"/>
  <c r="E374" i="7"/>
  <c r="E211" i="7"/>
  <c r="E135" i="7"/>
  <c r="E346" i="7"/>
  <c r="E234" i="7"/>
  <c r="E80" i="7"/>
  <c r="E580" i="7"/>
  <c r="E197" i="7"/>
  <c r="E394" i="7"/>
  <c r="E287" i="7"/>
  <c r="E29" i="7"/>
  <c r="E447" i="7"/>
  <c r="E322" i="7"/>
  <c r="E136" i="7"/>
  <c r="E461" i="7"/>
  <c r="E399" i="7"/>
  <c r="E392" i="7"/>
  <c r="E24" i="7"/>
  <c r="E134" i="7"/>
  <c r="E383" i="7"/>
  <c r="E455" i="7"/>
  <c r="E589" i="7"/>
  <c r="E60" i="7"/>
  <c r="E121" i="7"/>
  <c r="E358" i="7"/>
  <c r="E570" i="7"/>
  <c r="E342" i="7"/>
  <c r="E157" i="7"/>
  <c r="E586" i="7"/>
  <c r="E296" i="7"/>
  <c r="E404" i="7"/>
  <c r="E328" i="7"/>
  <c r="E311" i="7"/>
  <c r="E463" i="7"/>
  <c r="E470" i="7"/>
  <c r="E82" i="7"/>
  <c r="E472" i="7"/>
  <c r="E251" i="7"/>
  <c r="E220" i="7"/>
  <c r="E335" i="7"/>
  <c r="G615" i="7"/>
  <c r="E479" i="7"/>
  <c r="E542" i="7"/>
  <c r="E90" i="7"/>
  <c r="E403" i="7"/>
  <c r="E376" i="7"/>
  <c r="E124" i="7"/>
  <c r="E553" i="7"/>
  <c r="E66" i="7"/>
  <c r="E458" i="7"/>
  <c r="E502" i="7"/>
  <c r="E55" i="7"/>
  <c r="E91" i="7"/>
  <c r="E142" i="7"/>
  <c r="E207" i="7"/>
  <c r="E351" i="7"/>
  <c r="E96" i="7"/>
  <c r="E191" i="7"/>
  <c r="E100" i="7"/>
  <c r="E210" i="7"/>
  <c r="E123" i="7"/>
  <c r="E37" i="7"/>
  <c r="E180" i="7"/>
  <c r="E460" i="7"/>
  <c r="E489" i="7"/>
  <c r="E164" i="7"/>
  <c r="E344" i="7"/>
  <c r="E477" i="7"/>
  <c r="E69" i="7"/>
  <c r="E377" i="7"/>
  <c r="E603" i="7"/>
  <c r="E77" i="7"/>
  <c r="E366" i="7"/>
  <c r="E321" i="7"/>
  <c r="E307" i="7"/>
  <c r="E564" i="7"/>
  <c r="E54" i="7"/>
  <c r="E198" i="7"/>
  <c r="E412" i="7"/>
  <c r="E598" i="7"/>
  <c r="E275" i="7"/>
  <c r="E410" i="7"/>
  <c r="E129" i="7"/>
  <c r="E84" i="7"/>
  <c r="E503" i="7"/>
  <c r="E114" i="7"/>
  <c r="E607" i="7"/>
  <c r="E99" i="7"/>
  <c r="E457" i="7"/>
  <c r="E338" i="7"/>
  <c r="E554" i="7"/>
  <c r="E317" i="7"/>
  <c r="E347" i="7"/>
  <c r="E444" i="7"/>
  <c r="E86" i="7"/>
  <c r="E545" i="7"/>
  <c r="E536" i="7"/>
  <c r="E246" i="7"/>
  <c r="E58" i="7"/>
  <c r="E273" i="7"/>
  <c r="E326" i="7"/>
  <c r="E593" i="7"/>
  <c r="E519" i="7"/>
  <c r="E341" i="7"/>
  <c r="E94" i="7"/>
  <c r="E63" i="7"/>
  <c r="E604" i="7"/>
  <c r="E552" i="7"/>
  <c r="E83" i="7"/>
  <c r="E43" i="7"/>
  <c r="E144" i="7"/>
  <c r="E128" i="7"/>
  <c r="E257" i="7"/>
  <c r="E541" i="7"/>
  <c r="E230" i="7"/>
  <c r="E270" i="7"/>
  <c r="E256" i="7"/>
  <c r="E44" i="7"/>
  <c r="E480" i="7"/>
  <c r="E409" i="7"/>
  <c r="E243" i="7"/>
  <c r="E253" i="7"/>
  <c r="E112" i="7"/>
  <c r="E406" i="7"/>
  <c r="E605" i="7"/>
  <c r="E252" i="7"/>
  <c r="E421" i="7"/>
  <c r="E309" i="7"/>
  <c r="E414" i="7"/>
  <c r="E566" i="7"/>
  <c r="E310" i="7"/>
  <c r="E95" i="7"/>
  <c r="E28" i="7"/>
  <c r="E487" i="7"/>
  <c r="E491" i="7"/>
  <c r="E609" i="7"/>
  <c r="E578" i="7"/>
  <c r="E88" i="7"/>
  <c r="E97" i="7"/>
  <c r="E398" i="7"/>
  <c r="E313" i="7"/>
  <c r="E285" i="7"/>
  <c r="E567" i="7"/>
  <c r="E302" i="7"/>
  <c r="E546" i="7"/>
  <c r="E48" i="7"/>
  <c r="E300" i="7"/>
  <c r="E475" i="7"/>
  <c r="E111" i="7"/>
  <c r="E184" i="7"/>
  <c r="E13" i="7"/>
  <c r="E138" i="7"/>
  <c r="E465" i="7"/>
  <c r="E73" i="7"/>
  <c r="E530" i="7"/>
  <c r="E606" i="7"/>
  <c r="E277" i="7"/>
  <c r="E514" i="7"/>
  <c r="E319" i="7"/>
  <c r="E614" i="7"/>
  <c r="E204" i="7"/>
  <c r="E219" i="7"/>
  <c r="E468" i="7"/>
  <c r="E382" i="7"/>
  <c r="E276" i="7"/>
  <c r="E41" i="7"/>
  <c r="E167" i="7"/>
  <c r="E118" i="7"/>
  <c r="E225" i="7"/>
  <c r="E574" i="7"/>
  <c r="E373" i="7"/>
  <c r="E131" i="7"/>
  <c r="E284" i="7"/>
  <c r="E471" i="7"/>
  <c r="E327" i="7"/>
  <c r="E599" i="7"/>
  <c r="E369" i="7"/>
  <c r="E190" i="7"/>
  <c r="E451" i="7"/>
  <c r="E215" i="7"/>
  <c r="E320" i="7"/>
  <c r="E7" i="7"/>
  <c r="E239" i="7"/>
  <c r="E294" i="7"/>
  <c r="E518" i="7"/>
  <c r="E573" i="7"/>
  <c r="E446" i="7"/>
  <c r="E408" i="7"/>
  <c r="E436" i="7"/>
  <c r="E339" i="7"/>
  <c r="E361" i="7"/>
  <c r="E466" i="7"/>
  <c r="E209" i="7"/>
  <c r="E572" i="7"/>
  <c r="E177" i="7"/>
  <c r="E384" i="7"/>
  <c r="E486" i="7"/>
  <c r="E21" i="7"/>
  <c r="E419" i="7"/>
  <c r="E590" i="7"/>
  <c r="E529" i="7"/>
  <c r="E416" i="7"/>
  <c r="E147" i="7"/>
  <c r="E523" i="7"/>
  <c r="E528" i="7"/>
  <c r="E125" i="7"/>
  <c r="E349" i="7"/>
  <c r="E159" i="7"/>
  <c r="E324" i="7"/>
  <c r="E504" i="7"/>
  <c r="E263" i="7"/>
  <c r="E312" i="7"/>
  <c r="E101" i="7"/>
  <c r="E289" i="7"/>
  <c r="E362" i="7"/>
  <c r="E316" i="7"/>
  <c r="E549" i="7"/>
  <c r="E62" i="7"/>
  <c r="E333" i="7"/>
  <c r="E81" i="7"/>
  <c r="E539" i="7"/>
  <c r="E161" i="7"/>
  <c r="E575" i="7"/>
  <c r="E591" i="7"/>
  <c r="E76" i="7"/>
  <c r="E262" i="7"/>
  <c r="E476" i="7"/>
  <c r="E264" i="7"/>
  <c r="E602" i="7"/>
  <c r="E422" i="7"/>
  <c r="E89" i="7"/>
  <c r="E298" i="7"/>
  <c r="E71" i="7"/>
  <c r="E127" i="7"/>
  <c r="E26" i="7"/>
  <c r="E371" i="7"/>
  <c r="E119" i="7"/>
  <c r="E405" i="7"/>
  <c r="E109" i="7"/>
  <c r="E291" i="7"/>
  <c r="E515" i="7"/>
  <c r="E615" i="7"/>
  <c r="E108" i="7"/>
  <c r="E194" i="7"/>
  <c r="E163" i="7"/>
  <c r="E31" i="7"/>
  <c r="E563" i="7"/>
  <c r="E245" i="7"/>
  <c r="E103" i="7"/>
  <c r="E226" i="7"/>
  <c r="E329" i="7"/>
  <c r="E6" i="7"/>
  <c r="E353" i="7"/>
  <c r="E8" i="7"/>
  <c r="E612" i="7"/>
  <c r="E565" i="7"/>
  <c r="E193" i="7"/>
  <c r="E334" i="7"/>
  <c r="E550" i="7"/>
  <c r="E30" i="7"/>
  <c r="E236" i="7"/>
  <c r="E117" i="7"/>
  <c r="E357" i="7"/>
  <c r="E156" i="7"/>
  <c r="E508" i="7"/>
  <c r="E42" i="7"/>
  <c r="E568" i="7"/>
  <c r="E547" i="7"/>
  <c r="E78" i="7"/>
  <c r="E107" i="7"/>
  <c r="E452" i="7"/>
  <c r="E332" i="7"/>
  <c r="E520" i="7"/>
  <c r="E146" i="7"/>
  <c r="E290" i="7"/>
  <c r="E415" i="7"/>
  <c r="E396" i="7"/>
  <c r="E532" i="7"/>
  <c r="E12" i="7"/>
  <c r="E363" i="7"/>
  <c r="E456" i="7"/>
  <c r="E162" i="7"/>
  <c r="E531" i="7"/>
  <c r="E292" i="7"/>
  <c r="E9" i="7"/>
  <c r="E597" i="7"/>
  <c r="E509" i="7"/>
  <c r="E168" i="7"/>
  <c r="E581" i="7"/>
  <c r="E260" i="7"/>
  <c r="E227" i="7"/>
  <c r="E521" i="7"/>
  <c r="E68" i="7"/>
  <c r="E343" i="7"/>
  <c r="E265" i="7"/>
  <c r="E500" i="7"/>
  <c r="E280" i="7"/>
  <c r="E46" i="7"/>
  <c r="E386" i="7"/>
  <c r="E510" i="7"/>
  <c r="E196" i="7"/>
  <c r="E36" i="7"/>
  <c r="E38" i="7"/>
  <c r="E269" i="7"/>
  <c r="E259" i="7"/>
  <c r="E442" i="7"/>
  <c r="E233" i="7"/>
  <c r="E594" i="7"/>
  <c r="E67" i="7"/>
  <c r="E18" i="7"/>
  <c r="E418" i="7"/>
  <c r="E297" i="7"/>
  <c r="E232" i="7"/>
  <c r="E315" i="7"/>
  <c r="E133" i="7"/>
  <c r="E544" i="7"/>
  <c r="E454" i="7"/>
  <c r="E474" i="7"/>
  <c r="E92" i="7"/>
  <c r="E555" i="7"/>
  <c r="E154" i="7"/>
  <c r="E293" i="7"/>
  <c r="E348" i="7"/>
  <c r="E393" i="7"/>
  <c r="E395" i="7"/>
  <c r="E10" i="7"/>
  <c r="E113" i="7"/>
  <c r="E380" i="7"/>
  <c r="E420" i="7"/>
  <c r="E137" i="7"/>
  <c r="E170" i="7"/>
  <c r="E213" i="7"/>
  <c r="E330" i="7"/>
  <c r="E440" i="7"/>
  <c r="E122" i="7"/>
  <c r="E224" i="7"/>
  <c r="E116" i="7"/>
  <c r="E169" i="7"/>
  <c r="E533" i="7"/>
  <c r="E126" i="7"/>
  <c r="E240" i="7"/>
  <c r="E93" i="7"/>
  <c r="E583" i="7"/>
  <c r="E187" i="7"/>
  <c r="E173" i="7"/>
  <c r="E179" i="7"/>
  <c r="E336" i="7"/>
  <c r="E254" i="7"/>
  <c r="E64" i="7"/>
  <c r="E208" i="7"/>
  <c r="E413" i="7"/>
  <c r="E221" i="7"/>
  <c r="E524" i="7"/>
  <c r="E350" i="7"/>
  <c r="E56" i="7"/>
  <c r="E181" i="7"/>
  <c r="E61" i="7"/>
  <c r="E490" i="7"/>
  <c r="E534" i="7"/>
  <c r="E110" i="7"/>
  <c r="E74" i="7"/>
  <c r="E488" i="7"/>
  <c r="E244" i="7"/>
  <c r="E435" i="7"/>
  <c r="E352" i="7"/>
  <c r="E496" i="7"/>
  <c r="E57" i="7"/>
  <c r="E513" i="7"/>
  <c r="E579" i="7"/>
  <c r="E248" i="7"/>
  <c r="E212" i="7"/>
  <c r="E52" i="7"/>
  <c r="E308" i="7"/>
  <c r="E368" i="7"/>
  <c r="E379" i="7"/>
  <c r="E228" i="7"/>
  <c r="E596" i="7"/>
  <c r="E145" i="7"/>
  <c r="E430" i="7"/>
  <c r="E222" i="7"/>
  <c r="E47" i="7"/>
  <c r="E16" i="7"/>
  <c r="E576" i="7"/>
  <c r="E20" i="7"/>
  <c r="E23" i="7"/>
  <c r="E282" i="7"/>
  <c r="E569" i="7"/>
  <c r="E495" i="7"/>
  <c r="E281" i="7"/>
  <c r="E543" i="7"/>
  <c r="E242" i="7"/>
  <c r="E39" i="7"/>
  <c r="E141" i="7"/>
  <c r="E261" i="7"/>
  <c r="E104" i="7"/>
  <c r="E548" i="7"/>
  <c r="E608" i="7"/>
  <c r="E65" i="7"/>
  <c r="E203" i="7"/>
  <c r="E314" i="7"/>
  <c r="E431" i="7"/>
  <c r="E429" i="7"/>
  <c r="E558" i="7"/>
  <c r="E152" i="7"/>
  <c r="E562" i="7"/>
  <c r="E481" i="7"/>
  <c r="E450" i="7"/>
  <c r="E507" i="7"/>
  <c r="E556" i="7"/>
  <c r="E49" i="7"/>
  <c r="E493" i="7"/>
  <c r="E214" i="7"/>
  <c r="E132" i="7"/>
  <c r="E525" i="7"/>
  <c r="E286" i="7"/>
  <c r="E577" i="7"/>
  <c r="E140" i="7"/>
  <c r="E75" i="7"/>
  <c r="E516" i="7"/>
  <c r="E439" i="7"/>
  <c r="E505" i="7"/>
  <c r="E175" i="7"/>
  <c r="E375" i="7"/>
  <c r="E443" i="7"/>
  <c r="E469" i="7"/>
  <c r="E229" i="7"/>
  <c r="E98" i="7"/>
  <c r="E237" i="7"/>
  <c r="E14" i="7"/>
  <c r="E538" i="7"/>
  <c r="E105" i="7"/>
  <c r="E337" i="7"/>
  <c r="E304" i="7"/>
  <c r="E511" i="7"/>
  <c r="E560" i="7"/>
  <c r="E195" i="7"/>
  <c r="E172" i="7"/>
  <c r="E206" i="7"/>
  <c r="E340" i="7"/>
  <c r="E17" i="7"/>
  <c r="E115" i="7"/>
  <c r="E176" i="7"/>
  <c r="E600" i="7"/>
  <c r="E53" i="7"/>
  <c r="E266" i="7"/>
  <c r="E218" i="7"/>
  <c r="E526" i="7"/>
  <c r="E250" i="7"/>
  <c r="E540" i="7"/>
  <c r="E557" i="7"/>
  <c r="E268" i="7"/>
  <c r="E85" i="7"/>
  <c r="E445" i="7"/>
  <c r="E183" i="7"/>
  <c r="E400" i="7"/>
  <c r="E601" i="7"/>
  <c r="E185" i="7"/>
  <c r="E217" i="7"/>
  <c r="E267" i="7"/>
  <c r="E274" i="7"/>
  <c r="E381" i="7"/>
  <c r="E186" i="7"/>
  <c r="E120" i="7"/>
  <c r="E182" i="7"/>
  <c r="E25" i="7"/>
  <c r="E303" i="7"/>
  <c r="E70" i="7"/>
  <c r="E216" i="7"/>
  <c r="E11" i="7"/>
  <c r="E283" i="7"/>
  <c r="E139" i="7"/>
  <c r="E378" i="7"/>
  <c r="E494" i="7"/>
  <c r="E102" i="7"/>
  <c r="E249" i="7"/>
  <c r="E258" i="7"/>
  <c r="E155" i="7"/>
  <c r="E391" i="7"/>
  <c r="E106" i="7"/>
  <c r="E295" i="7"/>
  <c r="E153" i="7"/>
  <c r="E587" i="7"/>
  <c r="E278" i="7"/>
  <c r="E473" i="7"/>
  <c r="E178" i="7"/>
  <c r="E288" i="7"/>
  <c r="E79" i="7"/>
  <c r="E417" i="7"/>
  <c r="E462" i="7"/>
  <c r="D616" i="7"/>
  <c r="E423" i="7"/>
  <c r="E171" i="7"/>
  <c r="E305" i="7"/>
  <c r="E192" i="7"/>
  <c r="E318" i="7"/>
  <c r="E272" i="7"/>
  <c r="E582" i="7"/>
  <c r="E255" i="7"/>
  <c r="E449" i="7"/>
  <c r="E151" i="7"/>
  <c r="E149" i="7"/>
  <c r="E610" i="7"/>
  <c r="E325" i="7"/>
  <c r="E464" i="7"/>
  <c r="E506" i="7"/>
  <c r="E45" i="7"/>
  <c r="E130" i="7"/>
  <c r="E482" i="7"/>
  <c r="E143" i="7"/>
  <c r="E613" i="7"/>
  <c r="E331" i="7"/>
  <c r="E401" i="7"/>
  <c r="E87" i="7"/>
  <c r="E559" i="7"/>
  <c r="E372" i="7"/>
  <c r="E478" i="7"/>
  <c r="E584" i="7"/>
  <c r="E205" i="7"/>
  <c r="E247" i="7"/>
  <c r="E306" i="7"/>
  <c r="E166" i="7"/>
  <c r="E492" i="7"/>
  <c r="E199" i="7"/>
  <c r="E301" i="7"/>
  <c r="E433" i="7"/>
  <c r="E202" i="7"/>
  <c r="E437" i="7"/>
  <c r="E165" i="7"/>
  <c r="E367" i="7"/>
  <c r="E537" i="7"/>
  <c r="E517" i="7"/>
  <c r="E235" i="7"/>
  <c r="E588" i="7"/>
  <c r="E148" i="7"/>
  <c r="E512" i="7"/>
  <c r="E441" i="7"/>
  <c r="E592" i="7"/>
  <c r="E448" i="7"/>
  <c r="E160" i="7"/>
  <c r="E158" i="7"/>
  <c r="E33" i="7" l="1"/>
  <c r="G101" i="3"/>
</calcChain>
</file>

<file path=xl/sharedStrings.xml><?xml version="1.0" encoding="utf-8"?>
<sst xmlns="http://schemas.openxmlformats.org/spreadsheetml/2006/main" count="26860" uniqueCount="5730">
  <si>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</si>
  <si>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</si>
  <si>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</si>
  <si>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</si>
  <si>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</si>
  <si>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</si>
  <si>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</si>
  <si>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</si>
  <si>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</si>
  <si>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</si>
  <si>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</si>
  <si>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</si>
  <si>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</si>
  <si>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</si>
  <si>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</si>
  <si>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</si>
  <si>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</si>
  <si>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</si>
  <si>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</si>
  <si>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</si>
  <si>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</si>
  <si>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</si>
  <si>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</si>
  <si>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</si>
  <si>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</si>
  <si>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</si>
  <si>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</si>
  <si>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</si>
  <si>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</si>
  <si>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</si>
  <si>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</si>
  <si>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</si>
  <si>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</si>
  <si>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</si>
  <si>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</si>
  <si>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</si>
  <si>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</si>
  <si>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</si>
  <si>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</si>
  <si>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</si>
  <si>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</si>
  <si>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</si>
  <si>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</si>
  <si>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</si>
  <si>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</si>
  <si>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</si>
  <si>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</si>
  <si>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</si>
  <si>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</si>
  <si>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</si>
  <si>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</si>
  <si>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</si>
  <si>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</si>
  <si>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</si>
  <si>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</si>
  <si>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</si>
  <si>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</si>
  <si>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</si>
  <si>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</si>
  <si>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</si>
  <si>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</si>
  <si>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</si>
  <si>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</si>
  <si>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</si>
  <si>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</si>
  <si>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</si>
  <si>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</si>
  <si>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</si>
  <si>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</si>
  <si>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</si>
  <si>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</si>
  <si>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</si>
  <si>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</si>
  <si>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</si>
  <si>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</si>
  <si>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</si>
  <si>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</si>
  <si>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</si>
  <si>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</si>
  <si>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</si>
  <si>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</si>
  <si>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</si>
  <si>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</si>
  <si>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</si>
  <si>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</si>
  <si>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</si>
  <si>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</si>
  <si>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</si>
  <si>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</si>
  <si>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</si>
  <si>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</si>
  <si>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</si>
  <si>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</si>
  <si>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</si>
  <si>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</si>
  <si>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</si>
  <si>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</si>
  <si>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</si>
  <si>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</si>
  <si>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</si>
  <si>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</si>
  <si>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</si>
  <si>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</si>
  <si>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</si>
  <si>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</si>
  <si>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</si>
  <si>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</si>
  <si>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</si>
  <si>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</si>
  <si>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</si>
  <si>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</si>
  <si>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</si>
  <si>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</si>
  <si>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</si>
  <si>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</si>
  <si>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</si>
  <si>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</si>
  <si>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</si>
  <si>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</si>
  <si>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</si>
  <si>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</si>
  <si>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</si>
  <si>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</si>
  <si>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</si>
  <si>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</si>
  <si>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</si>
  <si>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</si>
  <si>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</si>
  <si>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</si>
  <si>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</si>
  <si>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</si>
  <si>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</si>
  <si>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</si>
  <si>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</si>
  <si>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</si>
  <si>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</si>
  <si>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</si>
  <si>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</si>
  <si>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</si>
  <si>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</si>
  <si>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</si>
  <si>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</si>
  <si>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</si>
  <si>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</si>
  <si>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</si>
  <si>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</si>
  <si>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</si>
  <si>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</si>
  <si>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</si>
  <si>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</si>
  <si>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</si>
  <si>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</si>
  <si>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</si>
  <si>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</si>
  <si>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</si>
  <si>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</si>
  <si>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</si>
  <si>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</si>
  <si>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</si>
  <si>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</si>
  <si>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</si>
  <si>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</si>
  <si>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</si>
  <si>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</si>
  <si>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</si>
  <si>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</si>
  <si>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</si>
  <si>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</si>
  <si>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</si>
  <si>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</si>
  <si>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</si>
  <si>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</si>
  <si>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</si>
  <si>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</si>
  <si>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</si>
  <si>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</si>
  <si>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</si>
  <si>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</si>
  <si>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</si>
  <si>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</si>
  <si>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</si>
  <si>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</si>
  <si>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</si>
  <si>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</si>
  <si>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</si>
  <si>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</si>
  <si>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</si>
  <si>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</si>
  <si>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</si>
  <si>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</si>
  <si>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</si>
  <si>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</si>
  <si>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</si>
  <si>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</si>
  <si>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</si>
  <si>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</si>
  <si>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</si>
  <si>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</si>
  <si>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</si>
  <si>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</si>
  <si>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</si>
  <si>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</si>
  <si>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</si>
  <si>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</si>
  <si>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</si>
  <si>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</si>
  <si>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</si>
  <si>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</si>
  <si>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</si>
  <si>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</si>
  <si>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</si>
  <si>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</si>
  <si>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</si>
  <si>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</si>
  <si>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</si>
  <si>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</si>
  <si>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</si>
  <si>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</si>
  <si>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</si>
  <si>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</si>
  <si>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</si>
  <si>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</si>
  <si>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</si>
  <si>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</si>
  <si>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</si>
  <si>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</si>
  <si>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</si>
  <si>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</si>
  <si>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</si>
  <si>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</si>
  <si>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</si>
  <si>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</si>
  <si>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</si>
  <si>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</si>
  <si>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</si>
  <si>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</si>
  <si>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</si>
  <si>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</si>
  <si>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</si>
  <si>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</si>
  <si>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</si>
  <si>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</si>
  <si>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</si>
  <si>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</si>
  <si>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</si>
  <si>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</si>
  <si>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</si>
  <si>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</si>
  <si>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</si>
  <si>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</si>
  <si>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</si>
  <si>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</si>
  <si>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</si>
  <si>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</si>
  <si>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</si>
  <si>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</si>
  <si>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</si>
  <si>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</si>
  <si>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</si>
  <si>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</si>
  <si>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</si>
  <si>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</si>
  <si>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</si>
  <si>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</si>
  <si>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</si>
  <si>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</si>
  <si>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</si>
  <si>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</si>
  <si>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</si>
  <si>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</si>
  <si>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</si>
  <si>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</si>
  <si>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</si>
  <si>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</si>
  <si>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</si>
  <si>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</si>
  <si>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</si>
  <si>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</si>
  <si>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</si>
  <si>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</si>
  <si>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</si>
  <si>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</si>
  <si>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</si>
  <si>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</si>
  <si>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</si>
  <si>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</si>
  <si>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</si>
  <si>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</si>
  <si>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</si>
  <si>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</si>
  <si>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</si>
  <si>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</si>
  <si>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</si>
  <si>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</si>
  <si>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</si>
  <si>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</si>
  <si>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</si>
  <si>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</si>
  <si>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</si>
  <si>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</si>
  <si>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</si>
  <si>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</si>
  <si>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</si>
  <si>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</si>
  <si>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</si>
  <si>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</si>
  <si>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</si>
  <si>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</si>
  <si>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</si>
  <si>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</si>
  <si>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</si>
  <si>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</si>
  <si>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</si>
  <si>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</si>
  <si>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</si>
  <si>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</si>
  <si>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</si>
  <si>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</si>
  <si>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</si>
  <si>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</si>
  <si>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</si>
  <si>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</si>
  <si>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</si>
  <si>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</si>
  <si>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</si>
  <si>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</si>
  <si>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</si>
  <si>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</si>
  <si>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</si>
  <si>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</si>
  <si>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</si>
  <si>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</si>
  <si>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</si>
  <si>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</si>
  <si>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</si>
  <si>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</si>
  <si>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</si>
  <si>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</si>
  <si>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</si>
  <si>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</si>
  <si>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</si>
  <si>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</si>
  <si>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</si>
  <si>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</si>
  <si>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</si>
  <si>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</si>
  <si>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</si>
  <si>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</si>
  <si>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</si>
  <si>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</si>
  <si>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</si>
  <si>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</si>
  <si>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</si>
  <si>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</si>
  <si>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</si>
  <si>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</si>
  <si>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</si>
  <si>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</si>
  <si>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</si>
  <si>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</si>
  <si>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</si>
  <si>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</si>
  <si>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</si>
  <si>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</si>
  <si>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</si>
  <si>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</si>
  <si>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</si>
  <si>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</si>
  <si>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</si>
  <si>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</si>
  <si>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</si>
  <si>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</si>
  <si>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</si>
  <si>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</si>
  <si>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</si>
  <si>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</si>
  <si>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</si>
  <si>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</si>
  <si>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</si>
  <si>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</si>
  <si>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</si>
  <si>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</si>
  <si>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</si>
  <si>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</si>
  <si>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</si>
  <si>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</si>
  <si>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</si>
  <si>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</si>
  <si>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</si>
  <si>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</si>
  <si>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</si>
  <si>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</si>
  <si>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</si>
  <si>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</si>
  <si>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</si>
  <si>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</si>
  <si>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</si>
  <si>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</si>
  <si>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</si>
  <si>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</si>
  <si>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</si>
  <si>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</si>
  <si>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</si>
  <si>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</si>
  <si>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</si>
  <si>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</si>
  <si>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</si>
  <si>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</si>
  <si>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</si>
  <si>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</si>
  <si>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</si>
  <si>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</si>
  <si>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</si>
  <si>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</si>
  <si>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</si>
  <si>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</si>
  <si>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</si>
  <si>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</si>
  <si>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</si>
  <si>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</si>
  <si>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</si>
  <si>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</si>
  <si>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</si>
  <si>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</si>
  <si>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</si>
  <si>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</si>
  <si>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</si>
  <si>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</si>
  <si>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</si>
  <si>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</si>
  <si>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</si>
  <si>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</si>
  <si>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</si>
  <si>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</si>
  <si>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</si>
  <si>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</si>
  <si>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</si>
  <si>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</si>
  <si>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</si>
  <si>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</si>
  <si>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</si>
  <si>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</si>
  <si>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</si>
  <si>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</si>
  <si>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</si>
  <si>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</si>
  <si>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</si>
  <si>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</si>
  <si>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</si>
  <si>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</si>
  <si>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</si>
  <si>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</si>
  <si>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</si>
  <si>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</si>
  <si>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</si>
  <si>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</si>
  <si>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</si>
  <si>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</si>
  <si>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</si>
  <si>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</si>
  <si>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</si>
  <si>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</si>
  <si>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</si>
  <si>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</si>
  <si>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</si>
  <si>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</si>
  <si>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</si>
  <si>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</si>
  <si>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</si>
  <si>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</si>
  <si>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</si>
  <si>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</si>
  <si>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</si>
  <si>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</si>
  <si>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</si>
  <si>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</si>
  <si>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</si>
  <si>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</si>
  <si>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</si>
  <si>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</si>
  <si>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</si>
  <si>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</si>
  <si>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</si>
  <si>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</si>
  <si>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</si>
  <si>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</si>
  <si>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</si>
  <si>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</si>
  <si>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</si>
  <si>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</si>
  <si>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</si>
  <si>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</si>
  <si>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</si>
  <si>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</si>
  <si>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</si>
  <si>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</si>
  <si>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</si>
  <si>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</si>
  <si>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</si>
  <si>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</si>
  <si>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</si>
  <si>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</si>
  <si>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</si>
  <si>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</si>
  <si>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</si>
  <si>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</si>
  <si>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</si>
  <si>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</si>
  <si>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</si>
  <si>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</si>
  <si>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</si>
  <si>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</si>
  <si>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</si>
  <si>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</si>
  <si>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</si>
  <si>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</si>
  <si>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</si>
  <si>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</si>
  <si>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</si>
  <si>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</si>
  <si>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</si>
  <si>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</si>
  <si>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</si>
  <si>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</si>
  <si>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</si>
  <si>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</si>
  <si>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</si>
  <si>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</si>
  <si>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</si>
  <si>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</si>
  <si>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</si>
  <si>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</si>
  <si>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</si>
  <si>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</si>
  <si>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</si>
  <si>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</si>
  <si>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</si>
  <si>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</si>
  <si>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</si>
  <si>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</si>
  <si>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</si>
  <si>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</si>
  <si>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</si>
  <si>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</si>
  <si>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</si>
  <si>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</si>
  <si>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</si>
  <si>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</si>
  <si>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</si>
  <si>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</si>
  <si>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</si>
  <si>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</si>
  <si>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</si>
  <si>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</si>
  <si>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</si>
  <si>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</si>
  <si>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</si>
  <si>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</si>
  <si>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</si>
  <si>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</si>
  <si>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</si>
  <si>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</si>
  <si>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</si>
  <si>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</si>
  <si>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</si>
  <si>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</si>
  <si>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</si>
  <si>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</si>
  <si>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</si>
  <si>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</si>
  <si>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</si>
  <si>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</si>
  <si>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</si>
  <si>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</si>
  <si>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</si>
  <si>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</si>
  <si>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</si>
  <si>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</si>
  <si>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</si>
  <si>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</si>
  <si>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</si>
  <si>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</si>
  <si>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</si>
  <si>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</si>
  <si>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</si>
  <si>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</si>
  <si>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</si>
  <si>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</si>
  <si>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</si>
  <si>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</si>
  <si>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</si>
  <si>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</si>
  <si>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</si>
  <si>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</si>
  <si>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</si>
  <si>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</si>
  <si>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</si>
  <si>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</si>
  <si>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</si>
  <si>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</si>
  <si>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</si>
  <si>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</si>
  <si>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</si>
  <si>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</si>
  <si>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</si>
  <si>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</si>
  <si>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</si>
  <si>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</si>
  <si>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</si>
  <si>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</si>
  <si>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</si>
  <si>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</si>
  <si>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</si>
  <si>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</si>
  <si>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</si>
  <si>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</si>
  <si>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</si>
  <si>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</si>
  <si>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</si>
  <si>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</si>
  <si>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</si>
  <si>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</si>
  <si>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</si>
  <si>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</si>
  <si>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</si>
  <si>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</si>
  <si>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</si>
  <si>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</si>
  <si>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</si>
  <si>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</si>
  <si>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</si>
  <si>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</si>
  <si>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</si>
  <si>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</si>
  <si>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</si>
  <si>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</si>
  <si>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</si>
  <si>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</si>
  <si>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</si>
  <si>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</si>
  <si>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</si>
  <si>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</si>
  <si>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</si>
  <si>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</si>
  <si>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</si>
  <si>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</si>
  <si>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</si>
  <si>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</si>
  <si>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</si>
  <si>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</si>
  <si>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</si>
  <si>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</si>
  <si>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</si>
  <si>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</si>
  <si>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</si>
  <si>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</si>
  <si>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</si>
  <si>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</si>
  <si>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</si>
  <si>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</si>
  <si>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</si>
  <si>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</si>
  <si>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</si>
  <si>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</si>
  <si>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</si>
  <si>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</si>
  <si>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</si>
  <si>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</si>
  <si>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</si>
  <si>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</si>
  <si>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</si>
  <si>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</si>
  <si>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</si>
  <si>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</si>
  <si>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</si>
  <si>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</si>
  <si>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</si>
  <si>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</si>
  <si>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</si>
  <si>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</si>
  <si>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</si>
  <si>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</si>
  <si>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</si>
  <si>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</si>
  <si>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</si>
  <si>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</si>
  <si>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</si>
  <si>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</si>
  <si>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</si>
  <si>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</si>
  <si>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</si>
  <si>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</si>
  <si>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</si>
  <si>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</si>
  <si>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</si>
  <si>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</si>
  <si>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</si>
  <si>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</si>
  <si>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</si>
  <si>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</si>
  <si>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</si>
  <si>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</si>
  <si>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</si>
  <si>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</si>
  <si>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</si>
  <si>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</si>
  <si>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</si>
  <si>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</si>
  <si>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</si>
  <si>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</si>
  <si>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</si>
  <si>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</si>
  <si>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</si>
  <si>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</si>
  <si>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</si>
  <si>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</si>
  <si>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</si>
  <si>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</si>
  <si>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</si>
  <si>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</si>
  <si>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</si>
  <si>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</si>
  <si>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</si>
  <si>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</si>
  <si>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</si>
  <si>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</si>
  <si>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</si>
  <si>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</si>
  <si>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</si>
  <si>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</si>
  <si>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</si>
  <si>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</si>
  <si>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</si>
  <si>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</si>
  <si>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</si>
  <si>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</si>
  <si>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</si>
  <si>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</si>
  <si>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</si>
  <si>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</si>
  <si>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</si>
  <si>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</si>
  <si>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</si>
  <si>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</si>
  <si>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</si>
  <si>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</si>
  <si>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</si>
  <si>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</si>
  <si>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</si>
  <si>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</si>
  <si>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</si>
  <si>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</si>
  <si>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</si>
  <si>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</si>
  <si>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</si>
  <si>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</si>
  <si>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</si>
  <si>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</si>
  <si>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</si>
  <si>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</si>
  <si>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</si>
  <si>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</si>
  <si>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</si>
  <si>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</si>
  <si>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</si>
  <si>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</si>
  <si>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</si>
  <si>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</si>
  <si>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</si>
  <si>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</si>
  <si>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</si>
  <si>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</si>
  <si>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</si>
  <si>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</si>
  <si>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</si>
  <si>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</si>
  <si>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</si>
  <si>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</si>
  <si>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</si>
  <si>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</si>
  <si>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</si>
  <si>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</si>
  <si>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</si>
  <si>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</si>
  <si>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</si>
  <si>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</si>
  <si>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</si>
  <si>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</si>
  <si>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</si>
  <si>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</si>
  <si>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</si>
  <si>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</si>
  <si>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</si>
  <si>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</si>
  <si>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</si>
  <si>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</si>
  <si>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</si>
  <si>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</si>
  <si>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</si>
  <si>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</si>
  <si>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</si>
  <si>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</si>
  <si>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</si>
  <si>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</si>
  <si>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</si>
  <si>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</si>
  <si>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</si>
  <si>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</si>
  <si>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</si>
  <si>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</si>
  <si>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</si>
  <si>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</si>
  <si>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</si>
  <si>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</si>
  <si>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</si>
  <si>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</si>
  <si>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</si>
  <si>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</si>
  <si>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</si>
  <si>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</si>
  <si>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</si>
  <si>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</si>
  <si>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</si>
  <si>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</si>
  <si>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</si>
  <si>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</si>
  <si>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</si>
  <si>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</si>
  <si>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</si>
  <si>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</si>
  <si>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</si>
  <si>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</si>
  <si>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</si>
  <si>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</si>
  <si>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</si>
  <si>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</si>
  <si>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</si>
  <si>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</si>
  <si>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</si>
  <si>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</si>
  <si>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</si>
  <si>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</si>
  <si>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</si>
  <si>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</si>
  <si>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</si>
  <si>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</si>
  <si>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</si>
  <si>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</si>
  <si>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</si>
  <si>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</si>
  <si>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</si>
  <si>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</si>
  <si>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</si>
  <si>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</si>
  <si>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</si>
  <si>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</si>
  <si>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</si>
  <si>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</si>
  <si>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</si>
  <si>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</si>
  <si>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</si>
  <si>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</si>
  <si>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</si>
  <si>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</si>
  <si>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</si>
  <si>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</si>
  <si>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</si>
  <si>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</si>
  <si>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</si>
  <si>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</si>
  <si>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</si>
  <si>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</si>
  <si>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</si>
  <si>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</si>
  <si>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</si>
  <si>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</si>
  <si>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</si>
  <si>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</si>
  <si>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</si>
  <si>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</si>
  <si>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</si>
  <si>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</si>
  <si>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</si>
  <si>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</si>
  <si>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</si>
  <si>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</si>
  <si>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</si>
  <si>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</si>
  <si>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</si>
  <si>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</si>
  <si>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</si>
  <si>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</si>
  <si>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</si>
  <si>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</si>
  <si>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</si>
  <si>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</si>
  <si>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</si>
  <si>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</si>
  <si>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</si>
  <si>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</si>
  <si>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</si>
  <si>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</si>
  <si>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</si>
  <si>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</si>
  <si>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</si>
  <si>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</si>
  <si>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</si>
  <si>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</si>
  <si>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</si>
  <si>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</si>
  <si>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</si>
  <si>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</si>
  <si>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</si>
  <si>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</si>
  <si>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</si>
  <si>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</si>
  <si>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</si>
  <si>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</si>
  <si>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</si>
  <si>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</si>
  <si>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</si>
  <si>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</si>
  <si>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</si>
  <si>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</si>
  <si>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</si>
  <si>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</si>
  <si>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</si>
  <si>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</si>
  <si>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</si>
  <si>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</si>
  <si>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</si>
  <si>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</si>
  <si>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</si>
  <si>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</si>
  <si>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</si>
  <si>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</si>
  <si>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</si>
  <si>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</si>
  <si>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</si>
  <si>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</si>
  <si>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</si>
  <si>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</si>
  <si>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</si>
  <si>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</si>
  <si>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</si>
  <si>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</si>
  <si>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</si>
  <si>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</si>
  <si>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</si>
  <si>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</si>
  <si>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</si>
  <si>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</si>
  <si>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</si>
  <si>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</si>
  <si>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</si>
  <si>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</si>
  <si>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</si>
  <si>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</si>
  <si>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</si>
  <si>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</si>
  <si>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</si>
  <si>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</si>
  <si>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</si>
  <si>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</si>
  <si>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</si>
  <si>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</si>
  <si>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</si>
  <si>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</si>
  <si>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</si>
  <si>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</si>
  <si>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</si>
  <si>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</si>
  <si>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</si>
  <si>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</si>
  <si>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</si>
  <si>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</si>
  <si>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</si>
  <si>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</si>
  <si>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</si>
  <si>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</si>
  <si>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</si>
  <si>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</si>
  <si>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</si>
  <si>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</si>
  <si>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</si>
  <si>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</si>
  <si>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</si>
  <si>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</si>
  <si>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</si>
  <si>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</si>
  <si>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</si>
  <si>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</si>
  <si>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</si>
  <si>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</si>
  <si>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</si>
  <si>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</si>
  <si>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</si>
  <si>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</si>
  <si>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</si>
  <si>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</si>
  <si>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</si>
  <si>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</si>
  <si>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</si>
  <si>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</si>
  <si>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</si>
  <si>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</si>
  <si>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</si>
  <si>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</si>
  <si>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</si>
  <si>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</si>
  <si>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</si>
  <si>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</si>
  <si>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</si>
  <si>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</si>
  <si>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</si>
  <si>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</si>
  <si>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</si>
  <si>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</si>
  <si>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</si>
  <si>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</si>
  <si>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</si>
  <si>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</si>
  <si>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</si>
  <si>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</si>
  <si>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</si>
  <si>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</si>
  <si>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</si>
  <si>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</si>
  <si>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</si>
  <si>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</si>
  <si>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</si>
  <si>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</si>
  <si>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</si>
  <si>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</si>
  <si>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</si>
  <si>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</si>
  <si>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</si>
  <si>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</si>
  <si>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</si>
  <si>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</si>
  <si>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</si>
  <si>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</si>
  <si>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</si>
  <si>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</si>
  <si>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</si>
  <si>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</si>
  <si>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</si>
  <si>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</si>
  <si>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</si>
  <si>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</si>
  <si>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</si>
  <si>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</si>
  <si>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</si>
  <si>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</si>
  <si>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</si>
  <si>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</si>
  <si>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</si>
  <si>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</si>
  <si>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</si>
  <si>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</si>
  <si>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</si>
  <si>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</si>
  <si>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</si>
  <si>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</si>
  <si>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</si>
  <si>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</si>
  <si>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</si>
  <si>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</si>
  <si>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</si>
  <si>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</si>
  <si>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</si>
  <si>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</si>
  <si>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</si>
  <si>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</si>
  <si>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</si>
  <si>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</si>
  <si>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</si>
  <si>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</si>
  <si>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</si>
  <si>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</si>
  <si>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</si>
  <si>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</si>
  <si>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</si>
  <si>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</si>
  <si>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</si>
  <si>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</si>
  <si>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</si>
  <si>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</si>
  <si>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</si>
  <si>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</si>
  <si>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</si>
  <si>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</si>
  <si>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</si>
  <si>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</si>
  <si>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</si>
  <si>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</si>
  <si>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</si>
  <si>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</si>
  <si>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</si>
  <si>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</si>
  <si>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</si>
  <si>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</si>
  <si>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</si>
  <si>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</si>
  <si>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</si>
  <si>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</si>
  <si>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</si>
  <si>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</si>
  <si>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</si>
  <si>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</si>
  <si>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</si>
  <si>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</si>
  <si>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</si>
  <si>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</si>
  <si>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</si>
  <si>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</si>
  <si>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</si>
  <si>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</si>
  <si>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</si>
  <si>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</si>
  <si>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</si>
  <si>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</si>
  <si>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</si>
  <si>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</si>
  <si>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</si>
  <si>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</si>
  <si>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</si>
  <si>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</si>
  <si>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</si>
  <si>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</si>
  <si>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</si>
  <si>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</si>
  <si>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</si>
  <si>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</si>
  <si>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</si>
  <si>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</si>
  <si>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</si>
  <si>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</si>
  <si>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</si>
  <si>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</si>
  <si>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</si>
  <si>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</si>
  <si>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</si>
  <si>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</si>
  <si>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</si>
  <si>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</si>
  <si>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</si>
  <si>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</si>
  <si>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</si>
  <si>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</si>
  <si>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</si>
  <si>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</si>
  <si>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</si>
  <si>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</si>
  <si>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</si>
  <si>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</si>
  <si>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</si>
  <si>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</si>
  <si>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</si>
  <si>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</si>
  <si>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</si>
  <si>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</si>
  <si>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</si>
  <si>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</si>
  <si>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</si>
  <si>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</si>
  <si>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</si>
  <si>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</si>
  <si>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</si>
  <si>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</si>
  <si>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</si>
  <si>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</si>
  <si>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</si>
  <si>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</si>
  <si>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</si>
  <si>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</si>
  <si>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</si>
  <si>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</si>
  <si>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</si>
  <si>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</si>
  <si>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</si>
  <si>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</si>
  <si>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</si>
  <si>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</si>
  <si>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</si>
  <si>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</si>
  <si>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</si>
  <si>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</si>
  <si>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</si>
  <si>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</si>
  <si>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</si>
  <si>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</si>
  <si>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</si>
  <si>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</si>
  <si>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</si>
  <si>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</si>
  <si>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</si>
  <si>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</si>
  <si>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</si>
  <si>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</si>
  <si>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</si>
  <si>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</si>
  <si>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</si>
  <si>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</si>
  <si>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</si>
  <si>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</si>
  <si>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</si>
  <si>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</si>
  <si>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</si>
  <si>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</si>
  <si>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</si>
  <si>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</si>
  <si>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</si>
  <si>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</si>
  <si>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</si>
  <si>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</si>
  <si>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</si>
  <si>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</si>
  <si>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</si>
  <si>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</si>
  <si>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</si>
  <si>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</si>
  <si>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</si>
  <si>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</si>
  <si>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</si>
  <si>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</si>
  <si>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</si>
  <si>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</si>
  <si>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</si>
  <si>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</si>
  <si>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</si>
  <si>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</si>
  <si>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</si>
  <si>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</si>
  <si>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</si>
  <si>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</si>
  <si>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</si>
  <si>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</si>
  <si>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</si>
  <si>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</si>
  <si>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</si>
  <si>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</si>
  <si>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</si>
  <si>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</si>
  <si>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</si>
  <si>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</si>
  <si>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</si>
  <si>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</si>
  <si>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</si>
  <si>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</si>
  <si>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</si>
  <si>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</si>
  <si>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</si>
  <si>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</si>
  <si>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</si>
  <si>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</si>
  <si>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</si>
  <si>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</si>
  <si>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</si>
  <si>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</si>
  <si>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</si>
  <si>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</si>
  <si>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</si>
  <si>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</si>
  <si>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</si>
  <si>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</si>
  <si>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</si>
  <si>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</si>
  <si>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</si>
  <si>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</si>
  <si>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</si>
  <si>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</si>
  <si>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</si>
  <si>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</si>
  <si>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</si>
  <si>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</si>
  <si>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</si>
  <si>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</si>
  <si>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</si>
  <si>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</si>
  <si>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</si>
  <si>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</si>
  <si>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</si>
  <si>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</si>
  <si>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</si>
  <si>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</si>
  <si>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</si>
  <si>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</si>
  <si>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</si>
  <si>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</si>
  <si>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</si>
  <si>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</si>
  <si>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</si>
  <si>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</si>
  <si>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</si>
  <si>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</si>
  <si>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</si>
  <si>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</si>
  <si>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</si>
  <si>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</si>
  <si>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</si>
  <si>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</si>
  <si>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</si>
  <si>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</si>
  <si>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</si>
  <si>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</si>
  <si>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</si>
  <si>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</si>
  <si>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</si>
  <si>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</si>
  <si>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</si>
  <si>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</si>
  <si>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</si>
  <si>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</si>
  <si>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</si>
  <si>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</si>
  <si>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</si>
  <si>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</si>
  <si>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</si>
  <si>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</si>
  <si>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</si>
  <si>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</si>
  <si>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</si>
  <si>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</si>
  <si>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</si>
  <si>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</si>
  <si>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</si>
  <si>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</si>
  <si>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</si>
  <si>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</si>
  <si>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</si>
  <si>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</si>
  <si>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</si>
  <si>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</si>
  <si>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</si>
  <si>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</si>
  <si>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</si>
  <si>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</si>
  <si>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</si>
  <si>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</si>
  <si>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</si>
  <si>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</si>
  <si>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</si>
  <si>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</si>
  <si>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</si>
  <si>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</si>
  <si>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</si>
  <si>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</si>
  <si>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</si>
  <si>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</si>
  <si>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</si>
  <si>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</si>
  <si>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</si>
  <si>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</si>
  <si>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</si>
  <si>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</si>
  <si>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</si>
  <si>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</si>
  <si>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</si>
  <si>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</si>
  <si>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</si>
  <si>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</si>
  <si>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</si>
  <si>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</si>
  <si>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</si>
  <si>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</si>
  <si>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</si>
  <si>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</si>
  <si>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</si>
  <si>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</si>
  <si>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</si>
  <si>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</si>
  <si>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</si>
  <si>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</si>
  <si>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</si>
  <si>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</si>
  <si>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</si>
  <si>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</si>
  <si>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</si>
  <si>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</si>
  <si>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</si>
  <si>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</si>
  <si>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</si>
  <si>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</si>
  <si>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</si>
  <si>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</si>
  <si>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</si>
  <si>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</si>
  <si>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</si>
  <si>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</si>
  <si>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</si>
  <si>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</si>
  <si>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</si>
  <si>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</si>
  <si>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</si>
  <si>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</si>
  <si>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</si>
  <si>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</si>
  <si>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</si>
  <si>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</si>
  <si>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</si>
  <si>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</si>
  <si>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</si>
  <si>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</si>
  <si>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</si>
  <si>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</si>
  <si>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</si>
  <si>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</si>
  <si>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</si>
  <si>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</si>
  <si>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</si>
  <si>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</si>
  <si>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</si>
  <si>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</si>
  <si>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</si>
  <si>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</si>
  <si>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</si>
  <si>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</si>
  <si>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</si>
  <si>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</si>
  <si>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</si>
  <si>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</si>
  <si>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</si>
  <si>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</si>
  <si>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</si>
  <si>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</si>
  <si>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</si>
  <si>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</si>
  <si>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</si>
  <si>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</si>
  <si>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</si>
  <si>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</si>
  <si>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</si>
  <si>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</si>
  <si>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</si>
  <si>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</si>
  <si>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</si>
  <si>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</si>
  <si>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</si>
  <si>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</si>
  <si>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</si>
  <si>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</si>
  <si>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</si>
  <si>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</si>
  <si>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</si>
  <si>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</si>
  <si>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</si>
  <si>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</si>
  <si>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</si>
  <si>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</si>
  <si>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</si>
  <si>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</si>
  <si>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</si>
  <si>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</si>
  <si>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</si>
  <si>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</si>
  <si>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</si>
  <si>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</si>
  <si>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</si>
  <si>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</si>
  <si>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</si>
  <si>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</si>
  <si>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</si>
  <si>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</si>
  <si>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</si>
  <si>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</si>
  <si>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</si>
  <si>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</si>
  <si>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</si>
  <si>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</si>
  <si>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</si>
  <si>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</si>
  <si>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</si>
  <si>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</si>
  <si>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</si>
  <si>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</si>
  <si>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</si>
  <si>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</si>
  <si>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</si>
  <si>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</si>
  <si>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</si>
  <si>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</si>
  <si>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</si>
  <si>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</si>
  <si>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</si>
  <si>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</si>
  <si>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</si>
  <si>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</si>
  <si>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</si>
  <si>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</si>
  <si>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</si>
  <si>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</si>
  <si>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</si>
  <si>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</si>
  <si>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</si>
  <si>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</si>
  <si>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</si>
  <si>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</si>
  <si>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</si>
  <si>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</si>
  <si>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</si>
  <si>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</si>
  <si>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</si>
  <si>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</si>
  <si>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</si>
  <si>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</si>
  <si>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</si>
  <si>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</si>
  <si>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</si>
  <si>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</si>
  <si>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</si>
  <si>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</si>
  <si>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</si>
  <si>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</si>
  <si>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</si>
  <si>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</si>
  <si>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</si>
  <si>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</si>
  <si>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</si>
  <si>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</si>
  <si>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</si>
  <si>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</si>
  <si>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</si>
  <si>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</si>
  <si>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</si>
  <si>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</si>
  <si>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</si>
  <si>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</si>
  <si>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</si>
  <si>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</si>
  <si>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</si>
  <si>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</si>
  <si>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</si>
  <si>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</si>
  <si>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</si>
  <si>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</si>
  <si>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</si>
  <si>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</si>
  <si>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</si>
  <si>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</si>
  <si>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</si>
  <si>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</si>
  <si>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</si>
  <si>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</si>
  <si>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</si>
  <si>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</si>
  <si>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</si>
  <si>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</si>
  <si>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</si>
  <si>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</si>
  <si>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</si>
  <si>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</si>
  <si>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</si>
  <si>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</si>
  <si>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</si>
  <si>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</si>
  <si>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</si>
  <si>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</si>
  <si>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</si>
  <si>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</si>
  <si>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</si>
  <si>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</si>
  <si>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</si>
  <si>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</si>
  <si>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</si>
  <si>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</si>
  <si>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</si>
  <si>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</si>
  <si>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</si>
  <si>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</si>
  <si>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</si>
  <si>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</si>
  <si>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</si>
  <si>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</si>
  <si>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</si>
  <si>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</si>
  <si>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</si>
  <si>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</si>
  <si>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</si>
  <si>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</si>
  <si>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</si>
  <si>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</si>
  <si>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</si>
  <si>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</si>
  <si>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</si>
  <si>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</si>
  <si>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</si>
  <si>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</si>
  <si>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</si>
  <si>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</si>
  <si>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</si>
  <si>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</si>
  <si>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</si>
  <si>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</si>
  <si>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</si>
  <si>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</si>
  <si>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</si>
  <si>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</si>
  <si>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</si>
  <si>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</si>
  <si>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</si>
  <si>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</si>
  <si>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</si>
  <si>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</si>
  <si>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</si>
  <si>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</si>
  <si>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</si>
  <si>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</si>
  <si>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</si>
  <si>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</si>
  <si>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</si>
  <si>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</si>
  <si>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</si>
  <si>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</si>
  <si>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</si>
  <si>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</si>
  <si>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</si>
  <si>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</si>
  <si>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</si>
  <si>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</si>
  <si>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</si>
  <si>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</si>
  <si>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</si>
  <si>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</si>
  <si>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</si>
  <si>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</si>
  <si>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</si>
  <si>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</si>
  <si>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</si>
  <si>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</si>
  <si>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</si>
  <si>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</si>
  <si>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</si>
  <si>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</si>
  <si>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</si>
  <si>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</si>
  <si>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</si>
  <si>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</si>
  <si>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</si>
  <si>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</si>
  <si>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</si>
  <si>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</si>
  <si>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</si>
  <si>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</si>
  <si>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</si>
  <si>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</si>
  <si>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</si>
  <si>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</si>
  <si>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</si>
  <si>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</si>
  <si>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</si>
  <si>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</si>
  <si>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</si>
  <si>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</si>
  <si>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</si>
  <si>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</si>
  <si>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</si>
  <si>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</si>
  <si>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</si>
  <si>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</si>
  <si>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</si>
  <si>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</si>
  <si>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</si>
  <si>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</si>
  <si>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</si>
  <si>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</si>
  <si>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</si>
  <si>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</si>
  <si>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</si>
  <si>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</si>
  <si>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</si>
  <si>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</si>
  <si>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</si>
  <si>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</si>
  <si>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</si>
  <si>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</si>
  <si>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</si>
  <si>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</si>
  <si>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</si>
  <si>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</si>
  <si>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</si>
  <si>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</si>
  <si>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</si>
  <si>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</si>
  <si>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</si>
  <si>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</si>
  <si>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</si>
  <si>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</si>
  <si>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</si>
  <si>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</si>
  <si>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</si>
  <si>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</si>
  <si>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</si>
  <si>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</si>
  <si>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</si>
  <si>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</si>
  <si>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</si>
  <si>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</si>
  <si>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</si>
  <si>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</si>
  <si>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</si>
  <si>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</si>
  <si>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</si>
  <si>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</si>
  <si>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</si>
  <si>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</si>
  <si>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</si>
  <si>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</si>
  <si>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</si>
  <si>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</si>
  <si>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</si>
  <si>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</si>
  <si>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</si>
  <si>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</si>
  <si>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</si>
  <si>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</si>
  <si>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</si>
  <si>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</si>
  <si>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</si>
  <si>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</si>
  <si>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</si>
  <si>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</si>
  <si>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</si>
  <si>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</si>
  <si>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</si>
  <si>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</si>
  <si>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</si>
  <si>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</si>
  <si>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</si>
  <si>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</si>
  <si>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</si>
  <si>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</si>
  <si>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</si>
  <si>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</si>
  <si>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</si>
  <si>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</si>
  <si>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</si>
  <si>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</si>
  <si>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</si>
  <si>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</si>
  <si>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</si>
  <si>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</si>
  <si>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</si>
  <si>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</si>
  <si>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</si>
  <si>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</si>
  <si>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</si>
  <si>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</si>
  <si>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</si>
  <si>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</si>
  <si>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</si>
  <si>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</si>
  <si>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</si>
  <si>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</si>
  <si>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</si>
  <si>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</si>
  <si>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</si>
  <si>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</si>
  <si>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</si>
  <si>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</si>
  <si>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</si>
  <si>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</si>
  <si>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</si>
  <si>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</si>
  <si>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</si>
  <si>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</si>
  <si>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</si>
  <si>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</si>
  <si>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</si>
  <si>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</si>
  <si>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</si>
  <si>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</si>
  <si>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</si>
  <si>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</si>
  <si>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</si>
  <si>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</si>
  <si>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</si>
  <si>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</si>
  <si>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</si>
  <si>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</si>
  <si>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</si>
  <si>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</si>
  <si>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</si>
  <si>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</si>
  <si>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</si>
  <si>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</si>
  <si>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</si>
  <si>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</si>
  <si>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</si>
  <si>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</si>
  <si>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</si>
  <si>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</si>
  <si>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</si>
  <si>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</si>
  <si>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</si>
  <si>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</si>
  <si>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</si>
  <si>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</si>
  <si>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</si>
  <si>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</si>
  <si>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</si>
  <si>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</si>
  <si>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</si>
  <si>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</si>
  <si>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</si>
  <si>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</si>
  <si>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</si>
  <si>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</si>
  <si>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</si>
  <si>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</si>
  <si>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</si>
  <si>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</si>
  <si>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</si>
  <si>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</si>
  <si>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</si>
  <si>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</si>
  <si>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</si>
  <si>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</si>
  <si>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</si>
  <si>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</si>
  <si>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</si>
  <si>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</si>
  <si>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</si>
  <si>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</si>
  <si>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</si>
  <si>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</si>
  <si>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</si>
  <si>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</si>
  <si>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</si>
  <si>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</si>
  <si>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</si>
  <si>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</si>
  <si>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</si>
  <si>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</si>
  <si>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</si>
  <si>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</si>
  <si>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</si>
  <si>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</si>
  <si>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</si>
  <si>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</si>
  <si>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</si>
  <si>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</si>
  <si>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</si>
  <si>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</si>
  <si>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</si>
  <si>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</si>
  <si>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</si>
  <si>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</si>
  <si>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</si>
  <si>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</si>
  <si>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</si>
  <si>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</si>
  <si>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</si>
  <si>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</si>
  <si>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</si>
  <si>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</si>
  <si>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</si>
  <si>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</si>
  <si>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</si>
  <si>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</si>
  <si>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</si>
  <si>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</si>
  <si>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</si>
  <si>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</si>
  <si>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</si>
  <si>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</si>
  <si>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</si>
  <si>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</si>
  <si>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</si>
  <si>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</si>
  <si>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</si>
  <si>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</si>
  <si>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</si>
  <si>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</si>
  <si>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</si>
  <si>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</si>
  <si>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</si>
  <si>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</si>
  <si>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</si>
  <si>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</si>
  <si>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</si>
  <si>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</si>
  <si>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</si>
  <si>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</si>
  <si>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</si>
  <si>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</si>
  <si>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</si>
  <si>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</si>
  <si>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</si>
  <si>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</si>
  <si>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</si>
  <si>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</si>
  <si>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</si>
  <si>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</si>
  <si>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</si>
  <si>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</si>
  <si>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</si>
  <si>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</si>
  <si>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</si>
  <si>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</si>
  <si>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</si>
  <si>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</si>
  <si>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</si>
  <si>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</si>
  <si>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</si>
  <si>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</si>
  <si>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</si>
  <si>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</si>
  <si>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</si>
  <si>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</si>
  <si>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</si>
  <si>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</si>
  <si>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</si>
  <si>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</si>
  <si>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</si>
  <si>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</si>
  <si>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</si>
  <si>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</si>
  <si>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</si>
  <si>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</si>
  <si>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</si>
  <si>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</si>
  <si>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</si>
  <si>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</si>
  <si>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</si>
  <si>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</si>
  <si>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</si>
  <si>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</si>
  <si>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</si>
  <si>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</si>
  <si>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</si>
  <si>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</si>
  <si>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</si>
  <si>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</si>
  <si>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</si>
  <si>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</si>
  <si>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</si>
  <si>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</si>
  <si>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</si>
  <si>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</si>
  <si>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</si>
  <si>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</si>
  <si>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</si>
  <si>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</si>
  <si>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</si>
  <si>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</si>
  <si>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</si>
  <si>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</si>
  <si>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</si>
  <si>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</si>
  <si>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</si>
  <si>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</si>
  <si>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</si>
  <si>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</si>
  <si>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</si>
  <si>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</si>
  <si>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</si>
  <si>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</si>
  <si>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</si>
  <si>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</si>
  <si>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</si>
  <si>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</si>
  <si>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</si>
  <si>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</si>
  <si>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</si>
  <si>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</si>
  <si>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</si>
  <si>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</si>
  <si>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</si>
  <si>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</si>
  <si>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</si>
  <si>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</si>
  <si>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</si>
  <si>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</si>
  <si>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</si>
  <si>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</si>
  <si>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</si>
  <si>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</si>
  <si>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</si>
  <si>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</si>
  <si>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</si>
  <si>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</si>
  <si>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</si>
  <si>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</si>
  <si>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</si>
  <si>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</si>
  <si>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</si>
  <si>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</si>
  <si>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</si>
  <si>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</si>
  <si>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</si>
  <si>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</si>
  <si>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</si>
  <si>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</si>
  <si>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</si>
  <si>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</si>
  <si>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</si>
  <si>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</si>
  <si>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</si>
  <si>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</si>
  <si>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</si>
  <si>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</si>
  <si>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</si>
  <si>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</si>
  <si>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</si>
  <si>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</si>
  <si>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</si>
  <si>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</si>
  <si>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</si>
  <si>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</si>
  <si>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</si>
  <si>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</si>
  <si>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</si>
  <si>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</si>
  <si>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</si>
  <si>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</si>
  <si>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</si>
  <si>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</si>
  <si>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</si>
  <si>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</si>
  <si>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</si>
  <si>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</si>
  <si>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</si>
  <si>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</si>
  <si>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</si>
  <si>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</si>
  <si>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</si>
  <si>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</si>
  <si>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</si>
  <si>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</si>
  <si>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</si>
  <si>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</si>
  <si>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</si>
  <si>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</si>
  <si>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</si>
  <si>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</si>
  <si>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</si>
  <si>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</si>
  <si>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</si>
  <si>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</si>
  <si>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</si>
  <si>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</si>
  <si>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</si>
  <si>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</si>
  <si>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</si>
  <si>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</si>
  <si>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</si>
  <si>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</si>
  <si>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</si>
  <si>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</si>
  <si>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</si>
  <si>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</si>
  <si>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</si>
  <si>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</si>
  <si>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</si>
  <si>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</si>
  <si>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</si>
  <si>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</si>
  <si>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</si>
  <si>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</si>
  <si>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</si>
  <si>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</si>
  <si>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</si>
  <si>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</si>
  <si>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</si>
  <si>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</si>
  <si>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</si>
  <si>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</si>
  <si>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</si>
  <si>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</si>
  <si>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</si>
  <si>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</si>
  <si>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</si>
  <si>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</si>
  <si>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</si>
  <si>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</si>
  <si>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</si>
  <si>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</si>
  <si>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</si>
  <si>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</si>
  <si>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</si>
  <si>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</si>
  <si>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</si>
  <si>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</si>
  <si>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</si>
  <si>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</si>
  <si>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</si>
  <si>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</si>
  <si>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</si>
  <si>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</si>
  <si>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</si>
  <si>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</si>
  <si>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</si>
  <si>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</si>
  <si>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</si>
  <si>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</si>
  <si>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</si>
  <si>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</si>
  <si>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</si>
  <si>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</si>
  <si>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</si>
  <si>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</si>
  <si>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</si>
  <si>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</si>
  <si>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</si>
  <si>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</si>
  <si>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</si>
  <si>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</si>
  <si>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</si>
  <si>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</si>
  <si>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</si>
  <si>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</si>
  <si>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</si>
  <si>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</si>
  <si>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</si>
  <si>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</si>
  <si>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</si>
  <si>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</si>
  <si>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</si>
  <si>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</si>
  <si>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</si>
  <si>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</si>
  <si>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</si>
  <si>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</si>
  <si>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</si>
  <si>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</si>
  <si>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</si>
  <si>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</si>
  <si>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</si>
  <si>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</si>
  <si>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</si>
  <si>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</si>
  <si>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</si>
  <si>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</si>
  <si>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</si>
  <si>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</si>
  <si>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</si>
  <si>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</si>
  <si>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</si>
  <si>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</si>
  <si>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</si>
  <si>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</si>
  <si>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</si>
  <si>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</si>
  <si>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</si>
  <si>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</si>
  <si>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</si>
  <si>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</si>
  <si>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</si>
  <si>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</si>
  <si>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</si>
  <si>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</si>
  <si>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</si>
  <si>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</si>
  <si>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</si>
  <si>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</si>
  <si>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</si>
  <si>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</si>
  <si>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</si>
  <si>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</si>
  <si>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</si>
  <si>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</si>
  <si>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</si>
  <si>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</si>
  <si>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</si>
  <si>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</si>
  <si>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</si>
  <si>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</si>
  <si>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</si>
  <si>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</si>
  <si>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</si>
  <si>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</si>
  <si>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</si>
  <si>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</si>
  <si>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</si>
  <si>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</si>
  <si>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</si>
  <si>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</si>
  <si>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</si>
  <si>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</si>
  <si>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</si>
  <si>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</si>
  <si>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</si>
  <si>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</si>
  <si>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</si>
  <si>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</si>
  <si>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</si>
  <si>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</si>
  <si>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</si>
  <si>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</si>
  <si>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</si>
  <si>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</si>
  <si>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</si>
  <si>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</si>
  <si>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</si>
  <si>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</si>
  <si>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</si>
  <si>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</si>
  <si>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</si>
  <si>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</si>
  <si>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</si>
  <si>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</si>
  <si>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</si>
  <si>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</si>
  <si>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</si>
  <si>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</si>
  <si>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</si>
  <si>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</si>
  <si>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</si>
  <si>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</si>
  <si>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</si>
  <si>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</si>
  <si>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</si>
  <si>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</si>
  <si>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</si>
  <si>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</si>
  <si>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</si>
  <si>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</si>
  <si>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</si>
  <si>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</si>
  <si>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</si>
  <si>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</si>
  <si>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</si>
  <si>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</si>
  <si>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</si>
  <si>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</si>
  <si>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</si>
  <si>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</si>
  <si>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</si>
  <si>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</si>
  <si>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</si>
  <si>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</si>
  <si>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</si>
  <si>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</si>
  <si>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</si>
  <si>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</si>
  <si>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</si>
  <si>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</si>
  <si>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</si>
  <si>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</si>
  <si>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</si>
  <si>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</si>
  <si>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</si>
  <si>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</si>
  <si>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</si>
  <si>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</si>
  <si>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</si>
  <si>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</si>
  <si>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</si>
  <si>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</si>
  <si>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</si>
  <si>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</si>
  <si>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</si>
  <si>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</si>
  <si>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</si>
  <si>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</si>
  <si>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</si>
  <si>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</si>
  <si>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</si>
  <si>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</si>
  <si>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</si>
  <si>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</si>
  <si>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</si>
  <si>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</si>
  <si>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</si>
  <si>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</si>
  <si>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</si>
  <si>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</si>
  <si>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</si>
  <si>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</si>
  <si>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</si>
  <si>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</si>
  <si>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</si>
  <si>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</si>
  <si>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</si>
  <si>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</si>
  <si>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</si>
  <si>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</si>
  <si>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</si>
  <si>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</si>
  <si>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</si>
  <si>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</si>
  <si>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</si>
  <si>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</si>
  <si>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</si>
  <si>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</si>
  <si>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</si>
  <si>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</si>
  <si>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</si>
  <si>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</si>
  <si>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</si>
  <si>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</si>
  <si>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</si>
  <si>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</si>
  <si>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</si>
  <si>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</si>
  <si>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</si>
  <si>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</si>
  <si>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</si>
  <si>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</si>
  <si>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</si>
  <si>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</si>
  <si>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</si>
  <si>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</si>
  <si>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</si>
  <si>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</si>
  <si>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</si>
  <si>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</si>
  <si>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</si>
  <si>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</si>
  <si>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</si>
  <si>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</si>
  <si>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</si>
  <si>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</si>
  <si>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</si>
  <si>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</si>
  <si>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</si>
  <si>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</si>
  <si>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</si>
  <si>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</si>
  <si>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</si>
  <si>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</si>
  <si>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</si>
  <si>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</si>
  <si>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</si>
  <si>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</si>
  <si>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</si>
  <si>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</si>
  <si>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</si>
  <si>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</si>
  <si>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</si>
  <si>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</si>
  <si>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</si>
  <si>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</si>
  <si>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</si>
  <si>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</si>
  <si>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</si>
  <si>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</si>
  <si>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</si>
  <si>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</si>
  <si>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</si>
  <si>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</si>
  <si>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</si>
  <si>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</si>
  <si>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</si>
  <si>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</si>
  <si>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</si>
  <si>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</si>
  <si>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</si>
  <si>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</si>
  <si>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</si>
  <si>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</si>
  <si>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</si>
  <si>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</si>
  <si>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</si>
  <si>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</si>
  <si>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</si>
  <si>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</si>
  <si>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</si>
  <si>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</si>
  <si>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</si>
  <si>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</si>
  <si>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</si>
  <si>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</si>
  <si>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</si>
  <si>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</si>
  <si>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</si>
  <si>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</si>
  <si>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</si>
  <si>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</si>
  <si>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</si>
  <si>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</si>
  <si>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</si>
  <si>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</si>
  <si>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</si>
  <si>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</si>
  <si>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</si>
  <si>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</si>
  <si>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</si>
  <si>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</si>
  <si>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</si>
  <si>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</si>
  <si>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</si>
  <si>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</si>
  <si>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</si>
  <si>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</si>
  <si>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</si>
  <si>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</si>
  <si>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</si>
  <si>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</si>
  <si>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</si>
  <si>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</si>
  <si>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</si>
  <si>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</si>
  <si>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</si>
  <si>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</si>
  <si>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</si>
  <si>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</si>
  <si>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</si>
  <si>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</si>
  <si>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</si>
  <si>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</si>
  <si>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</si>
  <si>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</si>
  <si>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</si>
  <si>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</si>
  <si>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</si>
  <si>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</si>
  <si>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</si>
  <si>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</si>
  <si>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</si>
  <si>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</si>
  <si>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</si>
  <si>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</si>
  <si>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</si>
  <si>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</si>
  <si>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</si>
  <si>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</si>
  <si>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</si>
  <si>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</si>
  <si>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</si>
  <si>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</si>
  <si>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</si>
  <si>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</si>
  <si>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</si>
  <si>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</si>
  <si>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</si>
  <si>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</si>
  <si>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</si>
  <si>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</si>
  <si>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</si>
  <si>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</si>
  <si>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</si>
  <si>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</si>
  <si>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</si>
  <si>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</si>
  <si>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</si>
  <si>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</si>
  <si>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</si>
  <si>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</si>
  <si>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</si>
  <si>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</si>
  <si>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</si>
  <si>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</si>
  <si>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</si>
  <si>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</si>
  <si>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</si>
  <si>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</si>
  <si>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</si>
  <si>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</si>
  <si>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</si>
  <si>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</si>
  <si>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</si>
  <si>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</si>
  <si>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</si>
  <si>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</si>
  <si>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</si>
  <si>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</si>
  <si>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</si>
  <si>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</si>
  <si>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</si>
  <si>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</si>
  <si>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</si>
  <si>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</si>
  <si>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</si>
  <si>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</si>
  <si>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</si>
  <si>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</si>
  <si>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</si>
  <si>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</si>
  <si>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</si>
  <si>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</si>
  <si>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</si>
  <si>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</si>
  <si>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</si>
  <si>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</si>
  <si>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</si>
  <si>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</si>
  <si>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</si>
  <si>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</si>
  <si>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</si>
  <si>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</si>
  <si>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</si>
  <si>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</si>
  <si>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</si>
  <si>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</si>
  <si>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</si>
  <si>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</si>
  <si>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</si>
  <si>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</si>
  <si>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</si>
  <si>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</si>
  <si>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</si>
  <si>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</si>
  <si>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</si>
  <si>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</si>
  <si>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</si>
  <si>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</si>
  <si>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</si>
  <si>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</si>
  <si>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</si>
  <si>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</si>
  <si>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</si>
  <si>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</si>
  <si>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</si>
  <si>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</si>
  <si>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</si>
  <si>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</si>
  <si>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</si>
  <si>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</si>
  <si>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</si>
  <si>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</si>
  <si>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</si>
  <si>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</si>
  <si>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</si>
  <si>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</si>
  <si>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</si>
  <si>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</si>
  <si>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</si>
  <si>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</si>
  <si>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</si>
  <si>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</si>
  <si>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</si>
  <si>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</si>
  <si>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</si>
  <si>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</si>
  <si>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</si>
  <si>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</si>
  <si>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</si>
  <si>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</si>
  <si>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</si>
  <si>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</si>
  <si>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</si>
  <si>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</si>
  <si>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</si>
  <si>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</si>
  <si>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</si>
  <si>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</si>
  <si>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</si>
  <si>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</si>
  <si>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</si>
  <si>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</si>
  <si>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</si>
  <si>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</si>
  <si>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</si>
  <si>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</si>
  <si>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</si>
  <si>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</si>
  <si>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</si>
  <si>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</si>
  <si>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</si>
  <si>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</si>
  <si>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</si>
  <si>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</si>
  <si>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</si>
  <si>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</si>
  <si>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</si>
  <si>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</si>
  <si>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</si>
  <si>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</si>
  <si>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</si>
  <si>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</si>
  <si>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</si>
  <si>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</si>
  <si>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</si>
  <si>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</si>
  <si>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</si>
  <si>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</si>
  <si>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</si>
  <si>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</si>
  <si>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</si>
  <si>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</si>
  <si>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</si>
  <si>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</si>
  <si>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</si>
  <si>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</si>
  <si>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</si>
  <si>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</si>
  <si>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</si>
  <si>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</si>
  <si>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</si>
  <si>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</si>
  <si>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</si>
  <si>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</si>
  <si>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</si>
  <si>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</si>
  <si>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</si>
  <si>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</si>
  <si>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</si>
  <si>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</si>
  <si>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</si>
  <si>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</si>
  <si>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</si>
  <si>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</si>
  <si>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</si>
  <si>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</si>
  <si>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</si>
  <si>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</si>
  <si>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</si>
  <si>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</si>
  <si>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</si>
  <si>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</si>
  <si>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</si>
  <si>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</si>
  <si>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</si>
  <si>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</si>
  <si>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</si>
  <si>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</si>
  <si>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</si>
  <si>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</si>
  <si>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</si>
  <si>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</si>
  <si>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</si>
  <si>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</si>
  <si>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</si>
  <si>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</si>
  <si>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</si>
  <si>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</si>
  <si>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</si>
  <si>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</si>
  <si>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</si>
  <si>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</si>
  <si>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</si>
  <si>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</si>
  <si>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</si>
  <si>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</si>
  <si>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</si>
  <si>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</si>
  <si>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</si>
  <si>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</si>
  <si>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</si>
  <si>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</si>
  <si>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</si>
  <si>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</si>
  <si>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</si>
  <si>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</si>
  <si>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</si>
  <si>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</si>
  <si>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</si>
  <si>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</si>
  <si>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</si>
  <si>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</si>
  <si>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</si>
  <si>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</si>
  <si>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</si>
  <si>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</si>
  <si>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</si>
  <si>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</si>
  <si>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</si>
  <si>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</si>
  <si>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</si>
  <si>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</si>
  <si>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</si>
  <si>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</si>
  <si>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</si>
  <si>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</si>
  <si>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</si>
  <si>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</si>
  <si>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</si>
  <si>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</si>
  <si>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</si>
  <si>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</si>
  <si>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</si>
  <si>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</si>
  <si>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</si>
  <si>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</si>
  <si>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</si>
  <si>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</si>
  <si>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</si>
  <si>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</si>
  <si>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</si>
  <si>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</si>
  <si>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</si>
  <si>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</si>
  <si>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</si>
  <si>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</si>
  <si>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</si>
  <si>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</si>
  <si>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</si>
  <si>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</si>
  <si>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</si>
  <si>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</si>
  <si>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</si>
  <si>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</si>
  <si>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</si>
  <si>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</si>
  <si>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</si>
  <si>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</si>
  <si>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</si>
  <si>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</si>
  <si>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</si>
  <si>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</si>
  <si>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</si>
  <si>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</si>
  <si>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</si>
  <si>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</si>
  <si>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</si>
  <si>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</si>
  <si>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</si>
  <si>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</si>
  <si>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</si>
  <si>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</si>
  <si>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</si>
  <si>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</si>
  <si>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</si>
  <si>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</si>
  <si>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</si>
  <si>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</si>
  <si>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</si>
  <si>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</si>
  <si>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</si>
  <si>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</si>
  <si>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</si>
  <si>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</si>
  <si>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</si>
  <si>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</si>
  <si>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</si>
  <si>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</si>
  <si>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</si>
  <si>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</si>
  <si>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</si>
  <si>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</si>
  <si>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</si>
  <si>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</si>
  <si>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</si>
  <si>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</si>
  <si>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</si>
  <si>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</si>
  <si>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</si>
  <si>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</si>
  <si>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</si>
  <si>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</si>
  <si>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</si>
  <si>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</si>
  <si>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</si>
  <si>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</si>
  <si>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</si>
  <si>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</si>
  <si>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</si>
  <si>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</si>
  <si>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</si>
  <si>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</si>
  <si>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</si>
  <si>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</si>
  <si>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</si>
  <si>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</si>
  <si>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</si>
  <si>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</si>
  <si>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</si>
  <si>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</si>
  <si>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</si>
  <si>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</si>
  <si>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</si>
  <si>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</si>
  <si>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</si>
  <si>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</si>
  <si>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</si>
  <si>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</si>
  <si>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</si>
  <si>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</si>
  <si>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</si>
  <si>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</si>
  <si>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</si>
  <si>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</si>
  <si>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</si>
  <si>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</si>
  <si>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</si>
  <si>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</si>
  <si>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</si>
  <si>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</si>
  <si>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</si>
  <si>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</si>
  <si>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</si>
  <si>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</si>
  <si>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</si>
  <si>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</si>
  <si>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</si>
  <si>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</si>
  <si>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</si>
  <si>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</si>
  <si>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</si>
  <si>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</si>
  <si>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</si>
  <si>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</si>
  <si>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</si>
  <si>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</si>
  <si>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</si>
  <si>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</si>
  <si>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</si>
  <si>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</si>
  <si>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</si>
  <si>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</si>
  <si>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</si>
  <si>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</si>
  <si>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</si>
  <si>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</si>
  <si>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</si>
  <si>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</si>
  <si>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</si>
  <si>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</si>
  <si>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</si>
  <si>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</si>
  <si>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</si>
  <si>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</si>
  <si>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</si>
  <si>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</si>
  <si>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</si>
  <si>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</si>
  <si>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</si>
  <si>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</si>
  <si>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</si>
  <si>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</si>
  <si>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</si>
  <si>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</si>
  <si>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</si>
  <si>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</si>
  <si>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</si>
  <si>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</si>
  <si>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</si>
  <si>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</si>
  <si>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</si>
  <si>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</si>
  <si>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</si>
  <si>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</si>
  <si>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</si>
  <si>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</si>
  <si>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</si>
  <si>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</si>
  <si>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</si>
  <si>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</si>
  <si>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</si>
  <si>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</si>
  <si>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</si>
  <si>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</si>
  <si>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</si>
  <si>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</si>
  <si>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</si>
  <si>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</si>
  <si>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</si>
  <si>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</si>
  <si>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</si>
  <si>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</si>
  <si>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</si>
  <si>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</si>
  <si>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</si>
  <si>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</si>
  <si>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</si>
  <si>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</si>
  <si>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</si>
  <si>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</si>
  <si>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</si>
  <si>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</si>
  <si>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</si>
  <si>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</si>
  <si>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</si>
  <si>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</si>
  <si>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</si>
  <si>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</si>
  <si>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</si>
  <si>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</si>
  <si>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</si>
  <si>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</si>
  <si>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</si>
  <si>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</si>
  <si>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</si>
  <si>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</si>
  <si>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</si>
  <si>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</si>
  <si>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</si>
  <si>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</si>
  <si>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</si>
  <si>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</si>
  <si>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</si>
  <si>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</si>
  <si>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</si>
  <si>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</si>
  <si>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</si>
  <si>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</si>
  <si>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</si>
  <si>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</si>
  <si>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</si>
  <si>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</si>
  <si>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</si>
  <si>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</si>
  <si>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</si>
  <si>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</si>
  <si>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</si>
  <si>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</si>
  <si>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</si>
  <si>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</si>
  <si>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</si>
  <si>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</si>
  <si>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</si>
  <si>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</si>
  <si>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</si>
  <si>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</si>
  <si>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</si>
  <si>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</si>
  <si>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</si>
  <si>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</si>
  <si>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</si>
  <si>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</si>
  <si>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</si>
  <si>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</si>
  <si>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</si>
  <si>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</si>
  <si>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</si>
  <si>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</si>
  <si>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</si>
  <si>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</si>
  <si>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</si>
  <si>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</si>
  <si>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</si>
  <si>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</si>
  <si>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</si>
  <si>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</si>
  <si>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</si>
  <si>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</si>
  <si>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</si>
  <si>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</si>
  <si>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</si>
  <si>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</si>
  <si>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</si>
  <si>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</si>
  <si>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</si>
  <si>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</si>
  <si>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</si>
  <si>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</si>
  <si>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</si>
  <si>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</si>
  <si>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</si>
  <si>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</si>
  <si>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</si>
  <si>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</si>
  <si>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</si>
  <si>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</si>
  <si>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</si>
  <si>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</si>
  <si>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</si>
  <si>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</si>
  <si>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</si>
  <si>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</si>
  <si>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</si>
  <si>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</si>
  <si>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</si>
  <si>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</si>
  <si>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</si>
  <si>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</si>
  <si>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</si>
  <si>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</si>
  <si>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</si>
  <si>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</si>
  <si>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</si>
  <si>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</si>
  <si>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</si>
  <si>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</si>
  <si>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</si>
  <si>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</si>
  <si>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</si>
  <si>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</si>
  <si>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</si>
  <si>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</si>
  <si>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</si>
  <si>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</si>
  <si>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</si>
  <si>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</si>
  <si>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</si>
  <si>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</si>
  <si>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</si>
  <si>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</si>
  <si>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</si>
  <si>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</si>
  <si>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</si>
  <si>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</si>
  <si>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</si>
  <si>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</si>
  <si>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</si>
  <si>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</si>
  <si>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</si>
  <si>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</si>
  <si>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</si>
  <si>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</si>
  <si>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</si>
  <si>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</si>
  <si>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</si>
  <si>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</si>
  <si>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</si>
  <si>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</si>
  <si>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</si>
  <si>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</si>
  <si>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</si>
  <si>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</si>
  <si>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</si>
  <si>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</si>
  <si>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</si>
  <si>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</si>
  <si>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</si>
  <si>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</si>
  <si>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</si>
  <si>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</si>
  <si>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</si>
  <si>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</si>
  <si>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</si>
  <si>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</si>
  <si>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</si>
  <si>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</si>
  <si>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</si>
  <si>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</si>
  <si>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</si>
  <si>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</si>
  <si>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</si>
  <si>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</si>
  <si>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</si>
  <si>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</si>
  <si>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</si>
  <si>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</si>
  <si>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</si>
  <si>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</si>
  <si>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</si>
  <si>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</si>
  <si>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</si>
  <si>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</si>
  <si>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</si>
  <si>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</si>
  <si>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</si>
  <si>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</si>
  <si>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</si>
  <si>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</si>
  <si>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</si>
  <si>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</si>
  <si>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</si>
  <si>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</si>
  <si>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</si>
  <si>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</si>
  <si>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</si>
  <si>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</si>
  <si>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</si>
  <si>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</si>
  <si>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</si>
  <si>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 xml:space="preserve">Остали приходи у корист нивоа градова                                                                 </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</si>
  <si>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</si>
  <si>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</si>
  <si>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</si>
  <si>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</si>
  <si>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</si>
  <si>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</si>
  <si>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</si>
  <si>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</si>
  <si>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</si>
  <si>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</si>
  <si>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</si>
  <si>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</si>
  <si>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</si>
  <si>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</si>
  <si>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</si>
  <si>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</si>
  <si>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</si>
  <si>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</si>
  <si>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</si>
  <si>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</si>
  <si>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</si>
  <si>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</si>
  <si>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</si>
  <si>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</si>
  <si>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</si>
  <si>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</si>
  <si>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</si>
  <si>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</si>
  <si>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</si>
  <si>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</si>
  <si>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</si>
  <si>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</si>
  <si>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</si>
  <si>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</si>
  <si>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</si>
  <si>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</si>
  <si>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</si>
  <si>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</si>
  <si>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</si>
  <si>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</si>
  <si>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</si>
  <si>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</si>
  <si>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</si>
  <si>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</si>
  <si>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</si>
  <si>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</si>
  <si>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</si>
  <si>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</si>
  <si>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</si>
  <si>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</si>
  <si>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</si>
  <si>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</si>
  <si>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</si>
  <si>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</si>
  <si>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</si>
  <si>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</si>
  <si>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</si>
  <si>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</si>
  <si>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</si>
  <si>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</si>
  <si>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</si>
  <si>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</si>
  <si>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</si>
  <si>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</si>
  <si>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</si>
  <si>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</si>
  <si>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</si>
  <si>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</si>
  <si>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</si>
  <si>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</si>
  <si>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</si>
  <si>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</si>
  <si>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</si>
  <si>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</si>
  <si>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</si>
  <si>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</si>
  <si>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</si>
  <si>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</si>
  <si>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</si>
  <si>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</si>
  <si>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</si>
  <si>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</si>
  <si>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</si>
  <si>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</si>
  <si>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</si>
  <si>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</si>
  <si>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</si>
  <si>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</si>
  <si>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</si>
  <si>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</si>
  <si>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</si>
  <si>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</si>
  <si>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</si>
  <si>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</si>
  <si>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</si>
  <si>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</si>
  <si>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</si>
  <si>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</si>
  <si>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</si>
  <si>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</si>
  <si>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</si>
  <si>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</si>
  <si>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</si>
  <si>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</si>
  <si>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</si>
  <si>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</si>
  <si>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</si>
  <si>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</si>
  <si>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</si>
  <si>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</si>
  <si>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</si>
  <si>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</si>
  <si>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</si>
  <si>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</si>
  <si>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</si>
  <si>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</si>
  <si>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</si>
  <si>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</si>
  <si>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</si>
  <si>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</si>
  <si>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</si>
  <si>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</si>
  <si>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</si>
  <si>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</si>
  <si>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</si>
  <si>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</si>
  <si>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</si>
  <si>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</si>
  <si>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</si>
  <si>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</si>
  <si>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</si>
  <si>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</si>
  <si>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</si>
  <si>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</si>
  <si>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</si>
  <si>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</si>
  <si>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</si>
  <si>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</si>
  <si>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</si>
  <si>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</si>
  <si>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</si>
  <si>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</si>
  <si>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</si>
  <si>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</si>
  <si>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</si>
  <si>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</si>
  <si>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</si>
  <si>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</si>
  <si>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</si>
  <si>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</si>
  <si>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</si>
  <si>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</si>
  <si>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</si>
  <si>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</si>
  <si>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</si>
  <si>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</si>
  <si>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</si>
  <si>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</si>
  <si>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</si>
  <si>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</si>
  <si>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</si>
  <si>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</si>
  <si>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</si>
  <si>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</si>
  <si>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</si>
  <si>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</si>
  <si>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</si>
  <si>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</si>
  <si>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</si>
  <si>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</si>
  <si>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</si>
  <si>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</si>
  <si>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</si>
  <si>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</si>
  <si>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</si>
  <si>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</si>
  <si>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</si>
  <si>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</si>
  <si>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</si>
  <si>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</si>
  <si>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</si>
  <si>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</si>
  <si>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</si>
  <si>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</si>
  <si>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</si>
  <si>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</si>
  <si>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</si>
  <si>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</si>
  <si>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</si>
  <si>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</si>
  <si>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</si>
  <si>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</si>
  <si>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</si>
  <si>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</si>
  <si>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</si>
  <si>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</si>
  <si>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</si>
  <si>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</si>
  <si>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</si>
  <si>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</si>
  <si>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</si>
  <si>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</si>
  <si>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</si>
  <si>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</si>
  <si>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</si>
  <si>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</si>
  <si>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</si>
  <si>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</si>
  <si>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</si>
  <si>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</si>
  <si>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</si>
  <si>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</si>
  <si>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</si>
  <si>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</si>
  <si>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</si>
  <si>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</si>
  <si>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</si>
  <si>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</si>
  <si>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</si>
  <si>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</si>
  <si>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</si>
  <si>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</si>
  <si>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</si>
  <si>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</si>
  <si>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</si>
  <si>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</si>
  <si>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</si>
  <si>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</si>
  <si>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</si>
  <si>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</si>
  <si>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</si>
  <si>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</si>
  <si>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</si>
  <si>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</si>
  <si>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</si>
  <si>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</si>
  <si>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</si>
  <si>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</si>
  <si>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</si>
  <si>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</si>
  <si>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</si>
  <si>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</si>
  <si>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</si>
  <si>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</si>
  <si>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</si>
  <si>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</si>
  <si>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</si>
  <si>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</si>
  <si>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</si>
  <si>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</si>
  <si>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</si>
  <si>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</si>
  <si>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</si>
  <si>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</si>
  <si>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</si>
  <si>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</si>
  <si>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</si>
  <si>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</si>
  <si>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</si>
  <si>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</si>
  <si>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</si>
  <si>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</si>
  <si>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</si>
  <si>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</si>
  <si>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</si>
  <si>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</si>
  <si>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</si>
  <si>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</si>
  <si>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</si>
  <si>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</si>
  <si>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</si>
  <si>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</si>
  <si>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</si>
  <si>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</si>
  <si>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</si>
  <si>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</si>
  <si>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</si>
  <si>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</si>
  <si>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</si>
  <si>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</si>
  <si>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</si>
  <si>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</si>
  <si>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</si>
  <si>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</si>
  <si>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</si>
  <si>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</si>
  <si>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</si>
  <si>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</si>
  <si>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</si>
  <si>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</si>
  <si>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</si>
  <si>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</si>
  <si>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</si>
  <si>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</si>
  <si>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</si>
  <si>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</si>
  <si>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</si>
  <si>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</si>
  <si>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</si>
  <si>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</si>
  <si>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</si>
  <si>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</si>
  <si>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</si>
  <si>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</si>
  <si>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</si>
  <si>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</si>
  <si>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</si>
  <si>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</si>
  <si>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</si>
  <si>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</si>
  <si>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</si>
  <si>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</si>
  <si>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</si>
  <si>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</si>
  <si>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</si>
  <si>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</si>
  <si>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</si>
  <si>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</si>
  <si>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</si>
  <si>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</si>
  <si>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</si>
  <si>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</si>
  <si>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</si>
  <si>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</si>
  <si>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</si>
  <si>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</si>
  <si>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</si>
  <si>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</si>
  <si>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</si>
  <si>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</si>
  <si>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</si>
  <si>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</si>
  <si>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</si>
  <si>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</si>
  <si>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</si>
  <si>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</si>
  <si>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</si>
  <si>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</si>
  <si>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</si>
  <si>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</si>
  <si>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</si>
  <si>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</si>
  <si>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</si>
  <si>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</si>
  <si>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</si>
  <si>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</si>
  <si>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</si>
  <si>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</si>
  <si>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</si>
  <si>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</si>
  <si>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</si>
  <si>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</si>
  <si>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</si>
  <si>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</si>
  <si>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</si>
  <si>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</si>
  <si>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</si>
  <si>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</si>
  <si>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</si>
  <si>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</si>
  <si>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</si>
  <si>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</si>
  <si>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</si>
  <si>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</si>
  <si>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</si>
  <si>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</si>
  <si>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</si>
  <si>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</si>
  <si>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</si>
  <si>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</si>
  <si>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</si>
  <si>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</si>
  <si>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</si>
  <si>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</si>
  <si>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</si>
  <si>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</si>
  <si>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</si>
  <si>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</si>
  <si>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</si>
  <si>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</si>
  <si>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</si>
  <si>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</si>
  <si>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</si>
  <si>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</si>
  <si>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</si>
  <si>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</si>
  <si>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</si>
  <si>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</si>
  <si>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</si>
  <si>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</si>
  <si>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</si>
  <si>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</si>
  <si>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</si>
  <si>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</si>
  <si>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</si>
  <si>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</si>
  <si>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</si>
  <si>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</si>
  <si>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</si>
  <si>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</si>
  <si>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</si>
  <si>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</si>
  <si>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</si>
  <si>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</si>
  <si>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</si>
  <si>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</si>
  <si>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</si>
  <si>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</si>
  <si>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</si>
  <si>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</si>
  <si>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</si>
  <si>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</si>
  <si>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</si>
  <si>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</si>
  <si>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</si>
  <si>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</si>
  <si>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</si>
  <si>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</si>
  <si>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</si>
  <si>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</si>
  <si>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</si>
  <si>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</si>
  <si>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</si>
  <si>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</si>
  <si>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</si>
  <si>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</si>
  <si>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</si>
  <si>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</si>
  <si>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</si>
  <si>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</si>
  <si>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</si>
  <si>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</si>
  <si>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</si>
  <si>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</si>
  <si>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</si>
  <si>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</si>
  <si>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</si>
  <si>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</si>
  <si>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</si>
  <si>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</si>
  <si>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</si>
  <si>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</si>
  <si>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</si>
  <si>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</si>
  <si>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</si>
  <si>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</si>
  <si>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</si>
  <si>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</si>
  <si>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</si>
  <si>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</si>
  <si>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</si>
  <si>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</si>
  <si>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</si>
  <si>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</si>
  <si>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</si>
  <si>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</si>
  <si>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</si>
  <si>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</si>
  <si>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</si>
  <si>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</si>
  <si>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</si>
  <si>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</si>
  <si>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</si>
  <si>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</si>
  <si>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</si>
  <si>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</si>
  <si>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</si>
  <si>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</si>
  <si>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</si>
  <si>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</si>
  <si>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</si>
  <si>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</si>
  <si>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</si>
  <si>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</si>
  <si>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</si>
  <si>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</si>
  <si>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</si>
  <si>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</si>
  <si>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</si>
  <si>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</si>
  <si>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</si>
  <si>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</si>
  <si>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</si>
  <si>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</si>
  <si>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</si>
  <si>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</si>
  <si>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</si>
  <si>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</si>
  <si>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</si>
  <si>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</si>
  <si>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</si>
  <si>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</si>
  <si>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</si>
  <si>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</si>
  <si>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</si>
  <si>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</si>
  <si>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</si>
  <si>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</si>
  <si>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</si>
  <si>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</si>
  <si>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</si>
  <si>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</si>
  <si>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</si>
  <si>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</si>
  <si>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</si>
  <si>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</si>
  <si>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</si>
  <si>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</si>
  <si>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</si>
  <si>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</si>
  <si>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</si>
  <si>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</si>
  <si>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</si>
  <si>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</si>
  <si>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</si>
  <si>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</si>
  <si>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</si>
  <si>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</si>
  <si>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</si>
  <si>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</si>
  <si>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</si>
  <si>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</si>
  <si>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</si>
  <si>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</si>
  <si>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</si>
  <si>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</si>
  <si>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</si>
  <si>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</si>
  <si>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</si>
  <si>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</si>
  <si>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</si>
  <si>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</si>
  <si>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</si>
  <si>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</si>
  <si>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</si>
  <si>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</si>
  <si>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</si>
  <si>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</si>
  <si>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</si>
  <si>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</si>
  <si>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</si>
  <si>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</si>
  <si>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</si>
  <si>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</si>
  <si>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</si>
  <si>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</si>
  <si>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</si>
  <si>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</si>
  <si>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</si>
  <si>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</si>
  <si>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</si>
  <si>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</si>
  <si>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</si>
  <si>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</si>
  <si>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</si>
  <si>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</si>
  <si>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</si>
  <si>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</si>
  <si>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</si>
  <si>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</si>
  <si>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</si>
  <si>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</si>
  <si>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</si>
  <si>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</si>
  <si>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</si>
  <si>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</si>
  <si>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</si>
  <si>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</si>
  <si>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</si>
  <si>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</si>
  <si>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</si>
  <si>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</si>
  <si>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</si>
  <si>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</si>
  <si>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</si>
  <si>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</si>
  <si>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</si>
  <si>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</si>
  <si>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</si>
  <si>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</si>
  <si>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</si>
  <si>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</si>
  <si>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</si>
  <si>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</si>
  <si>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</si>
  <si>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</si>
  <si>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</si>
  <si>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</si>
  <si>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</si>
  <si>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</si>
  <si>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</si>
  <si>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</si>
  <si>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</si>
  <si>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</si>
  <si>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</si>
  <si>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</si>
  <si>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</si>
  <si>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</si>
  <si>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</si>
  <si>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</si>
  <si>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</si>
  <si>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</si>
  <si>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</si>
  <si>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</si>
  <si>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</si>
  <si>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</si>
  <si>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</si>
  <si>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</si>
  <si>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</si>
  <si>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</si>
  <si>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</si>
  <si>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</si>
  <si>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</si>
  <si>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</si>
  <si>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</si>
  <si>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</si>
  <si>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</si>
  <si>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</si>
  <si>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</si>
  <si>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</si>
  <si>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ЗАШТИТНИК ГРАЂАНА</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</si>
  <si>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</si>
  <si>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</si>
  <si>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</si>
  <si>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</si>
  <si>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</si>
  <si>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</si>
  <si>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</si>
  <si>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</si>
  <si>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</si>
  <si>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</si>
  <si>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</si>
  <si>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</si>
  <si>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</si>
  <si>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</si>
  <si>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</si>
  <si>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</si>
  <si>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</si>
  <si>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</si>
  <si>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</si>
  <si>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</si>
  <si>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</si>
  <si>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</si>
  <si>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</si>
  <si>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</si>
  <si>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</si>
  <si>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</si>
  <si>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</si>
  <si>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</si>
  <si>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</si>
  <si>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</si>
  <si>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</si>
  <si>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</si>
  <si>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</si>
  <si>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</si>
  <si>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</si>
  <si>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</si>
  <si>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</si>
  <si>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</si>
  <si>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</si>
  <si>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</si>
  <si>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</si>
  <si>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</si>
  <si>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</si>
  <si>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</si>
  <si>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</si>
  <si>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</si>
  <si>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</si>
  <si>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</si>
  <si>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</si>
  <si>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</si>
  <si>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</si>
  <si>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</si>
  <si>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</si>
  <si>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</si>
  <si>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</si>
  <si>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</si>
  <si>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</si>
  <si>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ДРУГИ ПРИХОДИ</t>
  </si>
  <si>
    <t>ПРИХОДИ ОД ИМОВИНЕ</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</si>
  <si>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</si>
  <si>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</si>
  <si>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</si>
  <si>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</si>
  <si>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</si>
  <si>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</si>
  <si>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Приходи од закупнине за грађевинско земљиште у корист нивоа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</si>
  <si>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</si>
  <si>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</si>
  <si>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</si>
  <si>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</si>
  <si>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</si>
  <si>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</si>
  <si>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</si>
  <si>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</si>
  <si>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</si>
  <si>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</si>
  <si>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</si>
  <si>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</si>
  <si>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</si>
  <si>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</si>
  <si>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</si>
  <si>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</si>
  <si>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</si>
  <si>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</si>
  <si>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</si>
  <si>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</si>
  <si>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</si>
  <si>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</si>
  <si>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</si>
  <si>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</si>
  <si>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</si>
  <si>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</si>
  <si>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</si>
  <si>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</si>
  <si>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</si>
  <si>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</si>
  <si>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</si>
  <si>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</si>
  <si>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</si>
  <si>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</si>
  <si>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</si>
  <si>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</si>
  <si>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</si>
  <si>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</si>
  <si>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</si>
  <si>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</si>
  <si>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</si>
  <si>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</si>
  <si>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</si>
  <si>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</si>
  <si>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</si>
  <si>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</si>
  <si>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</si>
  <si>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</si>
  <si>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</si>
  <si>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</si>
  <si>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</si>
  <si>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</si>
  <si>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</si>
  <si>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</si>
  <si>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</si>
  <si>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</si>
  <si>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</si>
  <si>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</si>
  <si>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</si>
  <si>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</si>
  <si>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</si>
  <si>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</si>
  <si>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</si>
  <si>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</si>
  <si>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</si>
  <si>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</si>
  <si>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</si>
  <si>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</si>
  <si>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</si>
  <si>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</si>
  <si>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</si>
  <si>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</si>
  <si>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</si>
  <si>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</si>
  <si>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</si>
  <si>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</si>
  <si>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</si>
  <si>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</si>
  <si>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</si>
  <si>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</si>
  <si>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</si>
  <si>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</si>
  <si>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</si>
  <si>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</si>
  <si>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</si>
  <si>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</si>
  <si>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</si>
  <si>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</si>
  <si>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</si>
  <si>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</si>
  <si>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</si>
  <si>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</si>
  <si>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</si>
  <si>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</si>
  <si>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</si>
  <si>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</si>
  <si>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</si>
  <si>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</si>
  <si>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</si>
  <si>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</si>
  <si>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</si>
  <si>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</si>
  <si>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</si>
  <si>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</si>
  <si>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</si>
  <si>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</si>
  <si>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</si>
  <si>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</si>
  <si>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</si>
  <si>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</si>
  <si>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</si>
  <si>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</si>
  <si>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</si>
  <si>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</si>
  <si>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</si>
  <si>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</si>
  <si>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</si>
  <si>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</si>
  <si>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</si>
  <si>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</si>
  <si>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</si>
  <si>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</si>
  <si>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</si>
  <si>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</si>
  <si>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</si>
  <si>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</si>
  <si>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</si>
  <si>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</si>
  <si>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</si>
  <si>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4511</t>
  </si>
  <si>
    <t>4512</t>
  </si>
  <si>
    <t>452</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</si>
  <si>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</si>
  <si>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</si>
  <si>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</si>
  <si>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</si>
  <si>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</si>
  <si>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</si>
  <si>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</si>
  <si>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</si>
  <si>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</si>
  <si>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</si>
  <si>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</si>
  <si>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</si>
  <si>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</si>
  <si>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</si>
  <si>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</si>
  <si>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</si>
  <si>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</si>
  <si>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</si>
  <si>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</si>
  <si>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</si>
  <si>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</si>
  <si>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</si>
  <si>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</si>
  <si>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</si>
  <si>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</si>
  <si>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</si>
  <si>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</si>
  <si>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</si>
  <si>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</si>
  <si>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</si>
  <si>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</si>
  <si>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</si>
  <si>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</si>
  <si>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</si>
  <si>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</si>
  <si>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</si>
  <si>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</si>
  <si>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</si>
  <si>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</si>
  <si>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</si>
  <si>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</si>
  <si>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</si>
  <si>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</si>
  <si>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</si>
  <si>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</si>
  <si>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</si>
  <si>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</si>
  <si>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</si>
  <si>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</si>
  <si>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</si>
  <si>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</si>
  <si>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</si>
  <si>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</si>
  <si>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</si>
  <si>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</si>
  <si>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</si>
  <si>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</si>
  <si>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</si>
  <si>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</si>
  <si>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</si>
  <si>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</si>
  <si>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</si>
  <si>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</si>
  <si>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</si>
  <si>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</si>
  <si>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</si>
  <si>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</si>
  <si>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</si>
  <si>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</si>
  <si>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</si>
  <si>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</si>
  <si>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</si>
  <si>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</si>
  <si>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</si>
  <si>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</si>
  <si>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</si>
  <si>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</si>
  <si>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</si>
  <si>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</si>
  <si>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</si>
  <si>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</si>
  <si>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</si>
  <si>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</si>
  <si>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</si>
  <si>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</si>
  <si>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</si>
  <si>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</si>
  <si>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</si>
  <si>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</si>
  <si>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</si>
  <si>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</si>
  <si>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</si>
  <si>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</si>
  <si>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</si>
  <si>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</si>
  <si>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</si>
  <si>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</si>
  <si>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</si>
  <si>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</si>
  <si>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</si>
  <si>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</si>
  <si>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</si>
  <si>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</si>
  <si>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</si>
  <si>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</si>
  <si>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</si>
  <si>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</si>
  <si>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</si>
  <si>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</si>
  <si>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</si>
  <si>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</si>
  <si>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</si>
  <si>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</si>
  <si>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</si>
  <si>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</si>
  <si>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</si>
  <si>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</si>
  <si>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</si>
  <si>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</si>
  <si>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</si>
  <si>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</si>
  <si>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</si>
  <si>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</si>
  <si>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</si>
  <si>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</si>
  <si>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</si>
  <si>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</si>
  <si>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</si>
  <si>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</si>
  <si>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</si>
  <si>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</si>
  <si>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</si>
  <si>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</si>
  <si>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</si>
  <si>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</si>
  <si>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</si>
  <si>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</si>
  <si>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</si>
  <si>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</si>
  <si>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</si>
  <si>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</si>
  <si>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</si>
  <si>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</si>
  <si>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</si>
  <si>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</si>
  <si>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</si>
  <si>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</si>
  <si>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</si>
  <si>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</si>
  <si>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</si>
  <si>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</si>
  <si>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</si>
  <si>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</si>
  <si>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</si>
  <si>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</si>
  <si>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</si>
  <si>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</si>
  <si>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</si>
  <si>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</si>
  <si>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</si>
  <si>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</si>
  <si>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</si>
  <si>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</si>
  <si>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</si>
  <si>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</si>
  <si>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</si>
  <si>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</si>
  <si>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</si>
  <si>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</si>
  <si>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</si>
  <si>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</si>
  <si>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</si>
  <si>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</si>
  <si>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</si>
  <si>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</si>
  <si>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</si>
  <si>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</si>
  <si>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</si>
  <si>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</si>
  <si>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</si>
  <si>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</si>
  <si>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</si>
  <si>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</si>
  <si>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</si>
  <si>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</si>
  <si>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</si>
  <si>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Паркинг сервис</t>
  </si>
  <si>
    <t>0601-0011</t>
  </si>
  <si>
    <t>Одржавање гробаља и погребне услуге</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</si>
  <si>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</si>
  <si>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</si>
  <si>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</si>
  <si>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</si>
  <si>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</si>
  <si>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</si>
  <si>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</si>
  <si>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</si>
  <si>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</si>
  <si>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</si>
  <si>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</si>
  <si>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</si>
  <si>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</si>
  <si>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</si>
  <si>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0401-0001</t>
  </si>
  <si>
    <t>0401-0002</t>
  </si>
  <si>
    <t>Управљање комуналним отпадом</t>
  </si>
  <si>
    <t>0401-0003</t>
  </si>
  <si>
    <t>Праћење квалитета елемената животне средине</t>
  </si>
  <si>
    <t>0401-0004</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</si>
  <si>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</si>
  <si>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</si>
  <si>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</si>
  <si>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</si>
  <si>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</si>
  <si>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</si>
  <si>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</si>
  <si>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</si>
  <si>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</si>
  <si>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</si>
  <si>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</si>
  <si>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</si>
  <si>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</si>
  <si>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</si>
  <si>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</si>
  <si>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</si>
  <si>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</si>
  <si>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</si>
  <si>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</si>
  <si>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</si>
  <si>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</si>
  <si>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</si>
  <si>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</si>
  <si>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</si>
  <si>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</si>
  <si>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</si>
  <si>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</si>
  <si>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</si>
  <si>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</si>
  <si>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</si>
  <si>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</si>
  <si>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</si>
  <si>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</si>
  <si>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</si>
  <si>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</si>
  <si>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</si>
  <si>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</si>
  <si>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</si>
  <si>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</si>
  <si>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</si>
  <si>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</si>
  <si>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</si>
  <si>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0602-0009</t>
  </si>
  <si>
    <t>Правна помоћ</t>
  </si>
  <si>
    <t>0602-0010</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</si>
  <si>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</si>
  <si>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</si>
  <si>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</si>
  <si>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</si>
  <si>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</si>
  <si>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</si>
  <si>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</si>
  <si>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</si>
  <si>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</si>
  <si>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</si>
  <si>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</si>
  <si>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</si>
  <si>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</si>
  <si>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</si>
  <si>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</si>
  <si>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</si>
  <si>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</si>
  <si>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</si>
  <si>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</si>
  <si>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</si>
  <si>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</si>
  <si>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</si>
  <si>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</si>
  <si>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</si>
  <si>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</si>
  <si>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</si>
  <si>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</si>
  <si>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</si>
  <si>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</si>
  <si>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</si>
  <si>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</si>
  <si>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</si>
  <si>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</si>
  <si>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</si>
  <si>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</si>
  <si>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</si>
  <si>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</si>
  <si>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</si>
  <si>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</si>
  <si>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</si>
  <si>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</si>
  <si>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</si>
  <si>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</si>
  <si>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</si>
  <si>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</si>
  <si>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</si>
  <si>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</si>
  <si>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</si>
  <si>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</si>
  <si>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</si>
  <si>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</si>
  <si>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</si>
  <si>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</si>
  <si>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</si>
  <si>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</si>
  <si>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</si>
  <si>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</si>
  <si>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</si>
  <si>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</si>
  <si>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</si>
  <si>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</si>
  <si>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</si>
  <si>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</si>
  <si>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</si>
  <si>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</si>
  <si>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</si>
  <si>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</si>
  <si>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</si>
  <si>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</si>
  <si>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</si>
  <si>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</si>
  <si>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</si>
  <si>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</si>
  <si>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</si>
  <si>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</si>
  <si>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</si>
  <si>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</si>
  <si>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</si>
  <si>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</si>
  <si>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Извори финансирања за Програмску активност 0101-0001:</t>
  </si>
  <si>
    <t>Свега за Програмску активност 0101-0001:</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</si>
  <si>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</si>
  <si>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</si>
  <si>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</si>
  <si>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</si>
  <si>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</si>
  <si>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</si>
  <si>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</si>
  <si>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</si>
  <si>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</si>
  <si>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</si>
  <si>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</si>
  <si>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</si>
  <si>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</si>
  <si>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</si>
  <si>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</si>
  <si>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</si>
  <si>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</si>
  <si>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</si>
  <si>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</si>
  <si>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</si>
  <si>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</si>
  <si>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</si>
  <si>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</si>
  <si>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</si>
  <si>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</si>
  <si>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</si>
  <si>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</si>
  <si>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</si>
  <si>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</si>
  <si>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</si>
  <si>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</si>
  <si>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</si>
  <si>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</si>
  <si>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</si>
  <si>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</si>
  <si>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</si>
  <si>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</si>
  <si>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</si>
  <si>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</si>
  <si>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</si>
  <si>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</si>
  <si>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</si>
  <si>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</si>
  <si>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</si>
  <si>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</si>
  <si>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</si>
  <si>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</si>
  <si>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</si>
  <si>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</si>
  <si>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</si>
  <si>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</si>
  <si>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</si>
  <si>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</si>
  <si>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</si>
  <si>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ДИРЕКЦИЈА ЗА РАЗВОЈ И ИЗГРАДЊУ ГРАДА ВРАЊА</t>
  </si>
  <si>
    <t>Опште јавне услуге</t>
  </si>
  <si>
    <t xml:space="preserve">1101-0002  </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</si>
  <si>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</si>
  <si>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</si>
  <si>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</si>
  <si>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</si>
  <si>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</si>
  <si>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</si>
  <si>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</si>
  <si>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</si>
  <si>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</si>
  <si>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</si>
  <si>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</si>
  <si>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</si>
  <si>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</si>
  <si>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</si>
  <si>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</si>
  <si>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</si>
  <si>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</si>
  <si>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</si>
  <si>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</si>
  <si>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</si>
  <si>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</si>
  <si>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</si>
  <si>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</si>
  <si>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</si>
  <si>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</si>
  <si>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</si>
  <si>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2001-0001</t>
  </si>
  <si>
    <t>Функционисање предшколских установа</t>
  </si>
  <si>
    <t>Предшколско васпитање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</si>
  <si>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</si>
  <si>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</si>
  <si>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</si>
  <si>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</si>
  <si>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</si>
  <si>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</si>
  <si>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</si>
  <si>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</si>
  <si>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</si>
  <si>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</si>
  <si>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</si>
  <si>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</si>
  <si>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</si>
  <si>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</si>
  <si>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</si>
  <si>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</si>
  <si>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</si>
  <si>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</si>
  <si>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</si>
  <si>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</si>
  <si>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</si>
  <si>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</si>
  <si>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</si>
  <si>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</si>
  <si>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</si>
  <si>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</si>
  <si>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</si>
  <si>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</si>
  <si>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</si>
  <si>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</si>
  <si>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</si>
  <si>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</si>
  <si>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</si>
  <si>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</si>
  <si>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</si>
  <si>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</si>
  <si>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</si>
  <si>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</si>
  <si>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</si>
  <si>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</si>
  <si>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</si>
  <si>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</si>
  <si>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</si>
  <si>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</si>
  <si>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</si>
  <si>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</si>
  <si>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</si>
  <si>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</si>
  <si>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</si>
  <si>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</si>
  <si>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</si>
  <si>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</si>
  <si>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</si>
  <si>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</si>
  <si>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</si>
  <si>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</si>
  <si>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</si>
  <si>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660:</t>
  </si>
  <si>
    <t>Функција 660:</t>
  </si>
  <si>
    <t xml:space="preserve">0601-0006  </t>
  </si>
  <si>
    <t>Извори финансирања за програмску активност 0601-0006:</t>
  </si>
  <si>
    <t>Свега за програмску активност 0601-0006:</t>
  </si>
  <si>
    <t xml:space="preserve">0601-0008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</si>
  <si>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</si>
  <si>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</si>
  <si>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</si>
  <si>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</si>
  <si>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</si>
  <si>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</si>
  <si>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</si>
  <si>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</si>
  <si>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</si>
  <si>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</si>
  <si>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</si>
  <si>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</si>
  <si>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</si>
  <si>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</si>
  <si>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</si>
  <si>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</si>
  <si>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</si>
  <si>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</si>
  <si>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</si>
  <si>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</si>
  <si>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</si>
  <si>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</si>
  <si>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</si>
  <si>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</si>
  <si>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</si>
  <si>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</si>
  <si>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</si>
  <si>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</si>
  <si>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</si>
  <si>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</si>
  <si>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</si>
  <si>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</si>
  <si>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</si>
  <si>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</si>
  <si>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</si>
  <si>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</si>
  <si>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</si>
  <si>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</si>
  <si>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</si>
  <si>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</si>
  <si>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</si>
  <si>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</si>
  <si>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</si>
  <si>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</si>
  <si>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733:</t>
  </si>
  <si>
    <t>Свега за Раздео 5:</t>
  </si>
  <si>
    <t>ТЕКУЋИ РАСХОДИ</t>
  </si>
  <si>
    <t>КАПИТАЛНИ ИЗДАЦИ</t>
  </si>
  <si>
    <t>0701-0002</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</si>
  <si>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</si>
  <si>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</si>
  <si>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</si>
  <si>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</si>
  <si>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</si>
  <si>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</si>
  <si>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</si>
  <si>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</si>
  <si>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</si>
  <si>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</si>
  <si>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</si>
  <si>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</si>
  <si>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</si>
  <si>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</si>
  <si>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</si>
  <si>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</si>
  <si>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</si>
  <si>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</si>
  <si>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</si>
  <si>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</si>
  <si>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</si>
  <si>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</si>
  <si>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</si>
  <si>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</si>
  <si>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</si>
  <si>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</si>
  <si>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</si>
  <si>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</si>
  <si>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</si>
  <si>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</si>
  <si>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</si>
  <si>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</si>
  <si>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</si>
  <si>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</si>
  <si>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</si>
  <si>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</si>
  <si>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</si>
  <si>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</si>
  <si>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</si>
  <si>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</si>
  <si>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</si>
  <si>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</si>
  <si>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</si>
  <si>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</si>
  <si>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</si>
  <si>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</si>
  <si>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</si>
  <si>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</si>
  <si>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</si>
  <si>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</si>
  <si>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</si>
  <si>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</si>
  <si>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</si>
  <si>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</si>
  <si>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</si>
  <si>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</si>
  <si>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</si>
  <si>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</si>
  <si>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</si>
  <si>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</si>
  <si>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</si>
  <si>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</si>
  <si>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</si>
  <si>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</si>
  <si>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</si>
  <si>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</si>
  <si>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</si>
  <si>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</si>
  <si>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</si>
  <si>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</si>
  <si>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</si>
  <si>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</si>
  <si>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</si>
  <si>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</si>
  <si>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</si>
  <si>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</si>
  <si>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</si>
  <si>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</si>
  <si>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</si>
  <si>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</si>
  <si>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</si>
  <si>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</si>
  <si>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</si>
  <si>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</si>
  <si>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</si>
  <si>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</si>
  <si>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</si>
  <si>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</si>
  <si>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</si>
  <si>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</si>
  <si>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</si>
  <si>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</si>
  <si>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</si>
  <si>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</si>
  <si>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</si>
  <si>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</si>
  <si>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</si>
  <si>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</si>
  <si>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</si>
  <si>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</si>
  <si>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</si>
  <si>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</si>
  <si>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</si>
  <si>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</si>
  <si>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</si>
  <si>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</si>
  <si>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</si>
  <si>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</si>
  <si>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</si>
  <si>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</si>
  <si>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</si>
  <si>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</si>
  <si>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</si>
  <si>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</si>
  <si>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</si>
  <si>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</si>
  <si>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</si>
  <si>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</si>
  <si>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</si>
  <si>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</si>
  <si>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</si>
  <si>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</si>
  <si>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</si>
  <si>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</si>
  <si>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</si>
  <si>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</si>
  <si>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</si>
  <si>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</si>
  <si>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</si>
  <si>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</si>
  <si>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</si>
  <si>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</si>
  <si>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</si>
  <si>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</si>
  <si>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</si>
  <si>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</si>
  <si>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</si>
  <si>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</si>
  <si>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</si>
  <si>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</si>
  <si>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</si>
  <si>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</si>
  <si>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</si>
  <si>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</si>
  <si>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</si>
  <si>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</si>
  <si>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</si>
  <si>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</si>
  <si>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</si>
  <si>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</si>
  <si>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</si>
  <si>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</si>
  <si>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</si>
  <si>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</si>
  <si>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</si>
  <si>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</si>
  <si>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</si>
  <si>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</si>
  <si>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</si>
  <si>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</si>
  <si>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</si>
  <si>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</si>
  <si>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</si>
  <si>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</si>
  <si>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</si>
  <si>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</si>
  <si>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</si>
  <si>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</si>
  <si>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</si>
  <si>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</si>
  <si>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</si>
  <si>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</si>
  <si>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</si>
  <si>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</si>
  <si>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</si>
  <si>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</si>
  <si>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</si>
  <si>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</si>
  <si>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</si>
  <si>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</si>
  <si>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</si>
  <si>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</si>
  <si>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</si>
  <si>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</si>
  <si>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</si>
  <si>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</si>
  <si>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</si>
  <si>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</si>
  <si>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</si>
  <si>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</si>
  <si>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</si>
  <si>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</si>
  <si>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</si>
  <si>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</si>
  <si>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</si>
  <si>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</si>
  <si>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</si>
  <si>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</si>
  <si>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</si>
  <si>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</si>
  <si>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0701-П50</t>
  </si>
  <si>
    <t>2001-П1</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</si>
  <si>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</si>
  <si>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</si>
  <si>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</si>
  <si>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</si>
  <si>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</si>
  <si>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</si>
  <si>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</si>
  <si>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</si>
  <si>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</si>
  <si>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</si>
  <si>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</si>
  <si>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</si>
  <si>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</si>
  <si>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</si>
  <si>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</si>
  <si>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</si>
  <si>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</si>
  <si>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</si>
  <si>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</si>
  <si>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</si>
  <si>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</si>
  <si>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</si>
  <si>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</si>
  <si>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</si>
  <si>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</si>
  <si>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</si>
  <si>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</si>
  <si>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</si>
  <si>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</si>
  <si>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</si>
  <si>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</si>
  <si>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</si>
  <si>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</si>
  <si>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</si>
  <si>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</si>
  <si>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</si>
  <si>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</si>
  <si>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</si>
  <si>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</si>
  <si>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</si>
  <si>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</si>
  <si>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</si>
  <si>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</si>
  <si>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</si>
  <si>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</si>
  <si>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</si>
  <si>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</si>
  <si>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</si>
  <si>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</si>
  <si>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</si>
  <si>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</si>
  <si>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</si>
  <si>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</si>
  <si>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</si>
  <si>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</si>
  <si>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</si>
  <si>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</si>
  <si>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</si>
  <si>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</si>
  <si>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</si>
  <si>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</si>
  <si>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</si>
  <si>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</si>
  <si>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</si>
  <si>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</si>
  <si>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</si>
  <si>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</si>
  <si>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</si>
  <si>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</si>
  <si>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</si>
  <si>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</si>
  <si>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</si>
  <si>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</si>
  <si>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</si>
  <si>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</si>
  <si>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</si>
  <si>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</si>
  <si>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</si>
  <si>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</si>
  <si>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</si>
  <si>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</si>
  <si>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</si>
  <si>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</si>
  <si>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</si>
  <si>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</si>
  <si>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</si>
  <si>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</si>
  <si>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</si>
  <si>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</si>
  <si>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</si>
  <si>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</si>
  <si>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</si>
  <si>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</si>
  <si>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</si>
  <si>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</si>
  <si>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</si>
  <si>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</si>
  <si>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</si>
  <si>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</si>
  <si>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</si>
  <si>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</si>
  <si>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</si>
  <si>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</si>
  <si>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</si>
  <si>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</si>
  <si>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</si>
  <si>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</si>
  <si>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</si>
  <si>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</si>
  <si>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</si>
  <si>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</si>
  <si>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</si>
  <si>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</si>
  <si>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</si>
  <si>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</si>
  <si>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</si>
  <si>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</si>
  <si>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</si>
  <si>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</si>
  <si>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</si>
  <si>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</si>
  <si>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</si>
  <si>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</si>
  <si>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</si>
  <si>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</si>
  <si>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</si>
  <si>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</si>
  <si>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</si>
  <si>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</si>
  <si>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</si>
  <si>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</si>
  <si>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</si>
  <si>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</si>
  <si>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</si>
  <si>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</si>
  <si>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</si>
  <si>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</si>
  <si>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</si>
  <si>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</si>
  <si>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</si>
  <si>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</si>
  <si>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</si>
  <si>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</si>
  <si>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</si>
  <si>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</si>
  <si>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</si>
  <si>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</si>
  <si>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</si>
  <si>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</si>
  <si>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</si>
  <si>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</si>
  <si>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</si>
  <si>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</si>
  <si>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</si>
  <si>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</si>
  <si>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</si>
  <si>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</si>
  <si>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</si>
  <si>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</si>
  <si>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</si>
  <si>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</si>
  <si>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</si>
  <si>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</si>
  <si>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</si>
  <si>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</si>
  <si>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</si>
  <si>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</si>
  <si>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</si>
  <si>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</si>
  <si>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</si>
  <si>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</si>
  <si>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</si>
  <si>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</si>
  <si>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</si>
  <si>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</si>
  <si>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</si>
  <si>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</si>
  <si>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</si>
  <si>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</si>
  <si>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</si>
  <si>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</si>
  <si>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</si>
  <si>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</si>
  <si>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</si>
  <si>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</si>
  <si>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</si>
  <si>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</si>
  <si>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</si>
  <si>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</si>
  <si>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</si>
  <si>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</si>
  <si>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</si>
  <si>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</si>
  <si>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</si>
  <si>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</si>
  <si>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</si>
  <si>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</si>
  <si>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</si>
  <si>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</si>
  <si>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</si>
  <si>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</si>
  <si>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</si>
  <si>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</si>
  <si>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</si>
  <si>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</si>
  <si>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</si>
  <si>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</si>
  <si>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</si>
  <si>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</si>
  <si>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</si>
  <si>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</si>
  <si>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</si>
  <si>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</si>
  <si>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</si>
  <si>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</si>
  <si>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</si>
  <si>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</si>
  <si>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</si>
  <si>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</si>
  <si>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</si>
  <si>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</si>
  <si>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</si>
  <si>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</si>
  <si>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</si>
  <si>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</si>
  <si>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</si>
  <si>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</si>
  <si>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</si>
  <si>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</si>
  <si>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</si>
  <si>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</si>
  <si>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</si>
  <si>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</si>
  <si>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</si>
  <si>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</si>
  <si>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</si>
  <si>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</si>
  <si>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</si>
  <si>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</si>
  <si>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</si>
  <si>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</si>
  <si>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</si>
  <si>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</si>
  <si>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</si>
  <si>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</si>
  <si>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</si>
  <si>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</si>
  <si>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</si>
  <si>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</si>
  <si>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</si>
  <si>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</si>
  <si>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</si>
  <si>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</si>
  <si>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</si>
  <si>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</si>
  <si>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</si>
  <si>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</si>
  <si>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</si>
  <si>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</si>
  <si>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</si>
  <si>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</si>
  <si>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</si>
  <si>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</si>
  <si>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</si>
  <si>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</si>
  <si>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</si>
  <si>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</si>
  <si>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</si>
  <si>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</si>
  <si>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</si>
  <si>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</si>
  <si>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</si>
  <si>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</si>
  <si>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</si>
  <si>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</si>
  <si>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</si>
  <si>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</si>
  <si>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</si>
  <si>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</si>
  <si>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</si>
  <si>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</si>
  <si>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</si>
  <si>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</si>
  <si>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</si>
  <si>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</si>
  <si>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</si>
  <si>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</si>
  <si>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</si>
  <si>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</si>
  <si>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</si>
  <si>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</si>
  <si>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</si>
  <si>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</si>
  <si>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</si>
  <si>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</si>
  <si>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</si>
  <si>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</si>
  <si>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</si>
  <si>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</si>
  <si>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</si>
  <si>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</si>
  <si>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</si>
  <si>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</si>
  <si>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</si>
  <si>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</si>
  <si>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</si>
  <si>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</si>
  <si>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</si>
  <si>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</si>
  <si>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</si>
  <si>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</si>
  <si>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</si>
  <si>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</si>
  <si>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</si>
  <si>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</si>
  <si>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</si>
  <si>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</si>
  <si>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</si>
  <si>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</si>
  <si>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</si>
  <si>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</si>
  <si>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1502-П4:</t>
  </si>
  <si>
    <t>Свега за пројекат 0701-П1:</t>
  </si>
  <si>
    <t>Свега за пројекат 0701-П2:</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</si>
  <si>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</si>
  <si>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</si>
  <si>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</si>
  <si>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</si>
  <si>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</si>
  <si>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</si>
  <si>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</si>
  <si>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</si>
  <si>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</si>
  <si>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</si>
  <si>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</si>
  <si>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</si>
  <si>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</si>
  <si>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</si>
  <si>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</si>
  <si>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</si>
  <si>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</si>
  <si>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</si>
  <si>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</si>
  <si>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</si>
  <si>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Свега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</si>
  <si>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</si>
  <si>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</si>
  <si>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</si>
  <si>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</si>
  <si>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</si>
  <si>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</si>
  <si>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</si>
  <si>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</si>
  <si>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</si>
  <si>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</si>
  <si>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</si>
  <si>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</si>
  <si>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</si>
  <si>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</si>
  <si>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</si>
  <si>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</si>
  <si>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</si>
  <si>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</si>
  <si>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</si>
  <si>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</si>
  <si>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</si>
  <si>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</si>
  <si>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</si>
  <si>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</si>
  <si>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</si>
  <si>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</si>
  <si>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</si>
  <si>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</si>
  <si>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</si>
  <si>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 xml:space="preserve">Набавка стеоних јуница </t>
  </si>
  <si>
    <t>Суфинансирање вештачке оплодње</t>
  </si>
  <si>
    <t>Постављање Ски лифта "Суво Рудиште"</t>
  </si>
  <si>
    <t>Изградња улице Боре Станковића</t>
  </si>
  <si>
    <t>Изградња ...</t>
  </si>
  <si>
    <t>Изградња и опремање зграде Позоришта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</si>
  <si>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</si>
  <si>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</si>
  <si>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</si>
  <si>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</si>
  <si>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</si>
  <si>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</si>
  <si>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</si>
  <si>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</si>
  <si>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</si>
  <si>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</si>
  <si>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</si>
  <si>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</si>
  <si>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</si>
  <si>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</si>
  <si>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Неутрошена средства из претходних година</t>
  </si>
  <si>
    <t>(91+92+3) - (61+6211)</t>
  </si>
  <si>
    <t>B.</t>
  </si>
  <si>
    <t>Изградња кружног тока код Храма Свете Тројице</t>
  </si>
  <si>
    <t>421-Стални трошкови</t>
  </si>
  <si>
    <t>423-Услуге по уговору</t>
  </si>
  <si>
    <t>Трансфери од осталих нивоа власти</t>
  </si>
  <si>
    <t>Добровољни трансфери од физичких и правних лица</t>
  </si>
  <si>
    <t>Трансфери од других нивоа власти</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</si>
  <si>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</si>
  <si>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</si>
  <si>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</si>
  <si>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</si>
  <si>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</si>
  <si>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Члан 1.</t>
  </si>
  <si>
    <t>Члан 2.</t>
  </si>
  <si>
    <t>Члан 3.</t>
  </si>
  <si>
    <t>Буџетска средства у динарима</t>
  </si>
  <si>
    <t xml:space="preserve">  I ОПШТИ ДЕО</t>
  </si>
  <si>
    <t>Члан 4.</t>
  </si>
  <si>
    <t>Ненаменски трансфери од Републике у корист нивоа општина</t>
  </si>
  <si>
    <t>733154</t>
  </si>
  <si>
    <t>Текући наменски трансфери, у ужем смислу, од Републике у корист нивоа општина</t>
  </si>
  <si>
    <t>733251</t>
  </si>
  <si>
    <t>Капитални трансфери од других нивоа власти у корист нивоаопштина</t>
  </si>
  <si>
    <t>741151</t>
  </si>
  <si>
    <t>Приходи буџета општина од камата на средства консолидованог рачуна трезора укључена у депозит банака</t>
  </si>
  <si>
    <t>742152</t>
  </si>
  <si>
    <t>Приходи од давања у закуп, односно на коришћење непокретности у државној својини које користе општине и индиректни корисници њиховог буџета</t>
  </si>
  <si>
    <t>7421453</t>
  </si>
  <si>
    <t>Општинске административне таксе</t>
  </si>
  <si>
    <t>Приходи који својом делатношћу остваре органи и организације општине</t>
  </si>
  <si>
    <t>745151</t>
  </si>
  <si>
    <t>Остали приходи у корист нивоа општина</t>
  </si>
  <si>
    <t>745152</t>
  </si>
  <si>
    <t>Закупнина за стан у државној својини у корист нивоа општина</t>
  </si>
  <si>
    <t>745153</t>
  </si>
  <si>
    <t>Део добити јавног предузећа према одлуци управног одбора јавног предузећа у корист нивоа општина</t>
  </si>
  <si>
    <t>Члан 8.</t>
  </si>
  <si>
    <t>Функционисање локалне самоуправе</t>
  </si>
  <si>
    <t>Свега за програмску активност 0602-0010:</t>
  </si>
  <si>
    <t>Извори финансирања за функцију 040:</t>
  </si>
  <si>
    <t>Функција 040:</t>
  </si>
  <si>
    <t>Свега за Програмску активност 0901-0002:</t>
  </si>
  <si>
    <t>Свега за Програмску активност 0901-0001:</t>
  </si>
  <si>
    <t>Извори финансирања за Пројекат 0901-П2:</t>
  </si>
  <si>
    <t>Свега за Пројекат 0901-П2:</t>
  </si>
  <si>
    <t>Пројекат "Дневни боравак"</t>
  </si>
  <si>
    <t>Рекреација,спорт,култура и вера, некласификовано на другом месту</t>
  </si>
  <si>
    <t>Функција 860:</t>
  </si>
  <si>
    <t>6</t>
  </si>
  <si>
    <t>Свега за Раздео 3:</t>
  </si>
  <si>
    <t>Опрема</t>
  </si>
  <si>
    <t>Mатеријал</t>
  </si>
  <si>
    <t>Дотације осталим непрофитним институцијама</t>
  </si>
  <si>
    <t>Извори финансирања за пројекат 2001-П2:</t>
  </si>
  <si>
    <t>Свега за пројекат 2001-П2:</t>
  </si>
  <si>
    <t>Извори финансирања за пројекат 2001-П3:</t>
  </si>
  <si>
    <t>Реконструкција дворишта</t>
  </si>
  <si>
    <t>Реконструкција санитарних чворова</t>
  </si>
  <si>
    <t>7</t>
  </si>
  <si>
    <t>2101</t>
  </si>
  <si>
    <t>Програм 16.  Политички систем локалне самоуправе</t>
  </si>
  <si>
    <t>2101-0001</t>
  </si>
  <si>
    <t>Функционисање Скупштине</t>
  </si>
  <si>
    <t>2101-0002</t>
  </si>
  <si>
    <t>Функционисање извршних органа</t>
  </si>
  <si>
    <t>ПРОГРАМ 16: ПОЛИТИЧКИ СИСТЕМ ЛОКАЛНЕ САМОУПРАВЕ</t>
  </si>
  <si>
    <t>Извори финансирања за програмску активност 2101-0001:</t>
  </si>
  <si>
    <t>Свега за програмску активност 2101-0001:</t>
  </si>
  <si>
    <t>Извори финансирања за Програм 16:</t>
  </si>
  <si>
    <t>Свега за Програм 16:</t>
  </si>
  <si>
    <t>ПРОГРАМ 16 - ПОЛИТИЧКИ СИСТЕМ ЛОКАЛНЕ САМОУПРАВЕ</t>
  </si>
  <si>
    <t>Извори финансирања за програмску активност 2101-0002:</t>
  </si>
  <si>
    <t>Свега за програмску активност 2101-0002:</t>
  </si>
  <si>
    <t>ПРОГРАМ 13 - РАЗВОЈ КУЛТУРЕ И ИНФОРМИСАЊА</t>
  </si>
  <si>
    <t>Остале дотације</t>
  </si>
  <si>
    <t>Доградња пословног простора и реконструкција просторија ПУ Полетарац</t>
  </si>
  <si>
    <t>Управљање саобраћајем</t>
  </si>
  <si>
    <t>ПРОГРАМ 15: ОПШТЕ ЈАВНЕ УСЛУГЕ УПРАВЕ</t>
  </si>
  <si>
    <t>Текуће субвенције јавним нефинансијским предузећима</t>
  </si>
  <si>
    <t>Програмска активност: Текућа буџетска резерва</t>
  </si>
  <si>
    <t>Фискални и финансијски послови</t>
  </si>
  <si>
    <t>Свега за програмску активност 0602-0009:</t>
  </si>
  <si>
    <t>Програмска активност: Стална резерва</t>
  </si>
  <si>
    <t>Одржавање саобраћајне инфраструктуре</t>
  </si>
  <si>
    <t>Текуће поправке и одржавање - атарски путеви</t>
  </si>
  <si>
    <t>Накнаде за социјалну заштиту из буџета - једнократне помоћи</t>
  </si>
  <si>
    <t>Накнаде за социјалну заштиту из буџета - ОШ Радивој Поповић Земун</t>
  </si>
  <si>
    <t>0901-0006</t>
  </si>
  <si>
    <t>Подршка деци и породицама са децом</t>
  </si>
  <si>
    <t>Извори финансирања за Програмску активност 0901-0006:</t>
  </si>
  <si>
    <t>Свега за Програмску активност 0901-0006:</t>
  </si>
  <si>
    <t>Управљање и снабдевање водом за пиће</t>
  </si>
  <si>
    <t>1102</t>
  </si>
  <si>
    <t>1102-0008</t>
  </si>
  <si>
    <t>1102-0002</t>
  </si>
  <si>
    <t>Одржавање јавних зелених површина</t>
  </si>
  <si>
    <t>Специјализоване услуге- кошење зелених површина и чишћење града</t>
  </si>
  <si>
    <t>Извори финансирања за програмску активност 1102-0002:</t>
  </si>
  <si>
    <t>Свега за програмску активност 1102-0002:</t>
  </si>
  <si>
    <t>1102-0001</t>
  </si>
  <si>
    <t>Управљање/одржавање јавним осветљењем</t>
  </si>
  <si>
    <t>1102-0003</t>
  </si>
  <si>
    <t>Одржавање чистоће на површинама јавне намене</t>
  </si>
  <si>
    <t>1102-0004</t>
  </si>
  <si>
    <t>Зоохигијена</t>
  </si>
  <si>
    <t>1102-0005</t>
  </si>
  <si>
    <t>уређење, одржавање и коришћење пијаца</t>
  </si>
  <si>
    <t>1102-0006</t>
  </si>
  <si>
    <t>1102-0007</t>
  </si>
  <si>
    <t>Производња и дистрибуција топлотне енергије</t>
  </si>
  <si>
    <t>1102-0009</t>
  </si>
  <si>
    <t>Промоција туристичке понуде</t>
  </si>
  <si>
    <t>Подршка за спровођење пољопривредне политике у локалној заједници</t>
  </si>
  <si>
    <t>Мере подршке руралном развоју</t>
  </si>
  <si>
    <t xml:space="preserve">Управљање заштитом животне средине </t>
  </si>
  <si>
    <t xml:space="preserve">Заштита природе </t>
  </si>
  <si>
    <t>0401-0005</t>
  </si>
  <si>
    <t>0401-0006</t>
  </si>
  <si>
    <t>Управљање осталим врстама отпада</t>
  </si>
  <si>
    <t>0701-0003</t>
  </si>
  <si>
    <t>Управљање јавним паркиралиштима</t>
  </si>
  <si>
    <t>0701-0004</t>
  </si>
  <si>
    <t>Јавни градски и приградски превоз путника</t>
  </si>
  <si>
    <t>Подршка реализацији програма Црвеног крста</t>
  </si>
  <si>
    <t>Подршка деци и породици са децом</t>
  </si>
  <si>
    <t>0901-0007</t>
  </si>
  <si>
    <t>Подршка материјано угрожених лица/породица</t>
  </si>
  <si>
    <t>0901-0008</t>
  </si>
  <si>
    <t>Подршка старим лицима  и/или особама са инвалидитетом</t>
  </si>
  <si>
    <t>1801-0002</t>
  </si>
  <si>
    <t>Мртвозорство</t>
  </si>
  <si>
    <t>1801-0003</t>
  </si>
  <si>
    <t>Спровођење активности из области друштвене бриге за јавно здравље</t>
  </si>
  <si>
    <t>Унапређење система очувања и представљања културно-историјског наслеђа</t>
  </si>
  <si>
    <t>Јачање културне продукције и уметничког стваралаштва</t>
  </si>
  <si>
    <t>Остваривање и унапређење јавног интереса у области јавног информисања</t>
  </si>
  <si>
    <t>1201-0005</t>
  </si>
  <si>
    <t>Унапређење јавног информисања на језицима националних мањина</t>
  </si>
  <si>
    <t>1201-0006</t>
  </si>
  <si>
    <t>Унапређење јавног информисања особа са инвалидитетом</t>
  </si>
  <si>
    <t>Унапређење система очувања и представљања културно - историјског населђа</t>
  </si>
  <si>
    <t>Извори финансирања за Програмску активност 1201-0002:</t>
  </si>
  <si>
    <t>Свега за Програмску активност 1201-0002:</t>
  </si>
  <si>
    <t>1301-0004</t>
  </si>
  <si>
    <t>Функционисање локалних спортских установа</t>
  </si>
  <si>
    <t>1301-0005</t>
  </si>
  <si>
    <t>Спровођење омладинске политике</t>
  </si>
  <si>
    <t>Функционисање месних заједница</t>
  </si>
  <si>
    <t>Омбудсман</t>
  </si>
  <si>
    <t>Инспекцијски послови</t>
  </si>
  <si>
    <t>Програм 15.  Опште јавне услуге управе</t>
  </si>
  <si>
    <t>Функционисање националних савета националних мањина</t>
  </si>
  <si>
    <t>Текућа буџетска резерва</t>
  </si>
  <si>
    <t>Стална буџетска резерва</t>
  </si>
  <si>
    <t>0602-0011</t>
  </si>
  <si>
    <t>0602-0012</t>
  </si>
  <si>
    <t>Комунална полиција</t>
  </si>
  <si>
    <t>0602-0013</t>
  </si>
  <si>
    <t>Администрирање изворних прихода локалне самоуправе</t>
  </si>
  <si>
    <t>0602-0014</t>
  </si>
  <si>
    <t>Управљање у ванредним ситуацијама</t>
  </si>
  <si>
    <t>стр.3</t>
  </si>
  <si>
    <t>8</t>
  </si>
  <si>
    <t>Програм 2.  Комуналнe делатности</t>
  </si>
  <si>
    <t>ПРОГРАМ 2 - КОМУНАЛНЕ ДЕЛАТНОСТИ</t>
  </si>
  <si>
    <t>Програм 5. Пољопривреда и рурални развој</t>
  </si>
  <si>
    <t>ПРОГРАМ 5: ПОЉОПРИВРЕДА И РУРАЛНИ РАЗВОЈ</t>
  </si>
  <si>
    <t>Програм 7.  Организација саобраћаја и саобраћ. Инфраструктура</t>
  </si>
  <si>
    <t>ПРОГРАМ 7: ОРГАНИЗАЦИЈА САОБРАЋАЈА И САОБРАЋАЈНА ИНФРАСТРУКТУРА</t>
  </si>
  <si>
    <t>Програм 8.  Предшколско васпитање и образовање</t>
  </si>
  <si>
    <t>Програм 9.  Основно образовање и васпитање</t>
  </si>
  <si>
    <t>Програм 10. Средње образовање и васпитање</t>
  </si>
  <si>
    <t>Програм 13.  Развој културе и информисања</t>
  </si>
  <si>
    <t>ПРОГРАМ 9 - ОСНОВНО ОБРАЗОВАЊЕ  И ВАСПИТАЊЕ</t>
  </si>
  <si>
    <t>ПРОГРАМ 8 - ПРЕДШКОЛСКО ОБРАЗОВАЊЕ И ВАСПИТАЊЕ</t>
  </si>
  <si>
    <t>ПРОГРАМ / ПA / Пројекат</t>
  </si>
  <si>
    <t>Циљ</t>
  </si>
  <si>
    <t>Индикатор</t>
  </si>
  <si>
    <t>Вредн. у базној год. (2016)</t>
  </si>
  <si>
    <t>Циљана вредност 2017.</t>
  </si>
  <si>
    <t>Циљана вредн. 2018.</t>
  </si>
  <si>
    <t>Циљ. вредн. 2019.</t>
  </si>
  <si>
    <t>Сопств. и др. прих.</t>
  </si>
  <si>
    <t>Програм 2 - Комунална делатност</t>
  </si>
  <si>
    <t>Општинска управа/ Начелник општинске управе</t>
  </si>
  <si>
    <t>Општинска управа/Начелник општинске управе</t>
  </si>
  <si>
    <t>Програм 4 - Развој туризма</t>
  </si>
  <si>
    <t>Туристичка организација општине/Директор туристичке организације</t>
  </si>
  <si>
    <t>Општинска управа / Начелник општинске управе</t>
  </si>
  <si>
    <t xml:space="preserve"> Програм 6 - Заштита животне средине</t>
  </si>
  <si>
    <t xml:space="preserve"> Програм 7-  Организација саобраћаја и саобраћајна инфраструктура</t>
  </si>
  <si>
    <t>Програм 8 – Предшколско васпитање</t>
  </si>
  <si>
    <t>Програм 9 – Основно образовање</t>
  </si>
  <si>
    <t>Основна школа/ Директор основне школе</t>
  </si>
  <si>
    <t>Програм 11 - Социјална и дечја заштита</t>
  </si>
  <si>
    <t xml:space="preserve">Унапређење заштите сиромашних   </t>
  </si>
  <si>
    <t>Број корисника једнократне новчане помоћи</t>
  </si>
  <si>
    <t>Центар за социјални рад/ Директор</t>
  </si>
  <si>
    <t xml:space="preserve">Подстицање развоја разноврсних социјалних услуга у заједници и укључивање у сферу пружања услуга што више различитих социјалних актера  </t>
  </si>
  <si>
    <t>Број удружења / хуманитарних организација које добијају средства из буџета ЛС</t>
  </si>
  <si>
    <t>Програм 12 - Примарна здравствена заштита</t>
  </si>
  <si>
    <t>Програм 14 - Развој спорта и омладине</t>
  </si>
  <si>
    <t>ПА - Подршка локалним спортским организацијама, удружењима и савезима</t>
  </si>
  <si>
    <t xml:space="preserve">Одрживо управно и финансијско функционисање града/општине у складу надлежностима и пословима локалне самоуправе  </t>
  </si>
  <si>
    <t xml:space="preserve">Стабилност и интегритет локалног буџета (суфицит, дефицит)  </t>
  </si>
  <si>
    <t>0001</t>
  </si>
  <si>
    <t>0002</t>
  </si>
  <si>
    <t>0004</t>
  </si>
  <si>
    <t>0005</t>
  </si>
  <si>
    <t>0003</t>
  </si>
  <si>
    <t>0006</t>
  </si>
  <si>
    <t>0009</t>
  </si>
  <si>
    <t>0010</t>
  </si>
  <si>
    <t>Надлежан орган/функција/лице</t>
  </si>
  <si>
    <t>стр.11</t>
  </si>
  <si>
    <t>стр.15</t>
  </si>
  <si>
    <t>стр.18</t>
  </si>
  <si>
    <t>Изградња нисконапонске мреже</t>
  </si>
  <si>
    <t>Зграде и грађевински објекти - Изградња водовода у Грачаници</t>
  </si>
  <si>
    <t>Адекватан квалитет пружених услуга водоснабдевања</t>
  </si>
  <si>
    <t>Повећање доступности права и услуга социјалне заштите</t>
  </si>
  <si>
    <t>Обезбеђивање редовног функционисања установа културе</t>
  </si>
  <si>
    <t>Број запослених у установама културе</t>
  </si>
  <si>
    <t>број годишњих програма спортских организације финансираних од стране општине</t>
  </si>
  <si>
    <t xml:space="preserve">Обезбеђивање услова за рад и унапређење капацитета спортских организација преко којих се остварује јавни интерес у области спорта у општини  </t>
  </si>
  <si>
    <t xml:space="preserve"> </t>
  </si>
  <si>
    <t>Рехабилитација Ваљевске улице</t>
  </si>
  <si>
    <t>1102-П1</t>
  </si>
  <si>
    <t>Извори финансирања за програмску активност 1102-П1:</t>
  </si>
  <si>
    <t>Свега за програмску активност 1102-П1:</t>
  </si>
  <si>
    <t>1102-П2</t>
  </si>
  <si>
    <t>0401-П2</t>
  </si>
  <si>
    <t>Изградња колектора од Дукића потока - Нова школа</t>
  </si>
  <si>
    <t>Дотације невладиним организацијама-  ( 1.000.000 за верске организације; 3.350.000 за информисање по Закону о информисању и медијима и  2.550.000 за удружења из области културе)</t>
  </si>
  <si>
    <t xml:space="preserve">План за 2017. </t>
  </si>
  <si>
    <t>2101-П1</t>
  </si>
  <si>
    <t>Општинска изборна комисија</t>
  </si>
  <si>
    <t>Прослава Дана општине</t>
  </si>
  <si>
    <t>ОПШТИНСКО ВЕЋЕ</t>
  </si>
  <si>
    <t>Орема</t>
  </si>
  <si>
    <t>Извори финансирања за Раздео 4:</t>
  </si>
  <si>
    <t>Свега за Раздео 4:</t>
  </si>
  <si>
    <t>Накнада за социјалну заштиту из буџета</t>
  </si>
  <si>
    <t>Накнада штете од елементарних непогода</t>
  </si>
  <si>
    <t>Зграде и грађевински објекти -Пројектна документација  и пројекти предвиђени Стратегијом одрживог развоја</t>
  </si>
  <si>
    <t xml:space="preserve">Опрема </t>
  </si>
  <si>
    <t>Извори финансирања за Пројекат 2101-П1</t>
  </si>
  <si>
    <t>Свега за Пројекат 2101-П1:</t>
  </si>
  <si>
    <t>Извори финансирања за функцију 980:</t>
  </si>
  <si>
    <t>Функција 980:</t>
  </si>
  <si>
    <t>Извори финансирања за функцију 960:</t>
  </si>
  <si>
    <t>Функција 960:</t>
  </si>
  <si>
    <t>Извори финансирања за програмску активност 0602-0008:</t>
  </si>
  <si>
    <t>Свега за програмску активност 0602-0008:</t>
  </si>
  <si>
    <t>Извори финансирања за функцију 133:</t>
  </si>
  <si>
    <t>Функција 133:</t>
  </si>
  <si>
    <t>Програми националних мањина</t>
  </si>
  <si>
    <t>Извори финансирања за програмску активност 0602-0014:</t>
  </si>
  <si>
    <t>Свега за програмску активност 0602-0014:</t>
  </si>
  <si>
    <t>Текуће поправке и одржавање                                                                Текуће поправке и одржавање у случају ванредне ситуације 2.000.000 динара; Редовно одржавање водотокова другог реда и канала за одводњавање 2.000.000</t>
  </si>
  <si>
    <t>Реконструкција зграде Општинске управе</t>
  </si>
  <si>
    <t>Адаптација објекта архиве</t>
  </si>
  <si>
    <t>Извори финансирања за Пројекат 0602-П2</t>
  </si>
  <si>
    <t xml:space="preserve">Зграде и грађевински објекти                                                                               </t>
  </si>
  <si>
    <t>Увођење електронске управе</t>
  </si>
  <si>
    <t>Извори финансирања за Пројекат 0602-П3</t>
  </si>
  <si>
    <t>ПРОГРАМ 1 - УРБАНИЗАМ И ПРОСТОРНО ПЛАНИРАЊЕ</t>
  </si>
  <si>
    <t>1101-0001</t>
  </si>
  <si>
    <t xml:space="preserve">Зграде и грађевински објекти                                          </t>
  </si>
  <si>
    <t>1101-0004</t>
  </si>
  <si>
    <t>Социјално становање</t>
  </si>
  <si>
    <t>Извори финансирања за програмску активност 1101-0004:</t>
  </si>
  <si>
    <t>Свега за програмску активност 1101-0004:</t>
  </si>
  <si>
    <t xml:space="preserve">Специјализоване услуге                                                                                                   </t>
  </si>
  <si>
    <t xml:space="preserve">Специјализоване услуге- геодетске                                                                                                  </t>
  </si>
  <si>
    <t>Одржавање саобраћајне инфраструктуре - Поверени послови ЈКП "Чистоћа"</t>
  </si>
  <si>
    <t xml:space="preserve">Зграде и грађевински објекти                                                                                         </t>
  </si>
  <si>
    <t>Текуће поправке и одржавање путева у летњем периоду 5.000.000                Текуће поправке и одржавање путева и улица                    8.000.000                               Текуће поправке и одржавање атарских путева                  5.000.000          Текуће поправке и одржавање у зимском периоду           3.000.000</t>
  </si>
  <si>
    <t>Одржавање саобраћајне инфраструктуре- Програм савета за безбедност саобраћаја</t>
  </si>
  <si>
    <t>Истраживање и развој</t>
  </si>
  <si>
    <t>Извори финансирања за функцију 485:</t>
  </si>
  <si>
    <t>Функција 485:</t>
  </si>
  <si>
    <t>Функција 840:</t>
  </si>
  <si>
    <t>Извори финансирања за функцију 840:</t>
  </si>
  <si>
    <t>Дотације невладиним организацијама- верским заједницама</t>
  </si>
  <si>
    <t>Извори финансирања за Програмску активност 1201-0003:</t>
  </si>
  <si>
    <t>Свега за Програмску активност 1201-0003:</t>
  </si>
  <si>
    <t>Остваривање јавног интереса у области јавног информисања</t>
  </si>
  <si>
    <t>Извори финансирања за Програмску активност 1201-0004:</t>
  </si>
  <si>
    <t>Свега за Програмску активност 1201-0004:</t>
  </si>
  <si>
    <t>Извори финансирања за програмску активност 1102-0004:</t>
  </si>
  <si>
    <t>Свега за програмску активност 1102-0004:</t>
  </si>
  <si>
    <t xml:space="preserve"> Водоснабдевање</t>
  </si>
  <si>
    <t>Извори финансирања за програмску активност 1102-0008:</t>
  </si>
  <si>
    <t>Свега за програмску активност 1102-0008:</t>
  </si>
  <si>
    <t xml:space="preserve">Зграде и грађевински објекти: Зграде и објекти 17.000.000 динара           Пројектна документација  2.000.000 динара                 </t>
  </si>
  <si>
    <t>Смештај паса луталица</t>
  </si>
  <si>
    <t>Извори финансирања за програмску активност 1102-0003:</t>
  </si>
  <si>
    <t>Свега за програмску активност 1102-0003:</t>
  </si>
  <si>
    <t>Уређивање и одржавање пијаца</t>
  </si>
  <si>
    <t>Извори финансирања за програмску активност 1102-0005:</t>
  </si>
  <si>
    <t>Свега за програмску активност 1102-0005:</t>
  </si>
  <si>
    <t>Извори финансирања за програмску активност 1102-0006:</t>
  </si>
  <si>
    <t>Свега за програмску активност 1102-0006:</t>
  </si>
  <si>
    <t>Извори финансирања за програмску активност 1102-0009:</t>
  </si>
  <si>
    <t>Свега за програмску активност 1102-0009:</t>
  </si>
  <si>
    <t>Извори финансирања за функцију 520:</t>
  </si>
  <si>
    <t>Функција 520:</t>
  </si>
  <si>
    <t>Извори финансирања за функцију 510:</t>
  </si>
  <si>
    <t>Функција 510:</t>
  </si>
  <si>
    <t>Извори финансирања за програмску активност 0401-0004:</t>
  </si>
  <si>
    <t>Свега за програмску активност 0401-0004:</t>
  </si>
  <si>
    <t>Извори финансирања за програмску активност 0401-0006:</t>
  </si>
  <si>
    <t>Свега за програмску активност 0401-0006:</t>
  </si>
  <si>
    <t xml:space="preserve">Функционисање основних школа- ОШ "Милисав Николић" </t>
  </si>
  <si>
    <t xml:space="preserve">Функционисање основних школа -ОШ "Моша Пијаде" </t>
  </si>
  <si>
    <t>Функционисање основних школа- ОШ"Дража Марковић-Рођа"</t>
  </si>
  <si>
    <t>Извори финансирања за функцију 060:</t>
  </si>
  <si>
    <t>Функција 060:</t>
  </si>
  <si>
    <t>Извори финансирања за функцију 010:</t>
  </si>
  <si>
    <t>Функција 010:</t>
  </si>
  <si>
    <t xml:space="preserve">Дотације невладиним организац. </t>
  </si>
  <si>
    <t>Подршка породици и деци</t>
  </si>
  <si>
    <t>Накнаде за социјалну заштиту из буџета                                                              -Накнада за новорођено дете  1.200.000                                                                  -Превоз ученика средњих школа  1.500.000                                                           -Смештај у интернатима, бесплатан топли оброк 1.200.000                            -Студентске стипендије  1.000.000</t>
  </si>
  <si>
    <t>Дотације организацијама обавезног социјалног осигурања                          4641-  Текуће дотације  4.639.550                                                                            4642-   Капиталне дотације 6.350.000</t>
  </si>
  <si>
    <t>Дотације невладиним организацијама:                                                                 - Дотације спортским савезима, клубовима  3.700.000                                     - Дотације спортским манифестацијама  600.000</t>
  </si>
  <si>
    <t>Стратегија развоја пољопривреде</t>
  </si>
  <si>
    <t>Уређење пољопривредног земљишта, Комасација КО Топоница</t>
  </si>
  <si>
    <t>Извори финансирања за програмску активност 0101-П1:</t>
  </si>
  <si>
    <t>Извори финансирања за програмску активност 0101-П2:</t>
  </si>
  <si>
    <t>БИБЛИОТЕКА "СРБОЉУБ МИТИЋ"</t>
  </si>
  <si>
    <t>Порези и таксе</t>
  </si>
  <si>
    <t>Зграде и објекти</t>
  </si>
  <si>
    <t>Подстицај популарисању књиге и књижевног стваралаштва</t>
  </si>
  <si>
    <t>Извори финансирања за Програмску активност 1201-0001:</t>
  </si>
  <si>
    <t>Свега за Програмску активност 1201-0001:</t>
  </si>
  <si>
    <t>Извори финансирања за програмску активност 1201-П1:</t>
  </si>
  <si>
    <t>Извори финансирања за програмску активност 1201-П2:</t>
  </si>
  <si>
    <t>Доградња простора за летњу позорницу</t>
  </si>
  <si>
    <t>ЦЕНТАР ЗА КУЛТУРУ</t>
  </si>
  <si>
    <t>Извори финансирања за програмску активност 1201-П4:</t>
  </si>
  <si>
    <t>Oрганизација ФЕДРАС-а</t>
  </si>
  <si>
    <t>Припрема позоришне представе</t>
  </si>
  <si>
    <t>Извори финансирања за програмску активност 1201-П5:</t>
  </si>
  <si>
    <t>Извори финансирања за програмску активност 1201-П6:</t>
  </si>
  <si>
    <t>Крени коло да кренемо</t>
  </si>
  <si>
    <t>Часопис "Стиг"</t>
  </si>
  <si>
    <t>Извори финансирања за програмску активност 1201-П7:</t>
  </si>
  <si>
    <t>Набавка опреме</t>
  </si>
  <si>
    <t>Извори финансирања за функцију 860:</t>
  </si>
  <si>
    <t>Извори финансирања за програмску активност 1201-П8:</t>
  </si>
  <si>
    <t>ТУРИСТИЧКА ОРГАНИЗАЦИЈА ОПШТИНЕ</t>
  </si>
  <si>
    <t>Стишко посело</t>
  </si>
  <si>
    <t>ПРЕДШКОЛСКА УСТАНОВА  "14.ОКТОБАР"</t>
  </si>
  <si>
    <t>Лизинг за службена возила</t>
  </si>
  <si>
    <t>МЕСНЕ ЗАЈЕДНИЦЕ</t>
  </si>
  <si>
    <t>Извори финансирања за Главу 5:</t>
  </si>
  <si>
    <t>Свега за Главу 5:</t>
  </si>
  <si>
    <t>Извори финансирања за раздео 5:</t>
  </si>
  <si>
    <t>Свега за раздео 5:</t>
  </si>
  <si>
    <t>Извори финансирања за Разделе 1,2,3,4 и 5:</t>
  </si>
  <si>
    <t>Свега за Разделе 1,2,3,4 и 5:</t>
  </si>
  <si>
    <t>Извори финансирања за Програм 6:</t>
  </si>
  <si>
    <t>Свега за Програм 6:</t>
  </si>
  <si>
    <t>Извори финансирања за Главу 3:</t>
  </si>
  <si>
    <t>Свега за Главу 3:</t>
  </si>
  <si>
    <t>Извори финансирања за функцију 020:</t>
  </si>
  <si>
    <t>Функција 020:</t>
  </si>
  <si>
    <t>614</t>
  </si>
  <si>
    <t>Програм 1. Урбанизам и просторно планирање</t>
  </si>
  <si>
    <t>Просторно и урбанистичко планирање</t>
  </si>
  <si>
    <t>Сосијално становање</t>
  </si>
  <si>
    <t>4</t>
  </si>
  <si>
    <t>5</t>
  </si>
  <si>
    <t>9</t>
  </si>
  <si>
    <t>Дотације невладиним организацијама- КУД-ови</t>
  </si>
  <si>
    <t>100 101</t>
  </si>
  <si>
    <t>111 112</t>
  </si>
  <si>
    <t>123 124</t>
  </si>
  <si>
    <t>Функционисање основних школа- ОШ "Ђура Јакшић"</t>
  </si>
  <si>
    <t>138 139 140 141</t>
  </si>
  <si>
    <t>142 143</t>
  </si>
  <si>
    <t>144 145</t>
  </si>
  <si>
    <t>146 147</t>
  </si>
  <si>
    <t>153 154</t>
  </si>
  <si>
    <t>158 159</t>
  </si>
  <si>
    <t>162 163</t>
  </si>
  <si>
    <t>164 165</t>
  </si>
  <si>
    <t>183 184</t>
  </si>
  <si>
    <t xml:space="preserve">191 192 </t>
  </si>
  <si>
    <t>210 211</t>
  </si>
  <si>
    <t>214 215</t>
  </si>
  <si>
    <t>218 219</t>
  </si>
  <si>
    <t>221 222</t>
  </si>
  <si>
    <t xml:space="preserve">240 241 </t>
  </si>
  <si>
    <t>242 243 244</t>
  </si>
  <si>
    <t>247 248</t>
  </si>
  <si>
    <t>250 251</t>
  </si>
  <si>
    <t>252 253</t>
  </si>
  <si>
    <t>258 259</t>
  </si>
  <si>
    <t>261 262</t>
  </si>
  <si>
    <t xml:space="preserve">264 265 </t>
  </si>
  <si>
    <t>266 267 268</t>
  </si>
  <si>
    <t>277 278</t>
  </si>
  <si>
    <t>280 281</t>
  </si>
  <si>
    <t xml:space="preserve">283 284 </t>
  </si>
  <si>
    <t>287 288</t>
  </si>
  <si>
    <t>743350</t>
  </si>
  <si>
    <t>743920</t>
  </si>
  <si>
    <t>Приходи од увећања пореског дуга</t>
  </si>
  <si>
    <t>%</t>
  </si>
  <si>
    <t>Буџет општине Мало Црниће за 2017. годину састоји се од :</t>
  </si>
  <si>
    <t xml:space="preserve">Члан 6.                                                                              </t>
  </si>
  <si>
    <t>Члан 7.</t>
  </si>
  <si>
    <t>Члан 10.</t>
  </si>
  <si>
    <t>Центар за културу</t>
  </si>
  <si>
    <t>Библиотека</t>
  </si>
  <si>
    <t>Специјализоване услуге- кошење зелених површина и чишћење општине</t>
  </si>
  <si>
    <t>Свега за пројекат 0101-П2:</t>
  </si>
  <si>
    <t>Свега за пројекат 0101-П1:</t>
  </si>
  <si>
    <t>Свега за пројекат 1201-П1:</t>
  </si>
  <si>
    <t>Издавачка делатност</t>
  </si>
  <si>
    <t>Извори финансирања за пројекат 0602-П1</t>
  </si>
  <si>
    <t>Свега за пројекат 0602-П3:</t>
  </si>
  <si>
    <t>УРБАНИЗАМ И ПРОСТОРНО ПЛАНИРАЊЕ</t>
  </si>
  <si>
    <t xml:space="preserve">Просторни развој у складу са плановима </t>
  </si>
  <si>
    <t>%грађевинског земљишта опремњеног комуналном инфраструктуром</t>
  </si>
  <si>
    <t>број санираних објеката</t>
  </si>
  <si>
    <t>60 61 62</t>
  </si>
  <si>
    <t>76 77</t>
  </si>
  <si>
    <t>131/1</t>
  </si>
  <si>
    <t>88    89    90   90/1</t>
  </si>
  <si>
    <t>86     87</t>
  </si>
  <si>
    <t>Извори финансирања за Програмску активност 0901-0007:</t>
  </si>
  <si>
    <t>Свега за Програмску активност 0901-0007:</t>
  </si>
  <si>
    <t>120 120/1</t>
  </si>
  <si>
    <t xml:space="preserve">Текуће субвенције јавним нефинансијским предузећима и организацијама -водоснабдевање 2.886.000                     Текуће субвенције јавним нефинансијским предузећима и организацијама- одношење смећа  600.000                                                             </t>
  </si>
  <si>
    <t>Капитални добровољни трансфери од физичких и правних лица у корист нивоа општина</t>
  </si>
  <si>
    <t>О ИЗМЕНАМА И ДОПУНАМА ОДЛУКЕ О  БУЏЕТУ ОПШТИНЕ МАЛО ЦРНИЋЕ ЗА 2017.ГОДИНУ- ПРВИ РЕБАЛАНС</t>
  </si>
  <si>
    <t xml:space="preserve">               О Д Л У К У</t>
  </si>
  <si>
    <t>Члан 5.</t>
  </si>
  <si>
    <t>83    84</t>
  </si>
  <si>
    <t>Зграде и грађевински објекти                                                                                Замена кровне конструкције 305.840 динара;                        Реконструкција фасаде 1.000 динара                                                                   Реконструкција сале 1.500.000 динара</t>
  </si>
  <si>
    <t>81 81/1   82</t>
  </si>
  <si>
    <t>202/1</t>
  </si>
  <si>
    <t>Зграде и грађевински објекти                                                                              - Изградња зграда и објеката         9.966.000                                                  -изградња зграда и објеката-пренете обавезе  12.500.000                                                        -Пројектно планирање и надзор     1.000.000</t>
  </si>
  <si>
    <t xml:space="preserve">Текуће субвенције јавним нефинансијским предузећима и организацијама:                                                                                                        - Регресирање вештачког осемењавања крава  2.000.000                                 -Текуће субвенције по Програму   5.000.000                                                           </t>
  </si>
  <si>
    <t>Унапређење стамбеног положаја грађана</t>
  </si>
  <si>
    <t>број лица којима је решено стамбеног питање</t>
  </si>
  <si>
    <t>Повећање покривености територије комуналним делатностима</t>
  </si>
  <si>
    <t>Број м2 површине јавне намене где се одржава чистоћа у односу на укупан број м2 јавне намене</t>
  </si>
  <si>
    <t xml:space="preserve">Адекватан квалитет пружених услуга </t>
  </si>
  <si>
    <t>динамика уређења зелених јавних површина</t>
  </si>
  <si>
    <t>Унапређење заштите од заразних болести</t>
  </si>
  <si>
    <t>Проценат третираних површина ѕа сузбијање глодара и инсеката</t>
  </si>
  <si>
    <t>Водоснабдевање-субвенције</t>
  </si>
  <si>
    <t>0008</t>
  </si>
  <si>
    <t>број кварова по км водоводне мреже</t>
  </si>
  <si>
    <t>Пројекат број 1: Адаптација простора за смештај паса луталица</t>
  </si>
  <si>
    <t>Опремање простора за смештај паса луталица</t>
  </si>
  <si>
    <t>Површина уређеног простора</t>
  </si>
  <si>
    <t>Зохигијена</t>
  </si>
  <si>
    <t>Максимално  могућа покривеност насеља услугама</t>
  </si>
  <si>
    <t>Укупан број м2 јавних и зелених површина који се одржавају</t>
  </si>
  <si>
    <t>ЈКП ''Чистоћа''</t>
  </si>
  <si>
    <t>Обезбеђење услова за задовољење других ком потреба грађана</t>
  </si>
  <si>
    <t>Проценат покривености територије услугама водоснавдевања</t>
  </si>
  <si>
    <t>Остале комуналне услуге-заштита биљног и животињског света</t>
  </si>
  <si>
    <t>Обезбеђење услова за задовољење потреба грађана</t>
  </si>
  <si>
    <t>Површине третиране за уништавање амброзије</t>
  </si>
  <si>
    <t>Унапређење развоја туризма</t>
  </si>
  <si>
    <t>Развој туристичке понуде</t>
  </si>
  <si>
    <t>Промоција туристичке понуде Општине</t>
  </si>
  <si>
    <t>Број догађаја који промовишу туристичку понуду Општине</t>
  </si>
  <si>
    <t>Пројекат број 1: ''Стишко посело''</t>
  </si>
  <si>
    <t>П1</t>
  </si>
  <si>
    <t>Унапређење туристичких манифестација</t>
  </si>
  <si>
    <t>Број учесника</t>
  </si>
  <si>
    <t>5-РАЗВОЈ ПОЉОПРИВРЕДЕ</t>
  </si>
  <si>
    <t>Вођење усвојене пољопривредне политике и руралног развоја</t>
  </si>
  <si>
    <t>% остварења мера усвојене стратегије развоја</t>
  </si>
  <si>
    <t>Подршка ѕа спровођење пољопривредне политике</t>
  </si>
  <si>
    <t>Стварање услова за раѕвој и унапређење пољопривредне производње</t>
  </si>
  <si>
    <t>уређени атарски путеви</t>
  </si>
  <si>
    <t>Мере подршке руралном раѕвоју</t>
  </si>
  <si>
    <t>Изградња одриживог и ефикссног пољопривредног сектора</t>
  </si>
  <si>
    <t>Степен реализације мера директних плаћања у оквиру одобреног програма</t>
  </si>
  <si>
    <t>Пројекат број1: израда стратегије развоја пољопривреде</t>
  </si>
  <si>
    <t>урађена стратегија развоја пољопривреде</t>
  </si>
  <si>
    <t>Број докумената</t>
  </si>
  <si>
    <t>Пројеката број 2: друга фаза комасације дела земље у КО Топоница</t>
  </si>
  <si>
    <t>Друга фаза комасације дела пољопривредног земљишта</t>
  </si>
  <si>
    <t>Проценат спроведене друге фазе комасације</t>
  </si>
  <si>
    <t>Унапрежђење квалитета животне средине</t>
  </si>
  <si>
    <t>Проценат територије под заштитом</t>
  </si>
  <si>
    <t>Број санираних отпадних вода</t>
  </si>
  <si>
    <t>Санација дивљих депонија</t>
  </si>
  <si>
    <t>Број санираних дивљих депонија</t>
  </si>
  <si>
    <t>Општинска управа</t>
  </si>
  <si>
    <t>Развој инфраструктуре</t>
  </si>
  <si>
    <t>Дужина изграђених саобраћајница које су у надлежности општине у км</t>
  </si>
  <si>
    <t>Развијеност инфраструктуре у контексту доприноса социо-економском развоју</t>
  </si>
  <si>
    <t xml:space="preserve">Број км санираних или реконструисаних путева </t>
  </si>
  <si>
    <t>Одржавање саобраћајне инфраструктуре ради подизања нивоа безбедности саобраћаја из наменских средстава од саобраћајних казни</t>
  </si>
  <si>
    <t>Одржавање квалитета асфалтног покривача и опремање и одржавање саобраћајне инфраструктуре</t>
  </si>
  <si>
    <t>Број поправљених и новопостављених саобраћајних знакова и сигнализације</t>
  </si>
  <si>
    <t>Одржавање саобраћајне инфраструктуре као поверених послова и зимско одржавање путева</t>
  </si>
  <si>
    <t>Одржавање улица и путева и пољских путева</t>
  </si>
  <si>
    <t>број км новоизграђених или ревитализованих улица и пољских путева</t>
  </si>
  <si>
    <t>Свеобухватан број деце предшколским васпитањем</t>
  </si>
  <si>
    <t>Број деце обухваћен предшколским образовањем</t>
  </si>
  <si>
    <t>Унапређење квалитета предшколског образовања и васпитања</t>
  </si>
  <si>
    <t>% стручних сарадника који су добили најмање 24 бода за стручно усавршавање</t>
  </si>
  <si>
    <t>Предшколска установа/ Директор предшкшколске установе</t>
  </si>
  <si>
    <t>Доступност основног образовања свој деци</t>
  </si>
  <si>
    <t>Проценат деце којој је обезбеђен бесплатан превоз</t>
  </si>
  <si>
    <t>унапређење квалитета образовања</t>
  </si>
  <si>
    <t>Број стручних лица која су добила најмање 24 бода за стручно усавршавање</t>
  </si>
  <si>
    <t>% корисника социјалне и дечје заштите из буџета</t>
  </si>
  <si>
    <t xml:space="preserve"> Прихватилишта, и дуге врсте смештаја</t>
  </si>
  <si>
    <t>Обезбеђење услуге смештаја</t>
  </si>
  <si>
    <t>Број корисника услуге смештаја</t>
  </si>
  <si>
    <t>Социјално деловање-олакшавање људске патње пружањем ургентне помоћи, организовањем различитих облика помоћи</t>
  </si>
  <si>
    <t>Број акција прикупљања различитих врста помоћи</t>
  </si>
  <si>
    <t xml:space="preserve">ОО Црвеног крста </t>
  </si>
  <si>
    <t xml:space="preserve">Обезбеђивање финансијске подршке за децу и породицу  </t>
  </si>
  <si>
    <t>Број деце која прима финансијску подршку</t>
  </si>
  <si>
    <t>Подршка старијим и инвалидним лицима</t>
  </si>
  <si>
    <t>0007</t>
  </si>
  <si>
    <t>Обезбеђивање услуга социјалне заштите за стара и инвалидна лица</t>
  </si>
  <si>
    <t>Број корисника услуга</t>
  </si>
  <si>
    <t>Унапређење здравља становништва</t>
  </si>
  <si>
    <t>Покривеност становништва примарном здравственом заштитом</t>
  </si>
  <si>
    <t xml:space="preserve">Унапређење квалитета примарне здравствене заштите </t>
  </si>
  <si>
    <t xml:space="preserve">Број лекара финансираних из буџета </t>
  </si>
  <si>
    <t>Дом здравља / Директор</t>
  </si>
  <si>
    <t>13-РАЗВОЈ КУЛТУРЕ</t>
  </si>
  <si>
    <t>Култура, комуникације и медији</t>
  </si>
  <si>
    <t>Очување и представљање локалног културног наслеђа</t>
  </si>
  <si>
    <t>Библиотека/Центар за културу</t>
  </si>
  <si>
    <t>Унапређење разноврсности културне понуде</t>
  </si>
  <si>
    <t>Број програма и пројеката подржаних од стране општине</t>
  </si>
  <si>
    <t xml:space="preserve">Општинска управа </t>
  </si>
  <si>
    <t>Унапређење система очувања културно историјског наслеђа</t>
  </si>
  <si>
    <t>Унапређење очувања културно историјског наслеђа</t>
  </si>
  <si>
    <t>Проценат споменика културе код којих су извршена инвестициона улагања у односу на укупан број споменика</t>
  </si>
  <si>
    <t>Повећана понуда медијских садржаја из области друштвеног живота локалне заједнице</t>
  </si>
  <si>
    <t>Број различитих тематских типова програма за боље информисање</t>
  </si>
  <si>
    <t>Пројекат број 1: подстицаји популарисању књижевног стваралаштва</t>
  </si>
  <si>
    <t>Подстицаји популарисању књиге и књижевног стваралаштва</t>
  </si>
  <si>
    <t>% учешћа издвајања за културне програме у буџету</t>
  </si>
  <si>
    <t>Пројекат број 2: Издавачка делатност</t>
  </si>
  <si>
    <t>Број издатих књига</t>
  </si>
  <si>
    <t>Пројекат број 3: Доградња летње позорнице</t>
  </si>
  <si>
    <t>Јачање капацитета културних објеката</t>
  </si>
  <si>
    <t>Уређена летња позорница</t>
  </si>
  <si>
    <t>Пројекат број 4: Организација ФЕДРАСА</t>
  </si>
  <si>
    <t>Развој културног садржаја</t>
  </si>
  <si>
    <t>Број одиграних представа</t>
  </si>
  <si>
    <t>Пројекат број 5: Припрема позоришне представе</t>
  </si>
  <si>
    <t>% издвајања из буџета за припрему позоришних представа</t>
  </si>
  <si>
    <t>Пројекат број 6: ''Крени коло да кренемо''</t>
  </si>
  <si>
    <t>Омасовљење културног аматеризма</t>
  </si>
  <si>
    <t>Процењени број посетилаца</t>
  </si>
  <si>
    <t>Пројекат број 7: Часопис ''Стиг''</t>
  </si>
  <si>
    <t xml:space="preserve">Афирмација књижевног стваралаштва кроз часопис ''Стиг'' </t>
  </si>
  <si>
    <t>Објављени часописи</t>
  </si>
  <si>
    <t>Пројекат број 8: набавка опреме</t>
  </si>
  <si>
    <t>Јачање услова за рад установа културе</t>
  </si>
  <si>
    <t>Набављена опрема</t>
  </si>
  <si>
    <t>Стварање услова за бављењем спортом свих грађана</t>
  </si>
  <si>
    <t>Број спортских организација преко којих се остварују јавни интереси у области спорта</t>
  </si>
  <si>
    <t>Подршка предшколском , школском и рекреативном спорту</t>
  </si>
  <si>
    <t>Унапређење предшколског и школског спорта</t>
  </si>
  <si>
    <t>Број  пројеката преко којих се реализују активности</t>
  </si>
  <si>
    <t>Подршка активном укључивању младих у различите друштвене активности</t>
  </si>
  <si>
    <t>Број младих корисника услуга мера омладинске политике</t>
  </si>
  <si>
    <t>Програм 15 – ЛОКАЛНА САМОУПРАВА</t>
  </si>
  <si>
    <t xml:space="preserve">Функционисање локалне самоуправе </t>
  </si>
  <si>
    <t>Обезбеђено континурано функционисање оргаа ЈЛС</t>
  </si>
  <si>
    <t>Проценат попуњености радних места која подразумевају вођење управног поступка</t>
  </si>
  <si>
    <t>Пројекат број 1: Реконстуркција зграде општинске управе</t>
  </si>
  <si>
    <t>Обезбедити оптималне услове за рад органа општине</t>
  </si>
  <si>
    <t>Урађена кровна конструкција</t>
  </si>
  <si>
    <t>Пројекат број 2: Адаптација објекта архиве</t>
  </si>
  <si>
    <t>Адаптација објекта за смештај архивске грађе и регистратурског материјала</t>
  </si>
  <si>
    <t>адаптиран објекат</t>
  </si>
  <si>
    <t>Пројекат број 3: Увођење електронске управе</t>
  </si>
  <si>
    <t>Унапређење рада јавне управе</t>
  </si>
  <si>
    <t>инсталиран софтвер за е-управу</t>
  </si>
  <si>
    <t>Месне заједнице</t>
  </si>
  <si>
    <t>Обезбеђено задовољавање потреба и интереса локалног становништва деловањем МЗ</t>
  </si>
  <si>
    <t xml:space="preserve"> % буџета који се издваја за финансирање месних заједница</t>
  </si>
  <si>
    <t>Заштита имовинских права и интереса општине</t>
  </si>
  <si>
    <t>Број решених предмета у односу на укупан број предмета</t>
  </si>
  <si>
    <t>Општинско правобранилаштво</t>
  </si>
  <si>
    <t>Остваривање права националних мањина</t>
  </si>
  <si>
    <t>Број реализованих пројеката националних мањина</t>
  </si>
  <si>
    <t>Обезбеђење снабдевености и стабилности на тржишту општине</t>
  </si>
  <si>
    <t>Проценат искоришћености текуће резерве у току године</t>
  </si>
  <si>
    <t xml:space="preserve">Обезбеђење стабилности буџета у складу са потребама </t>
  </si>
  <si>
    <t>Проценат искоришћености сталне резерве у току године</t>
  </si>
  <si>
    <t>Ванредне ситуације</t>
  </si>
  <si>
    <t>0014</t>
  </si>
  <si>
    <t>Изградња превентивног система заштите и спасавања од елементарних и других непогода</t>
  </si>
  <si>
    <t>Број идентификованих објеката критичне инфраструктуре</t>
  </si>
  <si>
    <t>5.200</t>
  </si>
  <si>
    <t>Штаб за ванредне ситуације и Општинска управа</t>
  </si>
  <si>
    <t>16-ПОЛИТИЧКИ СИСТЕМ ЛОКАЛНЕ САМОУПРАВЕ</t>
  </si>
  <si>
    <t>Ефикасно и ефективно функционисање политичког система локалне самоуправе</t>
  </si>
  <si>
    <t>Обављање основних функција изборних органа ЈЛС</t>
  </si>
  <si>
    <t>15.014</t>
  </si>
  <si>
    <t>Политички систем-Скупштина општине</t>
  </si>
  <si>
    <t>Функционисање локалне скупштине</t>
  </si>
  <si>
    <t>Број седница скупштине</t>
  </si>
  <si>
    <t>6.679</t>
  </si>
  <si>
    <t>Председник СО-е</t>
  </si>
  <si>
    <t>Пројекат бр.1-Прослава Дана Општине</t>
  </si>
  <si>
    <t>Очување историјске традиције</t>
  </si>
  <si>
    <t>Број присутних грађана</t>
  </si>
  <si>
    <t>Политички систем-Председник Општине и Општинско веће</t>
  </si>
  <si>
    <t>Број седница извршних органа</t>
  </si>
  <si>
    <t>8.335</t>
  </si>
  <si>
    <t>Председник Општине</t>
  </si>
  <si>
    <t xml:space="preserve">                                                Преглед  капиталних пројеката  у периоду 2017 - 2019. године</t>
  </si>
  <si>
    <t xml:space="preserve">                у дин (заокружено на 000)</t>
  </si>
  <si>
    <t>Назив капиталног пројекта</t>
  </si>
  <si>
    <t>Шифра програма</t>
  </si>
  <si>
    <t>Шифра програмске активности/пројекта</t>
  </si>
  <si>
    <t>Конто 3. ниво</t>
  </si>
  <si>
    <t>Конто 4.ниво</t>
  </si>
  <si>
    <t>Извор</t>
  </si>
  <si>
    <t>Реализовано закључно са 31.12.2015. године</t>
  </si>
  <si>
    <t>2016-план</t>
  </si>
  <si>
    <t>2016-процена реализације</t>
  </si>
  <si>
    <t>2017</t>
  </si>
  <si>
    <t>2018</t>
  </si>
  <si>
    <t>2019</t>
  </si>
  <si>
    <t>након 2019</t>
  </si>
  <si>
    <t>namena</t>
  </si>
  <si>
    <t>k-3</t>
  </si>
  <si>
    <t>k-4</t>
  </si>
  <si>
    <t>Opis k-3</t>
  </si>
  <si>
    <t>Izvor</t>
  </si>
  <si>
    <t>Opis k-4</t>
  </si>
  <si>
    <t>budžet 2010</t>
  </si>
  <si>
    <t>2011</t>
  </si>
  <si>
    <t>Завршетак изградње дома културе у Аљудову 3 фаза</t>
  </si>
  <si>
    <t>Реконструкција дома културе у Батуши 2 фаза</t>
  </si>
  <si>
    <t xml:space="preserve">адаптација и санација дома културе у Божевцу 3 фаза </t>
  </si>
  <si>
    <t>Реконструкција дома културе у Великом Селу</t>
  </si>
  <si>
    <t>Реконструкција Дома културе у Великом Црнићу 3 фаза</t>
  </si>
  <si>
    <t>Реконструкција дома културе у Врбници</t>
  </si>
  <si>
    <t>Реконструкција дома културе у Забрези 3 фаза</t>
  </si>
  <si>
    <t>Завршетак реконструкције дома културе у Калишту</t>
  </si>
  <si>
    <t>Завршетак радова на уређењу центра насеља у Кобиљу</t>
  </si>
  <si>
    <t>Реконструкција дома културе у Малом Градишту-завршни радови</t>
  </si>
  <si>
    <t>Реконструкција дома културе у Смољинцу</t>
  </si>
  <si>
    <t>Инвестиционо одржавање дома културе у Топоници</t>
  </si>
  <si>
    <t>Завршетак изградње сале у Црљенцу и прикључакна нн мрежу</t>
  </si>
  <si>
    <t>Завршетак дома културе у Шапину</t>
  </si>
  <si>
    <t>Асфалтирање улицеу Аљудову</t>
  </si>
  <si>
    <t>0 701</t>
  </si>
  <si>
    <t>Асфалтирање улица у Батуши</t>
  </si>
  <si>
    <t>Асфалтирање улица у Божевцу: Арсенија Чарниојевића,Бате Цекића,Доситеја Обрадоића,Станоја Главаша,Кнеза Милоша</t>
  </si>
  <si>
    <t xml:space="preserve">Асфалтирање улица у Великом Селу:Вељка Дугошевића,ПавлаЂорђевића </t>
  </si>
  <si>
    <t>Асфалтирање улице у Великом Црнићу</t>
  </si>
  <si>
    <t>Асфалтирање улице у Врбници</t>
  </si>
  <si>
    <t>Наставаки зградње пута Забрега-Божевац</t>
  </si>
  <si>
    <t>Асфалтирање улице  у насељу Калиште</t>
  </si>
  <si>
    <t>Асфалтирање улицау Кобиљу (Првомајска, Бате Булића,ВељкаДугошевића,ЕдвардаКардељаиПролетерске)</t>
  </si>
  <si>
    <t>Асфалтирање улице у Крављем Долу,кп бр 509</t>
  </si>
  <si>
    <t>Асфалтирање улице у Кули</t>
  </si>
  <si>
    <t>Асфалтирање улицеу Малом Градишту</t>
  </si>
  <si>
    <t>Асфалтирање улице у Малом Црнићу</t>
  </si>
  <si>
    <t>Асфалтирање улицау Салаковцу</t>
  </si>
  <si>
    <t>Асфалтирање улица у Смољинцу:Хајдук Вељкова, Војводе Миленка</t>
  </si>
  <si>
    <t>Асфалтирање улица у Топоници-доњи Буљедреж</t>
  </si>
  <si>
    <t>Асфалтирање улица у Црљенцу: Фрање Динића, Железничкаикп бр720и Радетза Врадарца</t>
  </si>
  <si>
    <t>Асфалтирање улица у Шапину</t>
  </si>
  <si>
    <t>Асфалтирање улицау Шљивовцу</t>
  </si>
  <si>
    <t>Реконструкција и уређење чесме испред дома културе у Крављем Долу</t>
  </si>
  <si>
    <t>Реконструкција нн мреже у Смољинцу</t>
  </si>
  <si>
    <t>Изградња секундарне водоводне мреже у Кули</t>
  </si>
  <si>
    <t>Изградња система за  пречишћавање воде на изворишту Мало Црнићу</t>
  </si>
  <si>
    <t>Изградња бунара за водоснабдевање у Топоници</t>
  </si>
  <si>
    <t>Пројектна документација и надзор за путеве</t>
  </si>
  <si>
    <t>0 701-0002</t>
  </si>
  <si>
    <t>Пројектна документација и надзор за домове култура</t>
  </si>
  <si>
    <t>Пројектна документација и надзор за изградњу система за водоснабдевање</t>
  </si>
  <si>
    <t>Пројектна документација за управљање отпадним водама</t>
  </si>
  <si>
    <t>0 401</t>
  </si>
  <si>
    <t>0 401-0004</t>
  </si>
  <si>
    <t>Опрема за основне школе</t>
  </si>
  <si>
    <t>Реконсткрукција крова зграде општинске управе</t>
  </si>
  <si>
    <t>0 602</t>
  </si>
  <si>
    <t>0 602-П1</t>
  </si>
  <si>
    <t>Реконструкција велике сале Федраса</t>
  </si>
  <si>
    <t>Реконструкција зграде архиве</t>
  </si>
  <si>
    <t>0 602-П2</t>
  </si>
  <si>
    <t>Реконструкција објекта летње позорнице</t>
  </si>
  <si>
    <t>Санација школе у Смољинцу</t>
  </si>
  <si>
    <t>Санација објекта школе у Малом Црнићу</t>
  </si>
  <si>
    <t>Замена кровне конструкције на објекту школе у В. Селу</t>
  </si>
  <si>
    <t>Замена столарије и фасаде на објекту школе у Црљенцу</t>
  </si>
  <si>
    <t>_________________________________________________</t>
  </si>
  <si>
    <t>____________________________________________________________</t>
  </si>
  <si>
    <t>_____________________________________________</t>
  </si>
  <si>
    <t>Место, Датум</t>
  </si>
  <si>
    <t>Потпис одговорног лица</t>
  </si>
  <si>
    <t>Зграде и грађевински објекти                                                                                         Капитално одржавање путева и улица  48.600.000                                                Пројектна документација и надзор          2.900.000</t>
  </si>
  <si>
    <t>Специјализоване услуге :                                                 9.805.421-извор 01; 194.579- извор 13</t>
  </si>
  <si>
    <t xml:space="preserve">             - расхода и издатака у износу од 413.733.863  динара</t>
  </si>
  <si>
    <t xml:space="preserve">             - Буџетски дефицит 103.266.419 динара.</t>
  </si>
  <si>
    <t>Члан 2.мења се и гласи:</t>
  </si>
  <si>
    <t xml:space="preserve">             - прихода и примања буџета у износу од 309.831.444 динара</t>
  </si>
  <si>
    <t>Члан 3.мења се и гласи:</t>
  </si>
  <si>
    <t>Потребна средства за финансирање укупног фискалног дефицита из члана 1. ове одлуке у износу 103.266.419 динара, обезбедиће се из нераспоређеног вишка прихода из ранијих година.</t>
  </si>
  <si>
    <t xml:space="preserve">Овом Одлуком врше се измене и допуне Одлуке о буџету Општине Мало Црниће за 2017.годину број (у даљем тексту: буџет) од 26.12.2016. године ("Службени гласник општине Мало Црниће", број 19/16).                                                                                             </t>
  </si>
  <si>
    <t xml:space="preserve"> Члан 5.мења се и гласи:                                                                                                                                      Укупни расходи и издаци буџета по основним наменама, утврђени су у следећим износима:</t>
  </si>
  <si>
    <t>Члан 6.мења се и гласи:                                                                                                                                  Расходи и издаци буџета по функционалној класификацији утврђени су и распоређени у следећим износима:</t>
  </si>
  <si>
    <t xml:space="preserve"> Члан 7.мења се и гласи:                                                                                                                                                                          Укупна средства буџета у износу од  413.733.863 динара, утврђена овом одлуком, распоређена су по програмској класификацији датој у табели.</t>
  </si>
  <si>
    <t xml:space="preserve">                                                                        Члан 9.                                                                                              </t>
  </si>
  <si>
    <t xml:space="preserve">                                    </t>
  </si>
  <si>
    <t xml:space="preserve">Члан 8.мења се и гласи:                                                                                                                                                                                                                                        Издаци за капиталне пројекте,планирани за буџетску 2017.годину и наредне две године,исказане су у табели:       </t>
  </si>
  <si>
    <t>II ПОСЕБАН ДЕО</t>
  </si>
  <si>
    <t xml:space="preserve">СКУПШТИНА ОПШТИНЕ </t>
  </si>
  <si>
    <t xml:space="preserve">ПРЕДСЕДНИК ОПШТИНЕ </t>
  </si>
  <si>
    <t>ОПШТИНСКО  ПРАВОБРАНИЛАШТВО ОПШТИНЕ МАЛО ЦРНИЋЕ</t>
  </si>
  <si>
    <t>Општинско  правобранилаштво општине Мало Црниће</t>
  </si>
  <si>
    <t xml:space="preserve">ОПШТИНСКА УПРАВА </t>
  </si>
  <si>
    <t>Дотације невладиним организацијама                                                              - Међуопштинска орган.слепих 80.000                                                               -Међуопштинска орган. глувих 80.000                                                                - Међуопштинска орган.дистрофичара 80.000                                                   - Међуопштинско удруж.цив.инвалида рата 60.000</t>
  </si>
  <si>
    <t xml:space="preserve"> Члан 9.мења се и гласи:                                                                                                                                                                                                           Средства буџета у износу од  397.253.590 динара и средства из осталих извора корисника буџета у износу од  16.480.273 динара  распоређују се по корисницима и врстама издатака и то:</t>
  </si>
  <si>
    <t xml:space="preserve">       Члан11.</t>
  </si>
  <si>
    <t>Уређење зграда и објеката</t>
  </si>
  <si>
    <t>Члан 10.мења се и гласи:                                                                                                                                                                                                                                  Средства буџета у износу од 397.253.590    динара и средства из осталих извора у износу од 16.480.273     динара, утврђени су и распоређени по програмској класификацији, и то:</t>
  </si>
  <si>
    <t xml:space="preserve">                    На основу члана 47. Закона о буџетском систему ("Службени гласник РС", бр. 54/09, 73/10, 101/2010, 101/11, 93/12, 62/13,63/13 ,108/2013, 142/2014, 68/2015, 103/2015 и 99/16), члана 32. Закона о локалној самоуправи   ("Службени гласник РС", број 129/07, 83/2014-др.Закон и 101/16-др.Закон) и  члана 40. Статута општине Мало Црниће (" Службени гласник општине Мало Црниће", број 12/08,6/11 и м1/16), а на предлог Општинског већа, Скупштина општине Мало Црниће, на седници одржаној _____________. године, донела је</t>
  </si>
  <si>
    <t>Члан 1.мења се и гласи:                                                                                                                                                                                                                         Приходи и примања, расходи и издаци буџета Општине Мало Црниће за 2017.годину састоје се од:</t>
  </si>
  <si>
    <t xml:space="preserve">  Члан 4.мења се и гласи:                                                                                                                                                                                                            Приходи и примања буџета општине,  додатни приходи буџетских корисника и пренета неутрошена средства из претходне године по врстама, односно економским класификацијама, утврђени су у следећим износима:</t>
  </si>
  <si>
    <t>Нацрт</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</si>
</sst>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D_i_n_._-;\-* #,##0.00\ _D_i_n_._-;_-* &quot;-&quot;??\ _D_i_n_._-;_-@_-"/>
    <numFmt numFmtId="164" formatCode="_-* #,##0\ _d_i_n_._-;\-* #,##0\ _d_i_n_._-;_-* &quot;-&quot;\ _d_i_n_._-;_-@_-"/>
    <numFmt numFmtId="165" formatCode="_-* #,##0.00\ _d_i_n_._-;\-* #,##0.00\ _d_i_n_._-;_-* &quot;-&quot;??\ _d_i_n_._-;_-@_-"/>
    <numFmt numFmtId="166" formatCode="_(* #,##0.00_);_(* \(#,##0.00\);_(* \-??_);_(@_)"/>
    <numFmt numFmtId="167" formatCode="_(* #,##0_);_(* \(#,##0\);_(* \-_);_(@_)"/>
    <numFmt numFmtId="168" formatCode="0.0%"/>
    <numFmt numFmtId="169" formatCode="_-* #,##0.00\ _D_i_n_._-;\-* #,##0.00\ _D_i_n_._-;_-* \-??\ _D_i_n_._-;_-@_-"/>
    <numFmt numFmtId="170" formatCode="#,##0_ ;\-#,##0\ "/>
  </numFmts>
  <fonts count="105"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sz val="8"/>
      <color theme="1"/>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b/>
      <sz val="10"/>
      <color theme="1"/>
      <name val="Times New Roman"/>
      <family val="1"/>
    </font>
    <font>
      <sz val="11"/>
      <color theme="1"/>
      <name val="Times New Roman"/>
      <family val="1"/>
      <charset val="238"/>
    </font>
    <font>
      <b/>
      <sz val="12"/>
      <color theme="1"/>
      <name val="Times New Roman"/>
      <family val="1"/>
      <charset val="204"/>
    </font>
    <font>
      <b/>
      <sz val="18"/>
      <color theme="1"/>
      <name val="Times New Roman"/>
      <family val="1"/>
      <charset val="204"/>
    </font>
    <font>
      <sz val="11"/>
      <color theme="1"/>
      <name val="Times New Roman"/>
      <family val="1"/>
      <charset val="204"/>
    </font>
    <font>
      <b/>
      <sz val="11"/>
      <color theme="1"/>
      <name val="Calibri"/>
      <family val="2"/>
      <charset val="204"/>
      <scheme val="minor"/>
    </font>
    <font>
      <sz val="11"/>
      <name val="Times New Roman"/>
      <family val="1"/>
      <charset val="204"/>
    </font>
    <font>
      <sz val="12"/>
      <color theme="1"/>
      <name val="Times New Roman"/>
      <family val="1"/>
    </font>
    <font>
      <b/>
      <sz val="11"/>
      <color theme="1"/>
      <name val="Times New Roman"/>
      <family val="1"/>
      <charset val="204"/>
    </font>
    <font>
      <sz val="12"/>
      <color theme="1"/>
      <name val="Times New Roman"/>
      <family val="1"/>
      <charset val="204"/>
    </font>
    <font>
      <sz val="12"/>
      <color theme="1"/>
      <name val="Times New Roman"/>
      <family val="1"/>
      <charset val="238"/>
    </font>
    <font>
      <sz val="11"/>
      <color theme="0"/>
      <name val="Times New Roman"/>
      <family val="1"/>
    </font>
    <font>
      <b/>
      <sz val="10"/>
      <color theme="0"/>
      <name val="Times New Roman"/>
      <family val="1"/>
    </font>
    <font>
      <sz val="8"/>
      <color theme="1"/>
      <name val="Times New Roman"/>
      <family val="1"/>
      <charset val="238"/>
    </font>
    <font>
      <b/>
      <sz val="11"/>
      <color theme="1"/>
      <name val="Times New Roman"/>
      <family val="1"/>
      <charset val="238"/>
    </font>
    <font>
      <sz val="10"/>
      <color rgb="FF000000"/>
      <name val="Times New Roman Italic"/>
    </font>
    <font>
      <i/>
      <sz val="11"/>
      <color theme="1"/>
      <name val="Times New Roman"/>
      <family val="1"/>
      <charset val="238"/>
    </font>
    <font>
      <sz val="11"/>
      <color rgb="FF000000"/>
      <name val="Times New Roman Italic"/>
    </font>
    <font>
      <b/>
      <sz val="10"/>
      <color theme="1"/>
      <name val="Times New Roman"/>
      <family val="1"/>
      <charset val="238"/>
    </font>
    <font>
      <b/>
      <sz val="10"/>
      <color indexed="8"/>
      <name val="Times New Roman"/>
      <family val="1"/>
      <charset val="238"/>
    </font>
    <font>
      <sz val="10"/>
      <color indexed="8"/>
      <name val="Times New Roman"/>
      <family val="1"/>
      <charset val="238"/>
    </font>
    <font>
      <sz val="14"/>
      <color indexed="8"/>
      <name val="Times New Roman"/>
      <family val="1"/>
    </font>
    <font>
      <sz val="12"/>
      <color indexed="8"/>
      <name val="Times New Roman"/>
      <family val="1"/>
      <charset val="238"/>
    </font>
    <font>
      <sz val="8"/>
      <color indexed="8"/>
      <name val="Times New Roman"/>
      <family val="1"/>
      <charset val="238"/>
    </font>
    <font>
      <b/>
      <sz val="8"/>
      <color indexed="8"/>
      <name val="Times New Roman"/>
      <family val="1"/>
      <charset val="238"/>
    </font>
    <font>
      <sz val="8"/>
      <color indexed="8"/>
      <name val="Calibri"/>
      <family val="2"/>
      <charset val="238"/>
    </font>
    <font>
      <b/>
      <sz val="9"/>
      <color indexed="8"/>
      <name val="Times New Roman"/>
      <family val="1"/>
    </font>
    <font>
      <sz val="9"/>
      <color indexed="8"/>
      <name val="Times New Roman"/>
      <family val="1"/>
      <charset val="238"/>
    </font>
    <font>
      <sz val="16"/>
      <color indexed="8"/>
      <name val="Arial"/>
      <family val="2"/>
    </font>
    <font>
      <b/>
      <sz val="8"/>
      <name val="Arial"/>
      <family val="2"/>
    </font>
    <font>
      <sz val="8"/>
      <color indexed="8"/>
      <name val="Arial"/>
      <family val="2"/>
    </font>
    <font>
      <b/>
      <sz val="8"/>
      <color indexed="8"/>
      <name val="Arial"/>
      <family val="2"/>
    </font>
    <font>
      <b/>
      <sz val="8"/>
      <color indexed="10"/>
      <name val="Arial"/>
      <family val="2"/>
    </font>
    <font>
      <sz val="8"/>
      <color indexed="10"/>
      <name val="Arial"/>
      <family val="2"/>
    </font>
    <font>
      <sz val="8"/>
      <name val="Calibri"/>
      <family val="2"/>
    </font>
    <font>
      <sz val="8"/>
      <color indexed="8"/>
      <name val="Calibri"/>
      <family val="2"/>
    </font>
    <font>
      <b/>
      <u/>
      <sz val="8"/>
      <color indexed="8"/>
      <name val="Arial"/>
      <family val="2"/>
    </font>
    <font>
      <b/>
      <sz val="12"/>
      <color theme="1"/>
      <name val="Times New Roman"/>
      <family val="1"/>
      <charset val="238"/>
    </font>
    <font>
      <sz val="10"/>
      <color theme="1"/>
      <name val="Calibri"/>
      <family val="2"/>
      <charset val="238"/>
      <scheme val="minor"/>
    </font>
    <font>
      <sz val="8"/>
      <color theme="1"/>
      <name val="Calibri"/>
      <family val="2"/>
      <charset val="238"/>
      <scheme val="minor"/>
    </font>
  </fonts>
  <fills count="4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indexed="44"/>
        <bgColor indexed="64"/>
      </patternFill>
    </fill>
    <fill>
      <patternFill patternType="solid">
        <fgColor indexed="9"/>
        <bgColor indexed="64"/>
      </patternFill>
    </fill>
    <fill>
      <patternFill patternType="solid">
        <fgColor indexed="31"/>
        <bgColor indexed="64"/>
      </patternFill>
    </fill>
    <fill>
      <patternFill patternType="solid">
        <fgColor indexed="40"/>
        <bgColor indexed="64"/>
      </patternFill>
    </fill>
    <fill>
      <patternFill patternType="solid">
        <fgColor indexed="47"/>
        <bgColor indexed="64"/>
      </patternFill>
    </fill>
    <fill>
      <patternFill patternType="solid">
        <fgColor indexed="9"/>
        <bgColor indexed="9"/>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6"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5" fontId="30" fillId="0" borderId="0" applyFont="0" applyFill="0" applyBorder="0" applyAlignment="0" applyProtection="0"/>
    <xf numFmtId="9" fontId="30" fillId="0" borderId="0" applyFont="0" applyFill="0" applyBorder="0" applyAlignment="0" applyProtection="0"/>
    <xf numFmtId="0" fontId="34" fillId="0" borderId="0"/>
    <xf numFmtId="43" fontId="30" fillId="0" borderId="0" applyFont="0" applyFill="0" applyBorder="0" applyAlignment="0" applyProtection="0"/>
    <xf numFmtId="166"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40" applyNumberFormat="0" applyAlignment="0" applyProtection="0"/>
    <xf numFmtId="0" fontId="14" fillId="7" borderId="40" applyNumberFormat="0" applyAlignment="0" applyProtection="0"/>
    <xf numFmtId="0" fontId="3" fillId="23" borderId="41" applyNumberFormat="0" applyAlignment="0" applyProtection="0"/>
    <xf numFmtId="0" fontId="17" fillId="20" borderId="42" applyNumberFormat="0" applyAlignment="0" applyProtection="0"/>
    <xf numFmtId="0" fontId="19" fillId="0" borderId="43" applyNumberFormat="0" applyFill="0" applyAlignment="0" applyProtection="0"/>
  </cellStyleXfs>
  <cellXfs count="1208">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4" fillId="0" borderId="0" xfId="0" applyFont="1"/>
    <xf numFmtId="49" fontId="46" fillId="0" borderId="11" xfId="1" applyNumberFormat="1" applyFont="1" applyFill="1" applyBorder="1" applyAlignment="1">
      <alignment horizontal="center" vertical="center" wrapText="1"/>
    </xf>
    <xf numFmtId="0" fontId="45" fillId="0" borderId="0" xfId="0" applyFont="1"/>
    <xf numFmtId="0" fontId="48" fillId="0" borderId="18" xfId="0" applyFont="1" applyFill="1" applyBorder="1" applyAlignment="1" applyProtection="1">
      <alignment horizontal="center" vertical="top"/>
    </xf>
    <xf numFmtId="0" fontId="44" fillId="0" borderId="0" xfId="0" applyFont="1" applyFill="1"/>
    <xf numFmtId="0" fontId="48" fillId="0" borderId="18" xfId="0" applyFont="1" applyFill="1" applyBorder="1" applyAlignment="1" applyProtection="1">
      <alignment horizontal="center"/>
    </xf>
    <xf numFmtId="0" fontId="49" fillId="0" borderId="18" xfId="0" applyFont="1" applyBorder="1" applyAlignment="1">
      <alignment horizontal="center" vertical="center"/>
    </xf>
    <xf numFmtId="49" fontId="41" fillId="0" borderId="23" xfId="0" applyNumberFormat="1" applyFont="1" applyFill="1" applyBorder="1" applyAlignment="1">
      <alignment horizontal="center" vertical="center"/>
    </xf>
    <xf numFmtId="49" fontId="43" fillId="20" borderId="23" xfId="0" applyNumberFormat="1" applyFont="1" applyFill="1" applyBorder="1" applyAlignment="1">
      <alignment horizontal="left" vertical="center"/>
    </xf>
    <xf numFmtId="0" fontId="50" fillId="20" borderId="23" xfId="0" applyFont="1" applyFill="1" applyBorder="1"/>
    <xf numFmtId="164" fontId="43" fillId="20" borderId="23" xfId="0" applyNumberFormat="1" applyFont="1" applyFill="1" applyBorder="1" applyAlignment="1">
      <alignment horizontal="center" vertical="center" wrapText="1"/>
    </xf>
    <xf numFmtId="0" fontId="41" fillId="0" borderId="23" xfId="0" applyFont="1" applyFill="1" applyBorder="1" applyAlignment="1">
      <alignment horizontal="left" vertical="center" wrapText="1"/>
    </xf>
    <xf numFmtId="164" fontId="41" fillId="0" borderId="23" xfId="0" applyNumberFormat="1" applyFont="1" applyFill="1" applyBorder="1" applyAlignment="1">
      <alignment horizontal="center" vertical="center" wrapText="1"/>
    </xf>
    <xf numFmtId="168" fontId="41" fillId="0" borderId="23" xfId="0" applyNumberFormat="1" applyFont="1" applyFill="1" applyBorder="1" applyAlignment="1">
      <alignment horizontal="center" vertical="center" wrapText="1"/>
    </xf>
    <xf numFmtId="49" fontId="43" fillId="20" borderId="23" xfId="0" applyNumberFormat="1" applyFont="1" applyFill="1" applyBorder="1" applyAlignment="1">
      <alignment horizontal="left"/>
    </xf>
    <xf numFmtId="0" fontId="43" fillId="20" borderId="23" xfId="0" applyFont="1" applyFill="1" applyBorder="1" applyAlignment="1">
      <alignment horizontal="left" wrapText="1"/>
    </xf>
    <xf numFmtId="168" fontId="43" fillId="20" borderId="23" xfId="0" applyNumberFormat="1" applyFont="1" applyFill="1" applyBorder="1" applyAlignment="1">
      <alignment horizontal="center" vertical="center" wrapText="1"/>
    </xf>
    <xf numFmtId="49" fontId="41" fillId="0" borderId="23" xfId="0" applyNumberFormat="1" applyFont="1" applyFill="1" applyBorder="1" applyAlignment="1">
      <alignment horizontal="center"/>
    </xf>
    <xf numFmtId="0" fontId="41" fillId="0" borderId="23" xfId="0" applyFont="1" applyFill="1" applyBorder="1" applyAlignment="1">
      <alignment horizontal="left" wrapText="1"/>
    </xf>
    <xf numFmtId="49" fontId="41" fillId="0" borderId="23" xfId="0" applyNumberFormat="1" applyFont="1" applyFill="1" applyBorder="1" applyAlignment="1">
      <alignment horizontal="right"/>
    </xf>
    <xf numFmtId="0" fontId="50" fillId="20" borderId="23" xfId="0" applyFont="1" applyFill="1" applyBorder="1" applyAlignment="1">
      <alignment wrapText="1"/>
    </xf>
    <xf numFmtId="0" fontId="51" fillId="0" borderId="23" xfId="0" applyFont="1" applyFill="1" applyBorder="1" applyAlignment="1">
      <alignment wrapText="1"/>
    </xf>
    <xf numFmtId="49" fontId="41" fillId="0" borderId="23" xfId="0" applyNumberFormat="1" applyFont="1" applyFill="1" applyBorder="1" applyAlignment="1">
      <alignment horizontal="right" vertical="center"/>
    </xf>
    <xf numFmtId="49" fontId="43" fillId="29" borderId="23" xfId="0" applyNumberFormat="1" applyFont="1" applyFill="1" applyBorder="1" applyAlignment="1">
      <alignment horizontal="left"/>
    </xf>
    <xf numFmtId="0" fontId="50" fillId="29" borderId="23" xfId="0" applyFont="1" applyFill="1" applyBorder="1" applyAlignment="1">
      <alignment wrapText="1"/>
    </xf>
    <xf numFmtId="164" fontId="43" fillId="29" borderId="23" xfId="0" applyNumberFormat="1" applyFont="1" applyFill="1" applyBorder="1" applyAlignment="1">
      <alignment horizontal="center" vertical="center" wrapText="1"/>
    </xf>
    <xf numFmtId="168" fontId="43" fillId="29" borderId="23" xfId="0" applyNumberFormat="1" applyFont="1" applyFill="1" applyBorder="1" applyAlignment="1">
      <alignment horizontal="center" vertical="center" wrapText="1"/>
    </xf>
    <xf numFmtId="0" fontId="43" fillId="26" borderId="23" xfId="0" applyFont="1" applyFill="1" applyBorder="1" applyAlignment="1">
      <alignment horizontal="left"/>
    </xf>
    <xf numFmtId="0" fontId="50" fillId="26" borderId="23" xfId="0" applyFont="1" applyFill="1" applyBorder="1" applyAlignment="1">
      <alignment wrapText="1"/>
    </xf>
    <xf numFmtId="164" fontId="43" fillId="26" borderId="23" xfId="0" applyNumberFormat="1" applyFont="1" applyFill="1" applyBorder="1" applyAlignment="1">
      <alignment horizontal="center" vertical="center" wrapText="1"/>
    </xf>
    <xf numFmtId="168" fontId="43" fillId="26" borderId="23" xfId="0" applyNumberFormat="1" applyFont="1" applyFill="1" applyBorder="1" applyAlignment="1">
      <alignment horizontal="center" vertical="center" wrapText="1"/>
    </xf>
    <xf numFmtId="49" fontId="43" fillId="20" borderId="23" xfId="0" applyNumberFormat="1" applyFont="1" applyFill="1" applyBorder="1" applyAlignment="1">
      <alignment horizontal="left" vertical="center" wrapText="1"/>
    </xf>
    <xf numFmtId="49" fontId="41" fillId="0" borderId="23" xfId="0" applyNumberFormat="1" applyFont="1" applyFill="1" applyBorder="1" applyAlignment="1">
      <alignment horizontal="center" vertical="center" wrapText="1"/>
    </xf>
    <xf numFmtId="49" fontId="41" fillId="4" borderId="24" xfId="0" applyNumberFormat="1" applyFont="1" applyFill="1" applyBorder="1" applyAlignment="1">
      <alignment horizontal="center"/>
    </xf>
    <xf numFmtId="0" fontId="43" fillId="4" borderId="24" xfId="0" applyFont="1" applyFill="1" applyBorder="1" applyAlignment="1">
      <alignment horizontal="center" vertical="center"/>
    </xf>
    <xf numFmtId="164" fontId="43" fillId="4" borderId="24" xfId="29" applyNumberFormat="1" applyFont="1" applyFill="1" applyBorder="1" applyAlignment="1" applyProtection="1">
      <alignment horizontal="right" vertical="center" wrapText="1"/>
    </xf>
    <xf numFmtId="168" fontId="43" fillId="4" borderId="24" xfId="29" applyNumberFormat="1" applyFont="1" applyFill="1" applyBorder="1" applyAlignment="1" applyProtection="1">
      <alignment horizontal="right" vertical="center"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left" vertical="center" wrapText="1"/>
    </xf>
    <xf numFmtId="169" fontId="41" fillId="0" borderId="0" xfId="29" applyNumberFormat="1" applyFont="1" applyFill="1" applyBorder="1" applyAlignment="1" applyProtection="1">
      <alignment horizontal="right" vertical="center" wrapText="1"/>
    </xf>
    <xf numFmtId="0" fontId="43" fillId="0" borderId="0" xfId="0" applyFont="1"/>
    <xf numFmtId="0" fontId="43" fillId="0" borderId="0" xfId="0" applyFont="1" applyAlignment="1">
      <alignment horizontal="left"/>
    </xf>
    <xf numFmtId="0" fontId="43" fillId="0" borderId="0" xfId="0" applyFont="1" applyAlignment="1">
      <alignment horizontal="right" vertical="center" wrapText="1"/>
    </xf>
    <xf numFmtId="49" fontId="43" fillId="6" borderId="0" xfId="0" applyNumberFormat="1" applyFont="1" applyFill="1" applyBorder="1" applyAlignment="1">
      <alignment horizontal="center" vertical="center" wrapText="1"/>
    </xf>
    <xf numFmtId="0" fontId="43" fillId="6" borderId="0" xfId="0" applyFont="1" applyFill="1" applyBorder="1" applyAlignment="1">
      <alignment horizontal="center" vertical="center" wrapText="1" shrinkToFit="1"/>
    </xf>
    <xf numFmtId="49" fontId="41" fillId="0" borderId="0" xfId="0" applyNumberFormat="1" applyFont="1" applyBorder="1" applyAlignment="1">
      <alignment horizontal="center" vertical="center"/>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49" fontId="43" fillId="20" borderId="0" xfId="0" applyNumberFormat="1" applyFont="1" applyFill="1" applyBorder="1" applyAlignment="1">
      <alignment horizontal="center"/>
    </xf>
    <xf numFmtId="0" fontId="43" fillId="20" borderId="0" xfId="0" applyFont="1" applyFill="1" applyBorder="1" applyAlignment="1">
      <alignment horizontal="left"/>
    </xf>
    <xf numFmtId="164" fontId="43" fillId="20" borderId="0" xfId="29" applyNumberFormat="1" applyFont="1" applyFill="1" applyBorder="1" applyAlignment="1" applyProtection="1">
      <alignment horizontal="right" vertical="center" wrapText="1"/>
    </xf>
    <xf numFmtId="168" fontId="43" fillId="20" borderId="0" xfId="48" applyNumberFormat="1" applyFont="1" applyFill="1" applyBorder="1" applyAlignment="1" applyProtection="1">
      <alignment horizontal="right" vertical="center" wrapText="1"/>
    </xf>
    <xf numFmtId="49" fontId="41" fillId="0" borderId="0" xfId="0" applyNumberFormat="1" applyFont="1" applyFill="1" applyBorder="1" applyAlignment="1">
      <alignment horizontal="center"/>
    </xf>
    <xf numFmtId="0" fontId="41" fillId="0" borderId="0" xfId="0" applyFont="1" applyFill="1" applyBorder="1" applyAlignment="1">
      <alignment horizontal="left"/>
    </xf>
    <xf numFmtId="164" fontId="41" fillId="0" borderId="0" xfId="29" applyNumberFormat="1" applyFont="1" applyFill="1" applyBorder="1" applyAlignment="1" applyProtection="1">
      <alignment horizontal="right" vertical="center" wrapText="1"/>
    </xf>
    <xf numFmtId="168" fontId="41" fillId="0" borderId="0" xfId="48" applyNumberFormat="1" applyFont="1" applyFill="1" applyBorder="1" applyAlignment="1" applyProtection="1">
      <alignment horizontal="right" vertical="center" wrapText="1"/>
    </xf>
    <xf numFmtId="0" fontId="41" fillId="0" borderId="0" xfId="0" applyNumberFormat="1" applyFont="1" applyFill="1" applyBorder="1" applyAlignment="1">
      <alignment horizontal="center"/>
    </xf>
    <xf numFmtId="164" fontId="43" fillId="0" borderId="0" xfId="29" applyNumberFormat="1" applyFont="1" applyFill="1" applyBorder="1" applyAlignment="1" applyProtection="1">
      <alignment horizontal="right" vertical="center" wrapText="1"/>
    </xf>
    <xf numFmtId="0" fontId="41" fillId="0" borderId="0" xfId="0" applyFont="1" applyFill="1" applyAlignment="1">
      <alignment horizontal="center" vertical="center"/>
    </xf>
    <xf numFmtId="0" fontId="41" fillId="0" borderId="0" xfId="0" applyFont="1" applyFill="1"/>
    <xf numFmtId="0" fontId="52" fillId="0" borderId="0" xfId="0" applyFont="1"/>
    <xf numFmtId="1" fontId="41" fillId="0" borderId="0" xfId="0" applyNumberFormat="1" applyFont="1" applyFill="1" applyAlignment="1">
      <alignment horizontal="center" vertical="center" wrapText="1"/>
    </xf>
    <xf numFmtId="0" fontId="51" fillId="0" borderId="0" xfId="0" applyFont="1" applyFill="1" applyAlignment="1">
      <alignment horizontal="left" vertical="center" wrapText="1"/>
    </xf>
    <xf numFmtId="0" fontId="43" fillId="20" borderId="0" xfId="0" applyFont="1" applyFill="1" applyBorder="1" applyAlignment="1">
      <alignment horizontal="center"/>
    </xf>
    <xf numFmtId="0" fontId="43" fillId="20" borderId="0" xfId="0" applyFont="1" applyFill="1" applyBorder="1" applyAlignment="1">
      <alignment horizontal="justify"/>
    </xf>
    <xf numFmtId="0" fontId="41" fillId="0" borderId="0" xfId="0" applyFont="1" applyFill="1" applyBorder="1" applyAlignment="1">
      <alignment horizontal="center"/>
    </xf>
    <xf numFmtId="0" fontId="41" fillId="0" borderId="0" xfId="0" applyFont="1" applyFill="1" applyBorder="1" applyAlignment="1">
      <alignment horizontal="justify"/>
    </xf>
    <xf numFmtId="0" fontId="51" fillId="0" borderId="0" xfId="0" applyFont="1" applyFill="1" applyAlignment="1">
      <alignment horizontal="justify" vertical="center" wrapText="1"/>
    </xf>
    <xf numFmtId="168" fontId="41" fillId="0" borderId="0" xfId="48" applyNumberFormat="1" applyFont="1" applyFill="1" applyAlignment="1">
      <alignment horizontal="right" vertical="center" wrapText="1"/>
    </xf>
    <xf numFmtId="0" fontId="51" fillId="0" borderId="0" xfId="0" applyFont="1" applyFill="1" applyAlignment="1">
      <alignment vertical="center" wrapText="1"/>
    </xf>
    <xf numFmtId="164" fontId="43" fillId="20" borderId="0" xfId="47" applyNumberFormat="1" applyFont="1" applyFill="1" applyAlignment="1">
      <alignment horizontal="right" vertical="center" wrapText="1"/>
    </xf>
    <xf numFmtId="168" fontId="43" fillId="20" borderId="0" xfId="48" applyNumberFormat="1" applyFont="1" applyFill="1" applyAlignment="1">
      <alignment horizontal="right" vertical="center" wrapText="1"/>
    </xf>
    <xf numFmtId="164" fontId="43" fillId="20" borderId="0" xfId="0" applyNumberFormat="1" applyFont="1" applyFill="1" applyAlignment="1">
      <alignment horizontal="right" vertical="center" wrapText="1"/>
    </xf>
    <xf numFmtId="1" fontId="43" fillId="20" borderId="0" xfId="0" applyNumberFormat="1" applyFont="1" applyFill="1" applyAlignment="1">
      <alignment horizontal="center" vertical="center" wrapText="1"/>
    </xf>
    <xf numFmtId="0" fontId="43" fillId="20" borderId="0" xfId="0" applyFont="1" applyFill="1" applyAlignment="1">
      <alignment vertical="center" wrapText="1"/>
    </xf>
    <xf numFmtId="168" fontId="41" fillId="20" borderId="0" xfId="48" applyNumberFormat="1" applyFont="1" applyFill="1" applyAlignment="1">
      <alignment horizontal="right" vertical="center" wrapText="1"/>
    </xf>
    <xf numFmtId="0" fontId="41" fillId="0" borderId="0" xfId="0" applyFont="1" applyFill="1" applyAlignment="1">
      <alignment wrapText="1"/>
    </xf>
    <xf numFmtId="49" fontId="41" fillId="0" borderId="0" xfId="0" applyNumberFormat="1" applyFont="1" applyBorder="1" applyAlignment="1">
      <alignment horizontal="center"/>
    </xf>
    <xf numFmtId="0" fontId="41" fillId="0" borderId="0" xfId="0" applyFont="1" applyBorder="1" applyAlignment="1">
      <alignment horizontal="left"/>
    </xf>
    <xf numFmtId="168" fontId="41" fillId="0" borderId="0" xfId="48" applyNumberFormat="1" applyFont="1" applyAlignment="1">
      <alignment horizontal="right" vertical="center" wrapText="1"/>
    </xf>
    <xf numFmtId="0" fontId="43" fillId="4" borderId="0" xfId="0" applyFont="1" applyFill="1"/>
    <xf numFmtId="49" fontId="43" fillId="4" borderId="0" xfId="0" applyNumberFormat="1" applyFont="1" applyFill="1" applyBorder="1" applyAlignment="1">
      <alignment vertical="center" wrapText="1"/>
    </xf>
    <xf numFmtId="164" fontId="43" fillId="4" borderId="0" xfId="0" applyNumberFormat="1" applyFont="1" applyFill="1" applyAlignment="1">
      <alignment horizontal="right" vertical="center" wrapText="1"/>
    </xf>
    <xf numFmtId="168" fontId="43" fillId="4" borderId="0" xfId="48" applyNumberFormat="1" applyFont="1" applyFill="1" applyBorder="1" applyAlignment="1" applyProtection="1">
      <alignment horizontal="right" vertical="center" wrapText="1"/>
    </xf>
    <xf numFmtId="164" fontId="43" fillId="4" borderId="0" xfId="29" applyNumberFormat="1" applyFont="1" applyFill="1" applyBorder="1" applyAlignment="1" applyProtection="1">
      <alignment horizontal="right" vertical="center" wrapText="1"/>
    </xf>
    <xf numFmtId="0" fontId="41" fillId="0" borderId="0" xfId="0" applyFont="1"/>
    <xf numFmtId="167" fontId="41" fillId="0" borderId="0" xfId="0" applyNumberFormat="1" applyFont="1" applyFill="1"/>
    <xf numFmtId="0" fontId="53" fillId="0" borderId="11" xfId="0" applyFont="1" applyBorder="1"/>
    <xf numFmtId="164" fontId="53" fillId="0" borderId="11" xfId="0" applyNumberFormat="1" applyFont="1" applyBorder="1" applyAlignment="1">
      <alignment horizontal="right" wrapText="1"/>
    </xf>
    <xf numFmtId="164" fontId="44" fillId="0" borderId="0" xfId="0" applyNumberFormat="1" applyFont="1" applyAlignment="1">
      <alignment wrapText="1"/>
    </xf>
    <xf numFmtId="167" fontId="39" fillId="6" borderId="20" xfId="0" applyNumberFormat="1" applyFont="1" applyFill="1" applyBorder="1" applyAlignment="1">
      <alignment horizontal="center" vertical="center" wrapText="1" shrinkToFit="1"/>
    </xf>
    <xf numFmtId="49" fontId="39" fillId="25" borderId="18" xfId="0" applyNumberFormat="1" applyFont="1" applyFill="1" applyBorder="1" applyAlignment="1">
      <alignment horizontal="center" wrapText="1"/>
    </xf>
    <xf numFmtId="49" fontId="39" fillId="25" borderId="18" xfId="0" applyNumberFormat="1" applyFont="1" applyFill="1" applyBorder="1" applyAlignment="1">
      <alignment horizontal="left" vertical="center" wrapText="1"/>
    </xf>
    <xf numFmtId="164" fontId="39" fillId="25" borderId="18" xfId="29" applyNumberFormat="1" applyFont="1" applyFill="1" applyBorder="1" applyAlignment="1" applyProtection="1">
      <alignment horizontal="right" vertical="center" wrapText="1"/>
    </xf>
    <xf numFmtId="49" fontId="39" fillId="26" borderId="18" xfId="0" applyNumberFormat="1" applyFont="1" applyFill="1" applyBorder="1" applyAlignment="1">
      <alignment horizontal="left" wrapText="1"/>
    </xf>
    <xf numFmtId="49" fontId="39" fillId="26" borderId="18" xfId="0" applyNumberFormat="1" applyFont="1" applyFill="1" applyBorder="1" applyAlignment="1">
      <alignment horizontal="center" wrapText="1"/>
    </xf>
    <xf numFmtId="49" fontId="39" fillId="26" borderId="18" xfId="0" applyNumberFormat="1" applyFont="1" applyFill="1" applyBorder="1" applyAlignment="1">
      <alignment horizontal="left" vertical="center" wrapText="1"/>
    </xf>
    <xf numFmtId="164" fontId="39" fillId="26" borderId="18" xfId="29" applyNumberFormat="1" applyFont="1" applyFill="1" applyBorder="1" applyAlignment="1" applyProtection="1">
      <alignment horizontal="right" vertical="center" wrapText="1"/>
    </xf>
    <xf numFmtId="0" fontId="39" fillId="27" borderId="18" xfId="0" applyFont="1" applyFill="1" applyBorder="1" applyAlignment="1">
      <alignment horizontal="center" vertical="center" wrapText="1"/>
    </xf>
    <xf numFmtId="0" fontId="39" fillId="27" borderId="18" xfId="0" applyFont="1" applyFill="1" applyBorder="1" applyAlignment="1">
      <alignment horizontal="left" vertical="center" wrapText="1"/>
    </xf>
    <xf numFmtId="164" fontId="39" fillId="27" borderId="18" xfId="29" applyNumberFormat="1" applyFont="1" applyFill="1" applyBorder="1" applyAlignment="1" applyProtection="1">
      <alignment horizontal="right" vertical="center" wrapText="1"/>
    </xf>
    <xf numFmtId="0" fontId="39" fillId="22" borderId="18" xfId="0" applyFont="1" applyFill="1" applyBorder="1" applyAlignment="1">
      <alignment horizontal="right" vertical="center" wrapText="1"/>
    </xf>
    <xf numFmtId="0" fontId="54" fillId="22" borderId="18" xfId="0" applyFont="1" applyFill="1" applyBorder="1" applyAlignment="1">
      <alignment horizontal="center" vertical="center" wrapText="1"/>
    </xf>
    <xf numFmtId="0" fontId="39" fillId="22" borderId="18" xfId="0" applyFont="1" applyFill="1" applyBorder="1" applyAlignment="1">
      <alignment vertical="center" wrapText="1"/>
    </xf>
    <xf numFmtId="164" fontId="39" fillId="22" borderId="18" xfId="29" applyNumberFormat="1" applyFont="1" applyFill="1" applyBorder="1" applyAlignment="1" applyProtection="1">
      <alignment horizontal="right" vertical="center" wrapText="1"/>
    </xf>
    <xf numFmtId="0" fontId="54" fillId="0" borderId="18" xfId="0" applyFont="1" applyFill="1" applyBorder="1" applyAlignment="1">
      <alignment horizontal="center" vertical="center" wrapText="1"/>
    </xf>
    <xf numFmtId="0" fontId="54" fillId="0" borderId="18" xfId="0" applyFont="1" applyBorder="1" applyAlignment="1">
      <alignment vertical="center" wrapText="1"/>
    </xf>
    <xf numFmtId="164" fontId="54" fillId="0" borderId="18" xfId="29" applyNumberFormat="1" applyFont="1" applyFill="1" applyBorder="1" applyAlignment="1" applyProtection="1">
      <alignment horizontal="right" vertical="center" wrapText="1"/>
    </xf>
    <xf numFmtId="0" fontId="39" fillId="0" borderId="18" xfId="0" applyFont="1" applyFill="1" applyBorder="1" applyAlignment="1">
      <alignment horizontal="center" vertical="center" wrapText="1"/>
    </xf>
    <xf numFmtId="0" fontId="39" fillId="22" borderId="18" xfId="0" applyFont="1" applyFill="1" applyBorder="1" applyAlignment="1">
      <alignment horizontal="center" vertical="center" wrapText="1"/>
    </xf>
    <xf numFmtId="0" fontId="54" fillId="0" borderId="18" xfId="0" applyFont="1" applyFill="1" applyBorder="1" applyAlignment="1">
      <alignment vertical="center" wrapText="1"/>
    </xf>
    <xf numFmtId="49" fontId="54" fillId="0" borderId="18" xfId="0" applyNumberFormat="1" applyFont="1" applyFill="1" applyBorder="1" applyAlignment="1">
      <alignment horizontal="center" vertical="center" wrapText="1"/>
    </xf>
    <xf numFmtId="49" fontId="39" fillId="22" borderId="18" xfId="0" applyNumberFormat="1" applyFont="1" applyFill="1" applyBorder="1" applyAlignment="1">
      <alignment horizontal="right" vertical="center" wrapText="1"/>
    </xf>
    <xf numFmtId="49" fontId="54" fillId="22" borderId="18" xfId="0" applyNumberFormat="1" applyFont="1" applyFill="1" applyBorder="1" applyAlignment="1">
      <alignment horizontal="center" vertical="center" wrapText="1"/>
    </xf>
    <xf numFmtId="49" fontId="39" fillId="22" borderId="18" xfId="0" applyNumberFormat="1" applyFont="1" applyFill="1" applyBorder="1" applyAlignment="1">
      <alignment vertical="center" wrapText="1"/>
    </xf>
    <xf numFmtId="49" fontId="39" fillId="27" borderId="18" xfId="0" applyNumberFormat="1" applyFont="1" applyFill="1" applyBorder="1" applyAlignment="1">
      <alignment horizontal="center" vertical="center" wrapText="1"/>
    </xf>
    <xf numFmtId="49" fontId="54" fillId="27" borderId="18" xfId="0" applyNumberFormat="1" applyFont="1" applyFill="1" applyBorder="1" applyAlignment="1">
      <alignment horizontal="center" vertical="center" wrapText="1"/>
    </xf>
    <xf numFmtId="49" fontId="39" fillId="27" borderId="18" xfId="0" applyNumberFormat="1" applyFont="1" applyFill="1" applyBorder="1" applyAlignment="1">
      <alignment vertical="center" wrapText="1"/>
    </xf>
    <xf numFmtId="49" fontId="54" fillId="0" borderId="18" xfId="0" applyNumberFormat="1" applyFont="1" applyFill="1" applyBorder="1" applyAlignment="1">
      <alignment vertical="center" wrapText="1"/>
    </xf>
    <xf numFmtId="49" fontId="39" fillId="0" borderId="18" xfId="0" applyNumberFormat="1" applyFont="1" applyFill="1" applyBorder="1" applyAlignment="1">
      <alignment horizontal="center" vertical="center" wrapText="1"/>
    </xf>
    <xf numFmtId="0" fontId="54" fillId="0" borderId="18" xfId="0" applyFont="1" applyBorder="1" applyAlignment="1">
      <alignment horizontal="center"/>
    </xf>
    <xf numFmtId="0" fontId="54" fillId="0" borderId="18" xfId="0" applyFont="1" applyBorder="1"/>
    <xf numFmtId="49" fontId="39" fillId="28" borderId="18" xfId="0" applyNumberFormat="1" applyFont="1" applyFill="1" applyBorder="1" applyAlignment="1">
      <alignment horizontal="center" vertical="center" wrapText="1"/>
    </xf>
    <xf numFmtId="49" fontId="54" fillId="28" borderId="18" xfId="0" applyNumberFormat="1" applyFont="1" applyFill="1" applyBorder="1" applyAlignment="1">
      <alignment horizontal="center" vertical="center" wrapText="1"/>
    </xf>
    <xf numFmtId="49" fontId="39" fillId="28" borderId="18" xfId="0" applyNumberFormat="1" applyFont="1" applyFill="1" applyBorder="1" applyAlignment="1">
      <alignment vertical="center" wrapText="1"/>
    </xf>
    <xf numFmtId="164" fontId="39" fillId="28" borderId="18" xfId="29" applyNumberFormat="1" applyFont="1" applyFill="1" applyBorder="1" applyAlignment="1" applyProtection="1">
      <alignment horizontal="right" vertical="center" wrapText="1"/>
    </xf>
    <xf numFmtId="49" fontId="39" fillId="20" borderId="18" xfId="0" applyNumberFormat="1" applyFont="1" applyFill="1" applyBorder="1" applyAlignment="1">
      <alignment horizontal="left" vertical="center" wrapText="1"/>
    </xf>
    <xf numFmtId="49" fontId="54" fillId="20" borderId="18" xfId="0" applyNumberFormat="1" applyFont="1" applyFill="1" applyBorder="1" applyAlignment="1">
      <alignment horizontal="center" vertical="center" wrapText="1"/>
    </xf>
    <xf numFmtId="49" fontId="39" fillId="20" borderId="18" xfId="0" applyNumberFormat="1" applyFont="1" applyFill="1" applyBorder="1" applyAlignment="1">
      <alignment vertical="center" wrapText="1"/>
    </xf>
    <xf numFmtId="164" fontId="39" fillId="20" borderId="18" xfId="29" applyNumberFormat="1" applyFont="1" applyFill="1" applyBorder="1" applyAlignment="1" applyProtection="1">
      <alignment horizontal="right" vertical="center" wrapText="1"/>
    </xf>
    <xf numFmtId="0" fontId="39" fillId="28" borderId="18" xfId="0" applyFont="1" applyFill="1" applyBorder="1" applyAlignment="1">
      <alignment horizontal="center" vertical="center" wrapText="1"/>
    </xf>
    <xf numFmtId="0" fontId="39" fillId="28" borderId="18" xfId="0" applyFont="1" applyFill="1" applyBorder="1"/>
    <xf numFmtId="0" fontId="39" fillId="28" borderId="18" xfId="0" applyFont="1" applyFill="1" applyBorder="1" applyAlignment="1">
      <alignment horizontal="center" vertical="top" wrapText="1"/>
    </xf>
    <xf numFmtId="0" fontId="39" fillId="28" borderId="18" xfId="0" applyFont="1" applyFill="1" applyBorder="1" applyAlignment="1">
      <alignment wrapText="1"/>
    </xf>
    <xf numFmtId="164" fontId="39" fillId="28" borderId="18" xfId="0" applyNumberFormat="1" applyFont="1" applyFill="1" applyBorder="1" applyAlignment="1">
      <alignment horizontal="right" vertical="top" wrapText="1"/>
    </xf>
    <xf numFmtId="0" fontId="54" fillId="20" borderId="18" xfId="0" applyFont="1" applyFill="1" applyBorder="1"/>
    <xf numFmtId="0" fontId="39" fillId="20" borderId="18" xfId="0" applyFont="1" applyFill="1" applyBorder="1"/>
    <xf numFmtId="49" fontId="39" fillId="25" borderId="18" xfId="0" applyNumberFormat="1" applyFont="1" applyFill="1" applyBorder="1" applyAlignment="1">
      <alignment horizontal="center" vertical="center" wrapText="1"/>
    </xf>
    <xf numFmtId="49" fontId="39" fillId="25" borderId="18" xfId="0" applyNumberFormat="1" applyFont="1" applyFill="1" applyBorder="1" applyAlignment="1">
      <alignment vertical="center" wrapText="1"/>
    </xf>
    <xf numFmtId="0" fontId="42" fillId="0" borderId="0" xfId="0" applyFont="1" applyAlignment="1">
      <alignment horizontal="center"/>
    </xf>
    <xf numFmtId="0" fontId="42" fillId="0" borderId="0" xfId="0" applyFont="1" applyAlignment="1">
      <alignment vertical="center" wrapText="1"/>
    </xf>
    <xf numFmtId="164" fontId="39" fillId="25" borderId="25" xfId="29" applyNumberFormat="1" applyFont="1" applyFill="1" applyBorder="1" applyAlignment="1" applyProtection="1">
      <alignment horizontal="right" vertical="center" wrapText="1"/>
    </xf>
    <xf numFmtId="164" fontId="39" fillId="26" borderId="25" xfId="29" applyNumberFormat="1" applyFont="1" applyFill="1" applyBorder="1" applyAlignment="1" applyProtection="1">
      <alignment horizontal="right" vertical="center" wrapText="1"/>
    </xf>
    <xf numFmtId="164" fontId="39" fillId="27" borderId="25" xfId="29" applyNumberFormat="1" applyFont="1" applyFill="1" applyBorder="1" applyAlignment="1" applyProtection="1">
      <alignment horizontal="right" vertical="center" wrapText="1"/>
    </xf>
    <xf numFmtId="164" fontId="39" fillId="22" borderId="25" xfId="29" applyNumberFormat="1" applyFont="1" applyFill="1" applyBorder="1" applyAlignment="1" applyProtection="1">
      <alignment horizontal="right" vertical="center" wrapText="1"/>
    </xf>
    <xf numFmtId="164" fontId="54" fillId="0" borderId="25" xfId="29" applyNumberFormat="1" applyFont="1" applyFill="1" applyBorder="1" applyAlignment="1" applyProtection="1">
      <alignment horizontal="right" vertical="center" wrapText="1"/>
    </xf>
    <xf numFmtId="164" fontId="39" fillId="28" borderId="25" xfId="29" applyNumberFormat="1" applyFont="1" applyFill="1" applyBorder="1" applyAlignment="1" applyProtection="1">
      <alignment horizontal="right" vertical="center" wrapText="1"/>
    </xf>
    <xf numFmtId="164" fontId="39" fillId="20" borderId="25" xfId="29" applyNumberFormat="1" applyFont="1" applyFill="1" applyBorder="1" applyAlignment="1" applyProtection="1">
      <alignment horizontal="right" vertical="center" wrapText="1"/>
    </xf>
    <xf numFmtId="164" fontId="39" fillId="28" borderId="25" xfId="0" applyNumberFormat="1" applyFont="1" applyFill="1" applyBorder="1" applyAlignment="1">
      <alignment horizontal="right" vertical="top" wrapText="1"/>
    </xf>
    <xf numFmtId="0" fontId="39" fillId="6" borderId="22" xfId="0" applyFont="1" applyFill="1" applyBorder="1" applyAlignment="1">
      <alignment horizontal="center" vertical="center" wrapText="1"/>
    </xf>
    <xf numFmtId="164" fontId="42" fillId="30" borderId="0" xfId="0" applyNumberFormat="1" applyFont="1" applyFill="1" applyAlignment="1">
      <alignment horizontal="right"/>
    </xf>
    <xf numFmtId="0" fontId="42" fillId="30" borderId="0" xfId="0" applyFont="1" applyFill="1" applyBorder="1"/>
    <xf numFmtId="0" fontId="54" fillId="32" borderId="18" xfId="0" applyFont="1" applyFill="1" applyBorder="1" applyAlignment="1">
      <alignment horizontal="center"/>
    </xf>
    <xf numFmtId="0" fontId="39" fillId="32" borderId="18" xfId="0" applyFont="1" applyFill="1" applyBorder="1" applyAlignment="1">
      <alignment horizontal="center" vertical="center" wrapText="1"/>
    </xf>
    <xf numFmtId="0" fontId="39" fillId="32" borderId="18" xfId="0" applyFont="1" applyFill="1" applyBorder="1" applyAlignment="1">
      <alignment vertical="center" wrapText="1"/>
    </xf>
    <xf numFmtId="164" fontId="39" fillId="32" borderId="18" xfId="0" applyNumberFormat="1" applyFont="1" applyFill="1" applyBorder="1" applyAlignment="1">
      <alignment horizontal="right" vertical="center" wrapText="1"/>
    </xf>
    <xf numFmtId="164" fontId="39" fillId="32" borderId="25" xfId="0" applyNumberFormat="1" applyFont="1" applyFill="1" applyBorder="1" applyAlignment="1">
      <alignment horizontal="right" vertical="center" wrapText="1"/>
    </xf>
    <xf numFmtId="168" fontId="39" fillId="25" borderId="18" xfId="48" applyNumberFormat="1" applyFont="1" applyFill="1" applyBorder="1" applyAlignment="1" applyProtection="1">
      <alignment horizontal="center" vertical="center" wrapText="1"/>
    </xf>
    <xf numFmtId="168" fontId="39" fillId="26" borderId="18" xfId="48" applyNumberFormat="1" applyFont="1" applyFill="1" applyBorder="1" applyAlignment="1">
      <alignment horizontal="center" vertical="center" wrapText="1"/>
    </xf>
    <xf numFmtId="168" fontId="39" fillId="27" borderId="18" xfId="48" applyNumberFormat="1" applyFont="1" applyFill="1" applyBorder="1" applyAlignment="1" applyProtection="1">
      <alignment horizontal="center" vertical="center" wrapText="1"/>
    </xf>
    <xf numFmtId="168" fontId="39" fillId="22" borderId="18" xfId="48" applyNumberFormat="1" applyFont="1" applyFill="1" applyBorder="1" applyAlignment="1" applyProtection="1">
      <alignment horizontal="center" vertical="center" wrapText="1"/>
    </xf>
    <xf numFmtId="168" fontId="54" fillId="0" borderId="18" xfId="48" applyNumberFormat="1" applyFont="1" applyFill="1" applyBorder="1" applyAlignment="1" applyProtection="1">
      <alignment horizontal="center" vertical="center" wrapText="1"/>
    </xf>
    <xf numFmtId="168" fontId="39" fillId="28" borderId="18" xfId="48" applyNumberFormat="1" applyFont="1" applyFill="1" applyBorder="1" applyAlignment="1" applyProtection="1">
      <alignment horizontal="center" vertical="center" wrapText="1"/>
    </xf>
    <xf numFmtId="168" fontId="39" fillId="20" borderId="18" xfId="48" applyNumberFormat="1" applyFont="1" applyFill="1" applyBorder="1" applyAlignment="1" applyProtection="1">
      <alignment horizontal="center" vertical="center" wrapText="1"/>
    </xf>
    <xf numFmtId="168" fontId="39" fillId="28" borderId="18" xfId="48" applyNumberFormat="1" applyFont="1" applyFill="1" applyBorder="1" applyAlignment="1">
      <alignment horizontal="center" vertical="top" wrapText="1"/>
    </xf>
    <xf numFmtId="168" fontId="39"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1" fillId="0" borderId="27" xfId="0" applyFont="1" applyFill="1" applyBorder="1" applyAlignment="1">
      <alignment horizontal="center" vertical="center" wrapText="1"/>
    </xf>
    <xf numFmtId="3" fontId="38" fillId="0" borderId="11" xfId="49" applyNumberFormat="1" applyFont="1" applyBorder="1" applyAlignment="1">
      <alignment horizontal="center" vertical="center" textRotation="90" wrapText="1"/>
    </xf>
    <xf numFmtId="0" fontId="38" fillId="0" borderId="11" xfId="49" applyFont="1" applyBorder="1" applyAlignment="1">
      <alignment horizontal="center" vertical="center" textRotation="90" wrapText="1"/>
    </xf>
    <xf numFmtId="3" fontId="38" fillId="0" borderId="11" xfId="49" applyNumberFormat="1" applyFont="1" applyBorder="1" applyAlignment="1">
      <alignment horizontal="center" vertical="center" wrapText="1"/>
    </xf>
    <xf numFmtId="49" fontId="38" fillId="0" borderId="13" xfId="49" applyNumberFormat="1" applyFont="1" applyBorder="1" applyAlignment="1">
      <alignment horizontal="center" vertical="center" textRotation="90" wrapText="1"/>
    </xf>
    <xf numFmtId="0" fontId="44" fillId="29" borderId="0" xfId="0" applyFont="1" applyFill="1" applyAlignment="1">
      <alignment horizontal="center" vertical="center"/>
    </xf>
    <xf numFmtId="0" fontId="44" fillId="0" borderId="0" xfId="0" applyFont="1" applyAlignment="1">
      <alignment vertical="center"/>
    </xf>
    <xf numFmtId="0" fontId="44" fillId="0" borderId="0" xfId="0" applyFont="1" applyAlignment="1">
      <alignment horizontal="center" vertical="center"/>
    </xf>
    <xf numFmtId="0" fontId="45" fillId="0" borderId="0" xfId="0" applyFont="1" applyAlignment="1">
      <alignment horizontal="center" vertical="center"/>
    </xf>
    <xf numFmtId="49" fontId="44" fillId="29" borderId="0" xfId="0" applyNumberFormat="1" applyFont="1" applyFill="1" applyAlignment="1">
      <alignment horizontal="left" vertical="center"/>
    </xf>
    <xf numFmtId="49" fontId="44" fillId="0" borderId="0" xfId="0" applyNumberFormat="1" applyFont="1" applyAlignment="1">
      <alignment horizontal="left" vertical="center"/>
    </xf>
    <xf numFmtId="0" fontId="44" fillId="0" borderId="0" xfId="0" applyFont="1" applyBorder="1" applyAlignment="1">
      <alignment horizontal="center" vertical="center"/>
    </xf>
    <xf numFmtId="0" fontId="44" fillId="0" borderId="0" xfId="0" applyFont="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21" fillId="0" borderId="0" xfId="0" applyFont="1" applyBorder="1" applyAlignment="1">
      <alignment horizontal="center" vertical="center" wrapText="1"/>
    </xf>
    <xf numFmtId="49" fontId="45" fillId="0" borderId="0" xfId="0" applyNumberFormat="1" applyFont="1" applyAlignment="1">
      <alignment horizontal="left" vertical="center"/>
    </xf>
    <xf numFmtId="0" fontId="45" fillId="0" borderId="21" xfId="0" applyFont="1" applyBorder="1" applyAlignment="1">
      <alignment vertical="center" wrapText="1"/>
    </xf>
    <xf numFmtId="0" fontId="44" fillId="0" borderId="0" xfId="0" applyFont="1" applyAlignment="1">
      <alignment vertical="center" wrapText="1"/>
    </xf>
    <xf numFmtId="3" fontId="22" fillId="0" borderId="32" xfId="1" applyNumberFormat="1" applyFont="1" applyFill="1" applyBorder="1" applyAlignment="1">
      <alignment horizontal="left" vertical="center" wrapText="1"/>
    </xf>
    <xf numFmtId="0" fontId="45" fillId="29" borderId="0" xfId="0" applyFont="1" applyFill="1" applyAlignment="1">
      <alignment vertical="center" wrapText="1"/>
    </xf>
    <xf numFmtId="0" fontId="21" fillId="0" borderId="0" xfId="1"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29" borderId="0" xfId="49" applyNumberFormat="1" applyFont="1" applyFill="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5" fillId="29" borderId="0" xfId="0" applyFont="1" applyFill="1" applyAlignment="1">
      <alignment horizontal="center" vertical="center"/>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4" fillId="0" borderId="0" xfId="0" applyFont="1" applyFill="1" applyBorder="1" applyAlignment="1">
      <alignment horizontal="center" vertical="center"/>
    </xf>
    <xf numFmtId="0" fontId="21" fillId="0" borderId="0" xfId="1" applyNumberFormat="1" applyFont="1" applyBorder="1" applyAlignment="1">
      <alignment horizontal="center" vertical="center" wrapText="1"/>
    </xf>
    <xf numFmtId="3" fontId="22" fillId="0" borderId="0" xfId="1" applyNumberFormat="1" applyFont="1" applyFill="1" applyBorder="1" applyAlignment="1">
      <alignment horizontal="left" vertical="center" wrapText="1"/>
    </xf>
    <xf numFmtId="3" fontId="22" fillId="0" borderId="0" xfId="49" applyNumberFormat="1" applyFont="1" applyFill="1" applyBorder="1" applyAlignment="1">
      <alignment horizontal="center" vertical="center"/>
    </xf>
    <xf numFmtId="3" fontId="21" fillId="0" borderId="0" xfId="1" applyNumberFormat="1" applyFont="1" applyFill="1" applyBorder="1" applyAlignment="1">
      <alignment horizontal="left" vertical="center" wrapText="1"/>
    </xf>
    <xf numFmtId="0" fontId="38" fillId="0" borderId="0" xfId="49" applyNumberFormat="1" applyFont="1" applyFill="1" applyBorder="1" applyAlignment="1">
      <alignment horizontal="center" vertical="center"/>
    </xf>
    <xf numFmtId="3" fontId="35" fillId="0" borderId="0" xfId="49" applyNumberFormat="1" applyFont="1" applyFill="1" applyBorder="1" applyAlignment="1">
      <alignment horizontal="center" vertical="center"/>
    </xf>
    <xf numFmtId="3" fontId="38" fillId="0" borderId="0" xfId="49" applyNumberFormat="1" applyFont="1" applyFill="1" applyBorder="1" applyAlignment="1">
      <alignment horizontal="center" vertical="center"/>
    </xf>
    <xf numFmtId="3" fontId="38" fillId="0" borderId="0" xfId="49" applyNumberFormat="1" applyFont="1" applyFill="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5" fillId="0" borderId="0" xfId="0" applyNumberFormat="1" applyFont="1" applyFill="1" applyBorder="1" applyAlignment="1" applyProtection="1">
      <alignment horizontal="left" vertical="top"/>
    </xf>
    <xf numFmtId="0" fontId="44" fillId="0" borderId="0" xfId="0" applyFont="1" applyFill="1" applyAlignment="1">
      <alignment horizontal="center" vertical="center"/>
    </xf>
    <xf numFmtId="0" fontId="44" fillId="0" borderId="0" xfId="0" applyFont="1" applyFill="1" applyBorder="1" applyAlignment="1">
      <alignment vertical="center" wrapText="1"/>
    </xf>
    <xf numFmtId="0" fontId="47" fillId="0" borderId="0" xfId="0" applyFont="1" applyFill="1" applyBorder="1" applyAlignment="1" applyProtection="1">
      <alignment vertical="top"/>
    </xf>
    <xf numFmtId="0" fontId="48" fillId="0" borderId="0" xfId="0" applyFont="1" applyFill="1" applyBorder="1" applyAlignment="1" applyProtection="1"/>
    <xf numFmtId="0" fontId="49" fillId="0" borderId="0" xfId="0" applyFont="1" applyFill="1" applyBorder="1"/>
    <xf numFmtId="0" fontId="49" fillId="0" borderId="0" xfId="0" applyFont="1" applyBorder="1"/>
    <xf numFmtId="0" fontId="44" fillId="0" borderId="0" xfId="0" applyFont="1" applyFill="1" applyAlignment="1">
      <alignment vertical="center"/>
    </xf>
    <xf numFmtId="0" fontId="45" fillId="0" borderId="0" xfId="0" applyFont="1" applyFill="1" applyBorder="1" applyAlignment="1">
      <alignment horizontal="left"/>
    </xf>
    <xf numFmtId="0" fontId="45" fillId="0" borderId="0" xfId="0" applyFont="1" applyBorder="1" applyAlignment="1">
      <alignment horizontal="center"/>
    </xf>
    <xf numFmtId="0" fontId="40" fillId="0" borderId="0" xfId="0" applyFont="1" applyFill="1" applyBorder="1" applyAlignment="1" applyProtection="1"/>
    <xf numFmtId="3" fontId="38" fillId="29" borderId="0" xfId="49" applyNumberFormat="1" applyFont="1" applyFill="1" applyBorder="1" applyAlignment="1">
      <alignment horizontal="center" vertical="center"/>
    </xf>
    <xf numFmtId="0" fontId="38" fillId="29" borderId="0" xfId="49" applyFont="1" applyFill="1" applyBorder="1" applyAlignment="1">
      <alignment horizontal="center" vertical="center"/>
    </xf>
    <xf numFmtId="49" fontId="22" fillId="29" borderId="0" xfId="49" applyNumberFormat="1" applyFont="1" applyFill="1" applyBorder="1" applyAlignment="1">
      <alignment horizontal="center" vertical="center"/>
    </xf>
    <xf numFmtId="49" fontId="36"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left" vertical="center"/>
    </xf>
    <xf numFmtId="3" fontId="38" fillId="29" borderId="0" xfId="0" applyNumberFormat="1" applyFont="1" applyFill="1" applyAlignment="1">
      <alignment horizontal="left" vertical="center" wrapText="1"/>
    </xf>
    <xf numFmtId="0" fontId="44" fillId="0" borderId="0" xfId="0" applyFont="1" applyBorder="1"/>
    <xf numFmtId="0" fontId="45" fillId="0" borderId="0" xfId="0" applyFont="1" applyBorder="1" applyAlignment="1">
      <alignment vertical="center" wrapText="1"/>
    </xf>
    <xf numFmtId="0" fontId="45" fillId="0" borderId="0" xfId="0" applyFont="1" applyBorder="1" applyAlignment="1">
      <alignment vertical="center"/>
    </xf>
    <xf numFmtId="3" fontId="38" fillId="0" borderId="0" xfId="49" applyNumberFormat="1"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2" fillId="0" borderId="0" xfId="49" applyNumberFormat="1" applyFont="1" applyFill="1" applyBorder="1" applyAlignment="1">
      <alignment horizontal="left" vertical="center" wrapText="1"/>
    </xf>
    <xf numFmtId="3" fontId="37" fillId="0" borderId="0" xfId="0" applyNumberFormat="1" applyFont="1" applyAlignment="1">
      <alignment horizontal="left" vertical="center" wrapText="1"/>
    </xf>
    <xf numFmtId="3" fontId="40" fillId="0" borderId="0" xfId="0" applyNumberFormat="1" applyFont="1" applyBorder="1" applyAlignment="1">
      <alignment horizontal="left" vertical="center" wrapText="1"/>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Border="1" applyAlignment="1">
      <alignment horizontal="center" vertical="center" wrapText="1"/>
    </xf>
    <xf numFmtId="3" fontId="38" fillId="0" borderId="33" xfId="49" applyNumberFormat="1" applyFont="1" applyBorder="1" applyAlignment="1">
      <alignment horizontal="center" vertical="center" wrapText="1"/>
    </xf>
    <xf numFmtId="0" fontId="38" fillId="0" borderId="33" xfId="49" applyFont="1" applyBorder="1" applyAlignment="1">
      <alignment horizontal="center" vertical="center" wrapText="1"/>
    </xf>
    <xf numFmtId="49" fontId="38" fillId="0" borderId="34" xfId="49" applyNumberFormat="1" applyFont="1" applyBorder="1" applyAlignment="1">
      <alignment horizontal="center" vertical="center" wrapText="1"/>
    </xf>
    <xf numFmtId="0" fontId="55" fillId="0" borderId="0" xfId="0" applyFont="1" applyAlignment="1">
      <alignment horizontal="center" vertical="center"/>
    </xf>
    <xf numFmtId="0" fontId="45" fillId="0" borderId="0" xfId="0" applyFont="1" applyFill="1" applyAlignment="1">
      <alignment vertical="center"/>
    </xf>
    <xf numFmtId="0" fontId="40" fillId="0" borderId="0" xfId="0" applyFont="1" applyFill="1" applyBorder="1" applyAlignment="1" applyProtection="1">
      <alignment vertical="center"/>
    </xf>
    <xf numFmtId="0" fontId="56" fillId="0" borderId="0" xfId="0" applyFont="1" applyAlignment="1">
      <alignment horizontal="center" vertical="center"/>
    </xf>
    <xf numFmtId="0" fontId="57" fillId="0" borderId="0" xfId="0" applyFont="1" applyFill="1" applyBorder="1" applyAlignment="1">
      <alignment horizontal="left" vertical="center" wrapText="1"/>
    </xf>
    <xf numFmtId="3" fontId="57" fillId="0" borderId="0" xfId="49" applyNumberFormat="1" applyFont="1" applyFill="1" applyBorder="1" applyAlignment="1">
      <alignment horizontal="left" vertical="center" wrapText="1"/>
    </xf>
    <xf numFmtId="3" fontId="38" fillId="0" borderId="0" xfId="49" applyNumberFormat="1" applyFont="1" applyFill="1" applyBorder="1" applyAlignment="1">
      <alignment horizontal="left" vertical="center"/>
    </xf>
    <xf numFmtId="0" fontId="44" fillId="0" borderId="0" xfId="0" applyFont="1" applyFill="1" applyAlignment="1">
      <alignment horizontal="left"/>
    </xf>
    <xf numFmtId="0" fontId="44" fillId="0" borderId="0" xfId="0" applyFont="1" applyAlignment="1">
      <alignment horizontal="left"/>
    </xf>
    <xf numFmtId="0" fontId="49" fillId="0" borderId="0" xfId="0" applyFont="1" applyBorder="1" applyAlignment="1">
      <alignment horizontal="left" vertical="center"/>
    </xf>
    <xf numFmtId="3" fontId="38" fillId="29" borderId="0" xfId="49" applyNumberFormat="1" applyFont="1" applyFill="1" applyBorder="1" applyAlignment="1">
      <alignment horizontal="left" vertical="center"/>
    </xf>
    <xf numFmtId="0" fontId="45" fillId="0" borderId="0" xfId="0" applyFont="1" applyBorder="1" applyAlignment="1">
      <alignment horizontal="left" vertical="center"/>
    </xf>
    <xf numFmtId="0" fontId="56" fillId="0" borderId="0" xfId="0" applyFont="1" applyAlignment="1">
      <alignment vertical="center"/>
    </xf>
    <xf numFmtId="0" fontId="56" fillId="0" borderId="0" xfId="0" applyFont="1" applyFill="1" applyAlignment="1">
      <alignment vertical="center"/>
    </xf>
    <xf numFmtId="3" fontId="22" fillId="0" borderId="35" xfId="1" applyNumberFormat="1" applyFont="1" applyFill="1" applyBorder="1" applyAlignment="1">
      <alignment horizontal="left" vertical="center" wrapText="1"/>
    </xf>
    <xf numFmtId="3" fontId="38" fillId="0" borderId="35" xfId="1" applyNumberFormat="1" applyFont="1" applyFill="1" applyBorder="1" applyAlignment="1">
      <alignment horizontal="left" vertical="center" wrapText="1"/>
    </xf>
    <xf numFmtId="0" fontId="56" fillId="0" borderId="0" xfId="0" applyNumberFormat="1" applyFont="1" applyFill="1" applyBorder="1" applyAlignment="1" applyProtection="1">
      <alignment horizontal="center" vertical="top"/>
    </xf>
    <xf numFmtId="0" fontId="56" fillId="0" borderId="0" xfId="0" applyFont="1" applyFill="1" applyBorder="1" applyAlignment="1">
      <alignment horizontal="center" vertical="center"/>
    </xf>
    <xf numFmtId="0" fontId="58" fillId="0" borderId="0" xfId="0" applyFont="1" applyFill="1" applyBorder="1" applyAlignment="1" applyProtection="1">
      <alignment vertical="center"/>
    </xf>
    <xf numFmtId="0" fontId="57" fillId="0" borderId="0" xfId="0" applyFont="1" applyFill="1" applyBorder="1" applyAlignment="1">
      <alignment horizontal="left" wrapText="1"/>
    </xf>
    <xf numFmtId="49" fontId="56" fillId="0" borderId="0" xfId="0" applyNumberFormat="1" applyFont="1" applyFill="1" applyBorder="1" applyAlignment="1" applyProtection="1">
      <alignment horizontal="center" vertical="top"/>
    </xf>
    <xf numFmtId="3" fontId="59" fillId="0" borderId="0" xfId="49" applyNumberFormat="1" applyFont="1" applyFill="1" applyBorder="1" applyAlignment="1">
      <alignment horizontal="center" vertical="center"/>
    </xf>
    <xf numFmtId="49" fontId="57" fillId="0" borderId="0" xfId="49" applyNumberFormat="1" applyFont="1" applyFill="1" applyBorder="1" applyAlignment="1">
      <alignment horizontal="center" vertical="center"/>
    </xf>
    <xf numFmtId="0" fontId="56" fillId="0" borderId="0" xfId="0" applyFont="1" applyAlignment="1">
      <alignment vertical="center" wrapText="1"/>
    </xf>
    <xf numFmtId="0" fontId="55" fillId="0" borderId="0" xfId="0" applyFont="1"/>
    <xf numFmtId="0" fontId="56" fillId="0" borderId="0" xfId="0" applyFont="1"/>
    <xf numFmtId="0" fontId="55" fillId="0" borderId="0" xfId="0" applyFont="1" applyAlignment="1">
      <alignment horizontal="left"/>
    </xf>
    <xf numFmtId="0" fontId="56" fillId="0" borderId="0" xfId="0" applyFont="1" applyAlignment="1">
      <alignment horizontal="center"/>
    </xf>
    <xf numFmtId="49" fontId="56" fillId="0" borderId="0" xfId="0" applyNumberFormat="1" applyFont="1" applyAlignment="1">
      <alignment horizontal="center" vertical="center"/>
    </xf>
    <xf numFmtId="49" fontId="56" fillId="0" borderId="0" xfId="0" applyNumberFormat="1" applyFont="1" applyAlignment="1">
      <alignment horizontal="left" vertical="center"/>
    </xf>
    <xf numFmtId="3" fontId="21" fillId="0" borderId="0" xfId="0" applyNumberFormat="1" applyFont="1" applyAlignment="1">
      <alignment horizontal="left" vertical="center" wrapText="1"/>
    </xf>
    <xf numFmtId="3" fontId="22" fillId="0" borderId="0" xfId="49" applyNumberFormat="1" applyFont="1" applyFill="1" applyBorder="1" applyAlignment="1">
      <alignment horizontal="left" vertical="center" wrapText="1"/>
    </xf>
    <xf numFmtId="3" fontId="37" fillId="0" borderId="0" xfId="0" applyNumberFormat="1" applyFont="1" applyAlignment="1">
      <alignment horizontal="left" vertical="center" wrapText="1"/>
    </xf>
    <xf numFmtId="3" fontId="40" fillId="0" borderId="0" xfId="0" applyNumberFormat="1" applyFont="1" applyBorder="1" applyAlignment="1">
      <alignment horizontal="left" vertical="center" wrapText="1"/>
    </xf>
    <xf numFmtId="3" fontId="38"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49" fontId="36"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38"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37" fillId="0" borderId="0" xfId="0" applyNumberFormat="1" applyFont="1" applyAlignment="1">
      <alignment horizontal="left" vertical="center" wrapText="1"/>
    </xf>
    <xf numFmtId="3" fontId="38"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49" fontId="36"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38"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37" fillId="0" borderId="0" xfId="0" applyNumberFormat="1" applyFont="1" applyAlignment="1">
      <alignment horizontal="left" vertical="center" wrapText="1"/>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37"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37" fillId="0" borderId="0" xfId="0" applyNumberFormat="1" applyFont="1" applyAlignment="1">
      <alignment horizontal="left" vertical="center" wrapText="1"/>
    </xf>
    <xf numFmtId="3" fontId="40" fillId="0" borderId="0" xfId="0" applyNumberFormat="1" applyFont="1" applyBorder="1" applyAlignment="1">
      <alignment horizontal="left" vertical="center" wrapText="1"/>
    </xf>
    <xf numFmtId="3" fontId="38"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3" fontId="38" fillId="0" borderId="0" xfId="0" applyNumberFormat="1" applyFont="1" applyAlignment="1">
      <alignment horizontal="left" vertical="center" wrapText="1"/>
    </xf>
    <xf numFmtId="49" fontId="36"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38"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2" fillId="0" borderId="0" xfId="49" applyNumberFormat="1" applyFont="1" applyFill="1" applyBorder="1" applyAlignment="1">
      <alignment horizontal="left" vertical="center" wrapText="1"/>
    </xf>
    <xf numFmtId="3" fontId="37" fillId="0" borderId="0" xfId="0" applyNumberFormat="1" applyFont="1" applyAlignment="1">
      <alignment horizontal="left" vertical="center" wrapText="1"/>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2" fillId="0" borderId="0" xfId="49" applyNumberFormat="1" applyFont="1" applyFill="1" applyBorder="1" applyAlignment="1">
      <alignment horizontal="left" vertical="center" wrapText="1"/>
    </xf>
    <xf numFmtId="3" fontId="37" fillId="0" borderId="0" xfId="0" applyNumberFormat="1" applyFont="1" applyAlignment="1">
      <alignment horizontal="left" vertical="center" wrapText="1"/>
    </xf>
    <xf numFmtId="3" fontId="40" fillId="0" borderId="0" xfId="0" applyNumberFormat="1" applyFont="1" applyBorder="1" applyAlignment="1">
      <alignment horizontal="left" vertical="center" wrapText="1"/>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38" fillId="33" borderId="0" xfId="49" applyNumberFormat="1" applyFont="1" applyFill="1" applyBorder="1" applyAlignment="1">
      <alignment horizontal="center" vertical="center"/>
    </xf>
    <xf numFmtId="49" fontId="38"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38" fillId="33" borderId="0" xfId="49" applyNumberFormat="1" applyFont="1" applyFill="1" applyBorder="1" applyAlignment="1">
      <alignment horizontal="center" vertical="center"/>
    </xf>
    <xf numFmtId="49" fontId="38"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38" fillId="33" borderId="0" xfId="49" applyNumberFormat="1" applyFont="1" applyFill="1" applyBorder="1" applyAlignment="1">
      <alignment horizontal="center" vertical="center"/>
    </xf>
    <xf numFmtId="49" fontId="38"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38" fillId="33" borderId="0" xfId="49" applyNumberFormat="1" applyFont="1" applyFill="1" applyBorder="1" applyAlignment="1">
      <alignment horizontal="center" vertical="center"/>
    </xf>
    <xf numFmtId="49" fontId="38"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38" fillId="33" borderId="0" xfId="49" applyNumberFormat="1" applyFont="1" applyFill="1" applyBorder="1" applyAlignment="1">
      <alignment horizontal="center" vertical="center"/>
    </xf>
    <xf numFmtId="49" fontId="38"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Alignment="1">
      <alignment horizontal="left" vertical="center" wrapText="1"/>
    </xf>
    <xf numFmtId="3" fontId="22" fillId="0" borderId="0" xfId="49" applyNumberFormat="1" applyFont="1" applyFill="1" applyBorder="1" applyAlignment="1">
      <alignment horizontal="left" vertical="center" wrapText="1"/>
    </xf>
    <xf numFmtId="3" fontId="37" fillId="0" borderId="0" xfId="0" applyNumberFormat="1" applyFont="1" applyAlignment="1">
      <alignment horizontal="left" vertical="center" wrapText="1"/>
    </xf>
    <xf numFmtId="3" fontId="40" fillId="0" borderId="0" xfId="0" applyNumberFormat="1" applyFont="1" applyBorder="1" applyAlignment="1">
      <alignment horizontal="left" vertical="center" wrapText="1"/>
    </xf>
    <xf numFmtId="3" fontId="37" fillId="0" borderId="0" xfId="0" applyNumberFormat="1" applyFont="1" applyBorder="1" applyAlignment="1">
      <alignment horizontal="left" vertical="center" wrapText="1"/>
    </xf>
    <xf numFmtId="3" fontId="38" fillId="33" borderId="0" xfId="49" applyNumberFormat="1" applyFont="1" applyFill="1" applyBorder="1" applyAlignment="1">
      <alignment horizontal="center" vertical="center"/>
    </xf>
    <xf numFmtId="49" fontId="38"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36"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38" fillId="26" borderId="0" xfId="0" applyNumberFormat="1" applyFont="1" applyFill="1" applyBorder="1" applyAlignment="1">
      <alignment wrapText="1"/>
    </xf>
    <xf numFmtId="0" fontId="38" fillId="26" borderId="0" xfId="0" applyNumberFormat="1" applyFont="1" applyFill="1" applyBorder="1" applyAlignment="1">
      <alignment horizontal="center" vertical="center" wrapText="1"/>
    </xf>
    <xf numFmtId="3" fontId="38" fillId="26" borderId="0" xfId="0" applyNumberFormat="1" applyFont="1" applyFill="1" applyBorder="1" applyAlignment="1">
      <alignment horizontal="center" vertical="center" wrapText="1"/>
    </xf>
    <xf numFmtId="49" fontId="22" fillId="26" borderId="0" xfId="0" applyNumberFormat="1" applyFont="1" applyFill="1" applyBorder="1" applyAlignment="1">
      <alignment horizontal="center" wrapText="1"/>
    </xf>
    <xf numFmtId="49" fontId="36" fillId="26" borderId="0" xfId="0" applyNumberFormat="1" applyFont="1" applyFill="1" applyBorder="1" applyAlignment="1">
      <alignment horizontal="center" wrapText="1"/>
    </xf>
    <xf numFmtId="3" fontId="22" fillId="26" borderId="0" xfId="0" applyNumberFormat="1" applyFont="1" applyFill="1" applyBorder="1" applyAlignment="1">
      <alignment horizontal="left" vertical="center"/>
    </xf>
    <xf numFmtId="0" fontId="38" fillId="26" borderId="0" xfId="0" applyNumberFormat="1" applyFont="1" applyFill="1" applyBorder="1" applyAlignment="1">
      <alignment horizontal="center" vertical="center" wrapText="1"/>
    </xf>
    <xf numFmtId="3" fontId="38" fillId="26" borderId="0" xfId="0" applyNumberFormat="1" applyFont="1" applyFill="1" applyBorder="1" applyAlignment="1">
      <alignment horizontal="center" vertical="center" wrapText="1"/>
    </xf>
    <xf numFmtId="49" fontId="21" fillId="26" borderId="0" xfId="0" applyNumberFormat="1" applyFont="1" applyFill="1" applyAlignment="1">
      <alignment horizontal="center" vertical="center" wrapText="1"/>
    </xf>
    <xf numFmtId="49" fontId="36" fillId="26" borderId="0" xfId="0" applyNumberFormat="1" applyFont="1" applyFill="1" applyBorder="1" applyAlignment="1">
      <alignment horizontal="center" vertical="center" wrapText="1"/>
    </xf>
    <xf numFmtId="3" fontId="22" fillId="26" borderId="0" xfId="0" applyNumberFormat="1" applyFont="1" applyFill="1" applyBorder="1" applyAlignment="1">
      <alignment vertical="center" wrapText="1"/>
    </xf>
    <xf numFmtId="49" fontId="44" fillId="0" borderId="0" xfId="0" applyNumberFormat="1" applyFont="1" applyBorder="1" applyAlignment="1" applyProtection="1">
      <alignment horizontal="center" vertical="top"/>
    </xf>
    <xf numFmtId="3" fontId="21" fillId="0" borderId="0" xfId="0" applyNumberFormat="1" applyFont="1" applyAlignment="1">
      <alignment horizontal="left" vertical="center" wrapText="1"/>
    </xf>
    <xf numFmtId="3" fontId="22" fillId="0" borderId="0" xfId="49" applyNumberFormat="1" applyFont="1" applyFill="1" applyBorder="1" applyAlignment="1">
      <alignment horizontal="left" vertical="center" wrapText="1"/>
    </xf>
    <xf numFmtId="3" fontId="37" fillId="0" borderId="0" xfId="0" applyNumberFormat="1" applyFont="1" applyAlignment="1">
      <alignment horizontal="left" vertical="center" wrapText="1"/>
    </xf>
    <xf numFmtId="3" fontId="38" fillId="0" borderId="0" xfId="49" applyNumberFormat="1" applyFont="1" applyFill="1" applyBorder="1" applyAlignment="1">
      <alignment horizontal="center" vertical="center"/>
    </xf>
    <xf numFmtId="3" fontId="37" fillId="0" borderId="0" xfId="0" applyNumberFormat="1" applyFont="1" applyBorder="1" applyAlignment="1">
      <alignment horizontal="left" vertical="center" wrapText="1"/>
    </xf>
    <xf numFmtId="3" fontId="38" fillId="0" borderId="0" xfId="49" applyNumberFormat="1" applyFont="1" applyFill="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4" fillId="0" borderId="0" xfId="0" applyNumberFormat="1" applyFont="1" applyFill="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51" applyNumberFormat="1" applyFont="1" applyFill="1" applyBorder="1" applyAlignment="1">
      <alignment horizontal="right" vertical="center" wrapText="1"/>
    </xf>
    <xf numFmtId="3" fontId="37" fillId="0" borderId="0" xfId="0" applyNumberFormat="1" applyFont="1" applyAlignment="1">
      <alignment horizontal="left" vertical="center" wrapText="1"/>
    </xf>
    <xf numFmtId="3" fontId="40" fillId="0" borderId="0" xfId="0" applyNumberFormat="1" applyFont="1" applyBorder="1" applyAlignment="1">
      <alignment horizontal="lef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37" fillId="0" borderId="0" xfId="0" applyNumberFormat="1" applyFont="1" applyBorder="1" applyAlignment="1">
      <alignment horizontal="left" vertical="center" wrapText="1"/>
    </xf>
    <xf numFmtId="3" fontId="38" fillId="0" borderId="0" xfId="0" applyNumberFormat="1" applyFont="1" applyFill="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0" applyNumberFormat="1" applyFont="1" applyFill="1" applyBorder="1" applyAlignment="1">
      <alignment horizontal="right" vertical="center" wrapText="1"/>
    </xf>
    <xf numFmtId="0" fontId="48" fillId="0" borderId="0" xfId="0" applyFont="1" applyFill="1" applyBorder="1" applyAlignment="1" applyProtection="1">
      <alignment vertical="top"/>
    </xf>
    <xf numFmtId="49" fontId="44" fillId="0" borderId="0" xfId="0" applyNumberFormat="1" applyFont="1" applyBorder="1" applyAlignment="1" applyProtection="1">
      <alignment horizontal="center" vertical="center"/>
    </xf>
    <xf numFmtId="49" fontId="44" fillId="0" borderId="0" xfId="0" applyNumberFormat="1" applyFont="1" applyFill="1" applyBorder="1" applyAlignment="1" applyProtection="1">
      <alignment horizontal="center" vertical="top"/>
    </xf>
    <xf numFmtId="0" fontId="44" fillId="0" borderId="0" xfId="0" applyFont="1" applyFill="1" applyBorder="1"/>
    <xf numFmtId="49" fontId="44" fillId="0" borderId="0" xfId="0" applyNumberFormat="1" applyFont="1" applyFill="1" applyBorder="1" applyAlignment="1" applyProtection="1">
      <alignment horizontal="center" vertical="center"/>
    </xf>
    <xf numFmtId="0" fontId="44" fillId="0" borderId="0" xfId="0" applyFont="1" applyBorder="1" applyAlignment="1">
      <alignment horizontal="center"/>
    </xf>
    <xf numFmtId="0" fontId="55" fillId="0" borderId="0" xfId="0" applyFont="1" applyBorder="1"/>
    <xf numFmtId="0" fontId="44" fillId="0" borderId="0" xfId="0" applyFont="1" applyBorder="1" applyAlignment="1">
      <alignment vertical="center" wrapText="1"/>
    </xf>
    <xf numFmtId="0" fontId="48" fillId="0" borderId="20" xfId="0" applyFont="1" applyFill="1" applyBorder="1" applyAlignment="1" applyProtection="1">
      <alignment horizontal="center" vertical="top"/>
    </xf>
    <xf numFmtId="0" fontId="48" fillId="0" borderId="20" xfId="0" applyFont="1" applyFill="1" applyBorder="1" applyAlignment="1" applyProtection="1">
      <alignment horizontal="center"/>
    </xf>
    <xf numFmtId="0" fontId="49" fillId="0" borderId="20" xfId="0" applyFont="1" applyBorder="1" applyAlignment="1">
      <alignment horizontal="center" vertical="center"/>
    </xf>
    <xf numFmtId="0" fontId="43" fillId="34" borderId="0" xfId="0" applyFont="1" applyFill="1" applyBorder="1" applyAlignment="1">
      <alignment horizontal="left" vertical="center"/>
    </xf>
    <xf numFmtId="49" fontId="43" fillId="34" borderId="0" xfId="0" applyNumberFormat="1" applyFont="1" applyFill="1" applyBorder="1" applyAlignment="1">
      <alignment horizontal="center" vertical="center"/>
    </xf>
    <xf numFmtId="168" fontId="41" fillId="34" borderId="0" xfId="48" applyNumberFormat="1" applyFont="1" applyFill="1" applyBorder="1" applyAlignment="1" applyProtection="1">
      <alignment horizontal="right" vertical="center" wrapText="1"/>
    </xf>
    <xf numFmtId="49" fontId="43" fillId="34" borderId="0" xfId="0" applyNumberFormat="1" applyFont="1" applyFill="1" applyBorder="1" applyAlignment="1">
      <alignment horizontal="center"/>
    </xf>
    <xf numFmtId="0" fontId="43" fillId="34" borderId="0" xfId="0" applyFont="1" applyFill="1" applyBorder="1" applyAlignment="1">
      <alignment horizontal="left"/>
    </xf>
    <xf numFmtId="164" fontId="43" fillId="34" borderId="0" xfId="29" applyNumberFormat="1" applyFont="1" applyFill="1" applyBorder="1" applyAlignment="1" applyProtection="1">
      <alignment horizontal="right" vertical="center" wrapText="1"/>
    </xf>
    <xf numFmtId="168" fontId="41" fillId="34" borderId="0" xfId="0" applyNumberFormat="1" applyFont="1" applyFill="1" applyBorder="1" applyAlignment="1">
      <alignment horizontal="right" vertical="center" wrapText="1"/>
    </xf>
    <xf numFmtId="164" fontId="41" fillId="34" borderId="0" xfId="0" applyNumberFormat="1" applyFont="1" applyFill="1" applyBorder="1" applyAlignment="1">
      <alignment horizontal="right" vertical="center" wrapText="1"/>
    </xf>
    <xf numFmtId="168" fontId="39" fillId="35" borderId="18" xfId="48" applyNumberFormat="1" applyFont="1" applyFill="1" applyBorder="1" applyAlignment="1" applyProtection="1">
      <alignment horizontal="center" vertical="center" wrapText="1"/>
    </xf>
    <xf numFmtId="0" fontId="54" fillId="36" borderId="18" xfId="0" applyFont="1" applyFill="1" applyBorder="1" applyAlignment="1">
      <alignment horizontal="center" vertical="center" wrapText="1"/>
    </xf>
    <xf numFmtId="49" fontId="54" fillId="36" borderId="18" xfId="0" applyNumberFormat="1" applyFont="1" applyFill="1" applyBorder="1" applyAlignment="1">
      <alignment horizontal="center" vertical="center" wrapText="1"/>
    </xf>
    <xf numFmtId="0" fontId="54" fillId="37" borderId="18" xfId="0" applyFont="1" applyFill="1" applyBorder="1" applyAlignment="1">
      <alignment horizontal="center" vertical="center" wrapText="1"/>
    </xf>
    <xf numFmtId="49" fontId="54" fillId="37" borderId="18" xfId="0" applyNumberFormat="1" applyFont="1" applyFill="1" applyBorder="1" applyAlignment="1">
      <alignment horizontal="center" vertical="center" wrapText="1"/>
    </xf>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49" fontId="41" fillId="0" borderId="27" xfId="0" applyNumberFormat="1" applyFont="1" applyFill="1" applyBorder="1" applyAlignment="1">
      <alignment horizontal="center" vertical="center"/>
    </xf>
    <xf numFmtId="0" fontId="41" fillId="0" borderId="27" xfId="0" applyFont="1" applyFill="1" applyBorder="1" applyAlignment="1">
      <alignment horizontal="center" vertical="center"/>
    </xf>
    <xf numFmtId="49" fontId="43" fillId="6" borderId="11" xfId="0" applyNumberFormat="1" applyFont="1" applyFill="1" applyBorder="1" applyAlignment="1">
      <alignment horizontal="center" vertical="center" wrapText="1"/>
    </xf>
    <xf numFmtId="0" fontId="43" fillId="6" borderId="11" xfId="0" applyFont="1" applyFill="1" applyBorder="1" applyAlignment="1">
      <alignment horizontal="center" vertical="center" wrapText="1" shrinkToFit="1"/>
    </xf>
    <xf numFmtId="168" fontId="43" fillId="20" borderId="23" xfId="48" applyNumberFormat="1" applyFont="1" applyFill="1" applyBorder="1" applyAlignment="1">
      <alignment horizontal="center" vertical="center" wrapText="1"/>
    </xf>
    <xf numFmtId="49" fontId="43" fillId="0" borderId="0" xfId="0" applyNumberFormat="1" applyFont="1" applyBorder="1" applyAlignment="1">
      <alignment vertical="center" wrapText="1"/>
    </xf>
    <xf numFmtId="0" fontId="47" fillId="31" borderId="11" xfId="0" applyFont="1" applyFill="1" applyBorder="1" applyAlignment="1" applyProtection="1">
      <alignment horizontal="left" vertical="top"/>
    </xf>
    <xf numFmtId="0" fontId="48" fillId="0" borderId="20" xfId="0" applyFont="1" applyFill="1" applyBorder="1" applyAlignment="1" applyProtection="1">
      <alignment horizontal="left"/>
    </xf>
    <xf numFmtId="0" fontId="48" fillId="0" borderId="18" xfId="0" applyFont="1" applyFill="1" applyBorder="1" applyAlignment="1" applyProtection="1">
      <alignment horizontal="left"/>
    </xf>
    <xf numFmtId="0" fontId="49" fillId="0" borderId="20" xfId="0" applyFont="1" applyBorder="1" applyAlignment="1">
      <alignment horizontal="left"/>
    </xf>
    <xf numFmtId="0" fontId="49" fillId="0" borderId="18" xfId="0" applyFont="1" applyBorder="1" applyAlignment="1">
      <alignment horizontal="left"/>
    </xf>
    <xf numFmtId="0" fontId="49" fillId="0" borderId="39" xfId="0" applyFont="1" applyBorder="1" applyAlignment="1">
      <alignment horizontal="left"/>
    </xf>
    <xf numFmtId="0" fontId="48" fillId="0" borderId="20" xfId="0" applyFont="1" applyFill="1" applyBorder="1" applyAlignment="1" applyProtection="1">
      <alignment horizontal="left" vertical="top"/>
    </xf>
    <xf numFmtId="0" fontId="48" fillId="0" borderId="18" xfId="0" applyFont="1" applyFill="1" applyBorder="1" applyAlignment="1" applyProtection="1">
      <alignment horizontal="left" vertical="top"/>
    </xf>
    <xf numFmtId="0" fontId="48" fillId="0" borderId="20" xfId="0" applyFont="1" applyBorder="1" applyAlignment="1" applyProtection="1">
      <alignment horizontal="left" vertical="top"/>
    </xf>
    <xf numFmtId="0" fontId="48" fillId="0" borderId="18" xfId="0" applyFont="1" applyBorder="1" applyAlignment="1" applyProtection="1">
      <alignment horizontal="left" vertical="top"/>
    </xf>
    <xf numFmtId="0" fontId="62" fillId="0" borderId="0" xfId="0" applyFont="1" applyFill="1" applyAlignment="1">
      <alignment horizontal="center" vertical="center"/>
    </xf>
    <xf numFmtId="49" fontId="62" fillId="0" borderId="0" xfId="0" applyNumberFormat="1" applyFont="1" applyFill="1" applyAlignment="1">
      <alignment horizontal="left" vertical="center"/>
    </xf>
    <xf numFmtId="0" fontId="63" fillId="0" borderId="0" xfId="0" applyFont="1" applyFill="1" applyBorder="1" applyAlignment="1">
      <alignment vertical="center" wrapText="1"/>
    </xf>
    <xf numFmtId="3" fontId="38" fillId="0" borderId="11" xfId="47" applyNumberFormat="1" applyFont="1" applyBorder="1" applyAlignment="1">
      <alignment horizontal="center" vertical="center" wrapText="1"/>
    </xf>
    <xf numFmtId="3" fontId="38" fillId="0" borderId="37" xfId="47" applyNumberFormat="1" applyFont="1" applyFill="1" applyBorder="1" applyAlignment="1">
      <alignment horizontal="center" vertical="center" wrapText="1"/>
    </xf>
    <xf numFmtId="3" fontId="38" fillId="0" borderId="33" xfId="47" applyNumberFormat="1" applyFont="1" applyBorder="1" applyAlignment="1">
      <alignment horizontal="center" vertical="center" wrapText="1"/>
    </xf>
    <xf numFmtId="3" fontId="38" fillId="0" borderId="38" xfId="47" applyNumberFormat="1" applyFont="1" applyFill="1" applyBorder="1" applyAlignment="1">
      <alignment horizontal="center" vertical="center" wrapText="1"/>
    </xf>
    <xf numFmtId="3" fontId="44" fillId="29" borderId="0" xfId="47" applyNumberFormat="1" applyFont="1" applyFill="1" applyAlignment="1">
      <alignment horizontal="right" vertical="center"/>
    </xf>
    <xf numFmtId="3" fontId="44" fillId="29" borderId="0" xfId="47" applyNumberFormat="1" applyFont="1" applyFill="1" applyAlignment="1">
      <alignment vertical="center"/>
    </xf>
    <xf numFmtId="3" fontId="44" fillId="0" borderId="0" xfId="47" applyNumberFormat="1" applyFont="1" applyAlignment="1">
      <alignment horizontal="right" vertical="center"/>
    </xf>
    <xf numFmtId="3" fontId="44" fillId="0" borderId="0" xfId="47" applyNumberFormat="1" applyFont="1" applyAlignment="1">
      <alignment vertical="center"/>
    </xf>
    <xf numFmtId="3" fontId="38" fillId="0" borderId="35" xfId="47" applyNumberFormat="1" applyFont="1" applyFill="1" applyBorder="1" applyAlignment="1">
      <alignment horizontal="right" vertical="center" wrapText="1"/>
    </xf>
    <xf numFmtId="3" fontId="38" fillId="0" borderId="35" xfId="47" applyNumberFormat="1" applyFont="1" applyBorder="1" applyAlignment="1">
      <alignment horizontal="right" vertical="center" wrapText="1"/>
    </xf>
    <xf numFmtId="3" fontId="44" fillId="0" borderId="0" xfId="47" applyNumberFormat="1" applyFont="1" applyBorder="1" applyAlignment="1">
      <alignment horizontal="right" vertical="center"/>
    </xf>
    <xf numFmtId="3" fontId="44" fillId="0" borderId="0" xfId="47" applyNumberFormat="1" applyFont="1" applyBorder="1" applyAlignment="1">
      <alignment vertical="center"/>
    </xf>
    <xf numFmtId="3" fontId="45" fillId="0" borderId="21" xfId="47" applyNumberFormat="1" applyFont="1" applyBorder="1" applyAlignment="1">
      <alignment horizontal="right" vertical="center"/>
    </xf>
    <xf numFmtId="3" fontId="45" fillId="0" borderId="21" xfId="47" applyNumberFormat="1" applyFont="1" applyBorder="1" applyAlignment="1">
      <alignment vertical="center"/>
    </xf>
    <xf numFmtId="3" fontId="38" fillId="0" borderId="32" xfId="47" applyNumberFormat="1" applyFont="1" applyFill="1" applyBorder="1" applyAlignment="1">
      <alignment horizontal="right" vertical="center" wrapText="1"/>
    </xf>
    <xf numFmtId="3" fontId="38" fillId="0" borderId="36" xfId="47" applyNumberFormat="1" applyFont="1" applyBorder="1" applyAlignment="1">
      <alignment horizontal="right" vertical="center" wrapText="1"/>
    </xf>
    <xf numFmtId="3" fontId="45" fillId="0" borderId="0" xfId="47" applyNumberFormat="1" applyFont="1" applyBorder="1" applyAlignment="1">
      <alignment horizontal="right" vertical="center"/>
    </xf>
    <xf numFmtId="3" fontId="45" fillId="0" borderId="0" xfId="47" applyNumberFormat="1" applyFont="1" applyBorder="1" applyAlignment="1">
      <alignment vertical="center"/>
    </xf>
    <xf numFmtId="3" fontId="38" fillId="0" borderId="0" xfId="47" applyNumberFormat="1" applyFont="1" applyFill="1" applyBorder="1" applyAlignment="1">
      <alignment horizontal="right" vertical="center" wrapText="1"/>
    </xf>
    <xf numFmtId="3" fontId="38" fillId="0" borderId="0" xfId="47" applyNumberFormat="1" applyFont="1" applyBorder="1" applyAlignment="1">
      <alignment horizontal="right" vertical="center" wrapText="1"/>
    </xf>
    <xf numFmtId="3" fontId="56" fillId="0" borderId="0" xfId="47" applyNumberFormat="1" applyFont="1" applyAlignment="1">
      <alignment horizontal="right" vertical="center"/>
    </xf>
    <xf numFmtId="3" fontId="56" fillId="0" borderId="0" xfId="47" applyNumberFormat="1" applyFont="1" applyAlignment="1">
      <alignment vertical="center"/>
    </xf>
    <xf numFmtId="3" fontId="44" fillId="0" borderId="0" xfId="47" applyNumberFormat="1" applyFont="1" applyFill="1" applyAlignment="1">
      <alignment vertical="center"/>
    </xf>
    <xf numFmtId="3" fontId="44" fillId="0" borderId="0" xfId="47" applyNumberFormat="1" applyFont="1" applyAlignment="1">
      <alignment horizontal="right"/>
    </xf>
    <xf numFmtId="3" fontId="44" fillId="0" borderId="0" xfId="47" applyNumberFormat="1" applyFont="1"/>
    <xf numFmtId="3" fontId="55" fillId="0" borderId="0" xfId="47" applyNumberFormat="1" applyFont="1" applyAlignment="1">
      <alignment horizontal="right" vertical="center"/>
    </xf>
    <xf numFmtId="3" fontId="55" fillId="0" borderId="0" xfId="47" applyNumberFormat="1" applyFont="1" applyAlignment="1">
      <alignment vertical="center"/>
    </xf>
    <xf numFmtId="3" fontId="44" fillId="0" borderId="0" xfId="47" applyNumberFormat="1" applyFont="1" applyFill="1" applyAlignment="1">
      <alignment horizontal="right"/>
    </xf>
    <xf numFmtId="3" fontId="44" fillId="0" borderId="0" xfId="47" applyNumberFormat="1" applyFont="1" applyFill="1"/>
    <xf numFmtId="3" fontId="44" fillId="29" borderId="0" xfId="47" applyNumberFormat="1" applyFont="1" applyFill="1"/>
    <xf numFmtId="3" fontId="44" fillId="33" borderId="0" xfId="47" applyNumberFormat="1" applyFont="1" applyFill="1" applyAlignment="1">
      <alignment vertical="center"/>
    </xf>
    <xf numFmtId="3" fontId="44" fillId="0" borderId="0" xfId="47" applyNumberFormat="1" applyFont="1" applyFill="1" applyAlignment="1">
      <alignment horizontal="right" vertical="center"/>
    </xf>
    <xf numFmtId="3" fontId="63" fillId="0" borderId="0" xfId="47" applyNumberFormat="1" applyFont="1" applyFill="1" applyBorder="1" applyAlignment="1">
      <alignment horizontal="right" vertical="center"/>
    </xf>
    <xf numFmtId="3" fontId="63" fillId="0" borderId="0" xfId="47" applyNumberFormat="1" applyFont="1" applyFill="1" applyBorder="1" applyAlignment="1">
      <alignment vertical="center"/>
    </xf>
    <xf numFmtId="3" fontId="23" fillId="0" borderId="35" xfId="47" applyNumberFormat="1" applyFont="1" applyBorder="1" applyAlignment="1">
      <alignment horizontal="right" vertical="center" wrapText="1"/>
    </xf>
    <xf numFmtId="3" fontId="23" fillId="0" borderId="32" xfId="47" applyNumberFormat="1" applyFont="1" applyBorder="1" applyAlignment="1">
      <alignment horizontal="right" vertical="center" wrapText="1"/>
    </xf>
    <xf numFmtId="3" fontId="23" fillId="0" borderId="0" xfId="47" applyNumberFormat="1" applyFont="1" applyBorder="1" applyAlignment="1">
      <alignment horizontal="right" vertical="center" wrapText="1"/>
    </xf>
    <xf numFmtId="3" fontId="23" fillId="26" borderId="0" xfId="47" applyNumberFormat="1" applyFont="1" applyFill="1" applyBorder="1" applyAlignment="1">
      <alignment horizontal="right" vertical="center"/>
    </xf>
    <xf numFmtId="3" fontId="23" fillId="26" borderId="0" xfId="47" applyNumberFormat="1" applyFont="1" applyFill="1" applyBorder="1" applyAlignment="1">
      <alignment horizontal="right" vertical="center" wrapText="1"/>
    </xf>
    <xf numFmtId="3" fontId="23" fillId="0" borderId="0" xfId="47" applyNumberFormat="1" applyFont="1" applyFill="1" applyBorder="1" applyAlignment="1">
      <alignment horizontal="right" vertical="center"/>
    </xf>
    <xf numFmtId="3" fontId="23" fillId="0" borderId="0" xfId="47" applyNumberFormat="1" applyFont="1" applyFill="1" applyBorder="1" applyAlignment="1">
      <alignment horizontal="right" vertical="center" wrapText="1"/>
    </xf>
    <xf numFmtId="3" fontId="23" fillId="29" borderId="0" xfId="47" applyNumberFormat="1" applyFont="1" applyFill="1" applyBorder="1" applyAlignment="1">
      <alignment horizontal="right" vertical="center"/>
    </xf>
    <xf numFmtId="3" fontId="23" fillId="29" borderId="0" xfId="47" applyNumberFormat="1" applyFont="1" applyFill="1" applyBorder="1" applyAlignment="1">
      <alignment horizontal="center" vertical="center"/>
    </xf>
    <xf numFmtId="3" fontId="23" fillId="26" borderId="0" xfId="47" applyNumberFormat="1" applyFont="1" applyFill="1" applyBorder="1" applyAlignment="1">
      <alignment horizontal="center" vertical="center"/>
    </xf>
    <xf numFmtId="3" fontId="23" fillId="33" borderId="0" xfId="47" applyNumberFormat="1" applyFont="1" applyFill="1" applyBorder="1" applyAlignment="1">
      <alignment horizontal="right" vertical="center"/>
    </xf>
    <xf numFmtId="3" fontId="23" fillId="33" borderId="0" xfId="47" applyNumberFormat="1" applyFont="1" applyFill="1" applyBorder="1" applyAlignment="1">
      <alignment horizontal="center" vertical="center"/>
    </xf>
    <xf numFmtId="3" fontId="23" fillId="26" borderId="0" xfId="47" applyNumberFormat="1" applyFont="1" applyFill="1" applyBorder="1" applyAlignment="1">
      <alignment horizontal="right" wrapText="1"/>
    </xf>
    <xf numFmtId="3" fontId="23" fillId="26" borderId="0" xfId="47" applyNumberFormat="1" applyFont="1" applyFill="1" applyBorder="1" applyAlignment="1">
      <alignment wrapText="1"/>
    </xf>
    <xf numFmtId="0" fontId="21" fillId="0" borderId="0" xfId="1" applyNumberFormat="1" applyFont="1" applyBorder="1" applyAlignment="1">
      <alignment horizontal="center" vertical="center" wrapText="1"/>
    </xf>
    <xf numFmtId="3" fontId="21" fillId="0" borderId="0" xfId="1" applyNumberFormat="1" applyFont="1" applyFill="1" applyBorder="1" applyAlignment="1">
      <alignment horizontal="left" vertical="center" wrapText="1"/>
    </xf>
    <xf numFmtId="0" fontId="49" fillId="0" borderId="0" xfId="0" applyFont="1"/>
    <xf numFmtId="0" fontId="42" fillId="6" borderId="11" xfId="1" applyFont="1" applyFill="1" applyBorder="1" applyAlignment="1">
      <alignment horizontal="center" vertical="center" wrapText="1"/>
    </xf>
    <xf numFmtId="0" fontId="49" fillId="0" borderId="11" xfId="0" applyFont="1" applyBorder="1" applyAlignment="1">
      <alignment horizontal="center"/>
    </xf>
    <xf numFmtId="49" fontId="65" fillId="31" borderId="11" xfId="0" applyNumberFormat="1" applyFont="1" applyFill="1" applyBorder="1" applyAlignment="1" applyProtection="1">
      <alignment horizontal="center" vertical="top"/>
    </xf>
    <xf numFmtId="49" fontId="65" fillId="31" borderId="11" xfId="0" applyNumberFormat="1" applyFont="1" applyFill="1" applyBorder="1" applyAlignment="1" applyProtection="1">
      <alignment horizontal="left" vertical="top"/>
    </xf>
    <xf numFmtId="0" fontId="49" fillId="0" borderId="20" xfId="0" applyFont="1" applyBorder="1" applyAlignment="1">
      <alignment horizontal="center"/>
    </xf>
    <xf numFmtId="0" fontId="49" fillId="0" borderId="20" xfId="0" applyFont="1" applyBorder="1"/>
    <xf numFmtId="0" fontId="49" fillId="0" borderId="18" xfId="0" applyFont="1" applyBorder="1" applyAlignment="1">
      <alignment horizontal="center"/>
    </xf>
    <xf numFmtId="0" fontId="49" fillId="0" borderId="18" xfId="0" applyFont="1" applyBorder="1"/>
    <xf numFmtId="0" fontId="49" fillId="0" borderId="39" xfId="0" applyFont="1" applyBorder="1" applyAlignment="1">
      <alignment horizontal="center"/>
    </xf>
    <xf numFmtId="0" fontId="65" fillId="0" borderId="0" xfId="0" applyFont="1"/>
    <xf numFmtId="49" fontId="49" fillId="0" borderId="20" xfId="0" applyNumberFormat="1" applyFont="1" applyBorder="1" applyAlignment="1" applyProtection="1">
      <alignment horizontal="center" vertical="center"/>
    </xf>
    <xf numFmtId="49" fontId="49" fillId="0" borderId="18" xfId="0" applyNumberFormat="1" applyFont="1" applyBorder="1" applyAlignment="1" applyProtection="1">
      <alignment horizontal="center" vertical="top"/>
    </xf>
    <xf numFmtId="49" fontId="49" fillId="0" borderId="39" xfId="0" applyNumberFormat="1" applyFont="1" applyBorder="1" applyAlignment="1" applyProtection="1">
      <alignment horizontal="center" vertical="top"/>
    </xf>
    <xf numFmtId="49" fontId="49" fillId="0" borderId="20" xfId="0" applyNumberFormat="1" applyFont="1" applyBorder="1" applyAlignment="1" applyProtection="1">
      <alignment horizontal="center" vertical="top"/>
    </xf>
    <xf numFmtId="49" fontId="49" fillId="0" borderId="18" xfId="0" applyNumberFormat="1" applyFont="1" applyBorder="1" applyAlignment="1" applyProtection="1">
      <alignment horizontal="center" vertical="center"/>
    </xf>
    <xf numFmtId="0" fontId="49" fillId="0" borderId="19" xfId="0" applyFont="1" applyBorder="1"/>
    <xf numFmtId="0" fontId="42" fillId="6" borderId="11" xfId="1" applyFont="1" applyFill="1" applyBorder="1" applyAlignment="1">
      <alignment horizontal="left" vertical="center" wrapText="1"/>
    </xf>
    <xf numFmtId="0" fontId="49" fillId="0" borderId="0" xfId="0" applyFont="1" applyAlignment="1">
      <alignment horizontal="left"/>
    </xf>
    <xf numFmtId="164" fontId="49" fillId="0" borderId="0" xfId="0" applyNumberFormat="1" applyFont="1"/>
    <xf numFmtId="4" fontId="49" fillId="0" borderId="0" xfId="47" applyNumberFormat="1" applyFont="1"/>
    <xf numFmtId="0" fontId="49" fillId="0" borderId="19" xfId="0" applyFont="1" applyBorder="1" applyAlignment="1">
      <alignment horizontal="center"/>
    </xf>
    <xf numFmtId="0" fontId="48" fillId="0" borderId="19" xfId="0" applyFont="1" applyFill="1" applyBorder="1" applyAlignment="1" applyProtection="1">
      <alignment horizontal="left"/>
    </xf>
    <xf numFmtId="49" fontId="2"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4" fontId="49" fillId="0" borderId="0" xfId="47" applyNumberFormat="1" applyFont="1" applyAlignment="1">
      <alignment horizontal="right"/>
    </xf>
    <xf numFmtId="164" fontId="49" fillId="0" borderId="0" xfId="47" applyNumberFormat="1" applyFont="1"/>
    <xf numFmtId="0" fontId="46" fillId="0" borderId="11" xfId="47" applyNumberFormat="1" applyFont="1" applyFill="1" applyBorder="1" applyAlignment="1">
      <alignment horizontal="center" vertical="center" wrapText="1"/>
    </xf>
    <xf numFmtId="0" fontId="46" fillId="0" borderId="11" xfId="1" applyNumberFormat="1" applyFont="1" applyFill="1" applyBorder="1" applyAlignment="1">
      <alignment horizontal="center" vertical="center" wrapText="1"/>
    </xf>
    <xf numFmtId="3" fontId="65" fillId="31" borderId="11" xfId="47" applyNumberFormat="1" applyFont="1" applyFill="1" applyBorder="1" applyAlignment="1">
      <alignment vertical="center"/>
    </xf>
    <xf numFmtId="168" fontId="49" fillId="31" borderId="11" xfId="48" applyNumberFormat="1" applyFont="1" applyFill="1" applyBorder="1" applyAlignment="1">
      <alignment vertical="center"/>
    </xf>
    <xf numFmtId="3" fontId="65" fillId="31" borderId="11" xfId="0" applyNumberFormat="1" applyFont="1" applyFill="1" applyBorder="1" applyAlignment="1">
      <alignment vertical="center"/>
    </xf>
    <xf numFmtId="0" fontId="49" fillId="31" borderId="11" xfId="0" applyFont="1" applyFill="1" applyBorder="1" applyAlignment="1">
      <alignment vertical="center"/>
    </xf>
    <xf numFmtId="3" fontId="49" fillId="0" borderId="20" xfId="47" applyNumberFormat="1" applyFont="1" applyBorder="1" applyAlignment="1">
      <alignment vertical="center"/>
    </xf>
    <xf numFmtId="168" fontId="49" fillId="0" borderId="20" xfId="48" applyNumberFormat="1" applyFont="1" applyBorder="1" applyAlignment="1">
      <alignment vertical="center"/>
    </xf>
    <xf numFmtId="3" fontId="49" fillId="0" borderId="20" xfId="0" applyNumberFormat="1" applyFont="1" applyBorder="1" applyAlignment="1">
      <alignment vertical="center"/>
    </xf>
    <xf numFmtId="0" fontId="49" fillId="0" borderId="20" xfId="0" applyFont="1" applyBorder="1" applyAlignment="1">
      <alignment vertical="center"/>
    </xf>
    <xf numFmtId="3" fontId="49" fillId="0" borderId="18" xfId="47" applyNumberFormat="1" applyFont="1" applyBorder="1" applyAlignment="1">
      <alignment vertical="center"/>
    </xf>
    <xf numFmtId="168" fontId="49" fillId="0" borderId="18" xfId="48" applyNumberFormat="1" applyFont="1" applyBorder="1" applyAlignment="1">
      <alignment vertical="center"/>
    </xf>
    <xf numFmtId="3" fontId="49" fillId="0" borderId="18" xfId="0" applyNumberFormat="1" applyFont="1" applyBorder="1" applyAlignment="1">
      <alignment vertical="center"/>
    </xf>
    <xf numFmtId="0" fontId="49" fillId="0" borderId="25" xfId="0" applyFont="1" applyBorder="1" applyAlignment="1">
      <alignment vertical="center"/>
    </xf>
    <xf numFmtId="3" fontId="48" fillId="0" borderId="18" xfId="47" applyNumberFormat="1" applyFont="1" applyFill="1" applyBorder="1" applyAlignment="1" applyProtection="1">
      <alignment vertical="center"/>
    </xf>
    <xf numFmtId="3" fontId="48" fillId="0" borderId="18" xfId="0" applyNumberFormat="1" applyFont="1" applyFill="1" applyBorder="1" applyAlignment="1" applyProtection="1">
      <alignment vertical="center"/>
    </xf>
    <xf numFmtId="0" fontId="49" fillId="0" borderId="18" xfId="0" applyFont="1" applyBorder="1" applyAlignment="1">
      <alignment vertical="center"/>
    </xf>
    <xf numFmtId="3" fontId="48" fillId="0" borderId="19" xfId="47" applyNumberFormat="1" applyFont="1" applyFill="1" applyBorder="1" applyAlignment="1" applyProtection="1">
      <alignment vertical="center"/>
    </xf>
    <xf numFmtId="168" fontId="49" fillId="0" borderId="19" xfId="48" applyNumberFormat="1" applyFont="1" applyBorder="1" applyAlignment="1">
      <alignment vertical="center"/>
    </xf>
    <xf numFmtId="3" fontId="48" fillId="0" borderId="19" xfId="0" applyNumberFormat="1" applyFont="1" applyFill="1" applyBorder="1" applyAlignment="1" applyProtection="1">
      <alignment vertical="center"/>
    </xf>
    <xf numFmtId="3" fontId="49" fillId="0" borderId="19" xfId="47" applyNumberFormat="1" applyFont="1" applyBorder="1" applyAlignment="1">
      <alignment vertical="center"/>
    </xf>
    <xf numFmtId="0" fontId="49" fillId="0" borderId="19" xfId="0" applyFont="1" applyBorder="1" applyAlignment="1">
      <alignment vertical="center"/>
    </xf>
    <xf numFmtId="0" fontId="49" fillId="0" borderId="39" xfId="0" applyFont="1" applyBorder="1" applyAlignment="1">
      <alignment vertical="center"/>
    </xf>
    <xf numFmtId="0" fontId="65" fillId="31" borderId="11" xfId="0" applyFont="1" applyFill="1" applyBorder="1" applyAlignment="1">
      <alignment vertical="center"/>
    </xf>
    <xf numFmtId="3" fontId="47" fillId="31" borderId="11" xfId="47" applyNumberFormat="1" applyFont="1" applyFill="1" applyBorder="1" applyAlignment="1" applyProtection="1">
      <alignment vertical="center"/>
    </xf>
    <xf numFmtId="0" fontId="49" fillId="0" borderId="25" xfId="0" applyFont="1" applyFill="1" applyBorder="1" applyAlignment="1">
      <alignment vertical="center"/>
    </xf>
    <xf numFmtId="0" fontId="49" fillId="0" borderId="39" xfId="0" applyFont="1" applyFill="1" applyBorder="1" applyAlignment="1">
      <alignment vertical="center"/>
    </xf>
    <xf numFmtId="0" fontId="48" fillId="0" borderId="20" xfId="0" applyFont="1" applyFill="1" applyBorder="1" applyAlignment="1" applyProtection="1">
      <alignment vertical="center"/>
    </xf>
    <xf numFmtId="0" fontId="48" fillId="0" borderId="25" xfId="0" applyFont="1" applyFill="1" applyBorder="1" applyAlignment="1" applyProtection="1">
      <alignment vertical="center"/>
    </xf>
    <xf numFmtId="0" fontId="48" fillId="0" borderId="18" xfId="0" applyFont="1" applyFill="1" applyBorder="1" applyAlignment="1" applyProtection="1">
      <alignment vertical="center"/>
    </xf>
    <xf numFmtId="3" fontId="49" fillId="0" borderId="20" xfId="47" applyNumberFormat="1" applyFont="1" applyFill="1" applyBorder="1" applyAlignment="1">
      <alignment vertical="center"/>
    </xf>
    <xf numFmtId="3" fontId="49" fillId="0" borderId="18" xfId="47" applyNumberFormat="1" applyFont="1" applyFill="1" applyBorder="1" applyAlignment="1">
      <alignment vertical="center"/>
    </xf>
    <xf numFmtId="4" fontId="49" fillId="0" borderId="18" xfId="47" applyNumberFormat="1" applyFont="1" applyFill="1" applyBorder="1" applyAlignment="1">
      <alignment vertical="center"/>
    </xf>
    <xf numFmtId="3" fontId="42" fillId="6" borderId="11" xfId="47" applyNumberFormat="1" applyFont="1" applyFill="1" applyBorder="1" applyAlignment="1">
      <alignment vertical="center" wrapText="1"/>
    </xf>
    <xf numFmtId="168" fontId="42" fillId="6" borderId="11" xfId="48" applyNumberFormat="1" applyFont="1" applyFill="1" applyBorder="1" applyAlignment="1">
      <alignment vertical="center" wrapText="1"/>
    </xf>
    <xf numFmtId="3" fontId="42" fillId="6" borderId="11" xfId="1" applyNumberFormat="1" applyFont="1" applyFill="1" applyBorder="1" applyAlignment="1">
      <alignment vertical="center" wrapText="1"/>
    </xf>
    <xf numFmtId="0" fontId="42" fillId="6" borderId="11" xfId="1" applyFont="1" applyFill="1" applyBorder="1" applyAlignment="1">
      <alignment vertical="center" wrapText="1"/>
    </xf>
    <xf numFmtId="3" fontId="44" fillId="0" borderId="21" xfId="47" applyNumberFormat="1" applyFont="1" applyBorder="1" applyAlignment="1">
      <alignment horizontal="right" vertical="center"/>
    </xf>
    <xf numFmtId="3" fontId="44" fillId="0" borderId="21" xfId="47" applyNumberFormat="1" applyFont="1" applyBorder="1" applyAlignment="1">
      <alignment vertical="center"/>
    </xf>
    <xf numFmtId="3" fontId="44" fillId="0" borderId="35" xfId="47" applyNumberFormat="1" applyFont="1" applyBorder="1" applyAlignment="1">
      <alignment horizontal="right" vertical="center"/>
    </xf>
    <xf numFmtId="3" fontId="44" fillId="0" borderId="35" xfId="47" applyNumberFormat="1" applyFont="1" applyBorder="1" applyAlignment="1">
      <alignment vertical="center"/>
    </xf>
    <xf numFmtId="3" fontId="44" fillId="0" borderId="0" xfId="0" applyNumberFormat="1" applyFont="1" applyAlignment="1">
      <alignment horizontal="right"/>
    </xf>
    <xf numFmtId="0" fontId="66" fillId="0" borderId="0" xfId="0" applyFont="1" applyAlignment="1">
      <alignment vertical="top"/>
    </xf>
    <xf numFmtId="0" fontId="66" fillId="0" borderId="0" xfId="0" applyFont="1" applyAlignment="1">
      <alignment horizontal="left" vertical="top" wrapText="1"/>
    </xf>
    <xf numFmtId="0" fontId="68" fillId="0" borderId="0" xfId="0" applyFont="1" applyAlignment="1">
      <alignment horizontal="center" vertical="center" wrapText="1"/>
    </xf>
    <xf numFmtId="0" fontId="69" fillId="0" borderId="0" xfId="0" applyFont="1"/>
    <xf numFmtId="0" fontId="1" fillId="31" borderId="45" xfId="1" applyFont="1" applyFill="1" applyBorder="1" applyAlignment="1">
      <alignment horizontal="center" vertical="center" wrapText="1"/>
    </xf>
    <xf numFmtId="3" fontId="2" fillId="0" borderId="45" xfId="29" applyNumberFormat="1" applyFont="1" applyFill="1" applyBorder="1" applyAlignment="1" applyProtection="1">
      <alignment horizontal="right" vertical="center"/>
    </xf>
    <xf numFmtId="3" fontId="1" fillId="0" borderId="45" xfId="29" applyNumberFormat="1" applyFont="1" applyFill="1" applyBorder="1" applyAlignment="1" applyProtection="1">
      <alignment horizontal="right" vertical="center"/>
    </xf>
    <xf numFmtId="3" fontId="2" fillId="0" borderId="45" xfId="29" applyNumberFormat="1" applyFont="1" applyFill="1" applyBorder="1" applyAlignment="1" applyProtection="1">
      <alignment horizontal="right" vertical="center" wrapText="1"/>
    </xf>
    <xf numFmtId="3" fontId="1" fillId="31" borderId="45" xfId="29" applyNumberFormat="1" applyFont="1" applyFill="1" applyBorder="1" applyAlignment="1" applyProtection="1">
      <alignment horizontal="right" vertical="center"/>
    </xf>
    <xf numFmtId="0" fontId="70" fillId="31" borderId="11" xfId="0" applyFont="1" applyFill="1" applyBorder="1" applyAlignment="1">
      <alignment horizontal="center" vertical="center" wrapText="1"/>
    </xf>
    <xf numFmtId="0" fontId="44" fillId="0" borderId="0" xfId="0" applyFont="1" applyAlignment="1">
      <alignment horizontal="center" vertical="center" wrapText="1"/>
    </xf>
    <xf numFmtId="49" fontId="44" fillId="0" borderId="0" xfId="0" applyNumberFormat="1" applyFont="1" applyAlignment="1">
      <alignment horizontal="left" vertical="center" wrapText="1"/>
    </xf>
    <xf numFmtId="49" fontId="21" fillId="0" borderId="0" xfId="1" applyNumberFormat="1" applyFont="1" applyBorder="1" applyAlignment="1">
      <alignment horizontal="center" vertical="center" wrapText="1"/>
    </xf>
    <xf numFmtId="3" fontId="73" fillId="0" borderId="48" xfId="47" applyNumberFormat="1" applyFont="1" applyBorder="1" applyAlignment="1">
      <alignment vertical="center"/>
    </xf>
    <xf numFmtId="3" fontId="44" fillId="0" borderId="12" xfId="47" applyNumberFormat="1" applyFont="1" applyBorder="1" applyAlignment="1">
      <alignment vertical="center"/>
    </xf>
    <xf numFmtId="3" fontId="73" fillId="0" borderId="49" xfId="47" applyNumberFormat="1" applyFont="1" applyBorder="1" applyAlignment="1">
      <alignment vertical="center"/>
    </xf>
    <xf numFmtId="3" fontId="44" fillId="0" borderId="0" xfId="0" applyNumberFormat="1" applyFont="1" applyBorder="1"/>
    <xf numFmtId="3" fontId="37" fillId="0" borderId="11" xfId="0" applyNumberFormat="1" applyFont="1" applyBorder="1" applyAlignment="1">
      <alignment horizontal="left" vertical="center" wrapText="1"/>
    </xf>
    <xf numFmtId="0" fontId="44" fillId="0" borderId="11" xfId="0" applyFont="1" applyBorder="1" applyAlignment="1">
      <alignment horizontal="left" vertical="center" wrapText="1"/>
    </xf>
    <xf numFmtId="3" fontId="74" fillId="0" borderId="11" xfId="0" applyNumberFormat="1" applyFont="1" applyBorder="1"/>
    <xf numFmtId="3" fontId="74" fillId="0" borderId="11" xfId="0" applyNumberFormat="1" applyFont="1" applyBorder="1" applyAlignment="1">
      <alignment horizontal="right" vertical="center"/>
    </xf>
    <xf numFmtId="3" fontId="74" fillId="31" borderId="11" xfId="0" applyNumberFormat="1" applyFont="1" applyFill="1" applyBorder="1"/>
    <xf numFmtId="0" fontId="21" fillId="0" borderId="0" xfId="0" applyFont="1" applyAlignment="1">
      <alignment horizontal="center" vertical="top" wrapText="1"/>
    </xf>
    <xf numFmtId="0" fontId="74" fillId="0" borderId="0" xfId="0" applyFont="1"/>
    <xf numFmtId="0" fontId="44" fillId="0" borderId="0" xfId="0" applyFont="1" applyBorder="1" applyAlignment="1">
      <alignment horizontal="center" vertical="center" wrapText="1"/>
    </xf>
    <xf numFmtId="170" fontId="44" fillId="0" borderId="0" xfId="0" applyNumberFormat="1" applyFont="1" applyBorder="1"/>
    <xf numFmtId="3" fontId="44" fillId="0" borderId="0" xfId="0" applyNumberFormat="1" applyFont="1" applyBorder="1" applyAlignment="1">
      <alignment horizontal="right"/>
    </xf>
    <xf numFmtId="3" fontId="45" fillId="0" borderId="0" xfId="0" applyNumberFormat="1" applyFont="1" applyBorder="1" applyAlignment="1">
      <alignment vertical="center"/>
    </xf>
    <xf numFmtId="164" fontId="44" fillId="0" borderId="0" xfId="0" applyNumberFormat="1" applyFont="1" applyBorder="1"/>
    <xf numFmtId="0" fontId="76" fillId="30" borderId="0" xfId="0" applyFont="1" applyFill="1" applyBorder="1"/>
    <xf numFmtId="0" fontId="77" fillId="30" borderId="0" xfId="0" applyFont="1" applyFill="1" applyBorder="1" applyAlignment="1" applyProtection="1">
      <alignment vertical="top"/>
    </xf>
    <xf numFmtId="0" fontId="77" fillId="30" borderId="0" xfId="0" applyFont="1" applyFill="1" applyBorder="1"/>
    <xf numFmtId="0" fontId="75" fillId="0" borderId="0" xfId="0" applyFont="1" applyAlignment="1">
      <alignment horizontal="left" vertical="top" wrapText="1"/>
    </xf>
    <xf numFmtId="0" fontId="45" fillId="0" borderId="0" xfId="0" applyFont="1" applyAlignment="1">
      <alignment horizontal="center" vertical="center" wrapText="1"/>
    </xf>
    <xf numFmtId="0" fontId="48" fillId="0" borderId="20" xfId="0" applyFont="1" applyFill="1" applyBorder="1" applyAlignment="1" applyProtection="1">
      <alignment horizontal="left" vertical="top" wrapText="1"/>
    </xf>
    <xf numFmtId="0" fontId="48" fillId="0" borderId="18" xfId="0" applyFont="1" applyBorder="1" applyAlignment="1" applyProtection="1">
      <alignment horizontal="left" vertical="top" wrapText="1"/>
    </xf>
    <xf numFmtId="49" fontId="39" fillId="0" borderId="39" xfId="0" applyNumberFormat="1" applyFont="1" applyFill="1" applyBorder="1" applyAlignment="1">
      <alignment horizontal="center" vertical="center" wrapText="1"/>
    </xf>
    <xf numFmtId="0" fontId="54" fillId="36" borderId="39" xfId="0" applyFont="1" applyFill="1" applyBorder="1" applyAlignment="1">
      <alignment horizontal="center" vertical="center" wrapText="1"/>
    </xf>
    <xf numFmtId="49" fontId="54" fillId="0" borderId="39" xfId="0" applyNumberFormat="1" applyFont="1" applyFill="1" applyBorder="1" applyAlignment="1">
      <alignment vertical="center" wrapText="1"/>
    </xf>
    <xf numFmtId="164" fontId="54" fillId="0" borderId="39" xfId="29" applyNumberFormat="1" applyFont="1" applyFill="1" applyBorder="1" applyAlignment="1" applyProtection="1">
      <alignment horizontal="right" vertical="center" wrapText="1"/>
    </xf>
    <xf numFmtId="168" fontId="54" fillId="0" borderId="39" xfId="48" applyNumberFormat="1" applyFont="1" applyFill="1" applyBorder="1" applyAlignment="1" applyProtection="1">
      <alignment horizontal="center" vertical="center" wrapText="1"/>
    </xf>
    <xf numFmtId="49" fontId="39" fillId="0" borderId="20" xfId="0" applyNumberFormat="1" applyFont="1" applyFill="1" applyBorder="1" applyAlignment="1">
      <alignment horizontal="center" vertical="center" wrapText="1"/>
    </xf>
    <xf numFmtId="0" fontId="54" fillId="36" borderId="20" xfId="0" applyFont="1" applyFill="1" applyBorder="1" applyAlignment="1">
      <alignment horizontal="center" vertical="center" wrapText="1"/>
    </xf>
    <xf numFmtId="49" fontId="54" fillId="0" borderId="20" xfId="0" applyNumberFormat="1" applyFont="1" applyFill="1" applyBorder="1" applyAlignment="1">
      <alignment vertical="center" wrapText="1"/>
    </xf>
    <xf numFmtId="164" fontId="54" fillId="0" borderId="20" xfId="29" applyNumberFormat="1" applyFont="1" applyFill="1" applyBorder="1" applyAlignment="1" applyProtection="1">
      <alignment horizontal="right" vertical="center" wrapText="1"/>
    </xf>
    <xf numFmtId="168" fontId="54" fillId="0" borderId="20" xfId="48" applyNumberFormat="1" applyFont="1" applyFill="1" applyBorder="1" applyAlignment="1" applyProtection="1">
      <alignment horizontal="center" vertical="center" wrapText="1"/>
    </xf>
    <xf numFmtId="49" fontId="39" fillId="0" borderId="36" xfId="0" applyNumberFormat="1" applyFont="1" applyFill="1" applyBorder="1" applyAlignment="1">
      <alignment horizontal="center" vertical="center" wrapText="1"/>
    </xf>
    <xf numFmtId="49" fontId="54" fillId="0" borderId="36" xfId="0" applyNumberFormat="1" applyFont="1" applyFill="1" applyBorder="1" applyAlignment="1">
      <alignment vertical="center" wrapText="1"/>
    </xf>
    <xf numFmtId="164" fontId="54" fillId="0" borderId="36" xfId="29" applyNumberFormat="1" applyFont="1" applyFill="1" applyBorder="1" applyAlignment="1" applyProtection="1">
      <alignment horizontal="right" vertical="center" wrapText="1"/>
    </xf>
    <xf numFmtId="168" fontId="54" fillId="0" borderId="36" xfId="48" applyNumberFormat="1" applyFont="1" applyFill="1" applyBorder="1" applyAlignment="1" applyProtection="1">
      <alignment horizontal="center" vertical="center" wrapText="1"/>
    </xf>
    <xf numFmtId="49" fontId="39" fillId="0" borderId="12" xfId="0" applyNumberFormat="1" applyFont="1" applyFill="1" applyBorder="1" applyAlignment="1">
      <alignment horizontal="center" vertical="center" wrapText="1"/>
    </xf>
    <xf numFmtId="49" fontId="54" fillId="0" borderId="12" xfId="0" applyNumberFormat="1" applyFont="1" applyFill="1" applyBorder="1" applyAlignment="1">
      <alignment vertical="center" wrapText="1"/>
    </xf>
    <xf numFmtId="164" fontId="54" fillId="0" borderId="12" xfId="29" applyNumberFormat="1" applyFont="1" applyFill="1" applyBorder="1" applyAlignment="1" applyProtection="1">
      <alignment horizontal="right" vertical="center" wrapText="1"/>
    </xf>
    <xf numFmtId="168" fontId="54" fillId="0" borderId="12" xfId="48" applyNumberFormat="1" applyFont="1" applyFill="1" applyBorder="1" applyAlignment="1" applyProtection="1">
      <alignment horizontal="center" vertical="center" wrapText="1"/>
    </xf>
    <xf numFmtId="164" fontId="39" fillId="0" borderId="12" xfId="29" applyNumberFormat="1" applyFont="1" applyFill="1" applyBorder="1" applyAlignment="1" applyProtection="1">
      <alignment horizontal="right" vertical="center" wrapText="1"/>
    </xf>
    <xf numFmtId="0" fontId="54" fillId="30" borderId="36" xfId="0" applyFont="1" applyFill="1" applyBorder="1" applyAlignment="1">
      <alignment horizontal="center" vertical="center" wrapText="1"/>
    </xf>
    <xf numFmtId="0" fontId="54" fillId="30" borderId="12" xfId="0" applyFont="1" applyFill="1" applyBorder="1" applyAlignment="1">
      <alignment horizontal="center" vertical="center" wrapText="1"/>
    </xf>
    <xf numFmtId="3" fontId="45" fillId="0" borderId="0" xfId="47" applyNumberFormat="1" applyFont="1" applyAlignment="1">
      <alignment horizontal="right" vertical="center"/>
    </xf>
    <xf numFmtId="3" fontId="22" fillId="0" borderId="0" xfId="49" applyNumberFormat="1" applyFont="1" applyFill="1" applyBorder="1" applyAlignment="1">
      <alignment horizontal="left" vertical="top" wrapText="1"/>
    </xf>
    <xf numFmtId="0" fontId="45" fillId="0" borderId="21" xfId="0" applyFont="1" applyBorder="1" applyAlignment="1">
      <alignment vertical="top" wrapText="1"/>
    </xf>
    <xf numFmtId="3" fontId="21" fillId="0" borderId="0" xfId="1" applyNumberFormat="1" applyFont="1" applyFill="1" applyBorder="1" applyAlignment="1">
      <alignment horizontal="left" vertical="top" wrapText="1"/>
    </xf>
    <xf numFmtId="3" fontId="45" fillId="0" borderId="0" xfId="47" applyNumberFormat="1" applyFont="1" applyAlignment="1">
      <alignment vertical="center"/>
    </xf>
    <xf numFmtId="0" fontId="78" fillId="0" borderId="0" xfId="0" applyFont="1" applyBorder="1" applyAlignment="1">
      <alignment vertical="center" wrapText="1"/>
    </xf>
    <xf numFmtId="0" fontId="0" fillId="0" borderId="0" xfId="0" applyBorder="1"/>
    <xf numFmtId="0" fontId="0" fillId="30" borderId="0" xfId="0" applyFill="1" applyBorder="1"/>
    <xf numFmtId="0" fontId="44" fillId="0" borderId="0" xfId="0" applyFont="1" applyAlignment="1">
      <alignment horizontal="right"/>
    </xf>
    <xf numFmtId="3" fontId="37" fillId="0" borderId="0" xfId="0" applyNumberFormat="1" applyFont="1" applyAlignment="1">
      <alignment horizontal="left" vertical="top" wrapText="1"/>
    </xf>
    <xf numFmtId="3" fontId="45" fillId="30" borderId="0" xfId="49" applyNumberFormat="1" applyFont="1" applyFill="1" applyBorder="1" applyAlignment="1">
      <alignment horizontal="center" vertical="center"/>
    </xf>
    <xf numFmtId="0" fontId="45" fillId="30" borderId="0" xfId="49" applyNumberFormat="1" applyFont="1" applyFill="1" applyBorder="1" applyAlignment="1">
      <alignment horizontal="center" vertical="center"/>
    </xf>
    <xf numFmtId="3" fontId="45" fillId="30" borderId="0" xfId="49" applyNumberFormat="1" applyFont="1" applyFill="1" applyBorder="1" applyAlignment="1">
      <alignment horizontal="left" vertical="center"/>
    </xf>
    <xf numFmtId="3" fontId="49" fillId="30" borderId="0" xfId="49" applyNumberFormat="1" applyFont="1" applyFill="1" applyBorder="1" applyAlignment="1">
      <alignment horizontal="center" vertical="center"/>
    </xf>
    <xf numFmtId="3" fontId="45" fillId="30" borderId="0" xfId="49" applyNumberFormat="1" applyFont="1" applyFill="1" applyBorder="1" applyAlignment="1">
      <alignment horizontal="left" vertical="center" wrapText="1"/>
    </xf>
    <xf numFmtId="3" fontId="44" fillId="30" borderId="0" xfId="47" applyNumberFormat="1" applyFont="1" applyFill="1" applyBorder="1" applyAlignment="1">
      <alignment horizontal="right" vertical="center"/>
    </xf>
    <xf numFmtId="3" fontId="44" fillId="30" borderId="0" xfId="47" applyNumberFormat="1" applyFont="1" applyFill="1" applyAlignment="1">
      <alignment vertical="center"/>
    </xf>
    <xf numFmtId="3" fontId="44" fillId="30" borderId="0" xfId="47" applyNumberFormat="1" applyFont="1" applyFill="1" applyBorder="1" applyAlignment="1">
      <alignment horizontal="right" vertical="center" wrapText="1"/>
    </xf>
    <xf numFmtId="0" fontId="45" fillId="30" borderId="0" xfId="0" applyFont="1" applyFill="1" applyAlignment="1">
      <alignment horizontal="center" vertical="center"/>
    </xf>
    <xf numFmtId="0" fontId="44" fillId="30" borderId="0" xfId="0" applyFont="1" applyFill="1" applyAlignment="1">
      <alignment horizontal="center" vertical="center"/>
    </xf>
    <xf numFmtId="3" fontId="44" fillId="30" borderId="0" xfId="47" applyNumberFormat="1" applyFont="1" applyFill="1" applyAlignment="1">
      <alignment horizontal="right" vertical="center"/>
    </xf>
    <xf numFmtId="3" fontId="45" fillId="0" borderId="0" xfId="47" applyNumberFormat="1" applyFont="1"/>
    <xf numFmtId="3" fontId="45" fillId="0" borderId="0" xfId="47" applyNumberFormat="1" applyFont="1" applyAlignment="1">
      <alignment horizontal="right"/>
    </xf>
    <xf numFmtId="3" fontId="23" fillId="0" borderId="0" xfId="49" applyNumberFormat="1" applyFont="1" applyFill="1" applyBorder="1" applyAlignment="1">
      <alignment horizontal="left" vertical="center" wrapText="1"/>
    </xf>
    <xf numFmtId="3" fontId="38" fillId="30" borderId="0" xfId="47" applyNumberFormat="1" applyFont="1" applyFill="1" applyBorder="1" applyAlignment="1">
      <alignment horizontal="right" vertical="center" wrapText="1"/>
    </xf>
    <xf numFmtId="0" fontId="56" fillId="0" borderId="0" xfId="0" applyFont="1" applyAlignment="1">
      <alignment vertical="top" wrapText="1"/>
    </xf>
    <xf numFmtId="0" fontId="45" fillId="0" borderId="0" xfId="0" applyFont="1" applyBorder="1" applyAlignment="1">
      <alignment vertical="top" wrapText="1"/>
    </xf>
    <xf numFmtId="3" fontId="38" fillId="0" borderId="35" xfId="1" applyNumberFormat="1" applyFont="1" applyFill="1" applyBorder="1" applyAlignment="1">
      <alignment horizontal="left" vertical="top" wrapText="1"/>
    </xf>
    <xf numFmtId="3" fontId="37" fillId="0" borderId="0" xfId="0" applyNumberFormat="1" applyFont="1" applyAlignment="1">
      <alignment horizontal="left" wrapText="1"/>
    </xf>
    <xf numFmtId="0" fontId="44" fillId="0" borderId="0" xfId="0" applyFont="1" applyAlignment="1">
      <alignment horizontal="left" vertical="center" wrapText="1"/>
    </xf>
    <xf numFmtId="0" fontId="44" fillId="0" borderId="0" xfId="0" applyFont="1" applyAlignment="1">
      <alignment horizontal="left" vertical="center" wrapText="1"/>
    </xf>
    <xf numFmtId="0" fontId="79" fillId="0" borderId="0" xfId="0" applyFont="1" applyBorder="1"/>
    <xf numFmtId="0" fontId="79" fillId="0" borderId="0" xfId="0" applyFont="1"/>
    <xf numFmtId="0" fontId="79" fillId="29" borderId="0" xfId="0" applyFont="1" applyFill="1" applyAlignment="1">
      <alignment horizontal="center" vertical="center"/>
    </xf>
    <xf numFmtId="49" fontId="79" fillId="29" borderId="0" xfId="0" applyNumberFormat="1" applyFont="1" applyFill="1" applyAlignment="1">
      <alignment horizontal="left" vertical="center"/>
    </xf>
    <xf numFmtId="0" fontId="79" fillId="29" borderId="0" xfId="0" applyFont="1" applyFill="1" applyAlignment="1">
      <alignment vertical="center" wrapText="1"/>
    </xf>
    <xf numFmtId="3" fontId="79" fillId="29" borderId="0" xfId="47" applyNumberFormat="1" applyFont="1" applyFill="1" applyAlignment="1">
      <alignment horizontal="right" vertical="center"/>
    </xf>
    <xf numFmtId="3" fontId="79" fillId="29" borderId="0" xfId="47" applyNumberFormat="1" applyFont="1" applyFill="1" applyAlignment="1">
      <alignment vertical="center"/>
    </xf>
    <xf numFmtId="0" fontId="80" fillId="0" borderId="0" xfId="46" applyFont="1" applyBorder="1" applyAlignment="1" applyProtection="1">
      <alignment horizontal="left" vertical="top"/>
    </xf>
    <xf numFmtId="0" fontId="44" fillId="0" borderId="0" xfId="0" applyFont="1" applyAlignment="1">
      <alignment horizontal="left" vertical="center" wrapText="1"/>
    </xf>
    <xf numFmtId="3" fontId="37" fillId="0" borderId="0" xfId="0" applyNumberFormat="1" applyFont="1" applyBorder="1" applyAlignment="1">
      <alignment horizontal="left" vertical="top" wrapText="1"/>
    </xf>
    <xf numFmtId="0" fontId="44" fillId="0" borderId="0" xfId="0" applyFont="1" applyBorder="1" applyAlignment="1">
      <alignment horizontal="left" vertical="center" wrapText="1"/>
    </xf>
    <xf numFmtId="0" fontId="81" fillId="0" borderId="0" xfId="0" applyFont="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left" vertical="top" wrapText="1"/>
    </xf>
    <xf numFmtId="0" fontId="44" fillId="0" borderId="0" xfId="0" applyFont="1" applyAlignment="1">
      <alignment horizontal="left" vertical="center" wrapText="1"/>
    </xf>
    <xf numFmtId="3" fontId="44" fillId="0" borderId="0" xfId="47" applyNumberFormat="1" applyFont="1" applyBorder="1" applyAlignment="1">
      <alignment horizontal="right"/>
    </xf>
    <xf numFmtId="3" fontId="44" fillId="0" borderId="0" xfId="47" applyNumberFormat="1" applyFont="1" applyBorder="1"/>
    <xf numFmtId="0" fontId="82" fillId="0" borderId="0" xfId="46" applyFont="1" applyBorder="1" applyAlignment="1" applyProtection="1">
      <alignment horizontal="left" vertical="top"/>
    </xf>
    <xf numFmtId="0" fontId="44" fillId="0" borderId="0" xfId="0" applyFont="1" applyAlignment="1">
      <alignment horizontal="left" vertical="top" wrapText="1"/>
    </xf>
    <xf numFmtId="0" fontId="44" fillId="0" borderId="0" xfId="0" applyFont="1" applyAlignment="1">
      <alignment horizontal="left" vertical="center" wrapText="1"/>
    </xf>
    <xf numFmtId="0" fontId="44" fillId="0" borderId="0" xfId="0" applyFont="1" applyAlignment="1">
      <alignment horizontal="left" vertical="top" wrapText="1"/>
    </xf>
    <xf numFmtId="0" fontId="44" fillId="0" borderId="0" xfId="0" applyFont="1" applyAlignment="1">
      <alignment horizontal="left" vertical="center" wrapText="1"/>
    </xf>
    <xf numFmtId="0" fontId="38" fillId="30" borderId="0" xfId="49" applyNumberFormat="1" applyFont="1" applyFill="1" applyBorder="1" applyAlignment="1">
      <alignment horizontal="center" vertical="center"/>
    </xf>
    <xf numFmtId="49" fontId="45" fillId="30" borderId="0" xfId="0" applyNumberFormat="1" applyFont="1" applyFill="1" applyBorder="1" applyAlignment="1" applyProtection="1">
      <alignment horizontal="left" vertical="top"/>
    </xf>
    <xf numFmtId="0" fontId="44" fillId="30" borderId="0" xfId="0" applyFont="1" applyFill="1" applyBorder="1" applyAlignment="1">
      <alignment horizontal="center" vertical="center"/>
    </xf>
    <xf numFmtId="0" fontId="45" fillId="30" borderId="0" xfId="0" applyFont="1" applyFill="1" applyAlignment="1">
      <alignment vertical="center"/>
    </xf>
    <xf numFmtId="3" fontId="44" fillId="30" borderId="0" xfId="47" applyNumberFormat="1" applyFont="1" applyFill="1" applyAlignment="1">
      <alignment horizontal="right"/>
    </xf>
    <xf numFmtId="3" fontId="44" fillId="30" borderId="0" xfId="47" applyNumberFormat="1" applyFont="1" applyFill="1"/>
    <xf numFmtId="0" fontId="44" fillId="30" borderId="0" xfId="0" applyFont="1" applyFill="1" applyBorder="1"/>
    <xf numFmtId="0" fontId="44" fillId="0" borderId="0" xfId="0" applyFont="1" applyAlignment="1">
      <alignment horizontal="left" vertical="center" wrapText="1"/>
    </xf>
    <xf numFmtId="3" fontId="38" fillId="30" borderId="0" xfId="49" applyNumberFormat="1" applyFont="1" applyFill="1" applyBorder="1" applyAlignment="1">
      <alignment horizontal="center" vertical="center"/>
    </xf>
    <xf numFmtId="49" fontId="44" fillId="0" borderId="0" xfId="0" applyNumberFormat="1" applyFont="1" applyBorder="1" applyAlignment="1">
      <alignment horizontal="left" vertical="center"/>
    </xf>
    <xf numFmtId="49" fontId="45" fillId="0" borderId="0" xfId="0" applyNumberFormat="1" applyFont="1" applyBorder="1" applyAlignment="1">
      <alignment horizontal="left" vertical="center"/>
    </xf>
    <xf numFmtId="49" fontId="56" fillId="0" borderId="0" xfId="0" applyNumberFormat="1" applyFont="1" applyBorder="1" applyAlignment="1">
      <alignment horizontal="left" vertical="center"/>
    </xf>
    <xf numFmtId="0" fontId="44" fillId="0" borderId="0" xfId="0" applyFont="1" applyAlignment="1">
      <alignment horizontal="left" vertical="center" wrapText="1"/>
    </xf>
    <xf numFmtId="0" fontId="44" fillId="30" borderId="0" xfId="0" applyFont="1" applyFill="1"/>
    <xf numFmtId="49" fontId="45" fillId="30" borderId="0" xfId="0" applyNumberFormat="1" applyFont="1" applyFill="1" applyAlignment="1">
      <alignment horizontal="left" vertical="center"/>
    </xf>
    <xf numFmtId="3" fontId="22" fillId="30" borderId="0" xfId="49" applyNumberFormat="1" applyFont="1" applyFill="1" applyBorder="1" applyAlignment="1">
      <alignment horizontal="left" vertical="center" wrapText="1"/>
    </xf>
    <xf numFmtId="0" fontId="45" fillId="0" borderId="0" xfId="0" applyFont="1" applyFill="1" applyAlignment="1">
      <alignment horizontal="center" vertical="center"/>
    </xf>
    <xf numFmtId="49" fontId="45" fillId="0" borderId="0" xfId="0" applyNumberFormat="1" applyFont="1" applyFill="1" applyAlignment="1">
      <alignment horizontal="left" vertical="center"/>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1" applyNumberFormat="1" applyFont="1" applyFill="1" applyBorder="1" applyAlignment="1">
      <alignment horizontal="center" vertical="center" wrapText="1"/>
    </xf>
    <xf numFmtId="3" fontId="44" fillId="0" borderId="0" xfId="47" applyNumberFormat="1" applyFont="1" applyFill="1" applyBorder="1" applyAlignment="1">
      <alignment horizontal="right" vertical="center"/>
    </xf>
    <xf numFmtId="3" fontId="44" fillId="0" borderId="0" xfId="47" applyNumberFormat="1" applyFont="1" applyFill="1" applyBorder="1" applyAlignment="1">
      <alignment vertical="center"/>
    </xf>
    <xf numFmtId="0" fontId="45" fillId="0" borderId="21" xfId="0" applyFont="1" applyFill="1" applyBorder="1" applyAlignment="1">
      <alignment vertical="center" wrapText="1"/>
    </xf>
    <xf numFmtId="3" fontId="45" fillId="0" borderId="21" xfId="47" applyNumberFormat="1" applyFont="1" applyFill="1" applyBorder="1" applyAlignment="1">
      <alignment horizontal="right" vertical="center"/>
    </xf>
    <xf numFmtId="3" fontId="45" fillId="0" borderId="21" xfId="47" applyNumberFormat="1" applyFont="1" applyFill="1" applyBorder="1" applyAlignment="1">
      <alignment vertical="center"/>
    </xf>
    <xf numFmtId="0" fontId="45" fillId="0" borderId="0" xfId="0" applyFont="1" applyFill="1" applyBorder="1" applyAlignment="1">
      <alignment vertical="center" wrapText="1"/>
    </xf>
    <xf numFmtId="3" fontId="45" fillId="0" borderId="0" xfId="47" applyNumberFormat="1" applyFont="1" applyFill="1" applyBorder="1" applyAlignment="1">
      <alignment horizontal="right" vertical="center"/>
    </xf>
    <xf numFmtId="3" fontId="45" fillId="0" borderId="0" xfId="47" applyNumberFormat="1" applyFont="1" applyFill="1" applyBorder="1" applyAlignment="1">
      <alignment vertical="center"/>
    </xf>
    <xf numFmtId="0" fontId="38" fillId="0" borderId="0" xfId="0" applyNumberFormat="1" applyFont="1" applyFill="1" applyBorder="1" applyAlignment="1">
      <alignment horizontal="center" vertical="center" wrapText="1"/>
    </xf>
    <xf numFmtId="3" fontId="38" fillId="0" borderId="0" xfId="0" applyNumberFormat="1" applyFont="1" applyFill="1" applyBorder="1" applyAlignment="1">
      <alignment horizontal="center" vertical="center" wrapText="1"/>
    </xf>
    <xf numFmtId="49" fontId="60" fillId="0" borderId="0" xfId="0" applyNumberFormat="1" applyFont="1" applyFill="1" applyBorder="1" applyAlignment="1">
      <alignment horizontal="center" vertical="center" wrapText="1"/>
    </xf>
    <xf numFmtId="49" fontId="61" fillId="0" borderId="0" xfId="0" applyNumberFormat="1" applyFont="1" applyFill="1" applyBorder="1" applyAlignment="1">
      <alignment horizontal="center" vertical="center" wrapText="1"/>
    </xf>
    <xf numFmtId="3" fontId="22" fillId="0" borderId="0" xfId="0" applyNumberFormat="1" applyFont="1" applyFill="1" applyBorder="1" applyAlignment="1">
      <alignment horizontal="left" vertical="center" wrapText="1"/>
    </xf>
    <xf numFmtId="3" fontId="64" fillId="0" borderId="0" xfId="47" applyNumberFormat="1" applyFont="1" applyFill="1" applyBorder="1" applyAlignment="1">
      <alignment horizontal="right" vertical="center" wrapText="1"/>
    </xf>
    <xf numFmtId="3" fontId="64" fillId="0" borderId="0" xfId="47" applyNumberFormat="1" applyFont="1" applyFill="1" applyBorder="1" applyAlignment="1">
      <alignment horizontal="center" vertical="center" wrapText="1"/>
    </xf>
    <xf numFmtId="0" fontId="45" fillId="0" borderId="0" xfId="0" applyFont="1" applyFill="1" applyBorder="1"/>
    <xf numFmtId="0" fontId="56" fillId="0" borderId="0" xfId="0" applyFont="1" applyFill="1" applyAlignment="1">
      <alignment horizontal="center" vertical="center"/>
    </xf>
    <xf numFmtId="0" fontId="21" fillId="0" borderId="0" xfId="0" applyFont="1" applyFill="1" applyAlignment="1">
      <alignment horizontal="center" vertical="center" wrapText="1"/>
    </xf>
    <xf numFmtId="3" fontId="37" fillId="0" borderId="0" xfId="0" applyNumberFormat="1" applyFont="1" applyFill="1" applyAlignment="1">
      <alignment horizontal="left" vertical="center" wrapText="1"/>
    </xf>
    <xf numFmtId="3" fontId="21" fillId="0" borderId="0" xfId="0" applyNumberFormat="1" applyFont="1" applyFill="1" applyAlignment="1">
      <alignment horizontal="left" vertical="center" wrapText="1"/>
    </xf>
    <xf numFmtId="0" fontId="44" fillId="0" borderId="0" xfId="0" applyFont="1" applyFill="1" applyAlignment="1">
      <alignment horizontal="left" vertical="center" wrapText="1"/>
    </xf>
    <xf numFmtId="3" fontId="37" fillId="0" borderId="0" xfId="0" applyNumberFormat="1" applyFont="1" applyFill="1" applyBorder="1" applyAlignment="1">
      <alignment horizontal="left" vertical="center" wrapText="1"/>
    </xf>
    <xf numFmtId="3" fontId="21" fillId="0" borderId="0" xfId="0" applyNumberFormat="1" applyFont="1" applyFill="1" applyBorder="1" applyAlignment="1">
      <alignment horizontal="left" vertical="center" wrapText="1"/>
    </xf>
    <xf numFmtId="3" fontId="23" fillId="0" borderId="35" xfId="47" applyNumberFormat="1" applyFont="1" applyFill="1" applyBorder="1" applyAlignment="1">
      <alignment horizontal="right" vertical="center" wrapText="1"/>
    </xf>
    <xf numFmtId="3" fontId="23" fillId="0" borderId="32" xfId="47" applyNumberFormat="1" applyFont="1" applyFill="1" applyBorder="1" applyAlignment="1">
      <alignment horizontal="right" vertical="center" wrapText="1"/>
    </xf>
    <xf numFmtId="3" fontId="38" fillId="0" borderId="36" xfId="47" applyNumberFormat="1" applyFont="1" applyFill="1" applyBorder="1" applyAlignment="1">
      <alignment horizontal="right" vertical="center" wrapText="1"/>
    </xf>
    <xf numFmtId="0" fontId="44" fillId="0" borderId="0" xfId="0" applyFont="1" applyFill="1" applyAlignment="1">
      <alignment vertical="center" wrapText="1"/>
    </xf>
    <xf numFmtId="0" fontId="45" fillId="0" borderId="0" xfId="0" applyFont="1" applyFill="1" applyBorder="1" applyAlignment="1">
      <alignment horizontal="left" vertical="center"/>
    </xf>
    <xf numFmtId="0" fontId="45" fillId="0" borderId="0" xfId="0" applyFont="1" applyFill="1" applyBorder="1" applyAlignment="1">
      <alignment vertical="center"/>
    </xf>
    <xf numFmtId="3" fontId="38" fillId="38" borderId="0" xfId="49" applyNumberFormat="1" applyFont="1" applyFill="1" applyBorder="1" applyAlignment="1">
      <alignment horizontal="center" vertical="center"/>
    </xf>
    <xf numFmtId="0" fontId="38" fillId="38" borderId="0" xfId="49" applyNumberFormat="1" applyFont="1" applyFill="1" applyBorder="1" applyAlignment="1">
      <alignment horizontal="center" vertical="center"/>
    </xf>
    <xf numFmtId="3" fontId="38" fillId="38" borderId="0" xfId="49" applyNumberFormat="1" applyFont="1" applyFill="1" applyBorder="1" applyAlignment="1">
      <alignment horizontal="left" vertical="center"/>
    </xf>
    <xf numFmtId="3" fontId="22" fillId="38" borderId="0" xfId="49" applyNumberFormat="1" applyFont="1" applyFill="1" applyBorder="1" applyAlignment="1">
      <alignment horizontal="center" vertical="center"/>
    </xf>
    <xf numFmtId="3" fontId="35" fillId="38" borderId="0" xfId="49" applyNumberFormat="1" applyFont="1" applyFill="1" applyBorder="1" applyAlignment="1">
      <alignment horizontal="center" vertical="center"/>
    </xf>
    <xf numFmtId="3" fontId="22" fillId="38" borderId="0" xfId="49" applyNumberFormat="1" applyFont="1" applyFill="1" applyBorder="1" applyAlignment="1">
      <alignment horizontal="left" vertical="center" wrapText="1"/>
    </xf>
    <xf numFmtId="3" fontId="23" fillId="38" borderId="0" xfId="47" applyNumberFormat="1" applyFont="1" applyFill="1" applyBorder="1" applyAlignment="1">
      <alignment horizontal="right" vertical="center"/>
    </xf>
    <xf numFmtId="3" fontId="44" fillId="38" borderId="0" xfId="47" applyNumberFormat="1" applyFont="1" applyFill="1" applyAlignment="1">
      <alignment vertical="center"/>
    </xf>
    <xf numFmtId="3" fontId="23" fillId="38" borderId="0" xfId="47" applyNumberFormat="1" applyFont="1" applyFill="1" applyBorder="1" applyAlignment="1">
      <alignment horizontal="right" vertical="center" wrapText="1"/>
    </xf>
    <xf numFmtId="0" fontId="44" fillId="38" borderId="0" xfId="0" applyFont="1" applyFill="1" applyBorder="1"/>
    <xf numFmtId="0" fontId="44" fillId="38" borderId="0" xfId="0" applyFont="1" applyFill="1"/>
    <xf numFmtId="49" fontId="45" fillId="38" borderId="0" xfId="0" applyNumberFormat="1" applyFont="1" applyFill="1" applyAlignment="1">
      <alignment horizontal="left" vertical="center"/>
    </xf>
    <xf numFmtId="0" fontId="45" fillId="38" borderId="0" xfId="0" applyFont="1" applyFill="1" applyAlignment="1">
      <alignment horizontal="center" vertical="center"/>
    </xf>
    <xf numFmtId="0" fontId="44" fillId="38" borderId="0" xfId="0" applyFont="1" applyFill="1" applyAlignment="1">
      <alignment horizontal="center" vertical="center"/>
    </xf>
    <xf numFmtId="3" fontId="44" fillId="38" borderId="0" xfId="47" applyNumberFormat="1" applyFont="1" applyFill="1" applyAlignment="1">
      <alignment horizontal="right" vertical="center"/>
    </xf>
    <xf numFmtId="0" fontId="79" fillId="38" borderId="0" xfId="0" applyFont="1" applyFill="1" applyBorder="1" applyAlignment="1">
      <alignment horizontal="center" vertical="center"/>
    </xf>
    <xf numFmtId="49" fontId="79" fillId="38" borderId="0" xfId="0" applyNumberFormat="1" applyFont="1" applyFill="1" applyBorder="1" applyAlignment="1">
      <alignment horizontal="left" vertical="center"/>
    </xf>
    <xf numFmtId="0" fontId="79" fillId="38" borderId="0" xfId="0" applyFont="1" applyFill="1" applyAlignment="1">
      <alignment horizontal="center" vertical="center"/>
    </xf>
    <xf numFmtId="0" fontId="79" fillId="38" borderId="0" xfId="0" applyFont="1" applyFill="1" applyAlignment="1">
      <alignment vertical="center" wrapText="1"/>
    </xf>
    <xf numFmtId="3" fontId="79" fillId="38" borderId="0" xfId="47" applyNumberFormat="1" applyFont="1" applyFill="1" applyAlignment="1">
      <alignment horizontal="right" vertical="center"/>
    </xf>
    <xf numFmtId="3" fontId="79" fillId="38" borderId="0" xfId="47" applyNumberFormat="1" applyFont="1" applyFill="1" applyAlignment="1">
      <alignment vertical="center"/>
    </xf>
    <xf numFmtId="0" fontId="79" fillId="38" borderId="0" xfId="0" applyFont="1" applyFill="1" applyBorder="1"/>
    <xf numFmtId="0" fontId="79" fillId="38" borderId="0" xfId="0" applyFont="1" applyFill="1"/>
    <xf numFmtId="49" fontId="44" fillId="38" borderId="0" xfId="0" applyNumberFormat="1" applyFont="1" applyFill="1" applyAlignment="1">
      <alignment horizontal="left" vertical="center"/>
    </xf>
    <xf numFmtId="3" fontId="38" fillId="38" borderId="0" xfId="0" applyNumberFormat="1" applyFont="1" applyFill="1" applyAlignment="1">
      <alignment horizontal="left" vertical="center" wrapText="1"/>
    </xf>
    <xf numFmtId="0" fontId="49" fillId="0" borderId="50" xfId="0" applyFont="1" applyBorder="1" applyAlignment="1">
      <alignment horizontal="center"/>
    </xf>
    <xf numFmtId="0" fontId="48" fillId="0" borderId="50" xfId="0" applyFont="1" applyFill="1" applyBorder="1" applyAlignment="1" applyProtection="1">
      <alignment horizontal="left"/>
    </xf>
    <xf numFmtId="3" fontId="49" fillId="0" borderId="50" xfId="47" applyNumberFormat="1" applyFont="1" applyBorder="1" applyAlignment="1">
      <alignment vertical="center"/>
    </xf>
    <xf numFmtId="0" fontId="49" fillId="0" borderId="50" xfId="0" applyFont="1" applyBorder="1" applyAlignment="1">
      <alignment vertical="center"/>
    </xf>
    <xf numFmtId="3" fontId="44" fillId="0" borderId="0" xfId="0" applyNumberFormat="1" applyFont="1"/>
    <xf numFmtId="0" fontId="69" fillId="0" borderId="0" xfId="0" applyFont="1" applyAlignment="1">
      <alignment horizontal="center" vertical="center" wrapText="1"/>
    </xf>
    <xf numFmtId="0" fontId="83" fillId="31" borderId="50" xfId="0" applyFont="1" applyFill="1" applyBorder="1" applyAlignment="1">
      <alignment horizontal="center"/>
    </xf>
    <xf numFmtId="0" fontId="84" fillId="31" borderId="50" xfId="0" applyFont="1" applyFill="1" applyBorder="1" applyAlignment="1" applyProtection="1">
      <alignment horizontal="left"/>
    </xf>
    <xf numFmtId="3" fontId="84" fillId="31" borderId="50" xfId="47" applyNumberFormat="1" applyFont="1" applyFill="1" applyBorder="1" applyAlignment="1" applyProtection="1">
      <alignment vertical="center"/>
    </xf>
    <xf numFmtId="168" fontId="83" fillId="31" borderId="50" xfId="48" applyNumberFormat="1" applyFont="1" applyFill="1" applyBorder="1" applyAlignment="1">
      <alignment vertical="center"/>
    </xf>
    <xf numFmtId="3" fontId="84" fillId="31" borderId="50" xfId="0" applyNumberFormat="1" applyFont="1" applyFill="1" applyBorder="1" applyAlignment="1" applyProtection="1">
      <alignment vertical="center"/>
    </xf>
    <xf numFmtId="3" fontId="83" fillId="31" borderId="50" xfId="47" applyNumberFormat="1" applyFont="1" applyFill="1" applyBorder="1" applyAlignment="1">
      <alignment vertical="center"/>
    </xf>
    <xf numFmtId="0" fontId="83" fillId="31" borderId="50" xfId="0" applyFont="1" applyFill="1" applyBorder="1" applyAlignment="1">
      <alignment vertical="center"/>
    </xf>
    <xf numFmtId="0" fontId="83" fillId="0" borderId="0" xfId="0" applyFont="1"/>
    <xf numFmtId="0" fontId="44" fillId="29" borderId="0" xfId="0" applyFont="1" applyFill="1" applyAlignment="1">
      <alignment horizontal="center" vertical="center" wrapText="1"/>
    </xf>
    <xf numFmtId="0" fontId="56" fillId="0" borderId="0" xfId="0" applyFont="1" applyAlignment="1">
      <alignment horizontal="center" vertical="center" wrapText="1"/>
    </xf>
    <xf numFmtId="49" fontId="44" fillId="0" borderId="0" xfId="0" applyNumberFormat="1" applyFont="1" applyAlignment="1">
      <alignment horizontal="center" vertical="center" wrapText="1"/>
    </xf>
    <xf numFmtId="0" fontId="56" fillId="0" borderId="0" xfId="0" applyFont="1" applyFill="1" applyBorder="1" applyAlignment="1">
      <alignment horizontal="center" vertical="center" wrapText="1"/>
    </xf>
    <xf numFmtId="0" fontId="0" fillId="0" borderId="0" xfId="0" applyAlignment="1">
      <alignment wrapText="1"/>
    </xf>
    <xf numFmtId="0" fontId="79" fillId="29" borderId="0" xfId="0" applyFont="1" applyFill="1" applyAlignment="1">
      <alignment horizontal="center" vertical="center" wrapText="1"/>
    </xf>
    <xf numFmtId="3" fontId="22" fillId="38" borderId="0" xfId="49" applyNumberFormat="1" applyFont="1" applyFill="1" applyBorder="1" applyAlignment="1">
      <alignment horizontal="center" vertical="center" wrapText="1"/>
    </xf>
    <xf numFmtId="3" fontId="71" fillId="0" borderId="0" xfId="49" applyNumberFormat="1" applyFont="1" applyFill="1" applyBorder="1" applyAlignment="1">
      <alignment horizontal="center" vertical="center" wrapText="1"/>
    </xf>
    <xf numFmtId="3" fontId="22" fillId="0" borderId="0" xfId="49" applyNumberFormat="1" applyFont="1" applyFill="1" applyBorder="1" applyAlignment="1">
      <alignment horizontal="center" vertical="center" wrapText="1"/>
    </xf>
    <xf numFmtId="0" fontId="44" fillId="0" borderId="0" xfId="0" applyFont="1" applyFill="1" applyAlignment="1">
      <alignment wrapText="1"/>
    </xf>
    <xf numFmtId="0" fontId="44" fillId="0" borderId="0" xfId="0" applyFont="1" applyAlignment="1">
      <alignment wrapText="1"/>
    </xf>
    <xf numFmtId="0" fontId="44" fillId="0" borderId="0" xfId="0" applyFont="1" applyFill="1" applyBorder="1" applyAlignment="1">
      <alignment horizontal="center" vertical="center" wrapText="1"/>
    </xf>
    <xf numFmtId="3" fontId="57" fillId="0" borderId="0" xfId="49" applyNumberFormat="1" applyFont="1" applyFill="1" applyBorder="1" applyAlignment="1">
      <alignment horizontal="center" vertical="center" wrapText="1"/>
    </xf>
    <xf numFmtId="0" fontId="44" fillId="30" borderId="0" xfId="0" applyFont="1" applyFill="1" applyBorder="1" applyAlignment="1">
      <alignment horizontal="center" vertical="center" wrapText="1"/>
    </xf>
    <xf numFmtId="0" fontId="44" fillId="38" borderId="0" xfId="0" applyFont="1" applyFill="1" applyAlignment="1">
      <alignment horizontal="center" vertical="center" wrapText="1"/>
    </xf>
    <xf numFmtId="0" fontId="45" fillId="0" borderId="0" xfId="0" applyFont="1" applyBorder="1" applyAlignment="1">
      <alignment horizontal="center" vertical="center" wrapText="1"/>
    </xf>
    <xf numFmtId="0" fontId="56" fillId="0" borderId="0" xfId="0" applyFont="1" applyAlignment="1">
      <alignment wrapText="1"/>
    </xf>
    <xf numFmtId="49" fontId="36" fillId="29" borderId="0" xfId="49" applyNumberFormat="1" applyFont="1" applyFill="1" applyBorder="1" applyAlignment="1">
      <alignment horizontal="center" vertical="center" wrapText="1"/>
    </xf>
    <xf numFmtId="0" fontId="79" fillId="38" borderId="0" xfId="0" applyFont="1" applyFill="1" applyAlignment="1">
      <alignment horizontal="center" vertical="center" wrapText="1"/>
    </xf>
    <xf numFmtId="0" fontId="44" fillId="0" borderId="0" xfId="0" applyFont="1" applyBorder="1" applyAlignment="1">
      <alignment wrapText="1"/>
    </xf>
    <xf numFmtId="0" fontId="44" fillId="30" borderId="0" xfId="0" applyFont="1" applyFill="1" applyAlignment="1">
      <alignment horizontal="center" vertical="center" wrapText="1"/>
    </xf>
    <xf numFmtId="0" fontId="44" fillId="0" borderId="0" xfId="0" applyFont="1" applyFill="1" applyAlignment="1">
      <alignment horizontal="center" vertical="center" wrapText="1"/>
    </xf>
    <xf numFmtId="0" fontId="44" fillId="0" borderId="0" xfId="0" applyFont="1" applyFill="1" applyBorder="1" applyAlignment="1">
      <alignment wrapText="1"/>
    </xf>
    <xf numFmtId="0" fontId="56" fillId="0" borderId="0" xfId="0" applyFont="1" applyFill="1" applyAlignment="1">
      <alignment horizontal="center" vertical="center" wrapText="1"/>
    </xf>
    <xf numFmtId="3" fontId="45" fillId="30" borderId="0" xfId="49" applyNumberFormat="1" applyFont="1" applyFill="1" applyBorder="1" applyAlignment="1">
      <alignment horizontal="center" vertical="center" wrapText="1"/>
    </xf>
    <xf numFmtId="49" fontId="36" fillId="26" borderId="0" xfId="49" applyNumberFormat="1" applyFont="1" applyFill="1" applyBorder="1" applyAlignment="1">
      <alignment horizontal="center" vertical="center" wrapText="1"/>
    </xf>
    <xf numFmtId="49" fontId="36" fillId="33" borderId="0" xfId="49" applyNumberFormat="1" applyFont="1" applyFill="1" applyBorder="1" applyAlignment="1">
      <alignment horizontal="center" vertical="center" wrapText="1"/>
    </xf>
    <xf numFmtId="0" fontId="62" fillId="0" borderId="0" xfId="0" applyFont="1" applyFill="1" applyAlignment="1">
      <alignment horizontal="center" vertical="center" wrapText="1"/>
    </xf>
    <xf numFmtId="0" fontId="74" fillId="0" borderId="0" xfId="0" applyFont="1" applyAlignment="1">
      <alignment horizontal="center" wrapText="1"/>
    </xf>
    <xf numFmtId="0" fontId="74" fillId="0" borderId="0" xfId="0" applyFont="1" applyAlignment="1">
      <alignment horizontal="center" vertical="center" wrapText="1"/>
    </xf>
    <xf numFmtId="0" fontId="85" fillId="0" borderId="0" xfId="0" applyFont="1" applyFill="1" applyBorder="1" applyAlignment="1" applyProtection="1"/>
    <xf numFmtId="0" fontId="85" fillId="0" borderId="0" xfId="0" applyFont="1" applyFill="1" applyBorder="1" applyAlignment="1" applyProtection="1">
      <alignment wrapText="1"/>
    </xf>
    <xf numFmtId="3" fontId="44" fillId="0" borderId="0" xfId="0" applyNumberFormat="1" applyFont="1" applyFill="1"/>
    <xf numFmtId="0" fontId="88" fillId="26" borderId="55" xfId="0" applyFont="1" applyFill="1" applyBorder="1" applyAlignment="1">
      <alignment vertical="center" wrapText="1"/>
    </xf>
    <xf numFmtId="0" fontId="88" fillId="26" borderId="56" xfId="0" applyFont="1" applyFill="1" applyBorder="1" applyAlignment="1">
      <alignment vertical="center" wrapText="1"/>
    </xf>
    <xf numFmtId="0" fontId="0" fillId="26" borderId="57" xfId="0" applyFill="1" applyBorder="1" applyAlignment="1">
      <alignment vertical="center" wrapText="1"/>
    </xf>
    <xf numFmtId="0" fontId="89" fillId="0" borderId="54" xfId="0" applyFont="1" applyBorder="1" applyAlignment="1">
      <alignment horizontal="center" vertical="center" wrapText="1"/>
    </xf>
    <xf numFmtId="0" fontId="89" fillId="0" borderId="57" xfId="0" applyFont="1" applyBorder="1" applyAlignment="1">
      <alignment horizontal="center" vertical="center" wrapText="1"/>
    </xf>
    <xf numFmtId="0" fontId="88" fillId="0" borderId="54" xfId="0" applyFont="1" applyBorder="1" applyAlignment="1">
      <alignment horizontal="justify" vertical="center" wrapText="1"/>
    </xf>
    <xf numFmtId="49" fontId="88" fillId="0" borderId="57" xfId="0" applyNumberFormat="1" applyFont="1" applyBorder="1" applyAlignment="1">
      <alignment horizontal="center" vertical="center" wrapText="1"/>
    </xf>
    <xf numFmtId="0" fontId="88" fillId="0" borderId="57" xfId="0" applyFont="1" applyBorder="1" applyAlignment="1">
      <alignment vertical="center" wrapText="1"/>
    </xf>
    <xf numFmtId="3" fontId="88" fillId="0" borderId="57" xfId="0" applyNumberFormat="1" applyFont="1" applyBorder="1" applyAlignment="1">
      <alignment vertical="center" wrapText="1"/>
    </xf>
    <xf numFmtId="0" fontId="88" fillId="39" borderId="52" xfId="0" applyFont="1" applyFill="1" applyBorder="1" applyAlignment="1">
      <alignment horizontal="center" vertical="center" wrapText="1"/>
    </xf>
    <xf numFmtId="0" fontId="88" fillId="39" borderId="53" xfId="0" applyFont="1" applyFill="1" applyBorder="1" applyAlignment="1">
      <alignment vertical="center" wrapText="1"/>
    </xf>
    <xf numFmtId="0" fontId="88" fillId="39" borderId="54" xfId="0" applyFont="1" applyFill="1" applyBorder="1" applyAlignment="1">
      <alignment vertical="center" wrapText="1"/>
    </xf>
    <xf numFmtId="0" fontId="88" fillId="0" borderId="60" xfId="0" applyFont="1" applyBorder="1" applyAlignment="1">
      <alignment vertical="center" wrapText="1"/>
    </xf>
    <xf numFmtId="49" fontId="88" fillId="0" borderId="61" xfId="0" applyNumberFormat="1" applyFont="1" applyBorder="1" applyAlignment="1">
      <alignment horizontal="center" vertical="center" wrapText="1"/>
    </xf>
    <xf numFmtId="0" fontId="88" fillId="0" borderId="61" xfId="0" applyFont="1" applyBorder="1" applyAlignment="1">
      <alignment vertical="center" wrapText="1"/>
    </xf>
    <xf numFmtId="3" fontId="88" fillId="0" borderId="61" xfId="0" applyNumberFormat="1" applyFont="1" applyBorder="1" applyAlignment="1">
      <alignment vertical="center" wrapText="1"/>
    </xf>
    <xf numFmtId="0" fontId="88" fillId="0" borderId="0" xfId="0" applyFont="1" applyBorder="1" applyAlignment="1">
      <alignment vertical="center" wrapText="1"/>
    </xf>
    <xf numFmtId="49" fontId="88" fillId="0" borderId="0" xfId="0" applyNumberFormat="1" applyFont="1" applyBorder="1" applyAlignment="1">
      <alignment horizontal="center" vertical="center" wrapText="1"/>
    </xf>
    <xf numFmtId="3" fontId="88" fillId="0" borderId="0" xfId="0" applyNumberFormat="1" applyFont="1" applyBorder="1" applyAlignment="1">
      <alignment vertical="center" wrapText="1"/>
    </xf>
    <xf numFmtId="0" fontId="85" fillId="0" borderId="0" xfId="0" applyFont="1" applyBorder="1" applyAlignment="1">
      <alignment horizontal="right" wrapText="1"/>
    </xf>
    <xf numFmtId="0" fontId="89" fillId="0" borderId="12" xfId="0" applyFont="1" applyBorder="1" applyAlignment="1">
      <alignment horizontal="center" vertical="center" wrapText="1"/>
    </xf>
    <xf numFmtId="49" fontId="89" fillId="0" borderId="12" xfId="0" applyNumberFormat="1" applyFont="1" applyBorder="1" applyAlignment="1">
      <alignment horizontal="center" vertical="center" wrapText="1"/>
    </xf>
    <xf numFmtId="0" fontId="88" fillId="0" borderId="67" xfId="0" applyFont="1" applyBorder="1" applyAlignment="1">
      <alignment horizontal="center" vertical="center" wrapText="1"/>
    </xf>
    <xf numFmtId="49" fontId="88" fillId="0" borderId="69" xfId="0" applyNumberFormat="1" applyFont="1" applyBorder="1" applyAlignment="1">
      <alignment horizontal="center" vertical="center" wrapText="1"/>
    </xf>
    <xf numFmtId="0" fontId="88" fillId="0" borderId="22" xfId="0" applyFont="1" applyBorder="1" applyAlignment="1">
      <alignment horizontal="center" vertical="center" wrapText="1"/>
    </xf>
    <xf numFmtId="9" fontId="88" fillId="0" borderId="67" xfId="0" applyNumberFormat="1" applyFont="1" applyBorder="1" applyAlignment="1">
      <alignment horizontal="center" vertical="center" wrapText="1"/>
    </xf>
    <xf numFmtId="9" fontId="88" fillId="0" borderId="62" xfId="0" applyNumberFormat="1" applyFont="1" applyBorder="1" applyAlignment="1">
      <alignment horizontal="center" vertical="center" wrapText="1"/>
    </xf>
    <xf numFmtId="3" fontId="88" fillId="0" borderId="62" xfId="0" applyNumberFormat="1" applyFont="1" applyBorder="1" applyAlignment="1">
      <alignment horizontal="center" vertical="center" wrapText="1"/>
    </xf>
    <xf numFmtId="0" fontId="88" fillId="0" borderId="62" xfId="0" applyFont="1" applyBorder="1" applyAlignment="1">
      <alignment vertical="center" wrapText="1"/>
    </xf>
    <xf numFmtId="0" fontId="88" fillId="0" borderId="69" xfId="0" applyFont="1" applyBorder="1" applyAlignment="1">
      <alignment horizontal="center" vertical="center" wrapText="1"/>
    </xf>
    <xf numFmtId="0" fontId="88" fillId="0" borderId="75" xfId="0" applyFont="1" applyBorder="1" applyAlignment="1">
      <alignment vertical="center" wrapText="1"/>
    </xf>
    <xf numFmtId="3" fontId="88" fillId="0" borderId="75" xfId="0" applyNumberFormat="1" applyFont="1" applyBorder="1" applyAlignment="1">
      <alignment vertical="center" wrapText="1"/>
    </xf>
    <xf numFmtId="0" fontId="88" fillId="0" borderId="53" xfId="0" applyFont="1" applyBorder="1" applyAlignment="1">
      <alignment vertical="center" wrapText="1"/>
    </xf>
    <xf numFmtId="3" fontId="88" fillId="0" borderId="53" xfId="0" applyNumberFormat="1" applyFont="1" applyBorder="1" applyAlignment="1">
      <alignment vertical="center" wrapText="1"/>
    </xf>
    <xf numFmtId="49" fontId="88" fillId="0" borderId="51" xfId="0" applyNumberFormat="1" applyFont="1" applyBorder="1" applyAlignment="1">
      <alignment vertical="center" wrapText="1"/>
    </xf>
    <xf numFmtId="0" fontId="88" fillId="0" borderId="75" xfId="0" applyFont="1" applyBorder="1" applyAlignment="1">
      <alignment horizontal="center" vertical="center" wrapText="1"/>
    </xf>
    <xf numFmtId="9" fontId="88" fillId="0" borderId="77" xfId="0" applyNumberFormat="1" applyFont="1" applyBorder="1" applyAlignment="1">
      <alignment vertical="center" wrapText="1"/>
    </xf>
    <xf numFmtId="9" fontId="88" fillId="0" borderId="78" xfId="0" applyNumberFormat="1" applyFont="1" applyBorder="1" applyAlignment="1">
      <alignment vertical="center" wrapText="1"/>
    </xf>
    <xf numFmtId="3" fontId="88" fillId="0" borderId="78" xfId="0" applyNumberFormat="1" applyFont="1" applyBorder="1" applyAlignment="1">
      <alignment vertical="center" wrapText="1"/>
    </xf>
    <xf numFmtId="0" fontId="88" fillId="0" borderId="78" xfId="0" applyFont="1" applyBorder="1" applyAlignment="1">
      <alignment vertical="center" wrapText="1"/>
    </xf>
    <xf numFmtId="0" fontId="88" fillId="0" borderId="76" xfId="0" applyFont="1" applyBorder="1" applyAlignment="1">
      <alignment vertical="center" wrapText="1"/>
    </xf>
    <xf numFmtId="49" fontId="88" fillId="0" borderId="75" xfId="0" applyNumberFormat="1" applyFont="1" applyBorder="1" applyAlignment="1">
      <alignment horizontal="center" vertical="center" wrapText="1"/>
    </xf>
    <xf numFmtId="0" fontId="90" fillId="0" borderId="75" xfId="0" applyFont="1" applyBorder="1" applyAlignment="1">
      <alignment horizontal="center" wrapText="1"/>
    </xf>
    <xf numFmtId="3" fontId="88" fillId="0" borderId="75" xfId="0" applyNumberFormat="1" applyFont="1" applyBorder="1" applyAlignment="1">
      <alignment horizontal="center" vertical="center" wrapText="1"/>
    </xf>
    <xf numFmtId="9" fontId="88" fillId="0" borderId="75" xfId="0" applyNumberFormat="1" applyFont="1" applyBorder="1" applyAlignment="1">
      <alignment horizontal="center" vertical="center" wrapText="1"/>
    </xf>
    <xf numFmtId="0" fontId="88" fillId="0" borderId="0" xfId="0" applyFont="1" applyBorder="1" applyAlignment="1">
      <alignment horizontal="center" vertical="center" wrapText="1"/>
    </xf>
    <xf numFmtId="0" fontId="91" fillId="0" borderId="0" xfId="0" applyFont="1" applyBorder="1" applyAlignment="1">
      <alignment vertical="center" wrapText="1"/>
    </xf>
    <xf numFmtId="0" fontId="88" fillId="39" borderId="67" xfId="0" applyFont="1" applyFill="1" applyBorder="1" applyAlignment="1">
      <alignment vertical="center" wrapText="1"/>
    </xf>
    <xf numFmtId="0" fontId="88" fillId="39" borderId="70" xfId="0" applyFont="1" applyFill="1" applyBorder="1" applyAlignment="1">
      <alignment vertical="center" wrapText="1"/>
    </xf>
    <xf numFmtId="0" fontId="88" fillId="39" borderId="72" xfId="0" applyFont="1" applyFill="1" applyBorder="1" applyAlignment="1">
      <alignment vertical="center" wrapText="1"/>
    </xf>
    <xf numFmtId="0" fontId="88" fillId="0" borderId="54" xfId="0" applyFont="1" applyBorder="1" applyAlignment="1">
      <alignment vertical="center" wrapText="1"/>
    </xf>
    <xf numFmtId="0" fontId="92" fillId="0" borderId="0" xfId="0" applyFont="1" applyBorder="1" applyAlignment="1">
      <alignment horizontal="right" vertical="center" wrapText="1"/>
    </xf>
    <xf numFmtId="0" fontId="88" fillId="39" borderId="56" xfId="0" applyFont="1" applyFill="1" applyBorder="1" applyAlignment="1">
      <alignment vertical="center" wrapText="1"/>
    </xf>
    <xf numFmtId="0" fontId="88" fillId="39" borderId="57" xfId="0" applyFont="1" applyFill="1" applyBorder="1" applyAlignment="1">
      <alignment vertical="center" wrapText="1"/>
    </xf>
    <xf numFmtId="0" fontId="88" fillId="0" borderId="56" xfId="0" applyFont="1" applyBorder="1" applyAlignment="1">
      <alignment vertical="center" wrapText="1"/>
    </xf>
    <xf numFmtId="1" fontId="88" fillId="0" borderId="75" xfId="0" applyNumberFormat="1" applyFont="1" applyBorder="1" applyAlignment="1">
      <alignment vertical="center" wrapText="1"/>
    </xf>
    <xf numFmtId="9" fontId="88" fillId="0" borderId="75" xfId="0" applyNumberFormat="1" applyFont="1" applyBorder="1" applyAlignment="1">
      <alignment vertical="center" wrapText="1"/>
    </xf>
    <xf numFmtId="49" fontId="88" fillId="0" borderId="53" xfId="0" applyNumberFormat="1" applyFont="1" applyBorder="1" applyAlignment="1">
      <alignment horizontal="center" vertical="center" wrapText="1"/>
    </xf>
    <xf numFmtId="9" fontId="88" fillId="0" borderId="53" xfId="0" applyNumberFormat="1" applyFont="1" applyBorder="1" applyAlignment="1">
      <alignment vertical="center" wrapText="1"/>
    </xf>
    <xf numFmtId="0" fontId="88" fillId="0" borderId="77" xfId="0" applyFont="1" applyBorder="1" applyAlignment="1">
      <alignment horizontal="center" vertical="center" wrapText="1"/>
    </xf>
    <xf numFmtId="49" fontId="88" fillId="0" borderId="74" xfId="0" applyNumberFormat="1" applyFont="1" applyBorder="1" applyAlignment="1">
      <alignment horizontal="center" vertical="center" wrapText="1"/>
    </xf>
    <xf numFmtId="0" fontId="88" fillId="0" borderId="74" xfId="0" applyFont="1" applyBorder="1" applyAlignment="1">
      <alignment vertical="center" wrapText="1"/>
    </xf>
    <xf numFmtId="3" fontId="88" fillId="0" borderId="74" xfId="0" applyNumberFormat="1" applyFont="1" applyBorder="1" applyAlignment="1">
      <alignment vertical="center" wrapText="1"/>
    </xf>
    <xf numFmtId="0" fontId="88" fillId="0" borderId="51" xfId="0" applyFont="1" applyBorder="1" applyAlignment="1">
      <alignment vertical="center" wrapText="1"/>
    </xf>
    <xf numFmtId="0" fontId="88" fillId="0" borderId="12" xfId="0" applyFont="1" applyBorder="1" applyAlignment="1">
      <alignment vertical="center" wrapText="1"/>
    </xf>
    <xf numFmtId="49" fontId="88" fillId="0" borderId="12" xfId="0" applyNumberFormat="1" applyFont="1" applyBorder="1" applyAlignment="1">
      <alignment horizontal="center" vertical="center" wrapText="1"/>
    </xf>
    <xf numFmtId="3" fontId="88" fillId="0" borderId="12" xfId="0" applyNumberFormat="1" applyFont="1" applyBorder="1" applyAlignment="1">
      <alignment vertical="center" wrapText="1"/>
    </xf>
    <xf numFmtId="0" fontId="88" fillId="39" borderId="65" xfId="0" applyFont="1" applyFill="1" applyBorder="1" applyAlignment="1">
      <alignment vertical="center" wrapText="1"/>
    </xf>
    <xf numFmtId="49" fontId="88" fillId="39" borderId="66" xfId="0" applyNumberFormat="1" applyFont="1" applyFill="1" applyBorder="1" applyAlignment="1">
      <alignment horizontal="center" vertical="center" wrapText="1"/>
    </xf>
    <xf numFmtId="0" fontId="88" fillId="39" borderId="66" xfId="0" applyFont="1" applyFill="1" applyBorder="1" applyAlignment="1">
      <alignment vertical="center" wrapText="1"/>
    </xf>
    <xf numFmtId="3" fontId="88" fillId="39" borderId="66" xfId="0" applyNumberFormat="1" applyFont="1" applyFill="1" applyBorder="1" applyAlignment="1">
      <alignment vertical="center" wrapText="1"/>
    </xf>
    <xf numFmtId="0" fontId="88" fillId="40" borderId="0" xfId="0" applyFont="1" applyFill="1" applyBorder="1" applyAlignment="1">
      <alignment vertical="center" wrapText="1"/>
    </xf>
    <xf numFmtId="49" fontId="88" fillId="40" borderId="0" xfId="0" applyNumberFormat="1" applyFont="1" applyFill="1" applyBorder="1" applyAlignment="1">
      <alignment horizontal="center" vertical="center" wrapText="1"/>
    </xf>
    <xf numFmtId="3" fontId="88" fillId="40" borderId="0" xfId="0" applyNumberFormat="1" applyFont="1" applyFill="1" applyBorder="1" applyAlignment="1">
      <alignment vertical="center" wrapText="1"/>
    </xf>
    <xf numFmtId="0" fontId="92" fillId="40" borderId="0" xfId="0" applyFont="1" applyFill="1" applyBorder="1" applyAlignment="1">
      <alignment horizontal="right" vertical="top" wrapText="1"/>
    </xf>
    <xf numFmtId="0" fontId="88" fillId="0" borderId="80" xfId="0" applyFont="1" applyBorder="1" applyAlignment="1">
      <alignment vertical="center" wrapText="1"/>
    </xf>
    <xf numFmtId="49" fontId="88" fillId="0" borderId="81" xfId="0" applyNumberFormat="1" applyFont="1" applyBorder="1" applyAlignment="1">
      <alignment horizontal="center" vertical="center" wrapText="1"/>
    </xf>
    <xf numFmtId="0" fontId="88" fillId="0" borderId="81" xfId="0" applyFont="1" applyBorder="1" applyAlignment="1">
      <alignment vertical="center" wrapText="1"/>
    </xf>
    <xf numFmtId="3" fontId="88" fillId="0" borderId="81" xfId="0" applyNumberFormat="1" applyFont="1" applyBorder="1" applyAlignment="1">
      <alignment vertical="center" wrapText="1"/>
    </xf>
    <xf numFmtId="0" fontId="88" fillId="0" borderId="64" xfId="0" applyFont="1" applyBorder="1" applyAlignment="1">
      <alignment vertical="center" wrapText="1"/>
    </xf>
    <xf numFmtId="49" fontId="88" fillId="0" borderId="64" xfId="0" applyNumberFormat="1" applyFont="1" applyBorder="1" applyAlignment="1">
      <alignment horizontal="center" vertical="center" wrapText="1"/>
    </xf>
    <xf numFmtId="3" fontId="88" fillId="0" borderId="64" xfId="0" applyNumberFormat="1" applyFont="1" applyBorder="1" applyAlignment="1">
      <alignment vertical="center" wrapText="1"/>
    </xf>
    <xf numFmtId="0" fontId="91" fillId="0" borderId="12" xfId="0" applyFont="1" applyBorder="1" applyAlignment="1">
      <alignment vertical="center" wrapText="1"/>
    </xf>
    <xf numFmtId="49" fontId="88" fillId="0" borderId="56" xfId="0" applyNumberFormat="1" applyFont="1" applyBorder="1" applyAlignment="1">
      <alignment horizontal="center" vertical="center" wrapText="1"/>
    </xf>
    <xf numFmtId="3" fontId="88" fillId="0" borderId="56" xfId="0" applyNumberFormat="1" applyFont="1" applyBorder="1" applyAlignment="1">
      <alignment vertical="center" wrapText="1"/>
    </xf>
    <xf numFmtId="0" fontId="88" fillId="40" borderId="64" xfId="0" applyFont="1" applyFill="1" applyBorder="1" applyAlignment="1">
      <alignment vertical="center" wrapText="1"/>
    </xf>
    <xf numFmtId="49" fontId="88" fillId="40" borderId="64" xfId="0" applyNumberFormat="1" applyFont="1" applyFill="1" applyBorder="1" applyAlignment="1">
      <alignment horizontal="center" vertical="center" wrapText="1"/>
    </xf>
    <xf numFmtId="3" fontId="88" fillId="40" borderId="64" xfId="0" applyNumberFormat="1" applyFont="1" applyFill="1" applyBorder="1" applyAlignment="1">
      <alignment vertical="center" wrapText="1"/>
    </xf>
    <xf numFmtId="0" fontId="88" fillId="40" borderId="12" xfId="0" applyFont="1" applyFill="1" applyBorder="1" applyAlignment="1">
      <alignment vertical="center" wrapText="1"/>
    </xf>
    <xf numFmtId="49" fontId="88" fillId="40" borderId="12" xfId="0" applyNumberFormat="1" applyFont="1" applyFill="1" applyBorder="1" applyAlignment="1">
      <alignment horizontal="center" vertical="center" wrapText="1"/>
    </xf>
    <xf numFmtId="3" fontId="88" fillId="40" borderId="12" xfId="0" applyNumberFormat="1" applyFont="1" applyFill="1" applyBorder="1" applyAlignment="1">
      <alignment vertical="center" wrapText="1"/>
    </xf>
    <xf numFmtId="0" fontId="92" fillId="40" borderId="12" xfId="0" applyFont="1" applyFill="1" applyBorder="1" applyAlignment="1">
      <alignment horizontal="right" vertical="center" wrapText="1"/>
    </xf>
    <xf numFmtId="49" fontId="88" fillId="39" borderId="57" xfId="0" applyNumberFormat="1" applyFont="1" applyFill="1" applyBorder="1" applyAlignment="1">
      <alignment horizontal="center" vertical="center" wrapText="1"/>
    </xf>
    <xf numFmtId="3" fontId="88" fillId="39" borderId="57" xfId="0" applyNumberFormat="1" applyFont="1" applyFill="1" applyBorder="1" applyAlignment="1">
      <alignment vertical="center" wrapText="1"/>
    </xf>
    <xf numFmtId="0" fontId="88" fillId="0" borderId="11" xfId="0" applyFont="1" applyBorder="1" applyAlignment="1">
      <alignment vertical="center" wrapText="1"/>
    </xf>
    <xf numFmtId="49" fontId="88" fillId="0" borderId="11" xfId="0" applyNumberFormat="1" applyFont="1" applyBorder="1" applyAlignment="1">
      <alignment horizontal="center" vertical="center" wrapText="1"/>
    </xf>
    <xf numFmtId="3" fontId="88" fillId="0" borderId="11" xfId="0" applyNumberFormat="1" applyFont="1" applyBorder="1" applyAlignment="1">
      <alignment vertical="center" wrapText="1"/>
    </xf>
    <xf numFmtId="0" fontId="88" fillId="40" borderId="0" xfId="0" applyFont="1" applyFill="1" applyBorder="1" applyAlignment="1">
      <alignment horizontal="center" vertical="center" wrapText="1"/>
    </xf>
    <xf numFmtId="0" fontId="92" fillId="40" borderId="0" xfId="0" applyFont="1" applyFill="1" applyBorder="1" applyAlignment="1">
      <alignment horizontal="right" vertical="center" wrapText="1"/>
    </xf>
    <xf numFmtId="0" fontId="90" fillId="0" borderId="11" xfId="0" applyFont="1" applyBorder="1" applyAlignment="1">
      <alignment wrapText="1"/>
    </xf>
    <xf numFmtId="49" fontId="90" fillId="0" borderId="11" xfId="0" applyNumberFormat="1" applyFont="1" applyBorder="1"/>
    <xf numFmtId="9" fontId="90" fillId="0" borderId="11" xfId="0" applyNumberFormat="1" applyFont="1" applyBorder="1"/>
    <xf numFmtId="3" fontId="0" fillId="0" borderId="11" xfId="0" applyNumberFormat="1" applyBorder="1"/>
    <xf numFmtId="0" fontId="0" fillId="0" borderId="11" xfId="0" applyBorder="1"/>
    <xf numFmtId="0" fontId="90" fillId="0" borderId="11" xfId="0" applyFont="1" applyBorder="1"/>
    <xf numFmtId="49" fontId="90" fillId="0" borderId="11" xfId="0" applyNumberFormat="1" applyFont="1" applyBorder="1" applyAlignment="1">
      <alignment wrapText="1"/>
    </xf>
    <xf numFmtId="9" fontId="90" fillId="0" borderId="11" xfId="0" applyNumberFormat="1" applyFont="1" applyBorder="1" applyAlignment="1">
      <alignment wrapText="1"/>
    </xf>
    <xf numFmtId="3" fontId="90" fillId="0" borderId="11" xfId="0" applyNumberFormat="1" applyFont="1" applyBorder="1" applyAlignment="1">
      <alignment wrapText="1"/>
    </xf>
    <xf numFmtId="49" fontId="90" fillId="0" borderId="11" xfId="0" applyNumberFormat="1" applyFont="1" applyBorder="1" applyAlignment="1">
      <alignment horizontal="right" wrapText="1"/>
    </xf>
    <xf numFmtId="0" fontId="93" fillId="0" borderId="0" xfId="0" applyFont="1" applyProtection="1"/>
    <xf numFmtId="0" fontId="93" fillId="0" borderId="0" xfId="0" applyFont="1" applyAlignment="1" applyProtection="1">
      <alignment vertical="top"/>
    </xf>
    <xf numFmtId="0" fontId="95" fillId="0" borderId="0" xfId="0" applyFont="1" applyProtection="1"/>
    <xf numFmtId="0" fontId="95" fillId="0" borderId="0" xfId="0" applyFont="1" applyAlignment="1" applyProtection="1"/>
    <xf numFmtId="49" fontId="94" fillId="41" borderId="11" xfId="0" applyNumberFormat="1" applyFont="1" applyFill="1" applyBorder="1" applyAlignment="1" applyProtection="1">
      <alignment horizontal="center" vertical="center" wrapText="1"/>
    </xf>
    <xf numFmtId="0" fontId="96" fillId="39" borderId="11" xfId="0" applyFont="1" applyFill="1" applyBorder="1" applyAlignment="1" applyProtection="1">
      <alignment horizontal="center" vertical="top"/>
    </xf>
    <xf numFmtId="49" fontId="94" fillId="39" borderId="11" xfId="0" applyNumberFormat="1" applyFont="1" applyFill="1" applyBorder="1" applyAlignment="1" applyProtection="1">
      <alignment horizontal="center" vertical="top" wrapText="1"/>
    </xf>
    <xf numFmtId="49" fontId="94" fillId="42" borderId="11" xfId="0" applyNumberFormat="1" applyFont="1" applyFill="1" applyBorder="1" applyAlignment="1" applyProtection="1">
      <alignment horizontal="center" vertical="top" wrapText="1"/>
    </xf>
    <xf numFmtId="0" fontId="95" fillId="0" borderId="11" xfId="0" applyFont="1" applyBorder="1" applyAlignment="1" applyProtection="1">
      <alignment horizontal="center" vertical="top"/>
    </xf>
    <xf numFmtId="49" fontId="94" fillId="0" borderId="11" xfId="0" applyNumberFormat="1" applyFont="1" applyFill="1" applyBorder="1" applyAlignment="1" applyProtection="1">
      <alignment horizontal="center" vertical="top" wrapText="1"/>
    </xf>
    <xf numFmtId="49" fontId="94" fillId="40" borderId="11" xfId="0" applyNumberFormat="1" applyFont="1" applyFill="1" applyBorder="1" applyAlignment="1" applyProtection="1">
      <alignment horizontal="center" vertical="top" wrapText="1"/>
    </xf>
    <xf numFmtId="0" fontId="95" fillId="0" borderId="11" xfId="0" applyFont="1" applyBorder="1" applyProtection="1"/>
    <xf numFmtId="0" fontId="99" fillId="40" borderId="11" xfId="0" applyFont="1" applyFill="1" applyBorder="1" applyAlignment="1" applyProtection="1">
      <alignment horizontal="center" vertical="center"/>
    </xf>
    <xf numFmtId="0" fontId="90" fillId="0" borderId="11" xfId="0" applyFont="1" applyFill="1" applyBorder="1" applyAlignment="1" applyProtection="1">
      <alignment horizontal="left" vertical="top" wrapText="1"/>
      <protection locked="0"/>
    </xf>
    <xf numFmtId="0" fontId="90" fillId="0" borderId="11" xfId="0" applyFont="1" applyBorder="1" applyAlignment="1">
      <alignment horizontal="center" vertical="top" wrapText="1"/>
    </xf>
    <xf numFmtId="0" fontId="100" fillId="40" borderId="11" xfId="0" applyFont="1" applyFill="1" applyBorder="1" applyAlignment="1" applyProtection="1">
      <alignment horizontal="center" vertical="center"/>
    </xf>
    <xf numFmtId="0" fontId="99" fillId="40" borderId="11" xfId="0" applyNumberFormat="1" applyFont="1" applyFill="1" applyBorder="1" applyAlignment="1" applyProtection="1">
      <alignment horizontal="center" vertical="center"/>
      <protection locked="0"/>
    </xf>
    <xf numFmtId="0" fontId="100" fillId="40" borderId="11" xfId="0" applyFont="1" applyFill="1" applyBorder="1" applyAlignment="1" applyProtection="1">
      <alignment horizontal="left" vertical="top" wrapText="1"/>
    </xf>
    <xf numFmtId="3" fontId="100" fillId="40" borderId="11" xfId="0" applyNumberFormat="1" applyFont="1" applyFill="1" applyBorder="1" applyAlignment="1" applyProtection="1">
      <alignment horizontal="right" vertical="center"/>
      <protection locked="0"/>
    </xf>
    <xf numFmtId="3" fontId="90" fillId="43" borderId="11" xfId="0" applyNumberFormat="1" applyFont="1" applyFill="1" applyBorder="1" applyAlignment="1" applyProtection="1">
      <alignment horizontal="right" vertical="center"/>
      <protection locked="0"/>
    </xf>
    <xf numFmtId="3" fontId="90" fillId="43" borderId="11" xfId="0" applyNumberFormat="1" applyFont="1" applyFill="1" applyBorder="1" applyAlignment="1">
      <alignment horizontal="right" vertical="center"/>
    </xf>
    <xf numFmtId="3" fontId="90" fillId="40" borderId="11" xfId="0" applyNumberFormat="1" applyFont="1" applyFill="1" applyBorder="1" applyAlignment="1" applyProtection="1">
      <alignment horizontal="right" vertical="center"/>
      <protection locked="0"/>
    </xf>
    <xf numFmtId="0" fontId="95" fillId="0" borderId="0" xfId="0" applyFont="1" applyFill="1" applyProtection="1"/>
    <xf numFmtId="0" fontId="90" fillId="0" borderId="11" xfId="0" applyFont="1" applyBorder="1" applyAlignment="1">
      <alignment horizontal="left" vertical="top" wrapText="1"/>
    </xf>
    <xf numFmtId="3" fontId="100" fillId="40" borderId="11" xfId="0" applyNumberFormat="1" applyFont="1" applyFill="1" applyBorder="1" applyProtection="1"/>
    <xf numFmtId="3" fontId="95" fillId="40" borderId="11" xfId="0" applyNumberFormat="1" applyFont="1" applyFill="1" applyBorder="1" applyProtection="1"/>
    <xf numFmtId="0" fontId="90" fillId="44" borderId="11" xfId="0" applyFont="1" applyFill="1" applyBorder="1" applyAlignment="1">
      <alignment horizontal="left" vertical="top" wrapText="1"/>
    </xf>
    <xf numFmtId="0" fontId="90" fillId="44" borderId="11" xfId="0" applyFont="1" applyFill="1" applyBorder="1" applyAlignment="1">
      <alignment horizontal="center" vertical="top" wrapText="1"/>
    </xf>
    <xf numFmtId="3" fontId="100" fillId="43" borderId="11" xfId="0" applyNumberFormat="1" applyFont="1" applyFill="1" applyBorder="1" applyAlignment="1" applyProtection="1">
      <alignment horizontal="right" vertical="center"/>
      <protection locked="0"/>
    </xf>
    <xf numFmtId="0" fontId="100" fillId="0" borderId="11" xfId="0" applyFont="1" applyBorder="1" applyProtection="1"/>
    <xf numFmtId="0" fontId="95" fillId="43" borderId="11" xfId="0" applyFont="1" applyFill="1" applyBorder="1" applyProtection="1"/>
    <xf numFmtId="0" fontId="95" fillId="40" borderId="0" xfId="0" applyFont="1" applyFill="1" applyProtection="1"/>
    <xf numFmtId="3" fontId="95" fillId="43" borderId="11" xfId="0" applyNumberFormat="1" applyFont="1" applyFill="1" applyBorder="1" applyProtection="1"/>
    <xf numFmtId="0" fontId="100" fillId="0" borderId="11" xfId="0" applyFont="1" applyBorder="1" applyAlignment="1">
      <alignment horizontal="left" vertical="top" wrapText="1"/>
    </xf>
    <xf numFmtId="0" fontId="95" fillId="0" borderId="11" xfId="0" applyFont="1" applyBorder="1" applyAlignment="1" applyProtection="1">
      <alignment horizontal="center"/>
    </xf>
    <xf numFmtId="0" fontId="100" fillId="44" borderId="11" xfId="0" applyFont="1" applyFill="1" applyBorder="1" applyAlignment="1">
      <alignment horizontal="left" vertical="top" wrapText="1"/>
    </xf>
    <xf numFmtId="0" fontId="95" fillId="40" borderId="11" xfId="0" applyFont="1" applyFill="1" applyBorder="1" applyAlignment="1" applyProtection="1">
      <alignment horizontal="center" vertical="top"/>
    </xf>
    <xf numFmtId="0" fontId="95" fillId="40" borderId="11" xfId="0" applyFont="1" applyFill="1" applyBorder="1" applyAlignment="1" applyProtection="1">
      <alignment horizontal="center"/>
    </xf>
    <xf numFmtId="0" fontId="95" fillId="0" borderId="11" xfId="0" applyFont="1" applyBorder="1" applyAlignment="1" applyProtection="1">
      <alignment wrapText="1"/>
    </xf>
    <xf numFmtId="0" fontId="95" fillId="40" borderId="11" xfId="0" applyFont="1" applyFill="1" applyBorder="1" applyProtection="1"/>
    <xf numFmtId="0" fontId="95" fillId="0" borderId="0" xfId="0" applyFont="1" applyAlignment="1" applyProtection="1">
      <alignment vertical="top"/>
    </xf>
    <xf numFmtId="0" fontId="95" fillId="0" borderId="0" xfId="0" applyFont="1" applyAlignment="1" applyProtection="1">
      <alignment horizontal="center"/>
    </xf>
    <xf numFmtId="0" fontId="95" fillId="0" borderId="11" xfId="0" applyFont="1" applyBorder="1" applyAlignment="1" applyProtection="1">
      <alignment vertical="top" wrapText="1"/>
    </xf>
    <xf numFmtId="3" fontId="96" fillId="41" borderId="11" xfId="0" applyNumberFormat="1" applyFont="1" applyFill="1" applyBorder="1" applyAlignment="1" applyProtection="1">
      <alignment horizontal="right" vertical="center"/>
    </xf>
    <xf numFmtId="0" fontId="97" fillId="0" borderId="11" xfId="0" applyFont="1" applyBorder="1" applyProtection="1"/>
    <xf numFmtId="0" fontId="98" fillId="0" borderId="11" xfId="0" applyFont="1" applyBorder="1" applyProtection="1"/>
    <xf numFmtId="0" fontId="96" fillId="0" borderId="11" xfId="0" applyFont="1" applyBorder="1" applyProtection="1"/>
    <xf numFmtId="3" fontId="100" fillId="43" borderId="11" xfId="0" applyNumberFormat="1" applyFont="1" applyFill="1" applyBorder="1" applyAlignment="1">
      <alignment horizontal="right" vertical="center"/>
    </xf>
    <xf numFmtId="3" fontId="90" fillId="43" borderId="11" xfId="0" applyNumberFormat="1" applyFont="1" applyFill="1" applyBorder="1"/>
    <xf numFmtId="0" fontId="44" fillId="0" borderId="0" xfId="0" applyFont="1" applyAlignment="1"/>
    <xf numFmtId="0" fontId="74" fillId="0" borderId="0" xfId="0" applyFont="1" applyAlignment="1">
      <alignment horizontal="left" wrapText="1"/>
    </xf>
    <xf numFmtId="0" fontId="75" fillId="0" borderId="0" xfId="0" applyFont="1" applyAlignment="1">
      <alignment horizontal="left" vertical="top" wrapText="1"/>
    </xf>
    <xf numFmtId="3" fontId="88" fillId="0" borderId="53" xfId="0" applyNumberFormat="1" applyFont="1" applyBorder="1" applyAlignment="1">
      <alignment vertical="center" wrapText="1"/>
    </xf>
    <xf numFmtId="0" fontId="0" fillId="0" borderId="0" xfId="0" applyBorder="1" applyAlignment="1">
      <alignment vertical="justify"/>
    </xf>
    <xf numFmtId="0" fontId="44" fillId="0" borderId="0" xfId="0" applyFont="1" applyBorder="1" applyAlignment="1"/>
    <xf numFmtId="0" fontId="44" fillId="0" borderId="0" xfId="0" applyFont="1" applyBorder="1" applyAlignment="1">
      <alignment vertical="justify"/>
    </xf>
    <xf numFmtId="0" fontId="44" fillId="0" borderId="0" xfId="0" applyFont="1" applyBorder="1" applyAlignment="1">
      <alignment vertical="center"/>
    </xf>
    <xf numFmtId="0" fontId="74" fillId="0" borderId="0" xfId="0" applyFont="1" applyAlignment="1">
      <alignment horizontal="left"/>
    </xf>
    <xf numFmtId="0" fontId="74" fillId="0" borderId="0" xfId="0" applyFont="1" applyAlignment="1">
      <alignment wrapText="1"/>
    </xf>
    <xf numFmtId="0" fontId="72" fillId="0" borderId="0" xfId="0" applyFont="1"/>
    <xf numFmtId="0" fontId="103" fillId="0" borderId="0" xfId="0" applyFont="1" applyAlignment="1">
      <alignment horizontal="left" vertical="top" wrapText="1"/>
    </xf>
    <xf numFmtId="3" fontId="104" fillId="0" borderId="11" xfId="0" applyNumberFormat="1" applyFont="1" applyBorder="1"/>
    <xf numFmtId="3" fontId="0" fillId="0" borderId="0" xfId="0" applyNumberFormat="1"/>
    <xf numFmtId="0" fontId="75" fillId="0" borderId="0" xfId="0" applyFont="1" applyAlignment="1">
      <alignment horizontal="left" vertical="top" wrapText="1"/>
    </xf>
    <xf numFmtId="0" fontId="102" fillId="0" borderId="0" xfId="0" applyFont="1" applyAlignment="1">
      <alignment horizontal="center" vertical="center" wrapText="1"/>
    </xf>
    <xf numFmtId="0" fontId="75" fillId="0" borderId="0" xfId="0" applyFont="1" applyAlignment="1">
      <alignment horizontal="center" vertical="center" wrapText="1"/>
    </xf>
    <xf numFmtId="3" fontId="1" fillId="31" borderId="10" xfId="1" applyNumberFormat="1" applyFont="1" applyFill="1" applyBorder="1" applyAlignment="1">
      <alignment vertical="center" wrapText="1"/>
    </xf>
    <xf numFmtId="3" fontId="2" fillId="0" borderId="45" xfId="1" applyNumberFormat="1" applyFont="1" applyFill="1" applyBorder="1" applyAlignment="1">
      <alignment horizontal="left" vertical="center" wrapText="1"/>
    </xf>
    <xf numFmtId="3" fontId="2" fillId="0" borderId="46" xfId="1" applyNumberFormat="1" applyFont="1" applyFill="1" applyBorder="1" applyAlignment="1">
      <alignment horizontal="left" vertical="center" wrapText="1"/>
    </xf>
    <xf numFmtId="3" fontId="2" fillId="0" borderId="47" xfId="1" applyNumberFormat="1" applyFont="1" applyFill="1" applyBorder="1" applyAlignment="1">
      <alignment horizontal="left" vertical="center" wrapText="1"/>
    </xf>
    <xf numFmtId="3" fontId="2" fillId="0" borderId="45" xfId="1" applyNumberFormat="1" applyFont="1" applyFill="1" applyBorder="1" applyAlignment="1">
      <alignment vertical="center" wrapText="1"/>
    </xf>
    <xf numFmtId="3" fontId="2" fillId="0" borderId="46" xfId="1" applyNumberFormat="1" applyFont="1" applyFill="1" applyBorder="1" applyAlignment="1">
      <alignment vertical="center" wrapText="1"/>
    </xf>
    <xf numFmtId="3" fontId="2" fillId="0" borderId="47"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1" fillId="31" borderId="10" xfId="1" applyFont="1" applyFill="1" applyBorder="1" applyAlignment="1">
      <alignment horizontal="left" vertical="center" wrapText="1"/>
    </xf>
    <xf numFmtId="3" fontId="2" fillId="0" borderId="10"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5" xfId="1" applyNumberFormat="1" applyFont="1" applyFill="1" applyBorder="1" applyAlignment="1">
      <alignment horizontal="left" vertical="center" wrapText="1"/>
    </xf>
    <xf numFmtId="0" fontId="67" fillId="0" borderId="0" xfId="0" applyFont="1" applyAlignment="1">
      <alignment horizontal="center" vertical="center" wrapText="1"/>
    </xf>
    <xf numFmtId="0" fontId="75" fillId="0" borderId="0" xfId="0" applyFont="1" applyAlignment="1">
      <alignment horizontal="center" vertical="top" wrapText="1"/>
    </xf>
    <xf numFmtId="0" fontId="75" fillId="0" borderId="0" xfId="0" applyFont="1" applyBorder="1" applyAlignment="1">
      <alignment horizontal="left" vertical="center" wrapText="1"/>
    </xf>
    <xf numFmtId="0" fontId="74" fillId="0" borderId="0" xfId="0" applyFont="1" applyAlignment="1">
      <alignment horizontal="center" vertical="center" wrapText="1"/>
    </xf>
    <xf numFmtId="0" fontId="75" fillId="0" borderId="0" xfId="0" applyFont="1" applyBorder="1" applyAlignment="1">
      <alignment horizontal="center" vertical="center" wrapText="1"/>
    </xf>
    <xf numFmtId="0" fontId="75" fillId="0" borderId="0" xfId="0" applyFont="1" applyBorder="1" applyAlignment="1">
      <alignment vertical="top" wrapText="1"/>
    </xf>
    <xf numFmtId="0" fontId="74" fillId="0" borderId="0" xfId="0" applyFont="1" applyAlignment="1">
      <alignment wrapText="1"/>
    </xf>
    <xf numFmtId="0" fontId="0" fillId="0" borderId="0" xfId="0" applyAlignment="1">
      <alignment wrapText="1"/>
    </xf>
    <xf numFmtId="0" fontId="74" fillId="0" borderId="0" xfId="0" applyFont="1" applyAlignment="1">
      <alignment horizontal="center" wrapText="1"/>
    </xf>
    <xf numFmtId="0" fontId="74" fillId="0" borderId="0" xfId="0" applyFont="1" applyAlignment="1">
      <alignment horizontal="left" vertical="top" wrapText="1"/>
    </xf>
    <xf numFmtId="0" fontId="74" fillId="0" borderId="0" xfId="0" applyFont="1" applyAlignment="1">
      <alignment vertical="top" wrapText="1"/>
    </xf>
    <xf numFmtId="0" fontId="74" fillId="0" borderId="0" xfId="0" applyFont="1" applyAlignment="1">
      <alignment horizontal="left" vertical="center" wrapText="1"/>
    </xf>
    <xf numFmtId="0" fontId="74" fillId="0" borderId="0" xfId="0" applyFont="1" applyAlignment="1">
      <alignment horizontal="left" wrapText="1"/>
    </xf>
    <xf numFmtId="0" fontId="74" fillId="0" borderId="0" xfId="0" applyFont="1" applyAlignment="1">
      <alignment horizontal="left"/>
    </xf>
    <xf numFmtId="0" fontId="72" fillId="0" borderId="0" xfId="0" applyFont="1" applyAlignment="1">
      <alignment horizontal="left" vertical="top" wrapText="1"/>
    </xf>
    <xf numFmtId="0" fontId="72" fillId="0" borderId="0" xfId="0" applyFont="1" applyAlignment="1">
      <alignment horizontal="center" wrapText="1"/>
    </xf>
    <xf numFmtId="167" fontId="39" fillId="6" borderId="37" xfId="0" applyNumberFormat="1" applyFont="1" applyFill="1" applyBorder="1" applyAlignment="1">
      <alignment horizontal="center" vertical="center" wrapText="1" shrinkToFit="1"/>
    </xf>
    <xf numFmtId="167" fontId="39" fillId="6" borderId="49" xfId="0" applyNumberFormat="1" applyFont="1" applyFill="1" applyBorder="1" applyAlignment="1">
      <alignment horizontal="center" vertical="center" wrapText="1" shrinkToFit="1"/>
    </xf>
    <xf numFmtId="167" fontId="39" fillId="6" borderId="51" xfId="0" applyNumberFormat="1" applyFont="1" applyFill="1" applyBorder="1" applyAlignment="1">
      <alignment horizontal="center" vertical="center" wrapText="1" shrinkToFit="1"/>
    </xf>
    <xf numFmtId="167" fontId="39" fillId="6" borderId="22" xfId="0" applyNumberFormat="1" applyFont="1" applyFill="1" applyBorder="1" applyAlignment="1">
      <alignment horizontal="center" vertical="center" wrapText="1" shrinkToFit="1"/>
    </xf>
    <xf numFmtId="167" fontId="39" fillId="6" borderId="20" xfId="0" applyNumberFormat="1" applyFont="1" applyFill="1" applyBorder="1" applyAlignment="1">
      <alignment horizontal="center" vertical="center" wrapText="1" shrinkToFit="1"/>
    </xf>
    <xf numFmtId="49" fontId="39" fillId="6" borderId="17" xfId="0" applyNumberFormat="1" applyFont="1" applyFill="1" applyBorder="1" applyAlignment="1">
      <alignment horizontal="center" vertical="center" wrapText="1"/>
    </xf>
    <xf numFmtId="49" fontId="39" fillId="6" borderId="18" xfId="0" applyNumberFormat="1" applyFont="1" applyFill="1" applyBorder="1" applyAlignment="1">
      <alignment horizontal="center" vertical="center" wrapText="1"/>
    </xf>
    <xf numFmtId="0" fontId="101" fillId="41" borderId="11" xfId="0" applyFont="1" applyFill="1" applyBorder="1" applyAlignment="1" applyProtection="1">
      <alignment horizontal="left" vertical="center"/>
    </xf>
    <xf numFmtId="49" fontId="71" fillId="0" borderId="0" xfId="0" applyNumberFormat="1" applyFont="1" applyBorder="1" applyAlignment="1">
      <alignment horizontal="center" vertical="center" wrapText="1"/>
    </xf>
    <xf numFmtId="49" fontId="2" fillId="0" borderId="0" xfId="0" applyNumberFormat="1" applyFont="1" applyBorder="1" applyAlignment="1">
      <alignment horizontal="left" vertical="top" wrapText="1"/>
    </xf>
    <xf numFmtId="0" fontId="0" fillId="0" borderId="0" xfId="0" applyAlignment="1">
      <alignment horizontal="left" vertical="top" wrapText="1"/>
    </xf>
    <xf numFmtId="0" fontId="44" fillId="0" borderId="0" xfId="0" applyFont="1" applyAlignment="1">
      <alignment horizontal="center" wrapText="1"/>
    </xf>
    <xf numFmtId="0" fontId="42" fillId="6" borderId="13" xfId="1" applyFont="1" applyFill="1" applyBorder="1" applyAlignment="1">
      <alignment horizontal="center" vertical="center" wrapText="1"/>
    </xf>
    <xf numFmtId="0" fontId="42" fillId="6" borderId="14" xfId="1" applyFont="1" applyFill="1" applyBorder="1" applyAlignment="1">
      <alignment horizontal="center" vertical="center" wrapText="1"/>
    </xf>
    <xf numFmtId="0" fontId="42" fillId="6" borderId="11" xfId="1" applyFont="1" applyFill="1" applyBorder="1" applyAlignment="1">
      <alignment horizontal="center" vertical="center" wrapText="1"/>
    </xf>
    <xf numFmtId="4" fontId="42" fillId="6" borderId="11" xfId="47" applyNumberFormat="1" applyFont="1" applyFill="1" applyBorder="1" applyAlignment="1">
      <alignment horizontal="center" vertical="center" wrapText="1"/>
    </xf>
    <xf numFmtId="0" fontId="44" fillId="0" borderId="12" xfId="0" applyFont="1" applyBorder="1" applyAlignment="1">
      <alignment horizontal="left" vertical="top" wrapText="1"/>
    </xf>
    <xf numFmtId="0" fontId="88" fillId="39" borderId="53" xfId="0" applyFont="1" applyFill="1" applyBorder="1" applyAlignment="1">
      <alignment vertical="center" wrapText="1"/>
    </xf>
    <xf numFmtId="0" fontId="88" fillId="39" borderId="54" xfId="0" applyFont="1" applyFill="1" applyBorder="1" applyAlignment="1">
      <alignment vertical="center" wrapText="1"/>
    </xf>
    <xf numFmtId="3" fontId="88" fillId="39" borderId="53" xfId="0" applyNumberFormat="1" applyFont="1" applyFill="1" applyBorder="1" applyAlignment="1">
      <alignment vertical="center" wrapText="1"/>
    </xf>
    <xf numFmtId="3" fontId="88" fillId="39" borderId="54" xfId="0" applyNumberFormat="1" applyFont="1" applyFill="1" applyBorder="1" applyAlignment="1">
      <alignment vertical="center" wrapText="1"/>
    </xf>
    <xf numFmtId="0" fontId="88" fillId="39" borderId="62" xfId="0" applyFont="1" applyFill="1" applyBorder="1" applyAlignment="1">
      <alignment horizontal="center" vertical="center" wrapText="1"/>
    </xf>
    <xf numFmtId="0" fontId="88" fillId="39" borderId="53" xfId="0" applyFont="1" applyFill="1" applyBorder="1" applyAlignment="1">
      <alignment horizontal="center" vertical="center" wrapText="1"/>
    </xf>
    <xf numFmtId="0" fontId="88" fillId="39" borderId="65" xfId="0" applyFont="1" applyFill="1" applyBorder="1" applyAlignment="1">
      <alignment horizontal="center" vertical="center" wrapText="1"/>
    </xf>
    <xf numFmtId="49" fontId="88" fillId="39" borderId="62" xfId="0" applyNumberFormat="1" applyFont="1" applyFill="1" applyBorder="1" applyAlignment="1">
      <alignment horizontal="center" vertical="center" wrapText="1"/>
    </xf>
    <xf numFmtId="49" fontId="88" fillId="39" borderId="53" xfId="0" applyNumberFormat="1" applyFont="1" applyFill="1" applyBorder="1" applyAlignment="1">
      <alignment horizontal="center" vertical="center" wrapText="1"/>
    </xf>
    <xf numFmtId="49" fontId="88" fillId="39" borderId="65" xfId="0" applyNumberFormat="1" applyFont="1" applyFill="1" applyBorder="1" applyAlignment="1">
      <alignment horizontal="center" vertical="center" wrapText="1"/>
    </xf>
    <xf numFmtId="0" fontId="88" fillId="39" borderId="62" xfId="0" applyFont="1" applyFill="1" applyBorder="1" applyAlignment="1">
      <alignment vertical="center" wrapText="1"/>
    </xf>
    <xf numFmtId="0" fontId="88" fillId="39" borderId="65" xfId="0" applyFont="1" applyFill="1" applyBorder="1" applyAlignment="1">
      <alignment vertical="center" wrapText="1"/>
    </xf>
    <xf numFmtId="10" fontId="88" fillId="39" borderId="62" xfId="0" applyNumberFormat="1" applyFont="1" applyFill="1" applyBorder="1" applyAlignment="1">
      <alignment vertical="center" wrapText="1"/>
    </xf>
    <xf numFmtId="9" fontId="88" fillId="39" borderId="62" xfId="0" applyNumberFormat="1" applyFont="1" applyFill="1" applyBorder="1" applyAlignment="1">
      <alignment vertical="center" wrapText="1"/>
    </xf>
    <xf numFmtId="3" fontId="88" fillId="39" borderId="62" xfId="0" applyNumberFormat="1" applyFont="1" applyFill="1" applyBorder="1" applyAlignment="1">
      <alignment vertical="center" wrapText="1"/>
    </xf>
    <xf numFmtId="3" fontId="88" fillId="39" borderId="65" xfId="0" applyNumberFormat="1" applyFont="1" applyFill="1" applyBorder="1" applyAlignment="1">
      <alignment vertical="center" wrapText="1"/>
    </xf>
    <xf numFmtId="49" fontId="88" fillId="39" borderId="54" xfId="0" applyNumberFormat="1" applyFont="1" applyFill="1" applyBorder="1" applyAlignment="1">
      <alignment horizontal="center" vertical="center" wrapText="1"/>
    </xf>
    <xf numFmtId="49" fontId="88" fillId="39" borderId="52" xfId="0" applyNumberFormat="1" applyFont="1" applyFill="1" applyBorder="1" applyAlignment="1">
      <alignment horizontal="center" vertical="center" wrapText="1"/>
    </xf>
    <xf numFmtId="0" fontId="88" fillId="39" borderId="52" xfId="0" applyFont="1" applyFill="1" applyBorder="1" applyAlignment="1">
      <alignment vertical="center" wrapText="1"/>
    </xf>
    <xf numFmtId="3" fontId="88" fillId="39" borderId="52" xfId="0" applyNumberFormat="1" applyFont="1" applyFill="1" applyBorder="1" applyAlignment="1">
      <alignment vertical="center" wrapText="1"/>
    </xf>
    <xf numFmtId="9" fontId="88" fillId="39" borderId="52" xfId="0" applyNumberFormat="1" applyFont="1" applyFill="1" applyBorder="1" applyAlignment="1">
      <alignment horizontal="center" vertical="center" wrapText="1"/>
    </xf>
    <xf numFmtId="0" fontId="88" fillId="39" borderId="69" xfId="0" applyFont="1" applyFill="1" applyBorder="1" applyAlignment="1">
      <alignment vertical="center" wrapText="1"/>
    </xf>
    <xf numFmtId="0" fontId="88" fillId="39" borderId="71" xfId="0" applyFont="1" applyFill="1" applyBorder="1" applyAlignment="1">
      <alignment vertical="center" wrapText="1"/>
    </xf>
    <xf numFmtId="0" fontId="88" fillId="39" borderId="67" xfId="0" applyFont="1" applyFill="1" applyBorder="1" applyAlignment="1">
      <alignment horizontal="center" vertical="top" wrapText="1"/>
    </xf>
    <xf numFmtId="0" fontId="88" fillId="39" borderId="70" xfId="0" applyFont="1" applyFill="1" applyBorder="1" applyAlignment="1">
      <alignment horizontal="center" vertical="top" wrapText="1"/>
    </xf>
    <xf numFmtId="0" fontId="88" fillId="39" borderId="62" xfId="0" applyFont="1" applyFill="1" applyBorder="1" applyAlignment="1">
      <alignment vertical="top" wrapText="1"/>
    </xf>
    <xf numFmtId="0" fontId="88" fillId="39" borderId="53" xfId="0" applyFont="1" applyFill="1" applyBorder="1" applyAlignment="1">
      <alignment vertical="top" wrapText="1"/>
    </xf>
    <xf numFmtId="0" fontId="88" fillId="0" borderId="67" xfId="0" applyFont="1" applyBorder="1" applyAlignment="1">
      <alignment vertical="center" wrapText="1"/>
    </xf>
    <xf numFmtId="0" fontId="88" fillId="0" borderId="70" xfId="0" applyFont="1" applyBorder="1" applyAlignment="1">
      <alignment vertical="center" wrapText="1"/>
    </xf>
    <xf numFmtId="0" fontId="88" fillId="0" borderId="72" xfId="0" applyFont="1" applyBorder="1" applyAlignment="1">
      <alignment vertical="center" wrapText="1"/>
    </xf>
    <xf numFmtId="49" fontId="88" fillId="0" borderId="62" xfId="0" applyNumberFormat="1" applyFont="1" applyBorder="1" applyAlignment="1">
      <alignment horizontal="center" vertical="center" wrapText="1"/>
    </xf>
    <xf numFmtId="49" fontId="88" fillId="0" borderId="53" xfId="0" applyNumberFormat="1" applyFont="1" applyBorder="1" applyAlignment="1">
      <alignment horizontal="center" vertical="center" wrapText="1"/>
    </xf>
    <xf numFmtId="49" fontId="88" fillId="0" borderId="65" xfId="0" applyNumberFormat="1" applyFont="1" applyBorder="1" applyAlignment="1">
      <alignment horizontal="center" vertical="center" wrapText="1"/>
    </xf>
    <xf numFmtId="0" fontId="88" fillId="0" borderId="62" xfId="0" applyFont="1" applyBorder="1" applyAlignment="1">
      <alignment vertical="center" wrapText="1"/>
    </xf>
    <xf numFmtId="0" fontId="88" fillId="0" borderId="53" xfId="0" applyFont="1" applyBorder="1" applyAlignment="1">
      <alignment vertical="center" wrapText="1"/>
    </xf>
    <xf numFmtId="0" fontId="88" fillId="0" borderId="65" xfId="0" applyFont="1" applyBorder="1" applyAlignment="1">
      <alignment vertical="center" wrapText="1"/>
    </xf>
    <xf numFmtId="0" fontId="88" fillId="0" borderId="62" xfId="0" applyFont="1" applyBorder="1" applyAlignment="1">
      <alignment horizontal="center" vertical="center" wrapText="1"/>
    </xf>
    <xf numFmtId="0" fontId="88" fillId="0" borderId="53" xfId="0" applyFont="1" applyBorder="1" applyAlignment="1">
      <alignment horizontal="center" vertical="center" wrapText="1"/>
    </xf>
    <xf numFmtId="0" fontId="88" fillId="0" borderId="65" xfId="0" applyFont="1" applyBorder="1" applyAlignment="1">
      <alignment horizontal="center" vertical="center" wrapText="1"/>
    </xf>
    <xf numFmtId="3" fontId="88" fillId="0" borderId="62" xfId="0" applyNumberFormat="1" applyFont="1" applyBorder="1" applyAlignment="1">
      <alignment vertical="center" wrapText="1"/>
    </xf>
    <xf numFmtId="3" fontId="88" fillId="0" borderId="53" xfId="0" applyNumberFormat="1" applyFont="1" applyBorder="1" applyAlignment="1">
      <alignment vertical="center" wrapText="1"/>
    </xf>
    <xf numFmtId="3" fontId="88" fillId="0" borderId="65" xfId="0" applyNumberFormat="1" applyFont="1" applyBorder="1" applyAlignment="1">
      <alignment vertical="center" wrapText="1"/>
    </xf>
    <xf numFmtId="3" fontId="88" fillId="0" borderId="52" xfId="0" applyNumberFormat="1" applyFont="1" applyBorder="1" applyAlignment="1">
      <alignment vertical="center" wrapText="1"/>
    </xf>
    <xf numFmtId="0" fontId="88" fillId="0" borderId="52" xfId="0" applyFont="1" applyBorder="1" applyAlignment="1">
      <alignment vertical="center" wrapText="1"/>
    </xf>
    <xf numFmtId="0" fontId="50" fillId="39" borderId="62" xfId="0" applyFont="1" applyFill="1" applyBorder="1" applyAlignment="1">
      <alignment vertical="center" wrapText="1"/>
    </xf>
    <xf numFmtId="0" fontId="50" fillId="39" borderId="53" xfId="0" applyFont="1" applyFill="1" applyBorder="1" applyAlignment="1">
      <alignment vertical="center" wrapText="1"/>
    </xf>
    <xf numFmtId="0" fontId="50" fillId="39" borderId="54" xfId="0" applyFont="1" applyFill="1" applyBorder="1" applyAlignment="1">
      <alignment vertical="center" wrapText="1"/>
    </xf>
    <xf numFmtId="49" fontId="88" fillId="39" borderId="68" xfId="0" applyNumberFormat="1" applyFont="1" applyFill="1" applyBorder="1" applyAlignment="1">
      <alignment horizontal="center" vertical="center" wrapText="1"/>
    </xf>
    <xf numFmtId="49" fontId="88" fillId="39" borderId="59" xfId="0" applyNumberFormat="1" applyFont="1" applyFill="1" applyBorder="1" applyAlignment="1">
      <alignment horizontal="center" vertical="center" wrapText="1"/>
    </xf>
    <xf numFmtId="49" fontId="88" fillId="39" borderId="79" xfId="0" applyNumberFormat="1" applyFont="1" applyFill="1" applyBorder="1" applyAlignment="1">
      <alignment horizontal="center" vertical="center" wrapText="1"/>
    </xf>
    <xf numFmtId="0" fontId="88" fillId="39" borderId="22" xfId="0" applyFont="1" applyFill="1" applyBorder="1" applyAlignment="1">
      <alignment horizontal="center" vertical="center" wrapText="1"/>
    </xf>
    <xf numFmtId="0" fontId="88" fillId="39" borderId="58" xfId="0" applyFont="1" applyFill="1" applyBorder="1" applyAlignment="1">
      <alignment horizontal="center" vertical="center" wrapText="1"/>
    </xf>
    <xf numFmtId="0" fontId="88" fillId="39" borderId="50" xfId="0" applyFont="1" applyFill="1" applyBorder="1" applyAlignment="1">
      <alignment horizontal="center" vertical="center" wrapText="1"/>
    </xf>
    <xf numFmtId="0" fontId="88" fillId="39" borderId="63" xfId="0" applyFont="1" applyFill="1" applyBorder="1" applyAlignment="1">
      <alignment vertical="center" wrapText="1"/>
    </xf>
    <xf numFmtId="0" fontId="88" fillId="39" borderId="56" xfId="0" applyFont="1" applyFill="1" applyBorder="1" applyAlignment="1">
      <alignment vertical="center" wrapText="1"/>
    </xf>
    <xf numFmtId="0" fontId="88" fillId="39" borderId="57" xfId="0" applyFont="1" applyFill="1" applyBorder="1" applyAlignment="1">
      <alignment vertical="center" wrapText="1"/>
    </xf>
    <xf numFmtId="9" fontId="88" fillId="0" borderId="52" xfId="0" applyNumberFormat="1" applyFont="1" applyBorder="1" applyAlignment="1">
      <alignment vertical="center" wrapText="1"/>
    </xf>
    <xf numFmtId="9" fontId="88" fillId="0" borderId="53" xfId="0" applyNumberFormat="1" applyFont="1" applyBorder="1" applyAlignment="1">
      <alignment vertical="center" wrapText="1"/>
    </xf>
    <xf numFmtId="0" fontId="88" fillId="39" borderId="52" xfId="0" applyFont="1" applyFill="1" applyBorder="1" applyAlignment="1">
      <alignment horizontal="center" vertical="center" wrapText="1"/>
    </xf>
    <xf numFmtId="0" fontId="88" fillId="26" borderId="52" xfId="0" applyFont="1" applyFill="1" applyBorder="1" applyAlignment="1">
      <alignment horizontal="center" vertical="center" wrapText="1"/>
    </xf>
    <xf numFmtId="0" fontId="88" fillId="26" borderId="53" xfId="0" applyFont="1" applyFill="1" applyBorder="1" applyAlignment="1">
      <alignment horizontal="center" vertical="center" wrapText="1"/>
    </xf>
    <xf numFmtId="0" fontId="88" fillId="26" borderId="54" xfId="0" applyFont="1" applyFill="1" applyBorder="1" applyAlignment="1">
      <alignment horizontal="center" vertical="center" wrapText="1"/>
    </xf>
    <xf numFmtId="0" fontId="88" fillId="39" borderId="54" xfId="0" applyFont="1" applyFill="1" applyBorder="1" applyAlignment="1">
      <alignment horizontal="center" vertical="center" wrapText="1"/>
    </xf>
    <xf numFmtId="0" fontId="88" fillId="0" borderId="69" xfId="0" applyFont="1" applyBorder="1" applyAlignment="1">
      <alignment vertical="center" wrapText="1"/>
    </xf>
    <xf numFmtId="0" fontId="88" fillId="0" borderId="71" xfId="0" applyFont="1" applyBorder="1" applyAlignment="1">
      <alignment vertical="center" wrapText="1"/>
    </xf>
    <xf numFmtId="0" fontId="88" fillId="0" borderId="73" xfId="0" applyFont="1" applyBorder="1" applyAlignment="1">
      <alignment vertical="center" wrapText="1"/>
    </xf>
    <xf numFmtId="49" fontId="88" fillId="0" borderId="52" xfId="0" applyNumberFormat="1" applyFont="1" applyBorder="1" applyAlignment="1">
      <alignment horizontal="center" vertical="center" wrapText="1"/>
    </xf>
    <xf numFmtId="0" fontId="88" fillId="0" borderId="52" xfId="0" applyFont="1" applyBorder="1" applyAlignment="1">
      <alignment horizontal="center" vertical="center" wrapText="1"/>
    </xf>
    <xf numFmtId="0" fontId="88" fillId="39" borderId="73" xfId="0" applyFont="1" applyFill="1" applyBorder="1" applyAlignment="1">
      <alignment vertical="center" wrapText="1"/>
    </xf>
    <xf numFmtId="0" fontId="88" fillId="39" borderId="52" xfId="0" applyFont="1" applyFill="1" applyBorder="1" applyAlignment="1">
      <alignment vertical="top" wrapText="1"/>
    </xf>
    <xf numFmtId="0" fontId="88" fillId="39" borderId="54" xfId="0" applyFont="1" applyFill="1" applyBorder="1" applyAlignment="1">
      <alignment vertical="top" wrapText="1"/>
    </xf>
    <xf numFmtId="0" fontId="88" fillId="26" borderId="52" xfId="0" applyFont="1" applyFill="1" applyBorder="1" applyAlignment="1">
      <alignment vertical="center" wrapText="1"/>
    </xf>
    <xf numFmtId="0" fontId="88" fillId="26" borderId="53" xfId="0" applyFont="1" applyFill="1" applyBorder="1" applyAlignment="1">
      <alignment vertical="center" wrapText="1"/>
    </xf>
    <xf numFmtId="0" fontId="88" fillId="26" borderId="54" xfId="0" applyFont="1" applyFill="1" applyBorder="1" applyAlignment="1">
      <alignment vertical="center" wrapText="1"/>
    </xf>
    <xf numFmtId="0" fontId="86" fillId="0" borderId="0" xfId="0" applyFont="1" applyAlignment="1">
      <alignment horizontal="left" vertical="center" wrapText="1"/>
    </xf>
    <xf numFmtId="0" fontId="88" fillId="26" borderId="52" xfId="0" applyFont="1" applyFill="1" applyBorder="1" applyAlignment="1">
      <alignment horizontal="center" vertical="center" textRotation="90" wrapText="1"/>
    </xf>
    <xf numFmtId="0" fontId="88" fillId="26" borderId="53" xfId="0" applyFont="1" applyFill="1" applyBorder="1" applyAlignment="1">
      <alignment horizontal="center" vertical="center" textRotation="90" wrapText="1"/>
    </xf>
    <xf numFmtId="0" fontId="88" fillId="26" borderId="54" xfId="0" applyFont="1" applyFill="1" applyBorder="1" applyAlignment="1">
      <alignment horizontal="center" vertical="center" textRotation="90" wrapText="1"/>
    </xf>
    <xf numFmtId="0" fontId="87" fillId="0" borderId="0" xfId="0" applyFont="1" applyAlignment="1">
      <alignment horizontal="center" wrapText="1"/>
    </xf>
    <xf numFmtId="0" fontId="87" fillId="0" borderId="0" xfId="0" applyFont="1" applyAlignment="1">
      <alignment horizontal="left" vertical="center" wrapText="1"/>
    </xf>
    <xf numFmtId="0" fontId="62" fillId="0" borderId="0" xfId="0" applyFont="1" applyBorder="1" applyAlignment="1">
      <alignment horizontal="left" vertical="center" wrapText="1"/>
    </xf>
    <xf numFmtId="0" fontId="44" fillId="0" borderId="0" xfId="0" applyFont="1" applyBorder="1" applyAlignment="1">
      <alignment horizontal="left" vertical="top" wrapText="1"/>
    </xf>
    <xf numFmtId="0" fontId="72" fillId="0" borderId="12" xfId="0" applyFont="1" applyBorder="1" applyAlignment="1">
      <alignment vertical="top" wrapText="1"/>
    </xf>
    <xf numFmtId="0" fontId="0" fillId="0" borderId="12" xfId="0" applyBorder="1" applyAlignment="1"/>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2" xfId="1"/>
    <cellStyle name="Normal 2 2" xfId="52"/>
    <cellStyle name="Normal 3" xfId="46"/>
    <cellStyle name="Normal_Расходи по корисницима" xfId="49"/>
    <cellStyle name="Normalan" xfId="0" builtinId="0"/>
    <cellStyle name="Note 2" xfId="39"/>
    <cellStyle name="Note 3" xfId="55"/>
    <cellStyle name="Note 4" xfId="60"/>
    <cellStyle name="Output 2" xfId="40"/>
    <cellStyle name="Output 3" xfId="56"/>
    <cellStyle name="Output 4" xfId="61"/>
    <cellStyle name="Percent 2" xfId="41"/>
    <cellStyle name="Percent 3" xfId="45"/>
    <cellStyle name="Procenat" xfId="48" builtinId="5"/>
    <cellStyle name="Title 2" xfId="42"/>
    <cellStyle name="Total 2" xfId="43"/>
    <cellStyle name="Total 3" xfId="57"/>
    <cellStyle name="Total 4" xfId="62"/>
    <cellStyle name="Warning Text 2" xfId="44"/>
    <cellStyle name="Zarez" xfId="47" builtinId="3"/>
  </cellStyles>
  <dxfs count="9">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risnik/My%20Documents/Downloads/Prilog_2_%20Pregled_kapitalnih_projekata%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farnik"/>
      <sheetName val="Списак капиталних пројеката"/>
      <sheetName val="списак"/>
      <sheetName val="по изворима и контима "/>
      <sheetName val="K3"/>
      <sheetName val="ipa-šifrarnik"/>
      <sheetName val="Funkcije"/>
      <sheetName val="korisnici"/>
      <sheetName val="k4"/>
      <sheetName val="izvori"/>
      <sheetName val="projekti"/>
    </sheetNames>
    <sheetDataSet>
      <sheetData sheetId="0"/>
      <sheetData sheetId="1">
        <row r="14">
          <cell r="A14">
            <v>4</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ema">
  <a:themeElements>
    <a:clrScheme name="Kancelarij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arij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arij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K135"/>
  <sheetViews>
    <sheetView tabSelected="1" workbookViewId="0">
      <selection activeCell="J1" sqref="J1"/>
    </sheetView>
  </sheetViews>
  <sheetFormatPr defaultRowHeight="15" x14ac:dyDescent="0.25"/>
  <cols>
    <col min="1" max="1" width="5.28515625" customWidth="1"/>
    <col min="7" max="7" width="8.5703125" customWidth="1"/>
    <col min="8" max="8" width="23.5703125" customWidth="1"/>
    <col min="9" max="9" width="19.140625" customWidth="1"/>
    <col min="10" max="10" width="15.7109375" customWidth="1"/>
  </cols>
  <sheetData>
    <row r="1" spans="1:11" ht="21" customHeight="1" x14ac:dyDescent="0.25">
      <c r="J1" s="1069" t="s">
        <v>5729</v>
      </c>
    </row>
    <row r="2" spans="1:11" ht="95.25" customHeight="1" x14ac:dyDescent="0.25">
      <c r="A2" s="1073" t="s">
        <v>5726</v>
      </c>
      <c r="B2" s="1073"/>
      <c r="C2" s="1073"/>
      <c r="D2" s="1073"/>
      <c r="E2" s="1073"/>
      <c r="F2" s="1073"/>
      <c r="G2" s="1073"/>
      <c r="H2" s="1073"/>
      <c r="I2" s="1073"/>
      <c r="J2" s="1073"/>
      <c r="K2" s="669"/>
    </row>
    <row r="3" spans="1:11" ht="30.75" customHeight="1" x14ac:dyDescent="0.25">
      <c r="A3" s="670"/>
      <c r="B3" s="670"/>
      <c r="C3" s="1061"/>
      <c r="D3" s="1074" t="s">
        <v>5429</v>
      </c>
      <c r="E3" s="1075"/>
      <c r="F3" s="1075"/>
      <c r="G3" s="1075"/>
      <c r="H3" s="1075"/>
      <c r="I3" s="1061"/>
      <c r="J3" s="670"/>
      <c r="K3" s="669"/>
    </row>
    <row r="4" spans="1:11" ht="36.75" customHeight="1" x14ac:dyDescent="0.25">
      <c r="A4" s="670"/>
      <c r="B4" s="670"/>
      <c r="C4" s="1074" t="s">
        <v>5428</v>
      </c>
      <c r="D4" s="1074"/>
      <c r="E4" s="1074"/>
      <c r="F4" s="1074"/>
      <c r="G4" s="1074"/>
      <c r="H4" s="1074"/>
      <c r="I4" s="1074"/>
      <c r="J4" s="702"/>
      <c r="K4" s="669"/>
    </row>
    <row r="5" spans="1:11" ht="11.25" customHeight="1" x14ac:dyDescent="0.25">
      <c r="A5" s="670"/>
      <c r="B5" s="670"/>
      <c r="C5" s="670"/>
      <c r="D5" s="671"/>
      <c r="E5" s="671"/>
      <c r="F5" s="671"/>
      <c r="G5" s="671"/>
      <c r="H5" s="671"/>
      <c r="I5" s="670"/>
      <c r="J5" s="670"/>
      <c r="K5" s="669"/>
    </row>
    <row r="6" spans="1:11" ht="30.75" customHeight="1" x14ac:dyDescent="0.25">
      <c r="A6" s="670"/>
      <c r="B6" s="670"/>
      <c r="C6" s="1088" t="s">
        <v>5006</v>
      </c>
      <c r="D6" s="1088"/>
      <c r="E6" s="1088"/>
      <c r="F6" s="1088"/>
      <c r="G6" s="1088"/>
      <c r="H6" s="1088"/>
      <c r="I6" s="1088"/>
      <c r="J6" s="670"/>
      <c r="K6" s="669"/>
    </row>
    <row r="7" spans="1:11" ht="23.25" customHeight="1" x14ac:dyDescent="0.25">
      <c r="A7" s="701"/>
      <c r="B7" s="701"/>
      <c r="C7" s="1089" t="s">
        <v>5002</v>
      </c>
      <c r="D7" s="1089"/>
      <c r="E7" s="1089"/>
      <c r="F7" s="1089"/>
      <c r="G7" s="1089"/>
      <c r="H7" s="1089"/>
      <c r="I7" s="1089"/>
      <c r="J7" s="701"/>
      <c r="K7" s="669"/>
    </row>
    <row r="8" spans="1:11" ht="40.5" customHeight="1" x14ac:dyDescent="0.25">
      <c r="A8" s="1090" t="s">
        <v>5708</v>
      </c>
      <c r="B8" s="1090"/>
      <c r="C8" s="1090"/>
      <c r="D8" s="1090"/>
      <c r="E8" s="1090"/>
      <c r="F8" s="1090"/>
      <c r="G8" s="1090"/>
      <c r="H8" s="1090"/>
      <c r="I8" s="1090"/>
      <c r="J8" s="1090"/>
    </row>
    <row r="9" spans="1:11" ht="35.25" customHeight="1" x14ac:dyDescent="0.25">
      <c r="A9" s="1092" t="s">
        <v>5003</v>
      </c>
      <c r="B9" s="1092"/>
      <c r="C9" s="1092"/>
      <c r="D9" s="1092"/>
      <c r="E9" s="1092"/>
      <c r="F9" s="1092"/>
      <c r="G9" s="1092"/>
      <c r="H9" s="1092"/>
      <c r="I9" s="1092"/>
      <c r="J9" s="1092"/>
    </row>
    <row r="10" spans="1:11" ht="41.25" customHeight="1" x14ac:dyDescent="0.25">
      <c r="A10" s="1093" t="s">
        <v>5727</v>
      </c>
      <c r="B10" s="1093"/>
      <c r="C10" s="1093"/>
      <c r="D10" s="1093"/>
      <c r="E10" s="1093"/>
      <c r="F10" s="1093"/>
      <c r="G10" s="1093"/>
      <c r="H10" s="1093"/>
      <c r="I10" s="1093"/>
      <c r="J10" s="1093"/>
    </row>
    <row r="11" spans="1:11" ht="45" customHeight="1" x14ac:dyDescent="0.25">
      <c r="A11" s="528" t="s">
        <v>0</v>
      </c>
      <c r="B11" s="1084" t="s">
        <v>1</v>
      </c>
      <c r="C11" s="1084"/>
      <c r="D11" s="1084"/>
      <c r="E11" s="1084"/>
      <c r="F11" s="1084"/>
      <c r="G11" s="1084"/>
      <c r="H11" s="529" t="s">
        <v>2</v>
      </c>
      <c r="I11" s="673" t="s">
        <v>5005</v>
      </c>
      <c r="J11" s="678" t="s">
        <v>3756</v>
      </c>
    </row>
    <row r="12" spans="1:11" ht="30" customHeight="1" x14ac:dyDescent="0.25">
      <c r="A12" s="2" t="s">
        <v>15</v>
      </c>
      <c r="B12" s="1085" t="s">
        <v>3</v>
      </c>
      <c r="C12" s="1085"/>
      <c r="D12" s="1085"/>
      <c r="E12" s="1085"/>
      <c r="F12" s="1085"/>
      <c r="G12" s="1085"/>
      <c r="H12" s="3" t="s">
        <v>4</v>
      </c>
      <c r="I12" s="674">
        <f>SUM('Оптшти део - (6)'!D99)</f>
        <v>293987171</v>
      </c>
      <c r="J12" s="689">
        <f>SUM('Оптшти део - (6)'!F99)</f>
        <v>15844273</v>
      </c>
    </row>
    <row r="13" spans="1:11" ht="30" customHeight="1" x14ac:dyDescent="0.25">
      <c r="A13" s="2" t="s">
        <v>16</v>
      </c>
      <c r="B13" s="1085" t="s">
        <v>5</v>
      </c>
      <c r="C13" s="1085"/>
      <c r="D13" s="1085"/>
      <c r="E13" s="1085"/>
      <c r="F13" s="1085"/>
      <c r="G13" s="1085"/>
      <c r="H13" s="3" t="s">
        <v>6</v>
      </c>
      <c r="I13" s="674">
        <f>SUM('По основ. нам.'!C88)</f>
        <v>397253590</v>
      </c>
      <c r="J13" s="689">
        <f>SUM('По основ. нам.'!E88)</f>
        <v>16480273</v>
      </c>
    </row>
    <row r="14" spans="1:11" ht="25.5" customHeight="1" x14ac:dyDescent="0.25">
      <c r="A14" s="1" t="s">
        <v>17</v>
      </c>
      <c r="B14" s="1083" t="s">
        <v>7</v>
      </c>
      <c r="C14" s="1083"/>
      <c r="D14" s="1083"/>
      <c r="E14" s="1083"/>
      <c r="F14" s="1083"/>
      <c r="G14" s="1083"/>
      <c r="H14" s="4" t="s">
        <v>8</v>
      </c>
      <c r="I14" s="675">
        <f>I12-I13</f>
        <v>-103266419</v>
      </c>
      <c r="J14" s="688"/>
    </row>
    <row r="15" spans="1:11" ht="30" customHeight="1" x14ac:dyDescent="0.25">
      <c r="A15" s="2" t="s">
        <v>18</v>
      </c>
      <c r="B15" s="1080" t="s">
        <v>4997</v>
      </c>
      <c r="C15" s="1081"/>
      <c r="D15" s="1081"/>
      <c r="E15" s="1081"/>
      <c r="F15" s="1081"/>
      <c r="G15" s="1082"/>
      <c r="H15" s="5">
        <v>62</v>
      </c>
      <c r="I15" s="676">
        <f>'По основ. нам.'!F86-'По основ. нам.'!F87</f>
        <v>0</v>
      </c>
      <c r="J15" s="688"/>
    </row>
    <row r="16" spans="1:11" ht="26.25" customHeight="1" x14ac:dyDescent="0.25">
      <c r="A16" s="1" t="s">
        <v>20</v>
      </c>
      <c r="B16" s="1083" t="s">
        <v>9</v>
      </c>
      <c r="C16" s="1083"/>
      <c r="D16" s="1083"/>
      <c r="E16" s="1083"/>
      <c r="F16" s="1083"/>
      <c r="G16" s="1083"/>
      <c r="H16" s="4" t="s">
        <v>4998</v>
      </c>
      <c r="I16" s="675">
        <f>I14+I15</f>
        <v>-103266419</v>
      </c>
      <c r="J16" s="688"/>
    </row>
    <row r="17" spans="1:10" ht="24.75" customHeight="1" x14ac:dyDescent="0.25">
      <c r="A17" s="528" t="s">
        <v>10</v>
      </c>
      <c r="B17" s="1086" t="s">
        <v>11</v>
      </c>
      <c r="C17" s="1086"/>
      <c r="D17" s="1086"/>
      <c r="E17" s="1086"/>
      <c r="F17" s="1086"/>
      <c r="G17" s="1086"/>
      <c r="H17" s="1086"/>
      <c r="I17" s="1087"/>
      <c r="J17" s="690"/>
    </row>
    <row r="18" spans="1:10" ht="22.5" customHeight="1" x14ac:dyDescent="0.25">
      <c r="A18" s="2" t="s">
        <v>15</v>
      </c>
      <c r="B18" s="1085" t="s">
        <v>12</v>
      </c>
      <c r="C18" s="1085"/>
      <c r="D18" s="1085"/>
      <c r="E18" s="1085"/>
      <c r="F18" s="1085"/>
      <c r="G18" s="1085"/>
      <c r="H18" s="3">
        <v>91</v>
      </c>
      <c r="I18" s="674">
        <f>'Оптшти део - (6)'!G94</f>
        <v>0</v>
      </c>
      <c r="J18" s="688"/>
    </row>
    <row r="19" spans="1:10" ht="30" customHeight="1" x14ac:dyDescent="0.25">
      <c r="A19" s="2" t="s">
        <v>16</v>
      </c>
      <c r="B19" s="1085" t="s">
        <v>5000</v>
      </c>
      <c r="C19" s="1085"/>
      <c r="D19" s="1085"/>
      <c r="E19" s="1085"/>
      <c r="F19" s="1085"/>
      <c r="G19" s="1085"/>
      <c r="H19" s="3">
        <v>92</v>
      </c>
      <c r="I19" s="674">
        <f>'Оптшти део - (6)'!G97</f>
        <v>0</v>
      </c>
      <c r="J19" s="688"/>
    </row>
    <row r="20" spans="1:10" ht="20.25" customHeight="1" x14ac:dyDescent="0.25">
      <c r="A20" s="622" t="s">
        <v>17</v>
      </c>
      <c r="B20" s="1077" t="s">
        <v>4988</v>
      </c>
      <c r="C20" s="1078"/>
      <c r="D20" s="1078"/>
      <c r="E20" s="1078"/>
      <c r="F20" s="1078"/>
      <c r="G20" s="1079"/>
      <c r="H20" s="623">
        <v>3</v>
      </c>
      <c r="I20" s="674">
        <v>103266419</v>
      </c>
      <c r="J20" s="688">
        <v>636000</v>
      </c>
    </row>
    <row r="21" spans="1:10" ht="30" customHeight="1" x14ac:dyDescent="0.25">
      <c r="A21" s="2" t="s">
        <v>18</v>
      </c>
      <c r="B21" s="1085" t="s">
        <v>5001</v>
      </c>
      <c r="C21" s="1085"/>
      <c r="D21" s="1085"/>
      <c r="E21" s="1085"/>
      <c r="F21" s="1085"/>
      <c r="G21" s="1085"/>
      <c r="H21" s="3">
        <v>6211</v>
      </c>
      <c r="I21" s="674">
        <f>'По основ. нам.'!F87</f>
        <v>0</v>
      </c>
      <c r="J21" s="688"/>
    </row>
    <row r="22" spans="1:10" ht="18" customHeight="1" x14ac:dyDescent="0.25">
      <c r="A22" s="2" t="s">
        <v>19</v>
      </c>
      <c r="B22" s="1085" t="s">
        <v>13</v>
      </c>
      <c r="C22" s="1085"/>
      <c r="D22" s="1085"/>
      <c r="E22" s="1085"/>
      <c r="F22" s="1085"/>
      <c r="G22" s="1085"/>
      <c r="H22" s="3">
        <v>61</v>
      </c>
      <c r="I22" s="674">
        <v>155000</v>
      </c>
      <c r="J22" s="688"/>
    </row>
    <row r="23" spans="1:10" ht="24" customHeight="1" x14ac:dyDescent="0.25">
      <c r="A23" s="528" t="s">
        <v>4990</v>
      </c>
      <c r="B23" s="1076" t="s">
        <v>14</v>
      </c>
      <c r="C23" s="1076"/>
      <c r="D23" s="1076"/>
      <c r="E23" s="1076"/>
      <c r="F23" s="1076"/>
      <c r="G23" s="1076"/>
      <c r="H23" s="624" t="s">
        <v>4989</v>
      </c>
      <c r="I23" s="677">
        <f>I18+I19+I20-I21-I22</f>
        <v>103111419</v>
      </c>
      <c r="J23" s="690"/>
    </row>
    <row r="24" spans="1:10" x14ac:dyDescent="0.25">
      <c r="A24" s="672"/>
      <c r="B24" s="672"/>
      <c r="C24" s="672"/>
      <c r="D24" s="672"/>
      <c r="E24" s="672"/>
      <c r="F24" s="672"/>
      <c r="G24" s="672"/>
      <c r="H24" s="672"/>
      <c r="I24" s="672"/>
      <c r="J24" s="672"/>
    </row>
    <row r="25" spans="1:10" ht="20.25" customHeight="1" x14ac:dyDescent="0.25">
      <c r="A25" s="692"/>
      <c r="B25" s="692"/>
      <c r="C25" s="1091" t="s">
        <v>5004</v>
      </c>
      <c r="D25" s="1091"/>
      <c r="E25" s="1091"/>
      <c r="F25" s="1091"/>
      <c r="G25" s="1091"/>
      <c r="H25" s="1091"/>
      <c r="I25" s="1091"/>
      <c r="J25" s="692"/>
    </row>
    <row r="26" spans="1:10" ht="17.25" customHeight="1" x14ac:dyDescent="0.25">
      <c r="A26" s="1094" t="s">
        <v>5704</v>
      </c>
      <c r="B26" s="1095"/>
      <c r="C26" s="1095"/>
      <c r="D26" s="1095"/>
      <c r="E26" s="1095"/>
      <c r="F26" s="1095"/>
      <c r="G26" s="1095"/>
      <c r="H26" s="1095"/>
      <c r="I26" s="897"/>
      <c r="J26" s="692"/>
    </row>
    <row r="27" spans="1:10" ht="18" customHeight="1" x14ac:dyDescent="0.25">
      <c r="A27" s="1100" t="s">
        <v>5401</v>
      </c>
      <c r="B27" s="1100"/>
      <c r="C27" s="1100"/>
      <c r="D27" s="1100"/>
      <c r="E27" s="1100"/>
      <c r="F27" s="1100"/>
      <c r="G27" s="1100"/>
      <c r="H27" s="1100"/>
      <c r="I27" s="1100"/>
      <c r="J27" s="1100"/>
    </row>
    <row r="28" spans="1:10" ht="11.25" customHeight="1" x14ac:dyDescent="0.25">
      <c r="A28" s="1060"/>
      <c r="B28" s="1060"/>
      <c r="C28" s="1060"/>
      <c r="D28" s="1060"/>
      <c r="E28" s="1060"/>
      <c r="F28" s="1060"/>
      <c r="G28" s="1060"/>
      <c r="H28" s="1060"/>
      <c r="I28" s="1060"/>
      <c r="J28" s="1060"/>
    </row>
    <row r="29" spans="1:10" ht="15.75" x14ac:dyDescent="0.25">
      <c r="A29" s="692"/>
      <c r="B29" s="1100" t="s">
        <v>5705</v>
      </c>
      <c r="C29" s="1100"/>
      <c r="D29" s="1100"/>
      <c r="E29" s="1100"/>
      <c r="F29" s="1100"/>
      <c r="G29" s="1100"/>
      <c r="H29" s="1100"/>
      <c r="I29" s="1100"/>
      <c r="J29" s="692"/>
    </row>
    <row r="30" spans="1:10" ht="15.75" x14ac:dyDescent="0.25">
      <c r="A30" s="692"/>
      <c r="B30" s="1100" t="s">
        <v>5702</v>
      </c>
      <c r="C30" s="1100"/>
      <c r="D30" s="1100"/>
      <c r="E30" s="1100"/>
      <c r="F30" s="1100"/>
      <c r="G30" s="1100"/>
      <c r="H30" s="1100"/>
      <c r="I30" s="1100"/>
      <c r="J30" s="692"/>
    </row>
    <row r="31" spans="1:10" ht="15.75" hidden="1" x14ac:dyDescent="0.25">
      <c r="A31" s="692"/>
      <c r="B31" s="1100"/>
      <c r="C31" s="1100"/>
      <c r="D31" s="1100"/>
      <c r="E31" s="1100"/>
      <c r="F31" s="1100"/>
      <c r="G31" s="1100"/>
      <c r="H31" s="1100"/>
      <c r="I31" s="1067"/>
      <c r="J31" s="672"/>
    </row>
    <row r="32" spans="1:10" ht="23.25" hidden="1" customHeight="1" x14ac:dyDescent="0.25">
      <c r="A32" s="1091"/>
      <c r="B32" s="1091"/>
      <c r="C32" s="1091"/>
      <c r="D32" s="1091"/>
      <c r="E32" s="1091"/>
      <c r="F32" s="1091"/>
      <c r="G32" s="1091"/>
      <c r="H32" s="1091"/>
      <c r="I32" s="1091"/>
      <c r="J32" s="672"/>
    </row>
    <row r="33" spans="1:10" ht="15.75" customHeight="1" x14ac:dyDescent="0.25">
      <c r="A33" s="692"/>
      <c r="B33" s="1101" t="s">
        <v>5703</v>
      </c>
      <c r="C33" s="1101"/>
      <c r="D33" s="1101"/>
      <c r="E33" s="1101"/>
      <c r="F33" s="1101"/>
      <c r="G33" s="1101"/>
      <c r="H33" s="1101"/>
      <c r="I33" s="1101"/>
      <c r="J33" s="672"/>
    </row>
    <row r="34" spans="1:10" ht="12.75" customHeight="1" x14ac:dyDescent="0.25">
      <c r="A34" s="672"/>
      <c r="B34" s="672"/>
      <c r="C34" s="672"/>
      <c r="D34" s="672"/>
      <c r="E34" s="672"/>
      <c r="F34" s="672"/>
      <c r="G34" s="672"/>
      <c r="H34" s="672"/>
      <c r="I34" s="672"/>
      <c r="J34" s="672"/>
    </row>
    <row r="35" spans="1:10" ht="16.5" customHeight="1" x14ac:dyDescent="0.25">
      <c r="A35" s="692"/>
      <c r="B35" s="692"/>
      <c r="C35" s="1096" t="s">
        <v>5007</v>
      </c>
      <c r="D35" s="1096"/>
      <c r="E35" s="1096"/>
      <c r="F35" s="1096"/>
      <c r="G35" s="1096"/>
      <c r="H35" s="1096"/>
      <c r="I35" s="1096"/>
      <c r="J35" s="692"/>
    </row>
    <row r="36" spans="1:10" ht="18.75" customHeight="1" x14ac:dyDescent="0.25">
      <c r="A36" s="1094" t="s">
        <v>5706</v>
      </c>
      <c r="B36" s="1095"/>
      <c r="C36" s="1095"/>
      <c r="D36" s="1095"/>
      <c r="E36" s="1095"/>
      <c r="F36" s="1095"/>
      <c r="G36" s="1095"/>
      <c r="H36" s="1095"/>
      <c r="I36" s="1095"/>
      <c r="J36" s="1095"/>
    </row>
    <row r="37" spans="1:10" ht="11.25" customHeight="1" x14ac:dyDescent="0.25">
      <c r="A37" s="1068"/>
      <c r="B37" s="872"/>
      <c r="C37" s="872"/>
      <c r="D37" s="872"/>
      <c r="E37" s="872"/>
      <c r="F37" s="872"/>
      <c r="G37" s="872"/>
      <c r="H37" s="872"/>
      <c r="I37" s="872"/>
      <c r="J37" s="872"/>
    </row>
    <row r="38" spans="1:10" ht="33" customHeight="1" x14ac:dyDescent="0.25">
      <c r="A38" s="1098" t="s">
        <v>5707</v>
      </c>
      <c r="B38" s="1098"/>
      <c r="C38" s="1098"/>
      <c r="D38" s="1098"/>
      <c r="E38" s="1098"/>
      <c r="F38" s="1098"/>
      <c r="G38" s="1098"/>
      <c r="H38" s="1098"/>
      <c r="I38" s="1098"/>
      <c r="J38" s="1098"/>
    </row>
    <row r="39" spans="1:10" ht="22.5" customHeight="1" x14ac:dyDescent="0.25">
      <c r="A39" s="1099"/>
      <c r="B39" s="1099"/>
      <c r="C39" s="1099"/>
      <c r="D39" s="1099"/>
      <c r="E39" s="1099"/>
      <c r="F39" s="1099"/>
      <c r="G39" s="1099"/>
      <c r="H39" s="1099"/>
      <c r="I39" s="1099"/>
      <c r="J39" s="1099"/>
    </row>
    <row r="40" spans="1:10" ht="15.75" hidden="1" x14ac:dyDescent="0.25">
      <c r="A40" s="692"/>
      <c r="B40" s="692"/>
      <c r="C40" s="692"/>
      <c r="D40" s="692"/>
      <c r="E40" s="692"/>
      <c r="F40" s="692"/>
      <c r="G40" s="692"/>
      <c r="H40" s="692"/>
      <c r="I40" s="692"/>
      <c r="J40" s="692"/>
    </row>
    <row r="41" spans="1:10" ht="15.75" x14ac:dyDescent="0.25">
      <c r="A41" s="692"/>
      <c r="B41" s="692"/>
      <c r="C41" s="1096"/>
      <c r="D41" s="1096"/>
      <c r="E41" s="1096"/>
      <c r="F41" s="1096"/>
      <c r="G41" s="1096"/>
      <c r="H41" s="1096"/>
      <c r="I41" s="1096"/>
      <c r="J41" s="692"/>
    </row>
    <row r="42" spans="1:10" ht="15.75" x14ac:dyDescent="0.25">
      <c r="A42" s="692"/>
      <c r="B42" s="692"/>
      <c r="C42" s="896"/>
      <c r="D42" s="896"/>
      <c r="E42" s="896"/>
      <c r="F42" s="896"/>
      <c r="G42" s="896"/>
      <c r="H42" s="896"/>
      <c r="I42" s="896"/>
      <c r="J42" s="692"/>
    </row>
    <row r="43" spans="1:10" ht="33" customHeight="1" x14ac:dyDescent="0.25">
      <c r="A43" s="1097"/>
      <c r="B43" s="1097"/>
      <c r="C43" s="1097"/>
      <c r="D43" s="1097"/>
      <c r="E43" s="1097"/>
      <c r="F43" s="1097"/>
      <c r="G43" s="1097"/>
      <c r="H43" s="1097"/>
      <c r="I43" s="1097"/>
      <c r="J43" s="1097"/>
    </row>
    <row r="44" spans="1:10" ht="34.5" customHeight="1" x14ac:dyDescent="0.25">
      <c r="A44" s="1097"/>
      <c r="B44" s="1097"/>
      <c r="C44" s="1097"/>
      <c r="D44" s="1097"/>
      <c r="E44" s="1097"/>
      <c r="F44" s="1097"/>
      <c r="G44" s="1097"/>
      <c r="H44" s="1097"/>
      <c r="I44" s="1097"/>
      <c r="J44" s="1097"/>
    </row>
    <row r="45" spans="1:10" x14ac:dyDescent="0.25">
      <c r="A45" s="672"/>
      <c r="B45" s="672"/>
      <c r="C45" s="672"/>
      <c r="D45" s="672"/>
      <c r="E45" s="672"/>
      <c r="F45" s="672"/>
      <c r="G45" s="672"/>
      <c r="H45" s="672"/>
      <c r="I45" s="672"/>
      <c r="J45" s="672"/>
    </row>
    <row r="46" spans="1:10" x14ac:dyDescent="0.25">
      <c r="A46" s="672"/>
      <c r="B46" s="672"/>
      <c r="C46" s="672"/>
      <c r="D46" s="672"/>
      <c r="E46" s="672"/>
      <c r="F46" s="672"/>
      <c r="G46" s="672"/>
      <c r="H46" s="672"/>
      <c r="I46" s="672"/>
      <c r="J46" s="672"/>
    </row>
    <row r="47" spans="1:10" x14ac:dyDescent="0.25">
      <c r="A47" s="672"/>
      <c r="B47" s="672"/>
      <c r="C47" s="672"/>
      <c r="D47" s="672"/>
      <c r="E47" s="672"/>
      <c r="F47" s="672"/>
      <c r="G47" s="672"/>
      <c r="H47" s="672"/>
      <c r="I47" s="672"/>
      <c r="J47" s="672"/>
    </row>
    <row r="48" spans="1:10" x14ac:dyDescent="0.25">
      <c r="A48" s="672"/>
      <c r="B48" s="672"/>
      <c r="C48" s="672"/>
      <c r="D48" s="672"/>
      <c r="E48" s="672"/>
      <c r="F48" s="672"/>
      <c r="G48" s="672"/>
      <c r="H48" s="672"/>
      <c r="I48" s="672"/>
      <c r="J48" s="672"/>
    </row>
    <row r="49" spans="1:10" x14ac:dyDescent="0.25">
      <c r="A49" s="672"/>
      <c r="B49" s="672"/>
      <c r="C49" s="672"/>
      <c r="D49" s="672"/>
      <c r="E49" s="672"/>
      <c r="F49" s="672"/>
      <c r="G49" s="672"/>
      <c r="H49" s="672"/>
      <c r="I49" s="672"/>
      <c r="J49" s="672"/>
    </row>
    <row r="50" spans="1:10" x14ac:dyDescent="0.25">
      <c r="A50" s="672"/>
      <c r="B50" s="672"/>
      <c r="C50" s="672"/>
      <c r="D50" s="672"/>
      <c r="E50" s="672"/>
      <c r="F50" s="672"/>
      <c r="G50" s="672"/>
      <c r="H50" s="672"/>
      <c r="I50" s="672"/>
      <c r="J50" s="672"/>
    </row>
    <row r="51" spans="1:10" x14ac:dyDescent="0.25">
      <c r="A51" s="672"/>
      <c r="B51" s="672"/>
      <c r="C51" s="672"/>
      <c r="D51" s="672"/>
      <c r="E51" s="672"/>
      <c r="F51" s="672"/>
      <c r="G51" s="672"/>
      <c r="H51" s="672"/>
      <c r="I51" s="672"/>
      <c r="J51" s="672"/>
    </row>
    <row r="52" spans="1:10" x14ac:dyDescent="0.25">
      <c r="A52" s="672"/>
      <c r="B52" s="672"/>
      <c r="C52" s="672"/>
      <c r="D52" s="672"/>
      <c r="E52" s="672"/>
      <c r="F52" s="672"/>
      <c r="G52" s="672"/>
      <c r="H52" s="672"/>
      <c r="I52" s="672"/>
      <c r="J52" s="672"/>
    </row>
    <row r="53" spans="1:10" x14ac:dyDescent="0.25">
      <c r="A53" s="672"/>
      <c r="B53" s="672"/>
      <c r="C53" s="672"/>
      <c r="D53" s="672"/>
      <c r="E53" s="672"/>
      <c r="F53" s="672"/>
      <c r="G53" s="672"/>
      <c r="H53" s="672"/>
      <c r="I53" s="672"/>
      <c r="J53" s="672"/>
    </row>
    <row r="54" spans="1:10" x14ac:dyDescent="0.25">
      <c r="A54" s="672"/>
      <c r="B54" s="672"/>
      <c r="C54" s="672"/>
      <c r="D54" s="672"/>
      <c r="E54" s="672"/>
      <c r="F54" s="672"/>
      <c r="G54" s="672"/>
      <c r="H54" s="672"/>
      <c r="I54" s="672"/>
      <c r="J54" s="672"/>
    </row>
    <row r="55" spans="1:10" x14ac:dyDescent="0.25">
      <c r="A55" s="672"/>
      <c r="B55" s="672"/>
      <c r="C55" s="672"/>
      <c r="D55" s="672"/>
      <c r="E55" s="672"/>
      <c r="F55" s="672"/>
      <c r="G55" s="672"/>
      <c r="H55" s="672"/>
      <c r="I55" s="672"/>
      <c r="J55" s="672"/>
    </row>
    <row r="56" spans="1:10" x14ac:dyDescent="0.25">
      <c r="A56" s="672"/>
      <c r="B56" s="672"/>
      <c r="C56" s="672"/>
      <c r="D56" s="672"/>
      <c r="E56" s="672"/>
      <c r="F56" s="672"/>
      <c r="G56" s="672"/>
      <c r="H56" s="672"/>
      <c r="I56" s="672"/>
      <c r="J56" s="672"/>
    </row>
    <row r="57" spans="1:10" x14ac:dyDescent="0.25">
      <c r="A57" s="672"/>
      <c r="B57" s="672"/>
      <c r="C57" s="672"/>
      <c r="D57" s="672"/>
      <c r="E57" s="672"/>
      <c r="F57" s="672"/>
      <c r="G57" s="672"/>
      <c r="H57" s="672"/>
      <c r="I57" s="672"/>
      <c r="J57" s="672"/>
    </row>
    <row r="58" spans="1:10" x14ac:dyDescent="0.25">
      <c r="A58" s="672"/>
      <c r="B58" s="672"/>
      <c r="C58" s="672"/>
      <c r="D58" s="672"/>
      <c r="E58" s="672"/>
      <c r="F58" s="672"/>
      <c r="G58" s="672"/>
      <c r="H58" s="672"/>
      <c r="I58" s="672"/>
      <c r="J58" s="672"/>
    </row>
    <row r="59" spans="1:10" x14ac:dyDescent="0.25">
      <c r="A59" s="672"/>
      <c r="B59" s="672"/>
      <c r="C59" s="672"/>
      <c r="D59" s="672"/>
      <c r="E59" s="672"/>
      <c r="F59" s="672"/>
      <c r="G59" s="672"/>
      <c r="H59" s="672"/>
      <c r="I59" s="672"/>
      <c r="J59" s="672"/>
    </row>
    <row r="60" spans="1:10" x14ac:dyDescent="0.25">
      <c r="A60" s="672"/>
      <c r="B60" s="672"/>
      <c r="C60" s="672"/>
      <c r="D60" s="672"/>
      <c r="E60" s="672"/>
      <c r="F60" s="672"/>
      <c r="G60" s="672"/>
      <c r="H60" s="672"/>
      <c r="I60" s="672"/>
      <c r="J60" s="672"/>
    </row>
    <row r="61" spans="1:10" x14ac:dyDescent="0.25">
      <c r="A61" s="672"/>
      <c r="B61" s="672"/>
      <c r="C61" s="672"/>
      <c r="D61" s="672"/>
      <c r="E61" s="672"/>
      <c r="F61" s="672"/>
      <c r="G61" s="672"/>
      <c r="H61" s="672"/>
      <c r="I61" s="672"/>
      <c r="J61" s="672"/>
    </row>
    <row r="62" spans="1:10" x14ac:dyDescent="0.25">
      <c r="A62" s="672"/>
      <c r="B62" s="672"/>
      <c r="C62" s="672"/>
      <c r="D62" s="672"/>
      <c r="E62" s="672"/>
      <c r="F62" s="672"/>
      <c r="G62" s="672"/>
      <c r="H62" s="672"/>
      <c r="I62" s="672"/>
      <c r="J62" s="672"/>
    </row>
    <row r="63" spans="1:10" x14ac:dyDescent="0.25">
      <c r="A63" s="672"/>
      <c r="B63" s="672"/>
      <c r="C63" s="672"/>
      <c r="D63" s="672"/>
      <c r="E63" s="672"/>
      <c r="F63" s="672"/>
      <c r="G63" s="672"/>
      <c r="H63" s="672"/>
      <c r="I63" s="672"/>
      <c r="J63" s="672"/>
    </row>
    <row r="64" spans="1:10" x14ac:dyDescent="0.25">
      <c r="A64" s="672"/>
      <c r="B64" s="672"/>
      <c r="C64" s="672"/>
      <c r="D64" s="672"/>
      <c r="E64" s="672"/>
      <c r="F64" s="672"/>
      <c r="G64" s="672"/>
      <c r="H64" s="672"/>
      <c r="I64" s="672"/>
      <c r="J64" s="672"/>
    </row>
    <row r="65" spans="1:10" x14ac:dyDescent="0.25">
      <c r="A65" s="672"/>
      <c r="B65" s="672"/>
      <c r="C65" s="672"/>
      <c r="D65" s="672"/>
      <c r="E65" s="672"/>
      <c r="F65" s="672"/>
      <c r="G65" s="672"/>
      <c r="H65" s="672"/>
      <c r="I65" s="672"/>
      <c r="J65" s="672"/>
    </row>
    <row r="66" spans="1:10" x14ac:dyDescent="0.25">
      <c r="A66" s="672"/>
      <c r="B66" s="672"/>
      <c r="C66" s="672"/>
      <c r="D66" s="672"/>
      <c r="E66" s="672"/>
      <c r="F66" s="672"/>
      <c r="G66" s="672"/>
      <c r="H66" s="672"/>
      <c r="I66" s="672"/>
      <c r="J66" s="672"/>
    </row>
    <row r="67" spans="1:10" x14ac:dyDescent="0.25">
      <c r="A67" s="672"/>
      <c r="B67" s="672"/>
      <c r="C67" s="672"/>
      <c r="D67" s="672"/>
      <c r="E67" s="672"/>
      <c r="F67" s="672"/>
      <c r="G67" s="672"/>
      <c r="H67" s="672"/>
      <c r="I67" s="672"/>
      <c r="J67" s="672"/>
    </row>
    <row r="68" spans="1:10" x14ac:dyDescent="0.25">
      <c r="A68" s="672"/>
      <c r="B68" s="672"/>
      <c r="C68" s="672"/>
      <c r="D68" s="672"/>
      <c r="E68" s="672"/>
      <c r="F68" s="672"/>
      <c r="G68" s="672"/>
      <c r="H68" s="672"/>
      <c r="I68" s="672"/>
      <c r="J68" s="672"/>
    </row>
    <row r="69" spans="1:10" x14ac:dyDescent="0.25">
      <c r="A69" s="672"/>
      <c r="B69" s="672"/>
      <c r="C69" s="672"/>
      <c r="D69" s="672"/>
      <c r="E69" s="672"/>
      <c r="F69" s="672"/>
      <c r="G69" s="672"/>
      <c r="H69" s="672"/>
      <c r="I69" s="672"/>
      <c r="J69" s="672"/>
    </row>
    <row r="70" spans="1:10" x14ac:dyDescent="0.25">
      <c r="A70" s="672"/>
      <c r="B70" s="672"/>
      <c r="C70" s="672"/>
      <c r="D70" s="672"/>
      <c r="E70" s="672"/>
      <c r="F70" s="672"/>
      <c r="G70" s="672"/>
      <c r="H70" s="672"/>
      <c r="I70" s="672"/>
      <c r="J70" s="672"/>
    </row>
    <row r="71" spans="1:10" x14ac:dyDescent="0.25">
      <c r="A71" s="672"/>
      <c r="B71" s="672"/>
      <c r="C71" s="672"/>
      <c r="D71" s="672"/>
      <c r="E71" s="672"/>
      <c r="F71" s="672"/>
      <c r="G71" s="672"/>
      <c r="H71" s="672"/>
      <c r="I71" s="672"/>
      <c r="J71" s="672"/>
    </row>
    <row r="72" spans="1:10" x14ac:dyDescent="0.25">
      <c r="A72" s="672"/>
      <c r="B72" s="672"/>
      <c r="C72" s="672"/>
      <c r="D72" s="672"/>
      <c r="E72" s="672"/>
      <c r="F72" s="672"/>
      <c r="G72" s="672"/>
      <c r="H72" s="672"/>
      <c r="I72" s="672"/>
      <c r="J72" s="672"/>
    </row>
    <row r="73" spans="1:10" x14ac:dyDescent="0.25">
      <c r="A73" s="672"/>
      <c r="B73" s="672"/>
      <c r="C73" s="672"/>
      <c r="D73" s="672"/>
      <c r="E73" s="672"/>
      <c r="F73" s="672"/>
      <c r="G73" s="672"/>
      <c r="H73" s="672"/>
      <c r="I73" s="672"/>
      <c r="J73" s="672"/>
    </row>
    <row r="74" spans="1:10" x14ac:dyDescent="0.25">
      <c r="A74" s="672"/>
      <c r="B74" s="672"/>
      <c r="C74" s="672"/>
      <c r="D74" s="672"/>
      <c r="E74" s="672"/>
      <c r="F74" s="672"/>
      <c r="G74" s="672"/>
      <c r="H74" s="672"/>
      <c r="I74" s="672"/>
      <c r="J74" s="672"/>
    </row>
    <row r="75" spans="1:10" x14ac:dyDescent="0.25">
      <c r="A75" s="672"/>
      <c r="B75" s="672"/>
      <c r="C75" s="672"/>
      <c r="D75" s="672"/>
      <c r="E75" s="672"/>
      <c r="F75" s="672"/>
      <c r="G75" s="672"/>
      <c r="H75" s="672"/>
      <c r="I75" s="672"/>
      <c r="J75" s="672"/>
    </row>
    <row r="76" spans="1:10" x14ac:dyDescent="0.25">
      <c r="A76" s="672"/>
      <c r="B76" s="672"/>
      <c r="C76" s="672"/>
      <c r="D76" s="672"/>
      <c r="E76" s="672"/>
      <c r="F76" s="672"/>
      <c r="G76" s="672"/>
      <c r="H76" s="672"/>
      <c r="I76" s="672"/>
      <c r="J76" s="672"/>
    </row>
    <row r="77" spans="1:10" x14ac:dyDescent="0.25">
      <c r="A77" s="672"/>
      <c r="B77" s="672"/>
      <c r="C77" s="672"/>
      <c r="D77" s="672"/>
      <c r="E77" s="672"/>
      <c r="F77" s="672"/>
      <c r="G77" s="672"/>
      <c r="H77" s="672"/>
      <c r="I77" s="672"/>
      <c r="J77" s="672"/>
    </row>
    <row r="78" spans="1:10" x14ac:dyDescent="0.25">
      <c r="A78" s="672"/>
      <c r="B78" s="672"/>
      <c r="C78" s="672"/>
      <c r="D78" s="672"/>
      <c r="E78" s="672"/>
      <c r="F78" s="672"/>
      <c r="G78" s="672"/>
      <c r="H78" s="672"/>
      <c r="I78" s="672"/>
      <c r="J78" s="672"/>
    </row>
    <row r="79" spans="1:10" x14ac:dyDescent="0.25">
      <c r="A79" s="672"/>
      <c r="B79" s="672"/>
      <c r="C79" s="672"/>
      <c r="D79" s="672"/>
      <c r="E79" s="672"/>
      <c r="F79" s="672"/>
      <c r="G79" s="672"/>
      <c r="H79" s="672"/>
      <c r="I79" s="672"/>
      <c r="J79" s="672"/>
    </row>
    <row r="80" spans="1:10" x14ac:dyDescent="0.25">
      <c r="A80" s="672"/>
      <c r="B80" s="672"/>
      <c r="C80" s="672"/>
      <c r="D80" s="672"/>
      <c r="E80" s="672"/>
      <c r="F80" s="672"/>
      <c r="G80" s="672"/>
      <c r="H80" s="672"/>
      <c r="I80" s="672"/>
      <c r="J80" s="672"/>
    </row>
    <row r="81" spans="1:10" x14ac:dyDescent="0.25">
      <c r="A81" s="672"/>
      <c r="B81" s="672"/>
      <c r="C81" s="672"/>
      <c r="D81" s="672"/>
      <c r="E81" s="672"/>
      <c r="F81" s="672"/>
      <c r="G81" s="672"/>
      <c r="H81" s="672"/>
      <c r="I81" s="672"/>
      <c r="J81" s="672"/>
    </row>
    <row r="82" spans="1:10" x14ac:dyDescent="0.25">
      <c r="A82" s="672"/>
      <c r="B82" s="672"/>
      <c r="C82" s="672"/>
      <c r="D82" s="672"/>
      <c r="E82" s="672"/>
      <c r="F82" s="672"/>
      <c r="G82" s="672"/>
      <c r="H82" s="672"/>
      <c r="I82" s="672"/>
      <c r="J82" s="672"/>
    </row>
    <row r="83" spans="1:10" x14ac:dyDescent="0.25">
      <c r="A83" s="672"/>
      <c r="B83" s="672"/>
      <c r="C83" s="672"/>
      <c r="D83" s="672"/>
      <c r="E83" s="672"/>
      <c r="F83" s="672"/>
      <c r="G83" s="672"/>
      <c r="H83" s="672"/>
      <c r="I83" s="672"/>
      <c r="J83" s="672"/>
    </row>
    <row r="84" spans="1:10" x14ac:dyDescent="0.25">
      <c r="A84" s="672"/>
      <c r="B84" s="672"/>
      <c r="C84" s="672"/>
      <c r="D84" s="672"/>
      <c r="E84" s="672"/>
      <c r="F84" s="672"/>
      <c r="G84" s="672"/>
      <c r="H84" s="672"/>
      <c r="I84" s="672"/>
      <c r="J84" s="672"/>
    </row>
    <row r="85" spans="1:10" x14ac:dyDescent="0.25">
      <c r="A85" s="672"/>
      <c r="B85" s="672"/>
      <c r="C85" s="672"/>
      <c r="D85" s="672"/>
      <c r="E85" s="672"/>
      <c r="F85" s="672"/>
      <c r="G85" s="672"/>
      <c r="H85" s="672"/>
      <c r="I85" s="672"/>
      <c r="J85" s="672"/>
    </row>
    <row r="86" spans="1:10" x14ac:dyDescent="0.25">
      <c r="A86" s="672"/>
      <c r="B86" s="672"/>
      <c r="C86" s="672"/>
      <c r="D86" s="672"/>
      <c r="E86" s="672"/>
      <c r="F86" s="672"/>
      <c r="G86" s="672"/>
      <c r="H86" s="672"/>
      <c r="I86" s="672"/>
      <c r="J86" s="672"/>
    </row>
    <row r="87" spans="1:10" x14ac:dyDescent="0.25">
      <c r="A87" s="672"/>
      <c r="B87" s="672"/>
      <c r="C87" s="672"/>
      <c r="D87" s="672"/>
      <c r="E87" s="672"/>
      <c r="F87" s="672"/>
      <c r="G87" s="672"/>
      <c r="H87" s="672"/>
      <c r="I87" s="672"/>
      <c r="J87" s="672"/>
    </row>
    <row r="88" spans="1:10" x14ac:dyDescent="0.25">
      <c r="A88" s="672"/>
      <c r="B88" s="672"/>
      <c r="C88" s="672"/>
      <c r="D88" s="672"/>
      <c r="E88" s="672"/>
      <c r="F88" s="672"/>
      <c r="G88" s="672"/>
      <c r="H88" s="672"/>
      <c r="I88" s="672"/>
      <c r="J88" s="672"/>
    </row>
    <row r="89" spans="1:10" x14ac:dyDescent="0.25">
      <c r="A89" s="672"/>
      <c r="B89" s="672"/>
      <c r="C89" s="672"/>
      <c r="D89" s="672"/>
      <c r="E89" s="672"/>
      <c r="F89" s="672"/>
      <c r="G89" s="672"/>
      <c r="H89" s="672"/>
      <c r="I89" s="672"/>
      <c r="J89" s="672"/>
    </row>
    <row r="90" spans="1:10" x14ac:dyDescent="0.25">
      <c r="A90" s="672"/>
      <c r="B90" s="672"/>
      <c r="C90" s="672"/>
      <c r="D90" s="672"/>
      <c r="E90" s="672"/>
      <c r="F90" s="672"/>
      <c r="G90" s="672"/>
      <c r="H90" s="672"/>
      <c r="I90" s="672"/>
      <c r="J90" s="672"/>
    </row>
    <row r="91" spans="1:10" x14ac:dyDescent="0.25">
      <c r="A91" s="672"/>
      <c r="B91" s="672"/>
      <c r="C91" s="672"/>
      <c r="D91" s="672"/>
      <c r="E91" s="672"/>
      <c r="F91" s="672"/>
      <c r="G91" s="672"/>
      <c r="H91" s="672"/>
      <c r="I91" s="672"/>
      <c r="J91" s="672"/>
    </row>
    <row r="92" spans="1:10" x14ac:dyDescent="0.25">
      <c r="A92" s="672"/>
      <c r="B92" s="672"/>
      <c r="C92" s="672"/>
      <c r="D92" s="672"/>
      <c r="E92" s="672"/>
      <c r="F92" s="672"/>
      <c r="G92" s="672"/>
      <c r="H92" s="672"/>
      <c r="I92" s="672"/>
      <c r="J92" s="672"/>
    </row>
    <row r="93" spans="1:10" x14ac:dyDescent="0.25">
      <c r="A93" s="672"/>
      <c r="B93" s="672"/>
      <c r="C93" s="672"/>
      <c r="D93" s="672"/>
      <c r="E93" s="672"/>
      <c r="F93" s="672"/>
      <c r="G93" s="672"/>
      <c r="H93" s="672"/>
      <c r="I93" s="672"/>
      <c r="J93" s="672"/>
    </row>
    <row r="94" spans="1:10" x14ac:dyDescent="0.25">
      <c r="A94" s="672"/>
      <c r="B94" s="672"/>
      <c r="C94" s="672"/>
      <c r="D94" s="672"/>
      <c r="E94" s="672"/>
      <c r="F94" s="672"/>
      <c r="G94" s="672"/>
      <c r="H94" s="672"/>
      <c r="I94" s="672"/>
      <c r="J94" s="672"/>
    </row>
    <row r="95" spans="1:10" x14ac:dyDescent="0.25">
      <c r="A95" s="672"/>
      <c r="B95" s="672"/>
      <c r="C95" s="672"/>
      <c r="D95" s="672"/>
      <c r="E95" s="672"/>
      <c r="F95" s="672"/>
      <c r="G95" s="672"/>
      <c r="H95" s="672"/>
      <c r="I95" s="672"/>
      <c r="J95" s="672"/>
    </row>
    <row r="96" spans="1:10" x14ac:dyDescent="0.25">
      <c r="A96" s="672"/>
      <c r="B96" s="672"/>
      <c r="C96" s="672"/>
      <c r="D96" s="672"/>
      <c r="E96" s="672"/>
      <c r="F96" s="672"/>
      <c r="G96" s="672"/>
      <c r="H96" s="672"/>
      <c r="I96" s="672"/>
      <c r="J96" s="672"/>
    </row>
    <row r="97" spans="1:10" x14ac:dyDescent="0.25">
      <c r="A97" s="672"/>
      <c r="B97" s="672"/>
      <c r="C97" s="672"/>
      <c r="D97" s="672"/>
      <c r="E97" s="672"/>
      <c r="F97" s="672"/>
      <c r="G97" s="672"/>
      <c r="H97" s="672"/>
      <c r="I97" s="672"/>
      <c r="J97" s="672"/>
    </row>
    <row r="98" spans="1:10" x14ac:dyDescent="0.25">
      <c r="A98" s="672"/>
      <c r="B98" s="672"/>
      <c r="C98" s="672"/>
      <c r="D98" s="672"/>
      <c r="E98" s="672"/>
      <c r="F98" s="672"/>
      <c r="G98" s="672"/>
      <c r="H98" s="672"/>
      <c r="I98" s="672"/>
      <c r="J98" s="672"/>
    </row>
    <row r="99" spans="1:10" x14ac:dyDescent="0.25">
      <c r="A99" s="672"/>
      <c r="B99" s="672"/>
      <c r="C99" s="672"/>
      <c r="D99" s="672"/>
      <c r="E99" s="672"/>
      <c r="F99" s="672"/>
      <c r="G99" s="672"/>
      <c r="H99" s="672"/>
      <c r="I99" s="672"/>
      <c r="J99" s="672"/>
    </row>
    <row r="100" spans="1:10" x14ac:dyDescent="0.25">
      <c r="A100" s="672"/>
      <c r="B100" s="672"/>
      <c r="C100" s="672"/>
      <c r="D100" s="672"/>
      <c r="E100" s="672"/>
      <c r="F100" s="672"/>
      <c r="G100" s="672"/>
      <c r="H100" s="672"/>
      <c r="I100" s="672"/>
      <c r="J100" s="672"/>
    </row>
    <row r="101" spans="1:10" x14ac:dyDescent="0.25">
      <c r="A101" s="672"/>
      <c r="B101" s="672"/>
      <c r="C101" s="672"/>
      <c r="D101" s="672"/>
      <c r="E101" s="672"/>
      <c r="F101" s="672"/>
      <c r="G101" s="672"/>
      <c r="H101" s="672"/>
      <c r="I101" s="672"/>
      <c r="J101" s="672"/>
    </row>
    <row r="102" spans="1:10" x14ac:dyDescent="0.25">
      <c r="A102" s="672"/>
      <c r="B102" s="672"/>
      <c r="C102" s="672"/>
      <c r="D102" s="672"/>
      <c r="E102" s="672"/>
      <c r="F102" s="672"/>
      <c r="G102" s="672"/>
      <c r="H102" s="672"/>
      <c r="I102" s="672"/>
      <c r="J102" s="672"/>
    </row>
    <row r="103" spans="1:10" x14ac:dyDescent="0.25">
      <c r="A103" s="672"/>
      <c r="B103" s="672"/>
      <c r="C103" s="672"/>
      <c r="D103" s="672"/>
      <c r="E103" s="672"/>
      <c r="F103" s="672"/>
      <c r="G103" s="672"/>
      <c r="H103" s="672"/>
      <c r="I103" s="672"/>
      <c r="J103" s="672"/>
    </row>
    <row r="104" spans="1:10" x14ac:dyDescent="0.25">
      <c r="A104" s="672"/>
      <c r="B104" s="672"/>
      <c r="C104" s="672"/>
      <c r="D104" s="672"/>
      <c r="E104" s="672"/>
      <c r="F104" s="672"/>
      <c r="G104" s="672"/>
      <c r="H104" s="672"/>
      <c r="I104" s="672"/>
      <c r="J104" s="672"/>
    </row>
    <row r="105" spans="1:10" x14ac:dyDescent="0.25">
      <c r="A105" s="672"/>
      <c r="B105" s="672"/>
      <c r="C105" s="672"/>
      <c r="D105" s="672"/>
      <c r="E105" s="672"/>
      <c r="F105" s="672"/>
      <c r="G105" s="672"/>
      <c r="H105" s="672"/>
      <c r="I105" s="672"/>
      <c r="J105" s="672"/>
    </row>
    <row r="106" spans="1:10" x14ac:dyDescent="0.25">
      <c r="A106" s="672"/>
      <c r="B106" s="672"/>
      <c r="C106" s="672"/>
      <c r="D106" s="672"/>
      <c r="E106" s="672"/>
      <c r="F106" s="672"/>
      <c r="G106" s="672"/>
      <c r="H106" s="672"/>
      <c r="I106" s="672"/>
      <c r="J106" s="672"/>
    </row>
    <row r="107" spans="1:10" x14ac:dyDescent="0.25">
      <c r="A107" s="672"/>
      <c r="B107" s="672"/>
      <c r="C107" s="672"/>
      <c r="D107" s="672"/>
      <c r="E107" s="672"/>
      <c r="F107" s="672"/>
      <c r="G107" s="672"/>
      <c r="H107" s="672"/>
      <c r="I107" s="672"/>
      <c r="J107" s="672"/>
    </row>
    <row r="108" spans="1:10" x14ac:dyDescent="0.25">
      <c r="A108" s="672"/>
      <c r="B108" s="672"/>
      <c r="C108" s="672"/>
      <c r="D108" s="672"/>
      <c r="E108" s="672"/>
      <c r="F108" s="672"/>
      <c r="G108" s="672"/>
      <c r="H108" s="672"/>
      <c r="I108" s="672"/>
      <c r="J108" s="672"/>
    </row>
    <row r="109" spans="1:10" x14ac:dyDescent="0.25">
      <c r="A109" s="672"/>
      <c r="B109" s="672"/>
      <c r="C109" s="672"/>
      <c r="D109" s="672"/>
      <c r="E109" s="672"/>
      <c r="F109" s="672"/>
      <c r="G109" s="672"/>
      <c r="H109" s="672"/>
      <c r="I109" s="672"/>
      <c r="J109" s="672"/>
    </row>
    <row r="110" spans="1:10" x14ac:dyDescent="0.25">
      <c r="A110" s="672"/>
      <c r="B110" s="672"/>
      <c r="C110" s="672"/>
      <c r="D110" s="672"/>
      <c r="E110" s="672"/>
      <c r="F110" s="672"/>
      <c r="G110" s="672"/>
      <c r="H110" s="672"/>
      <c r="I110" s="672"/>
      <c r="J110" s="672"/>
    </row>
    <row r="111" spans="1:10" x14ac:dyDescent="0.25">
      <c r="A111" s="672"/>
      <c r="B111" s="672"/>
      <c r="C111" s="672"/>
      <c r="D111" s="672"/>
      <c r="E111" s="672"/>
      <c r="F111" s="672"/>
      <c r="G111" s="672"/>
      <c r="H111" s="672"/>
      <c r="I111" s="672"/>
      <c r="J111" s="672"/>
    </row>
    <row r="112" spans="1:10" x14ac:dyDescent="0.25">
      <c r="A112" s="672"/>
      <c r="B112" s="672"/>
      <c r="C112" s="672"/>
      <c r="D112" s="672"/>
      <c r="E112" s="672"/>
      <c r="F112" s="672"/>
      <c r="G112" s="672"/>
      <c r="H112" s="672"/>
      <c r="I112" s="672"/>
      <c r="J112" s="672"/>
    </row>
    <row r="113" spans="1:10" x14ac:dyDescent="0.25">
      <c r="A113" s="672"/>
      <c r="B113" s="672"/>
      <c r="C113" s="672"/>
      <c r="D113" s="672"/>
      <c r="E113" s="672"/>
      <c r="F113" s="672"/>
      <c r="G113" s="672"/>
      <c r="H113" s="672"/>
      <c r="I113" s="672"/>
      <c r="J113" s="672"/>
    </row>
    <row r="114" spans="1:10" x14ac:dyDescent="0.25">
      <c r="A114" s="672"/>
      <c r="B114" s="672"/>
      <c r="C114" s="672"/>
      <c r="D114" s="672"/>
      <c r="E114" s="672"/>
      <c r="F114" s="672"/>
      <c r="G114" s="672"/>
      <c r="H114" s="672"/>
      <c r="I114" s="672"/>
      <c r="J114" s="672"/>
    </row>
    <row r="115" spans="1:10" x14ac:dyDescent="0.25">
      <c r="A115" s="672"/>
      <c r="B115" s="672"/>
      <c r="C115" s="672"/>
      <c r="D115" s="672"/>
      <c r="E115" s="672"/>
      <c r="F115" s="672"/>
      <c r="G115" s="672"/>
      <c r="H115" s="672"/>
      <c r="I115" s="672"/>
      <c r="J115" s="672"/>
    </row>
    <row r="116" spans="1:10" x14ac:dyDescent="0.25">
      <c r="A116" s="672"/>
      <c r="B116" s="672"/>
      <c r="C116" s="672"/>
      <c r="D116" s="672"/>
      <c r="E116" s="672"/>
      <c r="F116" s="672"/>
      <c r="G116" s="672"/>
      <c r="H116" s="672"/>
      <c r="I116" s="672"/>
      <c r="J116" s="672"/>
    </row>
    <row r="117" spans="1:10" x14ac:dyDescent="0.25">
      <c r="A117" s="672"/>
      <c r="B117" s="672"/>
      <c r="C117" s="672"/>
      <c r="D117" s="672"/>
      <c r="E117" s="672"/>
      <c r="F117" s="672"/>
      <c r="G117" s="672"/>
      <c r="H117" s="672"/>
      <c r="I117" s="672"/>
      <c r="J117" s="672"/>
    </row>
    <row r="118" spans="1:10" x14ac:dyDescent="0.25">
      <c r="A118" s="672"/>
      <c r="B118" s="672"/>
      <c r="C118" s="672"/>
      <c r="D118" s="672"/>
      <c r="E118" s="672"/>
      <c r="F118" s="672"/>
      <c r="G118" s="672"/>
      <c r="H118" s="672"/>
      <c r="I118" s="672"/>
      <c r="J118" s="672"/>
    </row>
    <row r="119" spans="1:10" x14ac:dyDescent="0.25">
      <c r="A119" s="672"/>
      <c r="B119" s="672"/>
      <c r="C119" s="672"/>
      <c r="D119" s="672"/>
      <c r="E119" s="672"/>
      <c r="F119" s="672"/>
      <c r="G119" s="672"/>
      <c r="H119" s="672"/>
      <c r="I119" s="672"/>
      <c r="J119" s="672"/>
    </row>
    <row r="120" spans="1:10" x14ac:dyDescent="0.25">
      <c r="A120" s="672"/>
      <c r="B120" s="672"/>
      <c r="C120" s="672"/>
      <c r="D120" s="672"/>
      <c r="E120" s="672"/>
      <c r="F120" s="672"/>
      <c r="G120" s="672"/>
      <c r="H120" s="672"/>
      <c r="I120" s="672"/>
      <c r="J120" s="672"/>
    </row>
    <row r="121" spans="1:10" x14ac:dyDescent="0.25">
      <c r="A121" s="672"/>
      <c r="B121" s="672"/>
      <c r="C121" s="672"/>
      <c r="D121" s="672"/>
      <c r="E121" s="672"/>
      <c r="F121" s="672"/>
      <c r="G121" s="672"/>
      <c r="H121" s="672"/>
      <c r="I121" s="672"/>
      <c r="J121" s="672"/>
    </row>
    <row r="122" spans="1:10" x14ac:dyDescent="0.25">
      <c r="A122" s="672"/>
      <c r="B122" s="672"/>
      <c r="C122" s="672"/>
      <c r="D122" s="672"/>
      <c r="E122" s="672"/>
      <c r="F122" s="672"/>
      <c r="G122" s="672"/>
      <c r="H122" s="672"/>
      <c r="I122" s="672"/>
      <c r="J122" s="672"/>
    </row>
    <row r="123" spans="1:10" x14ac:dyDescent="0.25">
      <c r="A123" s="672"/>
      <c r="B123" s="672"/>
      <c r="C123" s="672"/>
      <c r="D123" s="672"/>
      <c r="E123" s="672"/>
      <c r="F123" s="672"/>
      <c r="G123" s="672"/>
      <c r="H123" s="672"/>
      <c r="I123" s="672"/>
      <c r="J123" s="672"/>
    </row>
    <row r="124" spans="1:10" x14ac:dyDescent="0.25">
      <c r="A124" s="672"/>
      <c r="B124" s="672"/>
      <c r="C124" s="672"/>
      <c r="D124" s="672"/>
      <c r="E124" s="672"/>
      <c r="F124" s="672"/>
      <c r="G124" s="672"/>
      <c r="H124" s="672"/>
      <c r="I124" s="672"/>
      <c r="J124" s="672"/>
    </row>
    <row r="125" spans="1:10" x14ac:dyDescent="0.25">
      <c r="A125" s="672"/>
      <c r="B125" s="672"/>
      <c r="C125" s="672"/>
      <c r="D125" s="672"/>
      <c r="E125" s="672"/>
      <c r="F125" s="672"/>
      <c r="G125" s="672"/>
      <c r="H125" s="672"/>
      <c r="I125" s="672"/>
      <c r="J125" s="672"/>
    </row>
    <row r="126" spans="1:10" x14ac:dyDescent="0.25">
      <c r="A126" s="672"/>
      <c r="B126" s="672"/>
      <c r="C126" s="672"/>
      <c r="D126" s="672"/>
      <c r="E126" s="672"/>
      <c r="F126" s="672"/>
      <c r="G126" s="672"/>
      <c r="H126" s="672"/>
      <c r="I126" s="672"/>
      <c r="J126" s="672"/>
    </row>
    <row r="127" spans="1:10" x14ac:dyDescent="0.25">
      <c r="A127" s="672"/>
      <c r="B127" s="672"/>
      <c r="C127" s="672"/>
      <c r="D127" s="672"/>
      <c r="E127" s="672"/>
      <c r="F127" s="672"/>
      <c r="G127" s="672"/>
      <c r="H127" s="672"/>
      <c r="I127" s="672"/>
      <c r="J127" s="672"/>
    </row>
    <row r="128" spans="1:10" x14ac:dyDescent="0.25">
      <c r="A128" s="672"/>
      <c r="B128" s="672"/>
      <c r="C128" s="672"/>
      <c r="D128" s="672"/>
      <c r="E128" s="672"/>
      <c r="F128" s="672"/>
      <c r="G128" s="672"/>
      <c r="H128" s="672"/>
      <c r="I128" s="672"/>
      <c r="J128" s="672"/>
    </row>
    <row r="129" spans="1:10" x14ac:dyDescent="0.25">
      <c r="A129" s="672"/>
      <c r="B129" s="672"/>
      <c r="C129" s="672"/>
      <c r="D129" s="672"/>
      <c r="E129" s="672"/>
      <c r="F129" s="672"/>
      <c r="G129" s="672"/>
      <c r="H129" s="672"/>
      <c r="I129" s="672"/>
      <c r="J129" s="672"/>
    </row>
    <row r="130" spans="1:10" x14ac:dyDescent="0.25">
      <c r="A130" s="672"/>
      <c r="B130" s="672"/>
      <c r="C130" s="672"/>
      <c r="D130" s="672"/>
      <c r="E130" s="672"/>
      <c r="F130" s="672"/>
      <c r="G130" s="672"/>
      <c r="H130" s="672"/>
      <c r="I130" s="672"/>
      <c r="J130" s="672"/>
    </row>
    <row r="131" spans="1:10" x14ac:dyDescent="0.25">
      <c r="A131" s="672"/>
      <c r="B131" s="672"/>
      <c r="C131" s="672"/>
      <c r="D131" s="672"/>
      <c r="E131" s="672"/>
      <c r="F131" s="672"/>
      <c r="G131" s="672"/>
      <c r="H131" s="672"/>
      <c r="I131" s="672"/>
      <c r="J131" s="672"/>
    </row>
    <row r="132" spans="1:10" x14ac:dyDescent="0.25">
      <c r="A132" s="672"/>
      <c r="B132" s="672"/>
      <c r="C132" s="672"/>
      <c r="D132" s="672"/>
      <c r="E132" s="672"/>
      <c r="F132" s="672"/>
      <c r="G132" s="672"/>
      <c r="H132" s="672"/>
      <c r="I132" s="672"/>
      <c r="J132" s="672"/>
    </row>
    <row r="133" spans="1:10" x14ac:dyDescent="0.25">
      <c r="A133" s="672"/>
      <c r="B133" s="672"/>
      <c r="C133" s="672"/>
      <c r="D133" s="672"/>
      <c r="E133" s="672"/>
      <c r="F133" s="672"/>
      <c r="G133" s="672"/>
      <c r="H133" s="672"/>
      <c r="I133" s="672"/>
      <c r="J133" s="672"/>
    </row>
    <row r="134" spans="1:10" x14ac:dyDescent="0.25">
      <c r="A134" s="672"/>
      <c r="B134" s="672"/>
      <c r="C134" s="672"/>
      <c r="D134" s="672"/>
      <c r="E134" s="672"/>
      <c r="F134" s="672"/>
      <c r="G134" s="672"/>
      <c r="H134" s="672"/>
      <c r="I134" s="672"/>
      <c r="J134" s="672"/>
    </row>
    <row r="135" spans="1:10" x14ac:dyDescent="0.25">
      <c r="A135" s="672"/>
      <c r="B135" s="672"/>
      <c r="C135" s="672"/>
      <c r="D135" s="672"/>
      <c r="E135" s="672"/>
      <c r="F135" s="672"/>
      <c r="G135" s="672"/>
      <c r="H135" s="672"/>
      <c r="I135" s="672"/>
      <c r="J135" s="672"/>
    </row>
  </sheetData>
  <mergeCells count="36">
    <mergeCell ref="A26:H26"/>
    <mergeCell ref="A36:J36"/>
    <mergeCell ref="C41:I41"/>
    <mergeCell ref="A43:J43"/>
    <mergeCell ref="A44:J44"/>
    <mergeCell ref="A38:J38"/>
    <mergeCell ref="A39:J39"/>
    <mergeCell ref="C35:I35"/>
    <mergeCell ref="B29:I29"/>
    <mergeCell ref="B30:I30"/>
    <mergeCell ref="B31:H31"/>
    <mergeCell ref="A32:I32"/>
    <mergeCell ref="B33:I33"/>
    <mergeCell ref="A27:J27"/>
    <mergeCell ref="C6:I6"/>
    <mergeCell ref="C7:I7"/>
    <mergeCell ref="A8:J8"/>
    <mergeCell ref="C25:I25"/>
    <mergeCell ref="A9:J9"/>
    <mergeCell ref="A10:J10"/>
    <mergeCell ref="A2:J2"/>
    <mergeCell ref="D3:H3"/>
    <mergeCell ref="B23:G23"/>
    <mergeCell ref="B20:G20"/>
    <mergeCell ref="B15:G15"/>
    <mergeCell ref="B16:G16"/>
    <mergeCell ref="B11:G11"/>
    <mergeCell ref="B12:G12"/>
    <mergeCell ref="B13:G13"/>
    <mergeCell ref="B14:G14"/>
    <mergeCell ref="B17:I17"/>
    <mergeCell ref="B18:G18"/>
    <mergeCell ref="B19:G19"/>
    <mergeCell ref="B21:G21"/>
    <mergeCell ref="B22:G22"/>
    <mergeCell ref="C4:I4"/>
  </mergeCells>
  <conditionalFormatting sqref="I16 I14">
    <cfRule type="cellIs" dxfId="8" priority="4" operator="lessThan">
      <formula>0</formula>
    </cfRule>
  </conditionalFormatting>
  <pageMargins left="0.51181102362204722" right="0.11811023622047245" top="0.74803149606299213" bottom="0.74803149606299213" header="0.31496062992125984" footer="0.31496062992125984"/>
  <pageSetup paperSize="9" scale="8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109" workbookViewId="0">
      <selection activeCell="B115" sqref="B115"/>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1205" t="s">
        <v>93</v>
      </c>
      <c r="B1" s="1205"/>
      <c r="G1" s="1206" t="s">
        <v>233</v>
      </c>
      <c r="H1" s="1206"/>
      <c r="L1" s="1207" t="s">
        <v>264</v>
      </c>
      <c r="M1" s="1207"/>
      <c r="N1" s="63"/>
      <c r="O1" s="63"/>
      <c r="P1" s="63" t="s">
        <v>3555</v>
      </c>
    </row>
    <row r="2" spans="1:18" x14ac:dyDescent="0.25">
      <c r="A2" s="54">
        <v>0</v>
      </c>
      <c r="B2" s="53" t="s">
        <v>94</v>
      </c>
      <c r="G2" s="526" t="s">
        <v>234</v>
      </c>
      <c r="H2" s="527" t="s">
        <v>235</v>
      </c>
      <c r="L2" s="64" t="s">
        <v>3554</v>
      </c>
      <c r="M2" s="64" t="s">
        <v>22</v>
      </c>
      <c r="P2" s="62" t="s">
        <v>3601</v>
      </c>
      <c r="Q2" s="62" t="s">
        <v>3602</v>
      </c>
      <c r="R2" s="62" t="s">
        <v>3603</v>
      </c>
    </row>
    <row r="3" spans="1:18" x14ac:dyDescent="0.25">
      <c r="A3" s="57">
        <v>10</v>
      </c>
      <c r="B3" s="56" t="s">
        <v>95</v>
      </c>
      <c r="G3" s="526" t="s">
        <v>236</v>
      </c>
      <c r="H3" s="527" t="s">
        <v>237</v>
      </c>
      <c r="L3" s="65">
        <v>0</v>
      </c>
      <c r="M3" t="s">
        <v>265</v>
      </c>
      <c r="O3" s="61"/>
      <c r="P3" s="67" t="s">
        <v>3663</v>
      </c>
      <c r="Q3" s="68" t="s">
        <v>3557</v>
      </c>
      <c r="R3" s="69" t="s">
        <v>3558</v>
      </c>
    </row>
    <row r="4" spans="1:18" x14ac:dyDescent="0.25">
      <c r="A4" s="57">
        <v>20</v>
      </c>
      <c r="B4" s="56" t="s">
        <v>96</v>
      </c>
      <c r="G4" s="526" t="s">
        <v>238</v>
      </c>
      <c r="H4" s="527" t="s">
        <v>239</v>
      </c>
      <c r="L4" s="65">
        <v>10000</v>
      </c>
      <c r="M4" t="s">
        <v>266</v>
      </c>
      <c r="O4" s="60"/>
      <c r="P4" s="67" t="s">
        <v>3664</v>
      </c>
      <c r="Q4" s="68" t="s">
        <v>3560</v>
      </c>
      <c r="R4" s="69" t="s">
        <v>3561</v>
      </c>
    </row>
    <row r="5" spans="1:18" x14ac:dyDescent="0.25">
      <c r="A5" s="57">
        <v>30</v>
      </c>
      <c r="B5" s="56" t="s">
        <v>97</v>
      </c>
      <c r="G5" s="526" t="s">
        <v>240</v>
      </c>
      <c r="H5" s="527" t="s">
        <v>241</v>
      </c>
      <c r="L5" s="65">
        <v>11000</v>
      </c>
      <c r="M5" t="s">
        <v>267</v>
      </c>
      <c r="P5" s="67" t="s">
        <v>3665</v>
      </c>
      <c r="Q5" s="68" t="s">
        <v>3563</v>
      </c>
      <c r="R5" s="69" t="s">
        <v>3564</v>
      </c>
    </row>
    <row r="6" spans="1:18" x14ac:dyDescent="0.25">
      <c r="A6" s="57">
        <v>40</v>
      </c>
      <c r="B6" s="56" t="s">
        <v>98</v>
      </c>
      <c r="G6" s="526" t="s">
        <v>242</v>
      </c>
      <c r="H6" s="527" t="s">
        <v>243</v>
      </c>
      <c r="L6" s="65">
        <v>11100</v>
      </c>
      <c r="M6" t="s">
        <v>268</v>
      </c>
      <c r="P6" s="67" t="s">
        <v>3666</v>
      </c>
      <c r="Q6" s="68" t="s">
        <v>3566</v>
      </c>
      <c r="R6" s="69" t="s">
        <v>3567</v>
      </c>
    </row>
    <row r="7" spans="1:18" x14ac:dyDescent="0.25">
      <c r="A7" s="57">
        <v>50</v>
      </c>
      <c r="B7" s="56" t="s">
        <v>99</v>
      </c>
      <c r="G7" s="526" t="s">
        <v>244</v>
      </c>
      <c r="H7" s="527" t="s">
        <v>245</v>
      </c>
      <c r="L7" s="65">
        <v>11110</v>
      </c>
      <c r="M7" t="s">
        <v>269</v>
      </c>
      <c r="P7" s="67" t="s">
        <v>3667</v>
      </c>
      <c r="Q7" s="68" t="s">
        <v>3569</v>
      </c>
      <c r="R7" s="69" t="s">
        <v>3570</v>
      </c>
    </row>
    <row r="8" spans="1:18" x14ac:dyDescent="0.25">
      <c r="A8" s="57">
        <v>60</v>
      </c>
      <c r="B8" s="56" t="s">
        <v>100</v>
      </c>
      <c r="G8" s="526" t="s">
        <v>246</v>
      </c>
      <c r="H8" s="527" t="s">
        <v>4994</v>
      </c>
      <c r="L8" s="65">
        <v>11111</v>
      </c>
      <c r="M8" t="s">
        <v>270</v>
      </c>
      <c r="P8" s="67" t="s">
        <v>3668</v>
      </c>
      <c r="Q8" s="68" t="s">
        <v>3572</v>
      </c>
      <c r="R8" s="69" t="s">
        <v>3573</v>
      </c>
    </row>
    <row r="9" spans="1:18" x14ac:dyDescent="0.25">
      <c r="A9" s="57">
        <v>70</v>
      </c>
      <c r="B9" s="56" t="s">
        <v>101</v>
      </c>
      <c r="G9" s="526" t="s">
        <v>247</v>
      </c>
      <c r="H9" s="527" t="s">
        <v>4995</v>
      </c>
      <c r="L9" s="65">
        <v>11112</v>
      </c>
      <c r="M9" t="s">
        <v>271</v>
      </c>
      <c r="P9" s="67" t="s">
        <v>3669</v>
      </c>
      <c r="Q9" s="68" t="s">
        <v>3575</v>
      </c>
      <c r="R9" s="69" t="s">
        <v>3576</v>
      </c>
    </row>
    <row r="10" spans="1:18" x14ac:dyDescent="0.25">
      <c r="A10" s="57">
        <v>80</v>
      </c>
      <c r="B10" s="56" t="s">
        <v>102</v>
      </c>
      <c r="G10" s="526" t="s">
        <v>248</v>
      </c>
      <c r="H10" s="527" t="s">
        <v>57</v>
      </c>
      <c r="L10" s="65">
        <v>11113</v>
      </c>
      <c r="M10" t="s">
        <v>272</v>
      </c>
      <c r="P10" s="67" t="s">
        <v>3670</v>
      </c>
      <c r="Q10" s="68" t="s">
        <v>3578</v>
      </c>
      <c r="R10" s="69" t="s">
        <v>3579</v>
      </c>
    </row>
    <row r="11" spans="1:18" x14ac:dyDescent="0.25">
      <c r="A11" s="57">
        <v>90</v>
      </c>
      <c r="B11" s="56" t="s">
        <v>103</v>
      </c>
      <c r="G11" s="526" t="s">
        <v>249</v>
      </c>
      <c r="H11" s="527" t="s">
        <v>250</v>
      </c>
      <c r="L11" s="65">
        <v>11115</v>
      </c>
      <c r="M11" t="s">
        <v>273</v>
      </c>
      <c r="P11" s="67" t="s">
        <v>3671</v>
      </c>
      <c r="Q11" s="68" t="s">
        <v>3581</v>
      </c>
      <c r="R11" s="69" t="s">
        <v>3582</v>
      </c>
    </row>
    <row r="12" spans="1:18" x14ac:dyDescent="0.25">
      <c r="A12" s="52">
        <v>100</v>
      </c>
      <c r="B12" s="53" t="s">
        <v>104</v>
      </c>
      <c r="G12" s="526" t="s">
        <v>251</v>
      </c>
      <c r="H12" s="527" t="s">
        <v>252</v>
      </c>
      <c r="L12" s="65">
        <v>11116</v>
      </c>
      <c r="M12" t="s">
        <v>274</v>
      </c>
      <c r="P12" s="67" t="s">
        <v>3672</v>
      </c>
      <c r="Q12" s="68" t="s">
        <v>3584</v>
      </c>
      <c r="R12" s="69" t="s">
        <v>3585</v>
      </c>
    </row>
    <row r="13" spans="1:18" x14ac:dyDescent="0.25">
      <c r="A13" s="55">
        <v>110</v>
      </c>
      <c r="B13" s="56" t="s">
        <v>105</v>
      </c>
      <c r="G13" s="526" t="s">
        <v>253</v>
      </c>
      <c r="H13" s="527" t="s">
        <v>254</v>
      </c>
      <c r="L13" s="65">
        <v>11117</v>
      </c>
      <c r="M13" t="s">
        <v>275</v>
      </c>
      <c r="P13" s="67" t="s">
        <v>3673</v>
      </c>
      <c r="Q13" s="68" t="s">
        <v>3587</v>
      </c>
      <c r="R13" s="69" t="s">
        <v>3588</v>
      </c>
    </row>
    <row r="14" spans="1:18" x14ac:dyDescent="0.25">
      <c r="A14" s="58">
        <v>111</v>
      </c>
      <c r="B14" s="59" t="s">
        <v>106</v>
      </c>
      <c r="G14" s="526" t="s">
        <v>255</v>
      </c>
      <c r="H14" s="527" t="s">
        <v>256</v>
      </c>
      <c r="L14" s="65">
        <v>11118</v>
      </c>
      <c r="M14" t="s">
        <v>276</v>
      </c>
      <c r="P14" s="67" t="s">
        <v>3674</v>
      </c>
      <c r="Q14" s="68" t="s">
        <v>3590</v>
      </c>
      <c r="R14" s="69" t="s">
        <v>3591</v>
      </c>
    </row>
    <row r="15" spans="1:18" x14ac:dyDescent="0.25">
      <c r="A15" s="58">
        <v>112</v>
      </c>
      <c r="B15" s="59" t="s">
        <v>107</v>
      </c>
      <c r="G15" s="526" t="s">
        <v>257</v>
      </c>
      <c r="H15" s="527" t="s">
        <v>258</v>
      </c>
      <c r="L15" s="65">
        <v>11119</v>
      </c>
      <c r="M15" t="s">
        <v>277</v>
      </c>
      <c r="P15" s="67" t="s">
        <v>3675</v>
      </c>
      <c r="Q15" s="68" t="s">
        <v>3593</v>
      </c>
      <c r="R15" s="69" t="s">
        <v>3594</v>
      </c>
    </row>
    <row r="16" spans="1:18" x14ac:dyDescent="0.25">
      <c r="A16" s="58">
        <v>113</v>
      </c>
      <c r="B16" s="59" t="s">
        <v>108</v>
      </c>
      <c r="G16" s="526" t="s">
        <v>259</v>
      </c>
      <c r="H16" s="527" t="s">
        <v>260</v>
      </c>
      <c r="L16" s="65">
        <v>11120</v>
      </c>
      <c r="M16" t="s">
        <v>278</v>
      </c>
      <c r="P16" s="67" t="s">
        <v>3676</v>
      </c>
      <c r="Q16" s="68" t="s">
        <v>3596</v>
      </c>
      <c r="R16" s="69" t="s">
        <v>3597</v>
      </c>
    </row>
    <row r="17" spans="1:30" x14ac:dyDescent="0.25">
      <c r="A17" s="55">
        <v>120</v>
      </c>
      <c r="B17" s="56" t="s">
        <v>109</v>
      </c>
      <c r="G17" s="526" t="s">
        <v>261</v>
      </c>
      <c r="H17" s="527" t="s">
        <v>262</v>
      </c>
      <c r="L17" s="65">
        <v>11121</v>
      </c>
      <c r="M17" t="s">
        <v>279</v>
      </c>
      <c r="P17" s="67" t="s">
        <v>3677</v>
      </c>
      <c r="Q17" s="68" t="s">
        <v>3599</v>
      </c>
      <c r="R17" s="69" t="s">
        <v>3600</v>
      </c>
    </row>
    <row r="18" spans="1:30" x14ac:dyDescent="0.25">
      <c r="A18" s="58">
        <v>121</v>
      </c>
      <c r="B18" s="59" t="s">
        <v>110</v>
      </c>
      <c r="L18" s="65">
        <v>11125</v>
      </c>
      <c r="M18" t="s">
        <v>280</v>
      </c>
    </row>
    <row r="19" spans="1:30" x14ac:dyDescent="0.25">
      <c r="A19" s="58">
        <v>122</v>
      </c>
      <c r="B19" s="59" t="s">
        <v>111</v>
      </c>
      <c r="L19" s="65">
        <v>11126</v>
      </c>
      <c r="M19" t="s">
        <v>281</v>
      </c>
    </row>
    <row r="20" spans="1:30" x14ac:dyDescent="0.25">
      <c r="A20" s="55">
        <v>130</v>
      </c>
      <c r="B20" s="56" t="s">
        <v>112</v>
      </c>
      <c r="L20" s="65">
        <v>11127</v>
      </c>
      <c r="M20" t="s">
        <v>282</v>
      </c>
    </row>
    <row r="21" spans="1:30" x14ac:dyDescent="0.25">
      <c r="A21" s="58">
        <v>131</v>
      </c>
      <c r="B21" s="59" t="s">
        <v>113</v>
      </c>
      <c r="L21" s="65">
        <v>11128</v>
      </c>
      <c r="M21" t="s">
        <v>283</v>
      </c>
    </row>
    <row r="22" spans="1:30" x14ac:dyDescent="0.25">
      <c r="A22" s="58">
        <v>132</v>
      </c>
      <c r="B22" s="59" t="s">
        <v>114</v>
      </c>
      <c r="L22" s="65">
        <v>11129</v>
      </c>
      <c r="M22" t="s">
        <v>284</v>
      </c>
    </row>
    <row r="23" spans="1:30" x14ac:dyDescent="0.25">
      <c r="A23" s="58">
        <v>133</v>
      </c>
      <c r="B23" s="59" t="s">
        <v>115</v>
      </c>
      <c r="L23" s="65">
        <v>11130</v>
      </c>
      <c r="M23" t="s">
        <v>285</v>
      </c>
      <c r="P23" s="70" t="s">
        <v>3556</v>
      </c>
      <c r="Q23" s="71" t="s">
        <v>3604</v>
      </c>
      <c r="R23" s="71" t="s">
        <v>3605</v>
      </c>
      <c r="S23" s="72"/>
      <c r="T23" s="72"/>
      <c r="U23" s="72"/>
      <c r="V23" s="72"/>
      <c r="W23" s="72"/>
      <c r="X23" s="72"/>
      <c r="Y23" s="72"/>
      <c r="Z23" s="72"/>
      <c r="AA23" s="72"/>
      <c r="AB23" s="72"/>
      <c r="AC23" s="72"/>
      <c r="AD23" s="72"/>
    </row>
    <row r="24" spans="1:30" x14ac:dyDescent="0.25">
      <c r="A24" s="55">
        <v>140</v>
      </c>
      <c r="B24" s="56" t="s">
        <v>116</v>
      </c>
      <c r="L24" s="65">
        <v>11131</v>
      </c>
      <c r="M24" t="s">
        <v>286</v>
      </c>
      <c r="P24" s="70" t="s">
        <v>3559</v>
      </c>
      <c r="Q24" s="71" t="s">
        <v>3606</v>
      </c>
      <c r="R24" s="71" t="s">
        <v>3607</v>
      </c>
      <c r="S24" s="71" t="s">
        <v>3608</v>
      </c>
      <c r="T24" s="71" t="s">
        <v>3609</v>
      </c>
      <c r="U24" s="71" t="s">
        <v>3610</v>
      </c>
      <c r="V24" s="71" t="s">
        <v>3611</v>
      </c>
      <c r="W24" s="71" t="s">
        <v>3612</v>
      </c>
      <c r="X24" s="71" t="s">
        <v>3613</v>
      </c>
      <c r="Y24" s="71" t="s">
        <v>3614</v>
      </c>
      <c r="Z24" s="71" t="s">
        <v>3615</v>
      </c>
      <c r="AA24" s="71" t="s">
        <v>3616</v>
      </c>
      <c r="AB24" s="71" t="s">
        <v>3617</v>
      </c>
      <c r="AC24" s="71" t="s">
        <v>3618</v>
      </c>
      <c r="AD24" s="71" t="s">
        <v>3619</v>
      </c>
    </row>
    <row r="25" spans="1:30" x14ac:dyDescent="0.25">
      <c r="A25" s="55">
        <v>150</v>
      </c>
      <c r="B25" s="56" t="s">
        <v>117</v>
      </c>
      <c r="L25" s="65">
        <v>11132</v>
      </c>
      <c r="M25" t="s">
        <v>287</v>
      </c>
      <c r="P25" s="70" t="s">
        <v>3562</v>
      </c>
      <c r="Q25" s="71" t="s">
        <v>3620</v>
      </c>
      <c r="R25" s="71" t="s">
        <v>3621</v>
      </c>
      <c r="S25" s="71" t="s">
        <v>3622</v>
      </c>
      <c r="T25" s="71" t="s">
        <v>3623</v>
      </c>
      <c r="U25" s="71" t="s">
        <v>3624</v>
      </c>
      <c r="V25" s="72"/>
      <c r="W25" s="72"/>
      <c r="X25" s="72"/>
      <c r="Y25" s="72"/>
      <c r="Z25" s="72"/>
      <c r="AA25" s="72"/>
      <c r="AB25" s="72"/>
      <c r="AC25" s="72"/>
      <c r="AD25" s="72"/>
    </row>
    <row r="26" spans="1:30" x14ac:dyDescent="0.25">
      <c r="A26" s="55">
        <v>160</v>
      </c>
      <c r="B26" s="56" t="s">
        <v>118</v>
      </c>
      <c r="L26" s="65">
        <v>11133</v>
      </c>
      <c r="M26" t="s">
        <v>288</v>
      </c>
      <c r="P26" s="70" t="s">
        <v>3565</v>
      </c>
      <c r="Q26" s="70" t="s">
        <v>3625</v>
      </c>
      <c r="R26" s="70" t="s">
        <v>3626</v>
      </c>
      <c r="S26" s="72"/>
      <c r="T26" s="72"/>
      <c r="U26" s="72"/>
      <c r="V26" s="72"/>
      <c r="W26" s="72"/>
      <c r="X26" s="72"/>
      <c r="Y26" s="72"/>
      <c r="Z26" s="72"/>
      <c r="AA26" s="72"/>
      <c r="AB26" s="72"/>
      <c r="AC26" s="72"/>
      <c r="AD26" s="72"/>
    </row>
    <row r="27" spans="1:30" x14ac:dyDescent="0.25">
      <c r="A27" s="55">
        <v>170</v>
      </c>
      <c r="B27" s="56" t="s">
        <v>119</v>
      </c>
      <c r="L27" s="65">
        <v>11134</v>
      </c>
      <c r="M27" t="s">
        <v>289</v>
      </c>
      <c r="P27" s="70" t="s">
        <v>3568</v>
      </c>
      <c r="Q27" s="71" t="s">
        <v>3627</v>
      </c>
      <c r="R27" s="71" t="s">
        <v>3628</v>
      </c>
      <c r="S27" s="72"/>
      <c r="T27" s="72"/>
      <c r="U27" s="72"/>
      <c r="V27" s="72"/>
      <c r="W27" s="72"/>
      <c r="X27" s="72"/>
      <c r="Y27" s="72"/>
      <c r="Z27" s="72"/>
      <c r="AA27" s="72"/>
      <c r="AB27" s="72"/>
      <c r="AC27" s="72"/>
      <c r="AD27" s="72"/>
    </row>
    <row r="28" spans="1:30" x14ac:dyDescent="0.25">
      <c r="A28" s="55">
        <v>180</v>
      </c>
      <c r="B28" s="56" t="s">
        <v>120</v>
      </c>
      <c r="L28" s="65">
        <v>11135</v>
      </c>
      <c r="M28" t="s">
        <v>290</v>
      </c>
      <c r="P28" s="70" t="s">
        <v>3571</v>
      </c>
      <c r="Q28" s="73" t="s">
        <v>3629</v>
      </c>
      <c r="R28" s="73" t="s">
        <v>3630</v>
      </c>
      <c r="S28" s="73" t="s">
        <v>3631</v>
      </c>
      <c r="T28" s="73" t="s">
        <v>3632</v>
      </c>
      <c r="U28" s="72"/>
      <c r="V28" s="72"/>
      <c r="W28" s="72"/>
      <c r="X28" s="72"/>
      <c r="Y28" s="72"/>
      <c r="Z28" s="72"/>
      <c r="AA28" s="72"/>
      <c r="AB28" s="72"/>
      <c r="AC28" s="72"/>
      <c r="AD28" s="72"/>
    </row>
    <row r="29" spans="1:30" x14ac:dyDescent="0.25">
      <c r="A29" s="52">
        <v>200</v>
      </c>
      <c r="B29" s="53" t="s">
        <v>121</v>
      </c>
      <c r="L29" s="65">
        <v>11136</v>
      </c>
      <c r="M29" t="s">
        <v>291</v>
      </c>
      <c r="P29" s="70" t="s">
        <v>3574</v>
      </c>
      <c r="Q29" s="73" t="s">
        <v>3633</v>
      </c>
      <c r="R29" s="73" t="s">
        <v>3634</v>
      </c>
      <c r="S29" s="72"/>
      <c r="T29" s="72"/>
      <c r="U29" s="72"/>
      <c r="V29" s="72"/>
      <c r="W29" s="72"/>
      <c r="X29" s="72"/>
      <c r="Y29" s="72"/>
      <c r="Z29" s="72"/>
      <c r="AA29" s="72"/>
      <c r="AB29" s="72"/>
      <c r="AC29" s="72"/>
      <c r="AD29" s="72"/>
    </row>
    <row r="30" spans="1:30" x14ac:dyDescent="0.25">
      <c r="A30" s="55">
        <v>210</v>
      </c>
      <c r="B30" s="56" t="s">
        <v>122</v>
      </c>
      <c r="L30" s="65">
        <v>11137</v>
      </c>
      <c r="M30" t="s">
        <v>292</v>
      </c>
      <c r="P30" s="70" t="s">
        <v>3577</v>
      </c>
      <c r="Q30" s="73" t="s">
        <v>3635</v>
      </c>
      <c r="R30" s="72"/>
      <c r="S30" s="72"/>
      <c r="T30" s="72"/>
      <c r="U30" s="72"/>
      <c r="V30" s="72"/>
      <c r="W30" s="72"/>
      <c r="X30" s="72"/>
      <c r="Y30" s="72"/>
      <c r="Z30" s="72"/>
      <c r="AA30" s="72"/>
      <c r="AB30" s="72"/>
      <c r="AC30" s="72"/>
      <c r="AD30" s="72"/>
    </row>
    <row r="31" spans="1:30" x14ac:dyDescent="0.25">
      <c r="A31" s="55">
        <v>220</v>
      </c>
      <c r="B31" s="56" t="s">
        <v>123</v>
      </c>
      <c r="L31" s="65">
        <v>11138</v>
      </c>
      <c r="M31" t="s">
        <v>293</v>
      </c>
      <c r="P31" s="70" t="s">
        <v>3580</v>
      </c>
      <c r="Q31" s="73" t="s">
        <v>3636</v>
      </c>
      <c r="R31" s="72"/>
      <c r="S31" s="72"/>
      <c r="T31" s="72"/>
      <c r="U31" s="72"/>
      <c r="V31" s="72"/>
      <c r="W31" s="72"/>
      <c r="X31" s="72"/>
      <c r="Y31" s="72"/>
      <c r="Z31" s="72"/>
      <c r="AA31" s="72"/>
      <c r="AB31" s="72"/>
      <c r="AC31" s="72"/>
      <c r="AD31" s="72"/>
    </row>
    <row r="32" spans="1:30" x14ac:dyDescent="0.25">
      <c r="A32" s="55">
        <v>230</v>
      </c>
      <c r="B32" s="56" t="s">
        <v>124</v>
      </c>
      <c r="L32" s="65">
        <v>11139</v>
      </c>
      <c r="M32" t="s">
        <v>294</v>
      </c>
      <c r="P32" s="70" t="s">
        <v>3583</v>
      </c>
      <c r="Q32" s="73" t="s">
        <v>3637</v>
      </c>
      <c r="R32" s="72"/>
      <c r="S32" s="72"/>
      <c r="T32" s="72"/>
      <c r="U32" s="72"/>
      <c r="V32" s="72"/>
      <c r="W32" s="72"/>
      <c r="X32" s="72"/>
      <c r="Y32" s="72"/>
      <c r="Z32" s="72"/>
      <c r="AA32" s="72"/>
      <c r="AB32" s="72"/>
      <c r="AC32" s="72"/>
      <c r="AD32" s="72"/>
    </row>
    <row r="33" spans="1:30" x14ac:dyDescent="0.25">
      <c r="A33" s="55">
        <v>240</v>
      </c>
      <c r="B33" s="56" t="s">
        <v>125</v>
      </c>
      <c r="L33" s="65">
        <v>11140</v>
      </c>
      <c r="M33" t="s">
        <v>295</v>
      </c>
      <c r="P33" s="70" t="s">
        <v>3586</v>
      </c>
      <c r="Q33" s="73" t="s">
        <v>3638</v>
      </c>
      <c r="R33" s="73" t="s">
        <v>3639</v>
      </c>
      <c r="S33" s="73" t="s">
        <v>3640</v>
      </c>
      <c r="T33" s="73" t="s">
        <v>3641</v>
      </c>
      <c r="U33" s="73" t="s">
        <v>3642</v>
      </c>
      <c r="V33" s="73" t="s">
        <v>3643</v>
      </c>
      <c r="W33" s="72"/>
      <c r="X33" s="72"/>
      <c r="Y33" s="72"/>
      <c r="Z33" s="72"/>
      <c r="AA33" s="72"/>
      <c r="AB33" s="72"/>
      <c r="AC33" s="72"/>
      <c r="AD33" s="72"/>
    </row>
    <row r="34" spans="1:30" x14ac:dyDescent="0.25">
      <c r="A34" s="55">
        <v>250</v>
      </c>
      <c r="B34" s="56" t="s">
        <v>126</v>
      </c>
      <c r="L34" s="65">
        <v>11141</v>
      </c>
      <c r="M34" t="s">
        <v>296</v>
      </c>
      <c r="P34" s="70" t="s">
        <v>3589</v>
      </c>
      <c r="Q34" s="73" t="s">
        <v>3644</v>
      </c>
      <c r="R34" s="72"/>
      <c r="S34" s="72"/>
      <c r="T34" s="72"/>
      <c r="U34" s="72"/>
      <c r="V34" s="72"/>
      <c r="W34" s="72"/>
      <c r="X34" s="72"/>
      <c r="Y34" s="72"/>
      <c r="Z34" s="72"/>
      <c r="AA34" s="72"/>
      <c r="AB34" s="72"/>
      <c r="AC34" s="72"/>
      <c r="AD34" s="72"/>
    </row>
    <row r="35" spans="1:30" x14ac:dyDescent="0.25">
      <c r="A35" s="52">
        <v>300</v>
      </c>
      <c r="B35" s="53" t="s">
        <v>127</v>
      </c>
      <c r="L35" s="65">
        <v>11142</v>
      </c>
      <c r="M35" t="s">
        <v>297</v>
      </c>
      <c r="P35" s="70" t="s">
        <v>3592</v>
      </c>
      <c r="Q35" s="71" t="s">
        <v>3645</v>
      </c>
      <c r="R35" s="71" t="s">
        <v>3646</v>
      </c>
      <c r="S35" s="72"/>
      <c r="T35" s="72"/>
      <c r="U35" s="72"/>
      <c r="V35" s="72"/>
      <c r="W35" s="72"/>
      <c r="X35" s="72"/>
      <c r="Y35" s="72"/>
      <c r="Z35" s="72"/>
      <c r="AA35" s="72"/>
      <c r="AB35" s="72"/>
      <c r="AC35" s="72"/>
      <c r="AD35" s="72"/>
    </row>
    <row r="36" spans="1:30" x14ac:dyDescent="0.25">
      <c r="A36" s="55">
        <v>310</v>
      </c>
      <c r="B36" s="56" t="s">
        <v>128</v>
      </c>
      <c r="L36" s="65">
        <v>11143</v>
      </c>
      <c r="M36" t="s">
        <v>298</v>
      </c>
      <c r="P36" s="70" t="s">
        <v>3595</v>
      </c>
      <c r="Q36" s="71" t="s">
        <v>3647</v>
      </c>
      <c r="R36" s="71" t="s">
        <v>3648</v>
      </c>
      <c r="S36" s="71" t="s">
        <v>3649</v>
      </c>
      <c r="T36" s="72"/>
      <c r="U36" s="72"/>
      <c r="V36" s="72"/>
      <c r="W36" s="72"/>
      <c r="X36" s="72"/>
      <c r="Y36" s="72"/>
      <c r="Z36" s="72"/>
      <c r="AA36" s="72"/>
      <c r="AB36" s="72"/>
      <c r="AC36" s="72"/>
      <c r="AD36" s="72"/>
    </row>
    <row r="37" spans="1:30" x14ac:dyDescent="0.25">
      <c r="A37" s="55">
        <v>320</v>
      </c>
      <c r="B37" s="56" t="s">
        <v>129</v>
      </c>
      <c r="L37" s="65">
        <v>11145</v>
      </c>
      <c r="M37" t="s">
        <v>299</v>
      </c>
      <c r="P37" s="70" t="s">
        <v>3598</v>
      </c>
      <c r="Q37" s="71" t="s">
        <v>3650</v>
      </c>
      <c r="R37" s="71" t="s">
        <v>3651</v>
      </c>
      <c r="S37" s="71" t="s">
        <v>3652</v>
      </c>
      <c r="T37" s="71" t="s">
        <v>3653</v>
      </c>
      <c r="U37" s="71" t="s">
        <v>3654</v>
      </c>
      <c r="V37" s="71" t="s">
        <v>3655</v>
      </c>
      <c r="W37" s="71" t="s">
        <v>3656</v>
      </c>
      <c r="X37" s="71" t="s">
        <v>3657</v>
      </c>
      <c r="Y37" s="71" t="s">
        <v>3658</v>
      </c>
      <c r="Z37" s="71" t="s">
        <v>3659</v>
      </c>
      <c r="AA37" s="72"/>
      <c r="AB37" s="72"/>
      <c r="AC37" s="72"/>
      <c r="AD37" s="72"/>
    </row>
    <row r="38" spans="1:30" x14ac:dyDescent="0.25">
      <c r="A38" s="55">
        <v>330</v>
      </c>
      <c r="B38" s="56" t="s">
        <v>130</v>
      </c>
      <c r="L38" s="65">
        <v>11146</v>
      </c>
      <c r="M38" t="s">
        <v>300</v>
      </c>
    </row>
    <row r="39" spans="1:30" x14ac:dyDescent="0.25">
      <c r="A39" s="55">
        <v>350</v>
      </c>
      <c r="B39" s="56" t="s">
        <v>131</v>
      </c>
      <c r="L39" s="65">
        <v>11147</v>
      </c>
      <c r="M39" t="s">
        <v>301</v>
      </c>
    </row>
    <row r="40" spans="1:30" x14ac:dyDescent="0.25">
      <c r="A40" s="55">
        <v>360</v>
      </c>
      <c r="B40" s="56" t="s">
        <v>132</v>
      </c>
      <c r="L40" s="65">
        <v>11148</v>
      </c>
      <c r="M40" t="s">
        <v>302</v>
      </c>
    </row>
    <row r="41" spans="1:30" x14ac:dyDescent="0.25">
      <c r="A41" s="52">
        <v>400</v>
      </c>
      <c r="B41" s="53" t="s">
        <v>133</v>
      </c>
      <c r="L41" s="65">
        <v>11149</v>
      </c>
      <c r="M41" t="s">
        <v>303</v>
      </c>
    </row>
    <row r="42" spans="1:30" x14ac:dyDescent="0.25">
      <c r="A42" s="55">
        <v>410</v>
      </c>
      <c r="B42" s="56" t="s">
        <v>134</v>
      </c>
      <c r="L42" s="65">
        <v>11150</v>
      </c>
      <c r="M42" t="s">
        <v>304</v>
      </c>
    </row>
    <row r="43" spans="1:30" x14ac:dyDescent="0.25">
      <c r="A43" s="58">
        <v>411</v>
      </c>
      <c r="B43" s="59" t="s">
        <v>135</v>
      </c>
      <c r="L43" s="65">
        <v>11151</v>
      </c>
      <c r="M43" t="s">
        <v>305</v>
      </c>
    </row>
    <row r="44" spans="1:30" x14ac:dyDescent="0.25">
      <c r="A44" s="58">
        <v>412</v>
      </c>
      <c r="B44" s="59" t="s">
        <v>136</v>
      </c>
      <c r="L44" s="65">
        <v>11152</v>
      </c>
      <c r="M44" t="s">
        <v>306</v>
      </c>
    </row>
    <row r="45" spans="1:30" x14ac:dyDescent="0.25">
      <c r="A45" s="55">
        <v>420</v>
      </c>
      <c r="B45" s="56" t="s">
        <v>137</v>
      </c>
      <c r="L45" s="65">
        <v>11153</v>
      </c>
      <c r="M45" t="s">
        <v>307</v>
      </c>
    </row>
    <row r="46" spans="1:30" x14ac:dyDescent="0.25">
      <c r="A46" s="58">
        <v>421</v>
      </c>
      <c r="B46" s="59" t="s">
        <v>138</v>
      </c>
      <c r="L46" s="65">
        <v>11154</v>
      </c>
      <c r="M46" t="s">
        <v>308</v>
      </c>
    </row>
    <row r="47" spans="1:30" x14ac:dyDescent="0.25">
      <c r="A47" s="58">
        <v>422</v>
      </c>
      <c r="B47" s="59" t="s">
        <v>139</v>
      </c>
      <c r="L47" s="65">
        <v>11155</v>
      </c>
      <c r="M47" t="s">
        <v>309</v>
      </c>
    </row>
    <row r="48" spans="1:30" x14ac:dyDescent="0.25">
      <c r="A48" s="58">
        <v>423</v>
      </c>
      <c r="B48" s="59" t="s">
        <v>140</v>
      </c>
      <c r="L48" s="65">
        <v>11156</v>
      </c>
      <c r="M48" t="s">
        <v>310</v>
      </c>
    </row>
    <row r="49" spans="1:13" x14ac:dyDescent="0.25">
      <c r="A49" s="55">
        <v>430</v>
      </c>
      <c r="B49" s="56" t="s">
        <v>141</v>
      </c>
      <c r="L49" s="65">
        <v>11157</v>
      </c>
      <c r="M49" t="s">
        <v>311</v>
      </c>
    </row>
    <row r="50" spans="1:13" x14ac:dyDescent="0.25">
      <c r="A50" s="58">
        <v>431</v>
      </c>
      <c r="B50" s="59" t="s">
        <v>142</v>
      </c>
      <c r="L50" s="65">
        <v>11158</v>
      </c>
      <c r="M50" t="s">
        <v>312</v>
      </c>
    </row>
    <row r="51" spans="1:13" x14ac:dyDescent="0.25">
      <c r="A51" s="58">
        <v>432</v>
      </c>
      <c r="B51" s="59" t="s">
        <v>143</v>
      </c>
      <c r="L51" s="65">
        <v>11159</v>
      </c>
      <c r="M51" t="s">
        <v>313</v>
      </c>
    </row>
    <row r="52" spans="1:13" x14ac:dyDescent="0.25">
      <c r="A52" s="58">
        <v>433</v>
      </c>
      <c r="B52" s="59" t="s">
        <v>144</v>
      </c>
      <c r="L52" s="65">
        <v>11190</v>
      </c>
      <c r="M52" t="s">
        <v>314</v>
      </c>
    </row>
    <row r="53" spans="1:13" x14ac:dyDescent="0.25">
      <c r="A53" s="58">
        <v>434</v>
      </c>
      <c r="B53" s="59" t="s">
        <v>145</v>
      </c>
      <c r="L53" s="65">
        <v>11191</v>
      </c>
      <c r="M53" t="s">
        <v>315</v>
      </c>
    </row>
    <row r="54" spans="1:13" x14ac:dyDescent="0.25">
      <c r="A54" s="58">
        <v>435</v>
      </c>
      <c r="B54" s="59" t="s">
        <v>146</v>
      </c>
      <c r="L54" s="65">
        <v>11192</v>
      </c>
      <c r="M54" t="s">
        <v>316</v>
      </c>
    </row>
    <row r="55" spans="1:13" x14ac:dyDescent="0.25">
      <c r="A55" s="58">
        <v>436</v>
      </c>
      <c r="B55" s="59" t="s">
        <v>147</v>
      </c>
      <c r="L55" s="65">
        <v>11193</v>
      </c>
      <c r="M55" t="s">
        <v>317</v>
      </c>
    </row>
    <row r="56" spans="1:13" x14ac:dyDescent="0.25">
      <c r="A56" s="55">
        <v>440</v>
      </c>
      <c r="B56" s="56" t="s">
        <v>148</v>
      </c>
      <c r="L56" s="65">
        <v>11194</v>
      </c>
      <c r="M56" t="s">
        <v>318</v>
      </c>
    </row>
    <row r="57" spans="1:13" x14ac:dyDescent="0.25">
      <c r="A57" s="58">
        <v>441</v>
      </c>
      <c r="B57" s="59" t="s">
        <v>149</v>
      </c>
      <c r="L57" s="65">
        <v>11195</v>
      </c>
      <c r="M57" t="s">
        <v>319</v>
      </c>
    </row>
    <row r="58" spans="1:13" x14ac:dyDescent="0.25">
      <c r="A58" s="58">
        <v>442</v>
      </c>
      <c r="B58" s="59" t="s">
        <v>150</v>
      </c>
      <c r="L58" s="65">
        <v>11196</v>
      </c>
      <c r="M58" t="s">
        <v>320</v>
      </c>
    </row>
    <row r="59" spans="1:13" x14ac:dyDescent="0.25">
      <c r="A59" s="58">
        <v>443</v>
      </c>
      <c r="B59" s="59" t="s">
        <v>151</v>
      </c>
      <c r="L59" s="65">
        <v>11197</v>
      </c>
      <c r="M59" t="s">
        <v>321</v>
      </c>
    </row>
    <row r="60" spans="1:13" x14ac:dyDescent="0.25">
      <c r="A60" s="55">
        <v>450</v>
      </c>
      <c r="B60" s="56" t="s">
        <v>152</v>
      </c>
      <c r="L60" s="65">
        <v>11198</v>
      </c>
      <c r="M60" t="s">
        <v>322</v>
      </c>
    </row>
    <row r="61" spans="1:13" x14ac:dyDescent="0.25">
      <c r="A61" s="58">
        <v>451</v>
      </c>
      <c r="B61" s="59" t="s">
        <v>153</v>
      </c>
      <c r="L61" s="65">
        <v>11199</v>
      </c>
      <c r="M61" t="s">
        <v>323</v>
      </c>
    </row>
    <row r="62" spans="1:13" x14ac:dyDescent="0.25">
      <c r="A62" s="58">
        <v>452</v>
      </c>
      <c r="B62" s="59" t="s">
        <v>154</v>
      </c>
      <c r="L62" s="65">
        <v>11200</v>
      </c>
      <c r="M62" t="s">
        <v>324</v>
      </c>
    </row>
    <row r="63" spans="1:13" x14ac:dyDescent="0.25">
      <c r="A63" s="58">
        <v>453</v>
      </c>
      <c r="B63" s="59" t="s">
        <v>155</v>
      </c>
      <c r="L63" s="65">
        <v>11210</v>
      </c>
      <c r="M63" t="s">
        <v>325</v>
      </c>
    </row>
    <row r="64" spans="1:13" x14ac:dyDescent="0.25">
      <c r="A64" s="58">
        <v>454</v>
      </c>
      <c r="B64" s="59" t="s">
        <v>156</v>
      </c>
      <c r="L64" s="65">
        <v>11211</v>
      </c>
      <c r="M64" t="s">
        <v>326</v>
      </c>
    </row>
    <row r="65" spans="1:13" x14ac:dyDescent="0.25">
      <c r="A65" s="58">
        <v>455</v>
      </c>
      <c r="B65" s="59" t="s">
        <v>157</v>
      </c>
      <c r="L65" s="65">
        <v>11212</v>
      </c>
      <c r="M65" t="s">
        <v>327</v>
      </c>
    </row>
    <row r="66" spans="1:13" x14ac:dyDescent="0.25">
      <c r="A66" s="55">
        <v>460</v>
      </c>
      <c r="B66" s="56" t="s">
        <v>158</v>
      </c>
      <c r="L66" s="65">
        <v>11213</v>
      </c>
      <c r="M66" t="s">
        <v>328</v>
      </c>
    </row>
    <row r="67" spans="1:13" x14ac:dyDescent="0.25">
      <c r="A67" s="55">
        <v>470</v>
      </c>
      <c r="B67" s="56" t="s">
        <v>159</v>
      </c>
      <c r="L67" s="65">
        <v>11215</v>
      </c>
      <c r="M67" t="s">
        <v>329</v>
      </c>
    </row>
    <row r="68" spans="1:13" x14ac:dyDescent="0.25">
      <c r="A68" s="58">
        <v>471</v>
      </c>
      <c r="B68" s="59" t="s">
        <v>160</v>
      </c>
      <c r="L68" s="65">
        <v>11216</v>
      </c>
      <c r="M68" t="s">
        <v>330</v>
      </c>
    </row>
    <row r="69" spans="1:13" x14ac:dyDescent="0.25">
      <c r="A69" s="58">
        <v>472</v>
      </c>
      <c r="B69" s="59" t="s">
        <v>161</v>
      </c>
      <c r="L69" s="65">
        <v>11217</v>
      </c>
      <c r="M69" t="s">
        <v>331</v>
      </c>
    </row>
    <row r="70" spans="1:13" x14ac:dyDescent="0.25">
      <c r="A70" s="58">
        <v>473</v>
      </c>
      <c r="B70" s="59" t="s">
        <v>162</v>
      </c>
      <c r="L70" s="65">
        <v>11218</v>
      </c>
      <c r="M70" t="s">
        <v>332</v>
      </c>
    </row>
    <row r="71" spans="1:13" x14ac:dyDescent="0.25">
      <c r="A71" s="58">
        <v>474</v>
      </c>
      <c r="B71" s="59" t="s">
        <v>163</v>
      </c>
      <c r="L71" s="65">
        <v>11219</v>
      </c>
      <c r="M71" t="s">
        <v>333</v>
      </c>
    </row>
    <row r="72" spans="1:13" x14ac:dyDescent="0.25">
      <c r="A72" s="55">
        <v>480</v>
      </c>
      <c r="B72" s="56" t="s">
        <v>164</v>
      </c>
      <c r="L72" s="65">
        <v>11220</v>
      </c>
      <c r="M72" t="s">
        <v>334</v>
      </c>
    </row>
    <row r="73" spans="1:13" x14ac:dyDescent="0.25">
      <c r="A73" s="58">
        <v>481</v>
      </c>
      <c r="B73" s="59" t="s">
        <v>165</v>
      </c>
      <c r="L73" s="65">
        <v>11221</v>
      </c>
      <c r="M73" t="s">
        <v>335</v>
      </c>
    </row>
    <row r="74" spans="1:13" x14ac:dyDescent="0.25">
      <c r="A74" s="58">
        <v>482</v>
      </c>
      <c r="B74" s="59" t="s">
        <v>166</v>
      </c>
      <c r="L74" s="65">
        <v>11222</v>
      </c>
      <c r="M74" t="s">
        <v>336</v>
      </c>
    </row>
    <row r="75" spans="1:13" x14ac:dyDescent="0.25">
      <c r="A75" s="58">
        <v>483</v>
      </c>
      <c r="B75" s="59" t="s">
        <v>167</v>
      </c>
      <c r="L75" s="65">
        <v>11223</v>
      </c>
      <c r="M75" t="s">
        <v>337</v>
      </c>
    </row>
    <row r="76" spans="1:13" x14ac:dyDescent="0.25">
      <c r="A76" s="58">
        <v>484</v>
      </c>
      <c r="B76" s="59" t="s">
        <v>168</v>
      </c>
      <c r="L76" s="65">
        <v>11224</v>
      </c>
      <c r="M76" t="s">
        <v>338</v>
      </c>
    </row>
    <row r="77" spans="1:13" x14ac:dyDescent="0.25">
      <c r="A77" s="58">
        <v>485</v>
      </c>
      <c r="B77" s="59" t="s">
        <v>169</v>
      </c>
      <c r="L77" s="65">
        <v>11225</v>
      </c>
      <c r="M77" t="s">
        <v>339</v>
      </c>
    </row>
    <row r="78" spans="1:13" x14ac:dyDescent="0.25">
      <c r="A78" s="58">
        <v>486</v>
      </c>
      <c r="B78" s="59" t="s">
        <v>170</v>
      </c>
      <c r="L78" s="65">
        <v>11226</v>
      </c>
      <c r="M78" t="s">
        <v>340</v>
      </c>
    </row>
    <row r="79" spans="1:13" x14ac:dyDescent="0.25">
      <c r="A79" s="58">
        <v>487</v>
      </c>
      <c r="B79" s="59" t="s">
        <v>171</v>
      </c>
      <c r="L79" s="65">
        <v>11227</v>
      </c>
      <c r="M79" t="s">
        <v>341</v>
      </c>
    </row>
    <row r="80" spans="1:13" x14ac:dyDescent="0.25">
      <c r="A80" s="55">
        <v>490</v>
      </c>
      <c r="B80" s="56" t="s">
        <v>172</v>
      </c>
      <c r="L80" s="65">
        <v>11228</v>
      </c>
      <c r="M80" t="s">
        <v>342</v>
      </c>
    </row>
    <row r="81" spans="1:13" x14ac:dyDescent="0.25">
      <c r="A81" s="52">
        <v>500</v>
      </c>
      <c r="B81" s="53" t="s">
        <v>173</v>
      </c>
      <c r="L81" s="65">
        <v>11229</v>
      </c>
      <c r="M81" t="s">
        <v>343</v>
      </c>
    </row>
    <row r="82" spans="1:13" x14ac:dyDescent="0.25">
      <c r="A82" s="55">
        <v>510</v>
      </c>
      <c r="B82" s="56" t="s">
        <v>174</v>
      </c>
      <c r="L82" s="65">
        <v>11230</v>
      </c>
      <c r="M82" t="s">
        <v>344</v>
      </c>
    </row>
    <row r="83" spans="1:13" x14ac:dyDescent="0.25">
      <c r="A83" s="55">
        <v>520</v>
      </c>
      <c r="B83" s="56" t="s">
        <v>175</v>
      </c>
      <c r="L83" s="65">
        <v>11231</v>
      </c>
      <c r="M83" t="s">
        <v>344</v>
      </c>
    </row>
    <row r="84" spans="1:13" x14ac:dyDescent="0.25">
      <c r="A84" s="55">
        <v>530</v>
      </c>
      <c r="B84" s="56" t="s">
        <v>176</v>
      </c>
      <c r="L84" s="65">
        <v>11236</v>
      </c>
      <c r="M84" t="s">
        <v>345</v>
      </c>
    </row>
    <row r="85" spans="1:13" x14ac:dyDescent="0.25">
      <c r="A85" s="55">
        <v>540</v>
      </c>
      <c r="B85" s="56" t="s">
        <v>177</v>
      </c>
      <c r="L85" s="65">
        <v>11237</v>
      </c>
      <c r="M85" t="s">
        <v>346</v>
      </c>
    </row>
    <row r="86" spans="1:13" x14ac:dyDescent="0.25">
      <c r="A86" s="55">
        <v>550</v>
      </c>
      <c r="B86" s="56" t="s">
        <v>178</v>
      </c>
      <c r="L86" s="65">
        <v>11238</v>
      </c>
      <c r="M86" t="s">
        <v>347</v>
      </c>
    </row>
    <row r="87" spans="1:13" x14ac:dyDescent="0.25">
      <c r="A87" s="55">
        <v>560</v>
      </c>
      <c r="B87" s="56" t="s">
        <v>179</v>
      </c>
      <c r="L87" s="65">
        <v>11239</v>
      </c>
      <c r="M87" t="s">
        <v>348</v>
      </c>
    </row>
    <row r="88" spans="1:13" x14ac:dyDescent="0.25">
      <c r="A88" s="52">
        <v>600</v>
      </c>
      <c r="B88" s="53" t="s">
        <v>180</v>
      </c>
      <c r="L88" s="65">
        <v>11240</v>
      </c>
      <c r="M88" t="s">
        <v>349</v>
      </c>
    </row>
    <row r="89" spans="1:13" x14ac:dyDescent="0.25">
      <c r="A89" s="55">
        <v>610</v>
      </c>
      <c r="B89" s="56" t="s">
        <v>181</v>
      </c>
      <c r="L89" s="65">
        <v>11241</v>
      </c>
      <c r="M89" t="s">
        <v>349</v>
      </c>
    </row>
    <row r="90" spans="1:13" x14ac:dyDescent="0.25">
      <c r="A90" s="55">
        <v>620</v>
      </c>
      <c r="B90" s="56" t="s">
        <v>182</v>
      </c>
      <c r="L90" s="65">
        <v>11246</v>
      </c>
      <c r="M90" t="s">
        <v>350</v>
      </c>
    </row>
    <row r="91" spans="1:13" x14ac:dyDescent="0.25">
      <c r="A91" s="55">
        <v>630</v>
      </c>
      <c r="B91" s="56" t="s">
        <v>183</v>
      </c>
      <c r="L91" s="65">
        <v>11247</v>
      </c>
      <c r="M91" t="s">
        <v>351</v>
      </c>
    </row>
    <row r="92" spans="1:13" x14ac:dyDescent="0.25">
      <c r="A92" s="55">
        <v>640</v>
      </c>
      <c r="B92" s="56" t="s">
        <v>184</v>
      </c>
      <c r="L92" s="65">
        <v>11248</v>
      </c>
      <c r="M92" t="s">
        <v>352</v>
      </c>
    </row>
    <row r="93" spans="1:13" x14ac:dyDescent="0.25">
      <c r="A93" s="55">
        <v>650</v>
      </c>
      <c r="B93" s="56" t="s">
        <v>185</v>
      </c>
      <c r="L93" s="65">
        <v>11249</v>
      </c>
      <c r="M93" t="s">
        <v>353</v>
      </c>
    </row>
    <row r="94" spans="1:13" x14ac:dyDescent="0.25">
      <c r="A94" s="55">
        <v>660</v>
      </c>
      <c r="B94" s="56" t="s">
        <v>186</v>
      </c>
      <c r="L94" s="65">
        <v>11250</v>
      </c>
      <c r="M94" t="s">
        <v>354</v>
      </c>
    </row>
    <row r="95" spans="1:13" x14ac:dyDescent="0.25">
      <c r="A95" s="52">
        <v>700</v>
      </c>
      <c r="B95" s="53" t="s">
        <v>187</v>
      </c>
      <c r="L95" s="65">
        <v>11251</v>
      </c>
      <c r="M95" t="s">
        <v>355</v>
      </c>
    </row>
    <row r="96" spans="1:13" x14ac:dyDescent="0.25">
      <c r="A96" s="55">
        <v>710</v>
      </c>
      <c r="B96" s="56" t="s">
        <v>188</v>
      </c>
      <c r="L96" s="65">
        <v>11252</v>
      </c>
      <c r="M96" t="s">
        <v>356</v>
      </c>
    </row>
    <row r="97" spans="1:13" x14ac:dyDescent="0.25">
      <c r="A97" s="58">
        <v>711</v>
      </c>
      <c r="B97" s="59" t="s">
        <v>189</v>
      </c>
      <c r="L97" s="65">
        <v>11253</v>
      </c>
      <c r="M97" t="s">
        <v>357</v>
      </c>
    </row>
    <row r="98" spans="1:13" x14ac:dyDescent="0.25">
      <c r="A98" s="58">
        <v>712</v>
      </c>
      <c r="B98" s="59" t="s">
        <v>190</v>
      </c>
      <c r="L98" s="65">
        <v>11255</v>
      </c>
      <c r="M98" t="s">
        <v>358</v>
      </c>
    </row>
    <row r="99" spans="1:13" x14ac:dyDescent="0.25">
      <c r="A99" s="58">
        <v>713</v>
      </c>
      <c r="B99" s="59" t="s">
        <v>191</v>
      </c>
      <c r="L99" s="65">
        <v>11256</v>
      </c>
      <c r="M99" t="s">
        <v>359</v>
      </c>
    </row>
    <row r="100" spans="1:13" x14ac:dyDescent="0.25">
      <c r="A100" s="55">
        <v>720</v>
      </c>
      <c r="B100" s="56" t="s">
        <v>192</v>
      </c>
      <c r="L100" s="65">
        <v>11257</v>
      </c>
      <c r="M100" t="s">
        <v>360</v>
      </c>
    </row>
    <row r="101" spans="1:13" x14ac:dyDescent="0.25">
      <c r="A101" s="58">
        <v>721</v>
      </c>
      <c r="B101" s="59" t="s">
        <v>193</v>
      </c>
      <c r="L101" s="65">
        <v>11258</v>
      </c>
      <c r="M101" t="s">
        <v>361</v>
      </c>
    </row>
    <row r="102" spans="1:13" x14ac:dyDescent="0.25">
      <c r="A102" s="58">
        <v>722</v>
      </c>
      <c r="B102" s="59" t="s">
        <v>194</v>
      </c>
      <c r="L102" s="65">
        <v>11259</v>
      </c>
      <c r="M102" t="s">
        <v>362</v>
      </c>
    </row>
    <row r="103" spans="1:13" x14ac:dyDescent="0.25">
      <c r="A103" s="58">
        <v>723</v>
      </c>
      <c r="B103" s="59" t="s">
        <v>195</v>
      </c>
      <c r="L103" s="65">
        <v>11260</v>
      </c>
      <c r="M103" t="s">
        <v>363</v>
      </c>
    </row>
    <row r="104" spans="1:13" x14ac:dyDescent="0.25">
      <c r="A104" s="58">
        <v>724</v>
      </c>
      <c r="B104" s="59" t="s">
        <v>196</v>
      </c>
      <c r="L104" s="65">
        <v>11261</v>
      </c>
      <c r="M104" t="s">
        <v>364</v>
      </c>
    </row>
    <row r="105" spans="1:13" x14ac:dyDescent="0.25">
      <c r="A105" s="55">
        <v>730</v>
      </c>
      <c r="B105" s="56" t="s">
        <v>197</v>
      </c>
      <c r="L105" s="65">
        <v>11262</v>
      </c>
      <c r="M105" t="s">
        <v>365</v>
      </c>
    </row>
    <row r="106" spans="1:13" x14ac:dyDescent="0.25">
      <c r="A106" s="58">
        <v>731</v>
      </c>
      <c r="B106" s="59" t="s">
        <v>198</v>
      </c>
      <c r="L106" s="65">
        <v>11263</v>
      </c>
      <c r="M106" t="s">
        <v>366</v>
      </c>
    </row>
    <row r="107" spans="1:13" x14ac:dyDescent="0.25">
      <c r="A107" s="58">
        <v>732</v>
      </c>
      <c r="B107" s="59" t="s">
        <v>199</v>
      </c>
      <c r="L107" s="65">
        <v>11264</v>
      </c>
      <c r="M107" t="s">
        <v>367</v>
      </c>
    </row>
    <row r="108" spans="1:13" x14ac:dyDescent="0.25">
      <c r="A108" s="58">
        <v>733</v>
      </c>
      <c r="B108" s="59" t="s">
        <v>200</v>
      </c>
      <c r="L108" s="65">
        <v>11266</v>
      </c>
      <c r="M108" t="s">
        <v>368</v>
      </c>
    </row>
    <row r="109" spans="1:13" x14ac:dyDescent="0.25">
      <c r="A109" s="58">
        <v>734</v>
      </c>
      <c r="B109" s="59" t="s">
        <v>201</v>
      </c>
      <c r="L109" s="65">
        <v>11267</v>
      </c>
      <c r="M109" t="s">
        <v>369</v>
      </c>
    </row>
    <row r="110" spans="1:13" x14ac:dyDescent="0.25">
      <c r="A110" s="55">
        <v>740</v>
      </c>
      <c r="B110" s="56" t="s">
        <v>202</v>
      </c>
      <c r="L110" s="65">
        <v>11268</v>
      </c>
      <c r="M110" t="s">
        <v>370</v>
      </c>
    </row>
    <row r="111" spans="1:13" x14ac:dyDescent="0.25">
      <c r="A111" s="55">
        <v>750</v>
      </c>
      <c r="B111" s="56" t="s">
        <v>203</v>
      </c>
      <c r="L111" s="65">
        <v>11269</v>
      </c>
      <c r="M111" t="s">
        <v>371</v>
      </c>
    </row>
    <row r="112" spans="1:13" x14ac:dyDescent="0.25">
      <c r="A112" s="55">
        <v>760</v>
      </c>
      <c r="B112" s="56" t="s">
        <v>204</v>
      </c>
      <c r="L112" s="65">
        <v>11270</v>
      </c>
      <c r="M112" t="s">
        <v>372</v>
      </c>
    </row>
    <row r="113" spans="1:13" x14ac:dyDescent="0.25">
      <c r="A113" s="52">
        <v>800</v>
      </c>
      <c r="B113" s="53" t="s">
        <v>205</v>
      </c>
      <c r="L113" s="65">
        <v>11271</v>
      </c>
      <c r="M113" t="s">
        <v>372</v>
      </c>
    </row>
    <row r="114" spans="1:13" x14ac:dyDescent="0.25">
      <c r="A114" s="55">
        <v>810</v>
      </c>
      <c r="B114" s="56" t="s">
        <v>206</v>
      </c>
      <c r="L114" s="65">
        <v>11276</v>
      </c>
      <c r="M114" t="s">
        <v>373</v>
      </c>
    </row>
    <row r="115" spans="1:13" x14ac:dyDescent="0.25">
      <c r="A115" s="55">
        <v>820</v>
      </c>
      <c r="B115" s="56" t="s">
        <v>207</v>
      </c>
      <c r="L115" s="65">
        <v>11277</v>
      </c>
      <c r="M115" t="s">
        <v>374</v>
      </c>
    </row>
    <row r="116" spans="1:13" x14ac:dyDescent="0.25">
      <c r="A116" s="55">
        <v>830</v>
      </c>
      <c r="B116" s="56" t="s">
        <v>208</v>
      </c>
      <c r="L116" s="65">
        <v>11278</v>
      </c>
      <c r="M116" t="s">
        <v>375</v>
      </c>
    </row>
    <row r="117" spans="1:13" x14ac:dyDescent="0.25">
      <c r="A117" s="55">
        <v>840</v>
      </c>
      <c r="B117" s="56" t="s">
        <v>209</v>
      </c>
      <c r="L117" s="65">
        <v>11279</v>
      </c>
      <c r="M117" t="s">
        <v>376</v>
      </c>
    </row>
    <row r="118" spans="1:13" x14ac:dyDescent="0.25">
      <c r="A118" s="55">
        <v>850</v>
      </c>
      <c r="B118" s="56" t="s">
        <v>210</v>
      </c>
      <c r="L118" s="65">
        <v>11280</v>
      </c>
      <c r="M118" t="s">
        <v>377</v>
      </c>
    </row>
    <row r="119" spans="1:13" x14ac:dyDescent="0.25">
      <c r="A119" s="55">
        <v>860</v>
      </c>
      <c r="B119" s="56" t="s">
        <v>211</v>
      </c>
      <c r="L119" s="65">
        <v>11281</v>
      </c>
      <c r="M119" t="s">
        <v>377</v>
      </c>
    </row>
    <row r="120" spans="1:13" x14ac:dyDescent="0.25">
      <c r="A120" s="52">
        <v>900</v>
      </c>
      <c r="B120" s="53" t="s">
        <v>212</v>
      </c>
      <c r="L120" s="65">
        <v>11286</v>
      </c>
      <c r="M120" t="s">
        <v>378</v>
      </c>
    </row>
    <row r="121" spans="1:13" x14ac:dyDescent="0.25">
      <c r="A121" s="55">
        <v>910</v>
      </c>
      <c r="B121" s="56" t="s">
        <v>213</v>
      </c>
      <c r="L121" s="65">
        <v>11287</v>
      </c>
      <c r="M121" t="s">
        <v>379</v>
      </c>
    </row>
    <row r="122" spans="1:13" x14ac:dyDescent="0.25">
      <c r="A122" s="58">
        <v>911</v>
      </c>
      <c r="B122" s="59" t="s">
        <v>214</v>
      </c>
      <c r="L122" s="65">
        <v>11288</v>
      </c>
      <c r="M122" t="s">
        <v>380</v>
      </c>
    </row>
    <row r="123" spans="1:13" x14ac:dyDescent="0.25">
      <c r="A123" s="58">
        <v>912</v>
      </c>
      <c r="B123" s="59" t="s">
        <v>215</v>
      </c>
      <c r="L123" s="65">
        <v>11289</v>
      </c>
      <c r="M123" t="s">
        <v>381</v>
      </c>
    </row>
    <row r="124" spans="1:13" x14ac:dyDescent="0.25">
      <c r="A124" s="58">
        <v>913</v>
      </c>
      <c r="B124" s="59" t="s">
        <v>216</v>
      </c>
      <c r="L124" s="65">
        <v>11290</v>
      </c>
      <c r="M124" t="s">
        <v>382</v>
      </c>
    </row>
    <row r="125" spans="1:13" x14ac:dyDescent="0.25">
      <c r="A125" s="58">
        <v>914</v>
      </c>
      <c r="B125" s="59" t="s">
        <v>217</v>
      </c>
      <c r="L125" s="65">
        <v>11291</v>
      </c>
      <c r="M125" t="s">
        <v>383</v>
      </c>
    </row>
    <row r="126" spans="1:13" x14ac:dyDescent="0.25">
      <c r="A126" s="58">
        <v>915</v>
      </c>
      <c r="B126" s="59" t="s">
        <v>218</v>
      </c>
      <c r="L126" s="65">
        <v>11292</v>
      </c>
      <c r="M126" t="s">
        <v>384</v>
      </c>
    </row>
    <row r="127" spans="1:13" x14ac:dyDescent="0.25">
      <c r="A127" s="58">
        <v>916</v>
      </c>
      <c r="B127" s="59" t="s">
        <v>219</v>
      </c>
      <c r="L127" s="65">
        <v>11293</v>
      </c>
      <c r="M127" t="s">
        <v>385</v>
      </c>
    </row>
    <row r="128" spans="1:13" x14ac:dyDescent="0.25">
      <c r="A128" s="55">
        <v>920</v>
      </c>
      <c r="B128" s="56" t="s">
        <v>220</v>
      </c>
      <c r="L128" s="65">
        <v>11294</v>
      </c>
      <c r="M128" t="s">
        <v>386</v>
      </c>
    </row>
    <row r="129" spans="1:13" x14ac:dyDescent="0.25">
      <c r="A129" s="58">
        <v>921</v>
      </c>
      <c r="B129" s="59" t="s">
        <v>221</v>
      </c>
      <c r="L129" s="65">
        <v>11296</v>
      </c>
      <c r="M129" t="s">
        <v>387</v>
      </c>
    </row>
    <row r="130" spans="1:13" x14ac:dyDescent="0.25">
      <c r="A130" s="58">
        <v>922</v>
      </c>
      <c r="B130" s="59" t="s">
        <v>222</v>
      </c>
      <c r="L130" s="65">
        <v>11297</v>
      </c>
      <c r="M130" t="s">
        <v>388</v>
      </c>
    </row>
    <row r="131" spans="1:13" x14ac:dyDescent="0.25">
      <c r="A131" s="58">
        <v>923</v>
      </c>
      <c r="B131" s="59" t="s">
        <v>223</v>
      </c>
      <c r="L131" s="65">
        <v>11298</v>
      </c>
      <c r="M131" t="s">
        <v>389</v>
      </c>
    </row>
    <row r="132" spans="1:13" x14ac:dyDescent="0.25">
      <c r="A132" s="55">
        <v>930</v>
      </c>
      <c r="B132" s="56" t="s">
        <v>224</v>
      </c>
      <c r="L132" s="65">
        <v>11299</v>
      </c>
      <c r="M132" t="s">
        <v>390</v>
      </c>
    </row>
    <row r="133" spans="1:13" x14ac:dyDescent="0.25">
      <c r="A133" s="58">
        <v>931</v>
      </c>
      <c r="B133" s="59" t="s">
        <v>224</v>
      </c>
      <c r="L133" s="65">
        <v>11300</v>
      </c>
      <c r="M133" t="s">
        <v>391</v>
      </c>
    </row>
    <row r="134" spans="1:13" x14ac:dyDescent="0.25">
      <c r="A134" s="58">
        <v>932</v>
      </c>
      <c r="B134" s="59" t="s">
        <v>225</v>
      </c>
      <c r="L134" s="65">
        <v>11310</v>
      </c>
      <c r="M134" t="s">
        <v>391</v>
      </c>
    </row>
    <row r="135" spans="1:13" x14ac:dyDescent="0.25">
      <c r="A135" s="55">
        <v>940</v>
      </c>
      <c r="B135" s="56" t="s">
        <v>226</v>
      </c>
      <c r="L135" s="65">
        <v>11311</v>
      </c>
      <c r="M135" t="s">
        <v>391</v>
      </c>
    </row>
    <row r="136" spans="1:13" x14ac:dyDescent="0.25">
      <c r="A136" s="58">
        <v>941</v>
      </c>
      <c r="B136" s="59" t="s">
        <v>227</v>
      </c>
      <c r="L136" s="65">
        <v>11316</v>
      </c>
      <c r="M136" t="s">
        <v>392</v>
      </c>
    </row>
    <row r="137" spans="1:13" x14ac:dyDescent="0.25">
      <c r="A137" s="58">
        <v>942</v>
      </c>
      <c r="B137" s="59" t="s">
        <v>228</v>
      </c>
      <c r="L137" s="65">
        <v>11317</v>
      </c>
      <c r="M137" t="s">
        <v>393</v>
      </c>
    </row>
    <row r="138" spans="1:13" x14ac:dyDescent="0.25">
      <c r="A138" s="55">
        <v>950</v>
      </c>
      <c r="B138" s="56" t="s">
        <v>229</v>
      </c>
      <c r="L138" s="65">
        <v>11318</v>
      </c>
      <c r="M138" t="s">
        <v>394</v>
      </c>
    </row>
    <row r="139" spans="1:13" x14ac:dyDescent="0.25">
      <c r="A139" s="55">
        <v>960</v>
      </c>
      <c r="B139" s="56" t="s">
        <v>230</v>
      </c>
      <c r="L139" s="65">
        <v>11319</v>
      </c>
      <c r="M139" t="s">
        <v>395</v>
      </c>
    </row>
    <row r="140" spans="1:13" x14ac:dyDescent="0.25">
      <c r="A140" s="55">
        <v>970</v>
      </c>
      <c r="B140" s="56" t="s">
        <v>231</v>
      </c>
      <c r="L140" s="65">
        <v>12000</v>
      </c>
      <c r="M140" t="s">
        <v>396</v>
      </c>
    </row>
    <row r="141" spans="1:13" x14ac:dyDescent="0.25">
      <c r="A141" s="55">
        <v>980</v>
      </c>
      <c r="B141" s="56" t="s">
        <v>232</v>
      </c>
      <c r="L141" s="65">
        <v>12100</v>
      </c>
      <c r="M141" t="s">
        <v>396</v>
      </c>
    </row>
    <row r="142" spans="1:13" x14ac:dyDescent="0.25">
      <c r="L142" s="65">
        <v>12110</v>
      </c>
      <c r="M142" t="s">
        <v>396</v>
      </c>
    </row>
    <row r="143" spans="1:13" x14ac:dyDescent="0.25">
      <c r="L143" s="65">
        <v>12111</v>
      </c>
      <c r="M143" t="s">
        <v>397</v>
      </c>
    </row>
    <row r="144" spans="1:13" x14ac:dyDescent="0.25">
      <c r="L144" s="65">
        <v>12112</v>
      </c>
      <c r="M144" t="s">
        <v>398</v>
      </c>
    </row>
    <row r="145" spans="12:13" x14ac:dyDescent="0.25">
      <c r="L145" s="65">
        <v>12117</v>
      </c>
      <c r="M145" t="s">
        <v>399</v>
      </c>
    </row>
    <row r="146" spans="12:13" x14ac:dyDescent="0.25">
      <c r="L146" s="65">
        <v>12118</v>
      </c>
      <c r="M146" t="s">
        <v>400</v>
      </c>
    </row>
    <row r="147" spans="12:13" x14ac:dyDescent="0.25">
      <c r="L147" s="65">
        <v>12119</v>
      </c>
      <c r="M147" t="s">
        <v>401</v>
      </c>
    </row>
    <row r="148" spans="12:13" x14ac:dyDescent="0.25">
      <c r="L148" s="65">
        <v>13000</v>
      </c>
      <c r="M148" t="s">
        <v>402</v>
      </c>
    </row>
    <row r="149" spans="12:13" x14ac:dyDescent="0.25">
      <c r="L149" s="65">
        <v>13100</v>
      </c>
      <c r="M149" t="s">
        <v>402</v>
      </c>
    </row>
    <row r="150" spans="12:13" x14ac:dyDescent="0.25">
      <c r="L150" s="65">
        <v>13110</v>
      </c>
      <c r="M150" t="s">
        <v>402</v>
      </c>
    </row>
    <row r="151" spans="12:13" x14ac:dyDescent="0.25">
      <c r="L151" s="65">
        <v>13111</v>
      </c>
      <c r="M151" t="s">
        <v>403</v>
      </c>
    </row>
    <row r="152" spans="12:13" x14ac:dyDescent="0.25">
      <c r="L152" s="65">
        <v>13112</v>
      </c>
      <c r="M152" t="s">
        <v>404</v>
      </c>
    </row>
    <row r="153" spans="12:13" x14ac:dyDescent="0.25">
      <c r="L153" s="65">
        <v>13113</v>
      </c>
      <c r="M153" t="s">
        <v>405</v>
      </c>
    </row>
    <row r="154" spans="12:13" x14ac:dyDescent="0.25">
      <c r="L154" s="65">
        <v>13114</v>
      </c>
      <c r="M154" t="s">
        <v>406</v>
      </c>
    </row>
    <row r="155" spans="12:13" x14ac:dyDescent="0.25">
      <c r="L155" s="65">
        <v>13115</v>
      </c>
      <c r="M155" t="s">
        <v>407</v>
      </c>
    </row>
    <row r="156" spans="12:13" x14ac:dyDescent="0.25">
      <c r="L156" s="65">
        <v>13117</v>
      </c>
      <c r="M156" t="s">
        <v>408</v>
      </c>
    </row>
    <row r="157" spans="12:13" x14ac:dyDescent="0.25">
      <c r="L157" s="65">
        <v>13118</v>
      </c>
      <c r="M157" t="s">
        <v>409</v>
      </c>
    </row>
    <row r="158" spans="12:13" x14ac:dyDescent="0.25">
      <c r="L158" s="65">
        <v>13119</v>
      </c>
      <c r="M158" t="s">
        <v>410</v>
      </c>
    </row>
    <row r="159" spans="12:13" x14ac:dyDescent="0.25">
      <c r="L159" s="65">
        <v>14000</v>
      </c>
      <c r="M159" t="s">
        <v>411</v>
      </c>
    </row>
    <row r="160" spans="12:13" x14ac:dyDescent="0.25">
      <c r="L160" s="65">
        <v>14100</v>
      </c>
      <c r="M160" t="s">
        <v>412</v>
      </c>
    </row>
    <row r="161" spans="12:13" x14ac:dyDescent="0.25">
      <c r="L161" s="65">
        <v>14110</v>
      </c>
      <c r="M161" t="s">
        <v>412</v>
      </c>
    </row>
    <row r="162" spans="12:13" x14ac:dyDescent="0.25">
      <c r="L162" s="65">
        <v>14111</v>
      </c>
      <c r="M162" t="s">
        <v>413</v>
      </c>
    </row>
    <row r="163" spans="12:13" x14ac:dyDescent="0.25">
      <c r="L163" s="65">
        <v>14112</v>
      </c>
      <c r="M163" t="s">
        <v>414</v>
      </c>
    </row>
    <row r="164" spans="12:13" x14ac:dyDescent="0.25">
      <c r="L164" s="65">
        <v>14113</v>
      </c>
      <c r="M164" t="s">
        <v>415</v>
      </c>
    </row>
    <row r="165" spans="12:13" x14ac:dyDescent="0.25">
      <c r="L165" s="65">
        <v>14114</v>
      </c>
      <c r="M165" t="s">
        <v>416</v>
      </c>
    </row>
    <row r="166" spans="12:13" x14ac:dyDescent="0.25">
      <c r="L166" s="65">
        <v>14115</v>
      </c>
      <c r="M166" t="s">
        <v>417</v>
      </c>
    </row>
    <row r="167" spans="12:13" x14ac:dyDescent="0.25">
      <c r="L167" s="65">
        <v>14117</v>
      </c>
      <c r="M167" t="s">
        <v>418</v>
      </c>
    </row>
    <row r="168" spans="12:13" x14ac:dyDescent="0.25">
      <c r="L168" s="65">
        <v>14118</v>
      </c>
      <c r="M168" t="s">
        <v>419</v>
      </c>
    </row>
    <row r="169" spans="12:13" x14ac:dyDescent="0.25">
      <c r="L169" s="65">
        <v>14119</v>
      </c>
      <c r="M169" t="s">
        <v>420</v>
      </c>
    </row>
    <row r="170" spans="12:13" x14ac:dyDescent="0.25">
      <c r="L170" s="65">
        <v>14200</v>
      </c>
      <c r="M170" t="s">
        <v>421</v>
      </c>
    </row>
    <row r="171" spans="12:13" x14ac:dyDescent="0.25">
      <c r="L171" s="65">
        <v>14210</v>
      </c>
      <c r="M171" t="s">
        <v>421</v>
      </c>
    </row>
    <row r="172" spans="12:13" x14ac:dyDescent="0.25">
      <c r="L172" s="65">
        <v>14211</v>
      </c>
      <c r="M172" t="s">
        <v>422</v>
      </c>
    </row>
    <row r="173" spans="12:13" x14ac:dyDescent="0.25">
      <c r="L173" s="65">
        <v>14212</v>
      </c>
      <c r="M173" t="s">
        <v>423</v>
      </c>
    </row>
    <row r="174" spans="12:13" x14ac:dyDescent="0.25">
      <c r="L174" s="65">
        <v>14213</v>
      </c>
      <c r="M174" t="s">
        <v>424</v>
      </c>
    </row>
    <row r="175" spans="12:13" x14ac:dyDescent="0.25">
      <c r="L175" s="65">
        <v>14217</v>
      </c>
      <c r="M175" t="s">
        <v>425</v>
      </c>
    </row>
    <row r="176" spans="12:13" x14ac:dyDescent="0.25">
      <c r="L176" s="65">
        <v>14218</v>
      </c>
      <c r="M176" t="s">
        <v>426</v>
      </c>
    </row>
    <row r="177" spans="12:13" x14ac:dyDescent="0.25">
      <c r="L177" s="65">
        <v>14219</v>
      </c>
      <c r="M177" t="s">
        <v>427</v>
      </c>
    </row>
    <row r="178" spans="12:13" x14ac:dyDescent="0.25">
      <c r="L178" s="65">
        <v>14300</v>
      </c>
      <c r="M178" t="s">
        <v>428</v>
      </c>
    </row>
    <row r="179" spans="12:13" x14ac:dyDescent="0.25">
      <c r="L179" s="65">
        <v>14310</v>
      </c>
      <c r="M179" t="s">
        <v>429</v>
      </c>
    </row>
    <row r="180" spans="12:13" x14ac:dyDescent="0.25">
      <c r="L180" s="65">
        <v>14311</v>
      </c>
      <c r="M180" t="s">
        <v>429</v>
      </c>
    </row>
    <row r="181" spans="12:13" x14ac:dyDescent="0.25">
      <c r="L181" s="65">
        <v>14317</v>
      </c>
      <c r="M181" t="s">
        <v>430</v>
      </c>
    </row>
    <row r="182" spans="12:13" x14ac:dyDescent="0.25">
      <c r="L182" s="65">
        <v>14318</v>
      </c>
      <c r="M182" t="s">
        <v>431</v>
      </c>
    </row>
    <row r="183" spans="12:13" x14ac:dyDescent="0.25">
      <c r="L183" s="65">
        <v>14319</v>
      </c>
      <c r="M183" t="s">
        <v>432</v>
      </c>
    </row>
    <row r="184" spans="12:13" x14ac:dyDescent="0.25">
      <c r="L184" s="65">
        <v>14320</v>
      </c>
      <c r="M184" t="s">
        <v>433</v>
      </c>
    </row>
    <row r="185" spans="12:13" x14ac:dyDescent="0.25">
      <c r="L185" s="65">
        <v>14321</v>
      </c>
      <c r="M185" t="s">
        <v>433</v>
      </c>
    </row>
    <row r="186" spans="12:13" x14ac:dyDescent="0.25">
      <c r="L186" s="65">
        <v>14327</v>
      </c>
      <c r="M186" t="s">
        <v>434</v>
      </c>
    </row>
    <row r="187" spans="12:13" x14ac:dyDescent="0.25">
      <c r="L187" s="65">
        <v>14328</v>
      </c>
      <c r="M187" t="s">
        <v>435</v>
      </c>
    </row>
    <row r="188" spans="12:13" x14ac:dyDescent="0.25">
      <c r="L188" s="65">
        <v>14329</v>
      </c>
      <c r="M188" t="s">
        <v>436</v>
      </c>
    </row>
    <row r="189" spans="12:13" x14ac:dyDescent="0.25">
      <c r="L189" s="65">
        <v>15000</v>
      </c>
      <c r="M189" t="s">
        <v>437</v>
      </c>
    </row>
    <row r="190" spans="12:13" x14ac:dyDescent="0.25">
      <c r="L190" s="65">
        <v>15100</v>
      </c>
      <c r="M190" t="s">
        <v>438</v>
      </c>
    </row>
    <row r="191" spans="12:13" x14ac:dyDescent="0.25">
      <c r="L191" s="65">
        <v>15110</v>
      </c>
      <c r="M191" t="s">
        <v>439</v>
      </c>
    </row>
    <row r="192" spans="12:13" x14ac:dyDescent="0.25">
      <c r="L192" s="65">
        <v>15111</v>
      </c>
      <c r="M192" t="s">
        <v>440</v>
      </c>
    </row>
    <row r="193" spans="12:13" x14ac:dyDescent="0.25">
      <c r="L193" s="65">
        <v>15112</v>
      </c>
      <c r="M193" t="s">
        <v>441</v>
      </c>
    </row>
    <row r="194" spans="12:13" x14ac:dyDescent="0.25">
      <c r="L194" s="65">
        <v>15113</v>
      </c>
      <c r="M194" t="s">
        <v>442</v>
      </c>
    </row>
    <row r="195" spans="12:13" x14ac:dyDescent="0.25">
      <c r="L195" s="65">
        <v>15114</v>
      </c>
      <c r="M195" t="s">
        <v>443</v>
      </c>
    </row>
    <row r="196" spans="12:13" x14ac:dyDescent="0.25">
      <c r="L196" s="65">
        <v>15115</v>
      </c>
      <c r="M196" t="s">
        <v>444</v>
      </c>
    </row>
    <row r="197" spans="12:13" x14ac:dyDescent="0.25">
      <c r="L197" s="65">
        <v>15120</v>
      </c>
      <c r="M197" t="s">
        <v>445</v>
      </c>
    </row>
    <row r="198" spans="12:13" x14ac:dyDescent="0.25">
      <c r="L198" s="65">
        <v>15121</v>
      </c>
      <c r="M198" t="s">
        <v>446</v>
      </c>
    </row>
    <row r="199" spans="12:13" x14ac:dyDescent="0.25">
      <c r="L199" s="65">
        <v>15122</v>
      </c>
      <c r="M199" t="s">
        <v>447</v>
      </c>
    </row>
    <row r="200" spans="12:13" x14ac:dyDescent="0.25">
      <c r="L200" s="65">
        <v>15123</v>
      </c>
      <c r="M200" t="s">
        <v>448</v>
      </c>
    </row>
    <row r="201" spans="12:13" x14ac:dyDescent="0.25">
      <c r="L201" s="65">
        <v>15124</v>
      </c>
      <c r="M201" t="s">
        <v>449</v>
      </c>
    </row>
    <row r="202" spans="12:13" x14ac:dyDescent="0.25">
      <c r="L202" s="65">
        <v>15125</v>
      </c>
      <c r="M202" t="s">
        <v>450</v>
      </c>
    </row>
    <row r="203" spans="12:13" x14ac:dyDescent="0.25">
      <c r="L203" s="65">
        <v>15126</v>
      </c>
      <c r="M203" t="s">
        <v>451</v>
      </c>
    </row>
    <row r="204" spans="12:13" x14ac:dyDescent="0.25">
      <c r="L204" s="65">
        <v>15127</v>
      </c>
      <c r="M204" t="s">
        <v>452</v>
      </c>
    </row>
    <row r="205" spans="12:13" x14ac:dyDescent="0.25">
      <c r="L205" s="65">
        <v>15128</v>
      </c>
      <c r="M205" t="s">
        <v>453</v>
      </c>
    </row>
    <row r="206" spans="12:13" x14ac:dyDescent="0.25">
      <c r="L206" s="65">
        <v>15129</v>
      </c>
      <c r="M206" t="s">
        <v>454</v>
      </c>
    </row>
    <row r="207" spans="12:13" x14ac:dyDescent="0.25">
      <c r="L207" s="65">
        <v>15130</v>
      </c>
      <c r="M207" t="s">
        <v>455</v>
      </c>
    </row>
    <row r="208" spans="12:13" x14ac:dyDescent="0.25">
      <c r="L208" s="65">
        <v>15131</v>
      </c>
      <c r="M208" t="s">
        <v>455</v>
      </c>
    </row>
    <row r="209" spans="12:13" x14ac:dyDescent="0.25">
      <c r="L209" s="65">
        <v>15140</v>
      </c>
      <c r="M209" t="s">
        <v>456</v>
      </c>
    </row>
    <row r="210" spans="12:13" x14ac:dyDescent="0.25">
      <c r="L210" s="65">
        <v>15141</v>
      </c>
      <c r="M210" t="s">
        <v>456</v>
      </c>
    </row>
    <row r="211" spans="12:13" x14ac:dyDescent="0.25">
      <c r="L211" s="65">
        <v>15150</v>
      </c>
      <c r="M211" t="s">
        <v>457</v>
      </c>
    </row>
    <row r="212" spans="12:13" x14ac:dyDescent="0.25">
      <c r="L212" s="65">
        <v>15151</v>
      </c>
      <c r="M212" t="s">
        <v>457</v>
      </c>
    </row>
    <row r="213" spans="12:13" x14ac:dyDescent="0.25">
      <c r="L213" s="65">
        <v>15160</v>
      </c>
      <c r="M213" t="s">
        <v>458</v>
      </c>
    </row>
    <row r="214" spans="12:13" x14ac:dyDescent="0.25">
      <c r="L214" s="65">
        <v>15161</v>
      </c>
      <c r="M214" t="s">
        <v>458</v>
      </c>
    </row>
    <row r="215" spans="12:13" x14ac:dyDescent="0.25">
      <c r="L215" s="65">
        <v>15170</v>
      </c>
      <c r="M215" t="s">
        <v>459</v>
      </c>
    </row>
    <row r="216" spans="12:13" x14ac:dyDescent="0.25">
      <c r="L216" s="65">
        <v>15171</v>
      </c>
      <c r="M216" t="s">
        <v>459</v>
      </c>
    </row>
    <row r="217" spans="12:13" x14ac:dyDescent="0.25">
      <c r="L217" s="65">
        <v>15180</v>
      </c>
      <c r="M217" t="s">
        <v>460</v>
      </c>
    </row>
    <row r="218" spans="12:13" x14ac:dyDescent="0.25">
      <c r="L218" s="65">
        <v>15181</v>
      </c>
      <c r="M218" t="s">
        <v>461</v>
      </c>
    </row>
    <row r="219" spans="12:13" x14ac:dyDescent="0.25">
      <c r="L219" s="65">
        <v>15182</v>
      </c>
      <c r="M219" t="s">
        <v>462</v>
      </c>
    </row>
    <row r="220" spans="12:13" x14ac:dyDescent="0.25">
      <c r="L220" s="65">
        <v>15200</v>
      </c>
      <c r="M220" t="s">
        <v>463</v>
      </c>
    </row>
    <row r="221" spans="12:13" x14ac:dyDescent="0.25">
      <c r="L221" s="65">
        <v>15210</v>
      </c>
      <c r="M221" t="s">
        <v>464</v>
      </c>
    </row>
    <row r="222" spans="12:13" x14ac:dyDescent="0.25">
      <c r="L222" s="65">
        <v>15211</v>
      </c>
      <c r="M222" t="s">
        <v>465</v>
      </c>
    </row>
    <row r="223" spans="12:13" x14ac:dyDescent="0.25">
      <c r="L223" s="65">
        <v>15212</v>
      </c>
      <c r="M223" t="s">
        <v>466</v>
      </c>
    </row>
    <row r="224" spans="12:13" x14ac:dyDescent="0.25">
      <c r="L224" s="65">
        <v>15213</v>
      </c>
      <c r="M224" t="s">
        <v>467</v>
      </c>
    </row>
    <row r="225" spans="12:13" x14ac:dyDescent="0.25">
      <c r="L225" s="65">
        <v>15214</v>
      </c>
      <c r="M225" t="s">
        <v>468</v>
      </c>
    </row>
    <row r="226" spans="12:13" x14ac:dyDescent="0.25">
      <c r="L226" s="65">
        <v>15215</v>
      </c>
      <c r="M226" t="s">
        <v>469</v>
      </c>
    </row>
    <row r="227" spans="12:13" x14ac:dyDescent="0.25">
      <c r="L227" s="65">
        <v>15220</v>
      </c>
      <c r="M227" t="s">
        <v>470</v>
      </c>
    </row>
    <row r="228" spans="12:13" x14ac:dyDescent="0.25">
      <c r="L228" s="65">
        <v>15221</v>
      </c>
      <c r="M228" t="s">
        <v>471</v>
      </c>
    </row>
    <row r="229" spans="12:13" x14ac:dyDescent="0.25">
      <c r="L229" s="65">
        <v>15222</v>
      </c>
      <c r="M229" t="s">
        <v>472</v>
      </c>
    </row>
    <row r="230" spans="12:13" x14ac:dyDescent="0.25">
      <c r="L230" s="65">
        <v>15223</v>
      </c>
      <c r="M230" t="s">
        <v>473</v>
      </c>
    </row>
    <row r="231" spans="12:13" x14ac:dyDescent="0.25">
      <c r="L231" s="65">
        <v>15224</v>
      </c>
      <c r="M231" t="s">
        <v>474</v>
      </c>
    </row>
    <row r="232" spans="12:13" x14ac:dyDescent="0.25">
      <c r="L232" s="65">
        <v>15225</v>
      </c>
      <c r="M232" t="s">
        <v>475</v>
      </c>
    </row>
    <row r="233" spans="12:13" x14ac:dyDescent="0.25">
      <c r="L233" s="65">
        <v>15226</v>
      </c>
      <c r="M233" t="s">
        <v>476</v>
      </c>
    </row>
    <row r="234" spans="12:13" x14ac:dyDescent="0.25">
      <c r="L234" s="65">
        <v>15227</v>
      </c>
      <c r="M234" t="s">
        <v>477</v>
      </c>
    </row>
    <row r="235" spans="12:13" x14ac:dyDescent="0.25">
      <c r="L235" s="65">
        <v>15228</v>
      </c>
      <c r="M235" t="s">
        <v>478</v>
      </c>
    </row>
    <row r="236" spans="12:13" x14ac:dyDescent="0.25">
      <c r="L236" s="65">
        <v>15229</v>
      </c>
      <c r="M236" t="s">
        <v>479</v>
      </c>
    </row>
    <row r="237" spans="12:13" x14ac:dyDescent="0.25">
      <c r="L237" s="65">
        <v>15230</v>
      </c>
      <c r="M237" t="s">
        <v>480</v>
      </c>
    </row>
    <row r="238" spans="12:13" x14ac:dyDescent="0.25">
      <c r="L238" s="65">
        <v>15231</v>
      </c>
      <c r="M238" t="s">
        <v>480</v>
      </c>
    </row>
    <row r="239" spans="12:13" x14ac:dyDescent="0.25">
      <c r="L239" s="65">
        <v>15240</v>
      </c>
      <c r="M239" t="s">
        <v>481</v>
      </c>
    </row>
    <row r="240" spans="12:13" x14ac:dyDescent="0.25">
      <c r="L240" s="65">
        <v>15241</v>
      </c>
      <c r="M240" t="s">
        <v>481</v>
      </c>
    </row>
    <row r="241" spans="12:13" x14ac:dyDescent="0.25">
      <c r="L241" s="65">
        <v>15250</v>
      </c>
      <c r="M241" t="s">
        <v>482</v>
      </c>
    </row>
    <row r="242" spans="12:13" x14ac:dyDescent="0.25">
      <c r="L242" s="65">
        <v>15251</v>
      </c>
      <c r="M242" t="s">
        <v>482</v>
      </c>
    </row>
    <row r="243" spans="12:13" x14ac:dyDescent="0.25">
      <c r="L243" s="65">
        <v>15260</v>
      </c>
      <c r="M243" t="s">
        <v>483</v>
      </c>
    </row>
    <row r="244" spans="12:13" x14ac:dyDescent="0.25">
      <c r="L244" s="65">
        <v>15261</v>
      </c>
      <c r="M244" t="s">
        <v>483</v>
      </c>
    </row>
    <row r="245" spans="12:13" x14ac:dyDescent="0.25">
      <c r="L245" s="65">
        <v>15270</v>
      </c>
      <c r="M245" t="s">
        <v>484</v>
      </c>
    </row>
    <row r="246" spans="12:13" x14ac:dyDescent="0.25">
      <c r="L246" s="65">
        <v>15271</v>
      </c>
      <c r="M246" t="s">
        <v>484</v>
      </c>
    </row>
    <row r="247" spans="12:13" x14ac:dyDescent="0.25">
      <c r="L247" s="65">
        <v>15280</v>
      </c>
      <c r="M247" t="s">
        <v>485</v>
      </c>
    </row>
    <row r="248" spans="12:13" x14ac:dyDescent="0.25">
      <c r="L248" s="65">
        <v>15281</v>
      </c>
      <c r="M248" t="s">
        <v>486</v>
      </c>
    </row>
    <row r="249" spans="12:13" x14ac:dyDescent="0.25">
      <c r="L249" s="65">
        <v>15282</v>
      </c>
      <c r="M249" t="s">
        <v>487</v>
      </c>
    </row>
    <row r="250" spans="12:13" x14ac:dyDescent="0.25">
      <c r="L250" s="65">
        <v>16000</v>
      </c>
      <c r="M250" t="s">
        <v>488</v>
      </c>
    </row>
    <row r="251" spans="12:13" x14ac:dyDescent="0.25">
      <c r="L251" s="65">
        <v>16100</v>
      </c>
      <c r="M251" t="s">
        <v>488</v>
      </c>
    </row>
    <row r="252" spans="12:13" x14ac:dyDescent="0.25">
      <c r="L252" s="65">
        <v>16110</v>
      </c>
      <c r="M252" t="s">
        <v>489</v>
      </c>
    </row>
    <row r="253" spans="12:13" x14ac:dyDescent="0.25">
      <c r="L253" s="65">
        <v>16111</v>
      </c>
      <c r="M253" t="s">
        <v>489</v>
      </c>
    </row>
    <row r="254" spans="12:13" x14ac:dyDescent="0.25">
      <c r="L254" s="65">
        <v>16117</v>
      </c>
      <c r="M254" t="s">
        <v>490</v>
      </c>
    </row>
    <row r="255" spans="12:13" x14ac:dyDescent="0.25">
      <c r="L255" s="65">
        <v>16118</v>
      </c>
      <c r="M255" t="s">
        <v>491</v>
      </c>
    </row>
    <row r="256" spans="12:13" x14ac:dyDescent="0.25">
      <c r="L256" s="65">
        <v>16119</v>
      </c>
      <c r="M256" t="s">
        <v>492</v>
      </c>
    </row>
    <row r="257" spans="12:13" x14ac:dyDescent="0.25">
      <c r="L257" s="65">
        <v>16120</v>
      </c>
      <c r="M257" t="s">
        <v>493</v>
      </c>
    </row>
    <row r="258" spans="12:13" x14ac:dyDescent="0.25">
      <c r="L258" s="65">
        <v>16121</v>
      </c>
      <c r="M258" t="s">
        <v>493</v>
      </c>
    </row>
    <row r="259" spans="12:13" x14ac:dyDescent="0.25">
      <c r="L259" s="65">
        <v>16127</v>
      </c>
      <c r="M259" t="s">
        <v>494</v>
      </c>
    </row>
    <row r="260" spans="12:13" x14ac:dyDescent="0.25">
      <c r="L260" s="65">
        <v>16128</v>
      </c>
      <c r="M260" t="s">
        <v>495</v>
      </c>
    </row>
    <row r="261" spans="12:13" x14ac:dyDescent="0.25">
      <c r="L261" s="65">
        <v>16129</v>
      </c>
      <c r="M261" t="s">
        <v>496</v>
      </c>
    </row>
    <row r="262" spans="12:13" x14ac:dyDescent="0.25">
      <c r="L262" s="65">
        <v>16130</v>
      </c>
      <c r="M262" t="s">
        <v>497</v>
      </c>
    </row>
    <row r="263" spans="12:13" x14ac:dyDescent="0.25">
      <c r="L263" s="65">
        <v>16131</v>
      </c>
      <c r="M263" t="s">
        <v>497</v>
      </c>
    </row>
    <row r="264" spans="12:13" x14ac:dyDescent="0.25">
      <c r="L264" s="65">
        <v>16137</v>
      </c>
      <c r="M264" t="s">
        <v>498</v>
      </c>
    </row>
    <row r="265" spans="12:13" x14ac:dyDescent="0.25">
      <c r="L265" s="65">
        <v>16138</v>
      </c>
      <c r="M265" t="s">
        <v>499</v>
      </c>
    </row>
    <row r="266" spans="12:13" x14ac:dyDescent="0.25">
      <c r="L266" s="65">
        <v>16139</v>
      </c>
      <c r="M266" t="s">
        <v>500</v>
      </c>
    </row>
    <row r="267" spans="12:13" x14ac:dyDescent="0.25">
      <c r="L267" s="65">
        <v>16140</v>
      </c>
      <c r="M267" t="s">
        <v>501</v>
      </c>
    </row>
    <row r="268" spans="12:13" x14ac:dyDescent="0.25">
      <c r="L268" s="65">
        <v>16141</v>
      </c>
      <c r="M268" t="s">
        <v>501</v>
      </c>
    </row>
    <row r="269" spans="12:13" x14ac:dyDescent="0.25">
      <c r="L269" s="65">
        <v>16147</v>
      </c>
      <c r="M269" t="s">
        <v>502</v>
      </c>
    </row>
    <row r="270" spans="12:13" x14ac:dyDescent="0.25">
      <c r="L270" s="65">
        <v>16148</v>
      </c>
      <c r="M270" t="s">
        <v>503</v>
      </c>
    </row>
    <row r="271" spans="12:13" x14ac:dyDescent="0.25">
      <c r="L271" s="65">
        <v>16149</v>
      </c>
      <c r="M271" t="s">
        <v>504</v>
      </c>
    </row>
    <row r="272" spans="12:13" x14ac:dyDescent="0.25">
      <c r="L272" s="65">
        <v>16150</v>
      </c>
      <c r="M272" t="s">
        <v>505</v>
      </c>
    </row>
    <row r="273" spans="12:13" x14ac:dyDescent="0.25">
      <c r="L273" s="65">
        <v>16151</v>
      </c>
      <c r="M273" t="s">
        <v>505</v>
      </c>
    </row>
    <row r="274" spans="12:13" x14ac:dyDescent="0.25">
      <c r="L274" s="65">
        <v>16157</v>
      </c>
      <c r="M274" t="s">
        <v>506</v>
      </c>
    </row>
    <row r="275" spans="12:13" x14ac:dyDescent="0.25">
      <c r="L275" s="65">
        <v>16158</v>
      </c>
      <c r="M275" t="s">
        <v>507</v>
      </c>
    </row>
    <row r="276" spans="12:13" x14ac:dyDescent="0.25">
      <c r="L276" s="65">
        <v>16159</v>
      </c>
      <c r="M276" t="s">
        <v>508</v>
      </c>
    </row>
    <row r="277" spans="12:13" x14ac:dyDescent="0.25">
      <c r="L277" s="65">
        <v>16160</v>
      </c>
      <c r="M277" t="s">
        <v>509</v>
      </c>
    </row>
    <row r="278" spans="12:13" x14ac:dyDescent="0.25">
      <c r="L278" s="65">
        <v>16161</v>
      </c>
      <c r="M278" t="s">
        <v>509</v>
      </c>
    </row>
    <row r="279" spans="12:13" x14ac:dyDescent="0.25">
      <c r="L279" s="65">
        <v>16167</v>
      </c>
      <c r="M279" t="s">
        <v>510</v>
      </c>
    </row>
    <row r="280" spans="12:13" x14ac:dyDescent="0.25">
      <c r="L280" s="65">
        <v>16168</v>
      </c>
      <c r="M280" t="s">
        <v>511</v>
      </c>
    </row>
    <row r="281" spans="12:13" x14ac:dyDescent="0.25">
      <c r="L281" s="65">
        <v>16169</v>
      </c>
      <c r="M281" t="s">
        <v>512</v>
      </c>
    </row>
    <row r="282" spans="12:13" x14ac:dyDescent="0.25">
      <c r="L282" s="65">
        <v>16170</v>
      </c>
      <c r="M282" t="s">
        <v>513</v>
      </c>
    </row>
    <row r="283" spans="12:13" x14ac:dyDescent="0.25">
      <c r="L283" s="65">
        <v>16171</v>
      </c>
      <c r="M283" t="s">
        <v>513</v>
      </c>
    </row>
    <row r="284" spans="12:13" x14ac:dyDescent="0.25">
      <c r="L284" s="65">
        <v>16177</v>
      </c>
      <c r="M284" t="s">
        <v>514</v>
      </c>
    </row>
    <row r="285" spans="12:13" x14ac:dyDescent="0.25">
      <c r="L285" s="65">
        <v>16178</v>
      </c>
      <c r="M285" t="s">
        <v>515</v>
      </c>
    </row>
    <row r="286" spans="12:13" x14ac:dyDescent="0.25">
      <c r="L286" s="65">
        <v>16179</v>
      </c>
      <c r="M286" t="s">
        <v>516</v>
      </c>
    </row>
    <row r="287" spans="12:13" x14ac:dyDescent="0.25">
      <c r="L287" s="65">
        <v>16180</v>
      </c>
      <c r="M287" t="s">
        <v>517</v>
      </c>
    </row>
    <row r="288" spans="12:13" x14ac:dyDescent="0.25">
      <c r="L288" s="65">
        <v>16181</v>
      </c>
      <c r="M288" t="s">
        <v>517</v>
      </c>
    </row>
    <row r="289" spans="12:13" x14ac:dyDescent="0.25">
      <c r="L289" s="65">
        <v>16190</v>
      </c>
      <c r="M289" t="s">
        <v>518</v>
      </c>
    </row>
    <row r="290" spans="12:13" x14ac:dyDescent="0.25">
      <c r="L290" s="65">
        <v>16191</v>
      </c>
      <c r="M290" t="s">
        <v>518</v>
      </c>
    </row>
    <row r="291" spans="12:13" x14ac:dyDescent="0.25">
      <c r="L291" s="65">
        <v>20000</v>
      </c>
      <c r="M291" t="s">
        <v>519</v>
      </c>
    </row>
    <row r="292" spans="12:13" x14ac:dyDescent="0.25">
      <c r="L292" s="65">
        <v>21000</v>
      </c>
      <c r="M292" t="s">
        <v>520</v>
      </c>
    </row>
    <row r="293" spans="12:13" x14ac:dyDescent="0.25">
      <c r="L293" s="65">
        <v>21100</v>
      </c>
      <c r="M293" t="s">
        <v>521</v>
      </c>
    </row>
    <row r="294" spans="12:13" x14ac:dyDescent="0.25">
      <c r="L294" s="65">
        <v>21110</v>
      </c>
      <c r="M294" t="s">
        <v>521</v>
      </c>
    </row>
    <row r="295" spans="12:13" x14ac:dyDescent="0.25">
      <c r="L295" s="65">
        <v>21111</v>
      </c>
      <c r="M295" t="s">
        <v>521</v>
      </c>
    </row>
    <row r="296" spans="12:13" x14ac:dyDescent="0.25">
      <c r="L296" s="65">
        <v>21117</v>
      </c>
      <c r="M296" t="s">
        <v>522</v>
      </c>
    </row>
    <row r="297" spans="12:13" x14ac:dyDescent="0.25">
      <c r="L297" s="65">
        <v>21118</v>
      </c>
      <c r="M297" t="s">
        <v>523</v>
      </c>
    </row>
    <row r="298" spans="12:13" x14ac:dyDescent="0.25">
      <c r="L298" s="65">
        <v>21119</v>
      </c>
      <c r="M298" t="s">
        <v>524</v>
      </c>
    </row>
    <row r="299" spans="12:13" x14ac:dyDescent="0.25">
      <c r="L299" s="65">
        <v>21200</v>
      </c>
      <c r="M299" t="s">
        <v>525</v>
      </c>
    </row>
    <row r="300" spans="12:13" x14ac:dyDescent="0.25">
      <c r="L300" s="65">
        <v>21210</v>
      </c>
      <c r="M300" t="s">
        <v>526</v>
      </c>
    </row>
    <row r="301" spans="12:13" x14ac:dyDescent="0.25">
      <c r="L301" s="65">
        <v>21211</v>
      </c>
      <c r="M301" t="s">
        <v>526</v>
      </c>
    </row>
    <row r="302" spans="12:13" x14ac:dyDescent="0.25">
      <c r="L302" s="65">
        <v>21220</v>
      </c>
      <c r="M302" t="s">
        <v>527</v>
      </c>
    </row>
    <row r="303" spans="12:13" x14ac:dyDescent="0.25">
      <c r="L303" s="65">
        <v>21221</v>
      </c>
      <c r="M303" t="s">
        <v>527</v>
      </c>
    </row>
    <row r="304" spans="12:13" x14ac:dyDescent="0.25">
      <c r="L304" s="65">
        <v>21230</v>
      </c>
      <c r="M304" t="s">
        <v>528</v>
      </c>
    </row>
    <row r="305" spans="12:13" x14ac:dyDescent="0.25">
      <c r="L305" s="65">
        <v>21231</v>
      </c>
      <c r="M305" t="s">
        <v>528</v>
      </c>
    </row>
    <row r="306" spans="12:13" x14ac:dyDescent="0.25">
      <c r="L306" s="65">
        <v>21300</v>
      </c>
      <c r="M306" t="s">
        <v>529</v>
      </c>
    </row>
    <row r="307" spans="12:13" x14ac:dyDescent="0.25">
      <c r="L307" s="65">
        <v>21310</v>
      </c>
      <c r="M307" t="s">
        <v>529</v>
      </c>
    </row>
    <row r="308" spans="12:13" x14ac:dyDescent="0.25">
      <c r="L308" s="65">
        <v>21311</v>
      </c>
      <c r="M308" t="s">
        <v>530</v>
      </c>
    </row>
    <row r="309" spans="12:13" x14ac:dyDescent="0.25">
      <c r="L309" s="65">
        <v>21312</v>
      </c>
      <c r="M309" t="s">
        <v>531</v>
      </c>
    </row>
    <row r="310" spans="12:13" x14ac:dyDescent="0.25">
      <c r="L310" s="65">
        <v>21313</v>
      </c>
      <c r="M310" t="s">
        <v>532</v>
      </c>
    </row>
    <row r="311" spans="12:13" x14ac:dyDescent="0.25">
      <c r="L311" s="65">
        <v>21314</v>
      </c>
      <c r="M311" t="s">
        <v>533</v>
      </c>
    </row>
    <row r="312" spans="12:13" x14ac:dyDescent="0.25">
      <c r="L312" s="65">
        <v>21319</v>
      </c>
      <c r="M312" t="s">
        <v>534</v>
      </c>
    </row>
    <row r="313" spans="12:13" x14ac:dyDescent="0.25">
      <c r="L313" s="65">
        <v>22000</v>
      </c>
      <c r="M313" t="s">
        <v>535</v>
      </c>
    </row>
    <row r="314" spans="12:13" x14ac:dyDescent="0.25">
      <c r="L314" s="65">
        <v>22100</v>
      </c>
      <c r="M314" t="s">
        <v>536</v>
      </c>
    </row>
    <row r="315" spans="12:13" x14ac:dyDescent="0.25">
      <c r="L315" s="65">
        <v>22110</v>
      </c>
      <c r="M315" t="s">
        <v>536</v>
      </c>
    </row>
    <row r="316" spans="12:13" x14ac:dyDescent="0.25">
      <c r="L316" s="65">
        <v>22111</v>
      </c>
      <c r="M316" t="s">
        <v>536</v>
      </c>
    </row>
    <row r="317" spans="12:13" x14ac:dyDescent="0.25">
      <c r="L317" s="65">
        <v>22120</v>
      </c>
      <c r="M317" t="s">
        <v>537</v>
      </c>
    </row>
    <row r="318" spans="12:13" x14ac:dyDescent="0.25">
      <c r="L318" s="65">
        <v>22121</v>
      </c>
      <c r="M318" t="s">
        <v>537</v>
      </c>
    </row>
    <row r="319" spans="12:13" x14ac:dyDescent="0.25">
      <c r="L319" s="65">
        <v>22129</v>
      </c>
      <c r="M319" t="s">
        <v>538</v>
      </c>
    </row>
    <row r="320" spans="12:13" x14ac:dyDescent="0.25">
      <c r="L320" s="65">
        <v>22200</v>
      </c>
      <c r="M320" t="s">
        <v>539</v>
      </c>
    </row>
    <row r="321" spans="12:13" x14ac:dyDescent="0.25">
      <c r="L321" s="65">
        <v>22210</v>
      </c>
      <c r="M321" t="s">
        <v>540</v>
      </c>
    </row>
    <row r="322" spans="12:13" x14ac:dyDescent="0.25">
      <c r="L322" s="65">
        <v>22211</v>
      </c>
      <c r="M322" t="s">
        <v>541</v>
      </c>
    </row>
    <row r="323" spans="12:13" x14ac:dyDescent="0.25">
      <c r="L323" s="65">
        <v>22220</v>
      </c>
      <c r="M323" t="s">
        <v>542</v>
      </c>
    </row>
    <row r="324" spans="12:13" x14ac:dyDescent="0.25">
      <c r="L324" s="65">
        <v>22221</v>
      </c>
      <c r="M324" t="s">
        <v>543</v>
      </c>
    </row>
    <row r="325" spans="12:13" x14ac:dyDescent="0.25">
      <c r="L325" s="65">
        <v>22222</v>
      </c>
      <c r="M325" t="s">
        <v>544</v>
      </c>
    </row>
    <row r="326" spans="12:13" x14ac:dyDescent="0.25">
      <c r="L326" s="65">
        <v>22230</v>
      </c>
      <c r="M326" t="s">
        <v>545</v>
      </c>
    </row>
    <row r="327" spans="12:13" x14ac:dyDescent="0.25">
      <c r="L327" s="65">
        <v>22231</v>
      </c>
      <c r="M327" t="s">
        <v>546</v>
      </c>
    </row>
    <row r="328" spans="12:13" x14ac:dyDescent="0.25">
      <c r="L328" s="65">
        <v>22232</v>
      </c>
      <c r="M328" t="s">
        <v>547</v>
      </c>
    </row>
    <row r="329" spans="12:13" x14ac:dyDescent="0.25">
      <c r="L329" s="65">
        <v>22233</v>
      </c>
      <c r="M329" t="s">
        <v>548</v>
      </c>
    </row>
    <row r="330" spans="12:13" x14ac:dyDescent="0.25">
      <c r="L330" s="65">
        <v>22234</v>
      </c>
      <c r="M330" t="s">
        <v>549</v>
      </c>
    </row>
    <row r="331" spans="12:13" x14ac:dyDescent="0.25">
      <c r="L331" s="65">
        <v>22235</v>
      </c>
      <c r="M331" t="s">
        <v>550</v>
      </c>
    </row>
    <row r="332" spans="12:13" x14ac:dyDescent="0.25">
      <c r="L332" s="65">
        <v>22236</v>
      </c>
      <c r="M332" t="s">
        <v>551</v>
      </c>
    </row>
    <row r="333" spans="12:13" x14ac:dyDescent="0.25">
      <c r="L333" s="65">
        <v>22237</v>
      </c>
      <c r="M333" t="s">
        <v>552</v>
      </c>
    </row>
    <row r="334" spans="12:13" x14ac:dyDescent="0.25">
      <c r="L334" s="65">
        <v>22238</v>
      </c>
      <c r="M334" t="s">
        <v>553</v>
      </c>
    </row>
    <row r="335" spans="12:13" x14ac:dyDescent="0.25">
      <c r="L335" s="65">
        <v>22239</v>
      </c>
      <c r="M335" t="s">
        <v>554</v>
      </c>
    </row>
    <row r="336" spans="12:13" x14ac:dyDescent="0.25">
      <c r="L336" s="65">
        <v>22290</v>
      </c>
      <c r="M336" t="s">
        <v>555</v>
      </c>
    </row>
    <row r="337" spans="12:13" x14ac:dyDescent="0.25">
      <c r="L337" s="65">
        <v>22291</v>
      </c>
      <c r="M337" t="s">
        <v>556</v>
      </c>
    </row>
    <row r="338" spans="12:13" x14ac:dyDescent="0.25">
      <c r="L338" s="65">
        <v>22292</v>
      </c>
      <c r="M338" t="s">
        <v>557</v>
      </c>
    </row>
    <row r="339" spans="12:13" x14ac:dyDescent="0.25">
      <c r="L339" s="65">
        <v>22293</v>
      </c>
      <c r="M339" t="s">
        <v>558</v>
      </c>
    </row>
    <row r="340" spans="12:13" x14ac:dyDescent="0.25">
      <c r="L340" s="66">
        <v>100000</v>
      </c>
      <c r="M340" t="s">
        <v>559</v>
      </c>
    </row>
    <row r="341" spans="12:13" x14ac:dyDescent="0.25">
      <c r="L341" s="65">
        <v>110000</v>
      </c>
      <c r="M341" t="s">
        <v>560</v>
      </c>
    </row>
    <row r="342" spans="12:13" x14ac:dyDescent="0.25">
      <c r="L342" s="65">
        <v>111000</v>
      </c>
      <c r="M342" t="s">
        <v>561</v>
      </c>
    </row>
    <row r="343" spans="12:13" x14ac:dyDescent="0.25">
      <c r="L343" s="65">
        <v>111100</v>
      </c>
      <c r="M343" t="s">
        <v>562</v>
      </c>
    </row>
    <row r="344" spans="12:13" x14ac:dyDescent="0.25">
      <c r="L344" s="65">
        <v>111110</v>
      </c>
      <c r="M344" t="s">
        <v>563</v>
      </c>
    </row>
    <row r="345" spans="12:13" x14ac:dyDescent="0.25">
      <c r="L345" s="65">
        <v>111111</v>
      </c>
      <c r="M345" t="s">
        <v>563</v>
      </c>
    </row>
    <row r="346" spans="12:13" x14ac:dyDescent="0.25">
      <c r="L346" s="65">
        <v>111190</v>
      </c>
      <c r="M346" t="s">
        <v>564</v>
      </c>
    </row>
    <row r="347" spans="12:13" x14ac:dyDescent="0.25">
      <c r="L347" s="65">
        <v>111191</v>
      </c>
      <c r="M347" t="s">
        <v>564</v>
      </c>
    </row>
    <row r="348" spans="12:13" x14ac:dyDescent="0.25">
      <c r="L348" s="65">
        <v>111200</v>
      </c>
      <c r="M348" t="s">
        <v>565</v>
      </c>
    </row>
    <row r="349" spans="12:13" x14ac:dyDescent="0.25">
      <c r="L349" s="65">
        <v>111210</v>
      </c>
      <c r="M349" t="s">
        <v>566</v>
      </c>
    </row>
    <row r="350" spans="12:13" x14ac:dyDescent="0.25">
      <c r="L350" s="65">
        <v>111211</v>
      </c>
      <c r="M350" t="s">
        <v>566</v>
      </c>
    </row>
    <row r="351" spans="12:13" x14ac:dyDescent="0.25">
      <c r="L351" s="65">
        <v>111220</v>
      </c>
      <c r="M351" t="s">
        <v>567</v>
      </c>
    </row>
    <row r="352" spans="12:13" x14ac:dyDescent="0.25">
      <c r="L352" s="65">
        <v>111221</v>
      </c>
      <c r="M352" t="s">
        <v>567</v>
      </c>
    </row>
    <row r="353" spans="12:13" x14ac:dyDescent="0.25">
      <c r="L353" s="65">
        <v>111230</v>
      </c>
      <c r="M353" t="s">
        <v>568</v>
      </c>
    </row>
    <row r="354" spans="12:13" x14ac:dyDescent="0.25">
      <c r="L354" s="65">
        <v>111231</v>
      </c>
      <c r="M354" t="s">
        <v>568</v>
      </c>
    </row>
    <row r="355" spans="12:13" x14ac:dyDescent="0.25">
      <c r="L355" s="65">
        <v>111240</v>
      </c>
      <c r="M355" t="s">
        <v>569</v>
      </c>
    </row>
    <row r="356" spans="12:13" x14ac:dyDescent="0.25">
      <c r="L356" s="65">
        <v>111241</v>
      </c>
      <c r="M356" t="s">
        <v>569</v>
      </c>
    </row>
    <row r="357" spans="12:13" x14ac:dyDescent="0.25">
      <c r="L357" s="65">
        <v>111250</v>
      </c>
      <c r="M357" t="s">
        <v>570</v>
      </c>
    </row>
    <row r="358" spans="12:13" x14ac:dyDescent="0.25">
      <c r="L358" s="65">
        <v>111251</v>
      </c>
      <c r="M358" t="s">
        <v>571</v>
      </c>
    </row>
    <row r="359" spans="12:13" x14ac:dyDescent="0.25">
      <c r="L359" s="65">
        <v>111252</v>
      </c>
      <c r="M359" t="s">
        <v>572</v>
      </c>
    </row>
    <row r="360" spans="12:13" x14ac:dyDescent="0.25">
      <c r="L360" s="65">
        <v>111255</v>
      </c>
      <c r="M360" t="s">
        <v>573</v>
      </c>
    </row>
    <row r="361" spans="12:13" x14ac:dyDescent="0.25">
      <c r="L361" s="65">
        <v>111290</v>
      </c>
      <c r="M361" t="s">
        <v>574</v>
      </c>
    </row>
    <row r="362" spans="12:13" x14ac:dyDescent="0.25">
      <c r="L362" s="65">
        <v>111291</v>
      </c>
      <c r="M362" t="s">
        <v>575</v>
      </c>
    </row>
    <row r="363" spans="12:13" x14ac:dyDescent="0.25">
      <c r="L363" s="65">
        <v>111292</v>
      </c>
      <c r="M363" t="s">
        <v>576</v>
      </c>
    </row>
    <row r="364" spans="12:13" x14ac:dyDescent="0.25">
      <c r="L364" s="65">
        <v>111293</v>
      </c>
      <c r="M364" t="s">
        <v>577</v>
      </c>
    </row>
    <row r="365" spans="12:13" x14ac:dyDescent="0.25">
      <c r="L365" s="65">
        <v>111294</v>
      </c>
      <c r="M365" t="s">
        <v>578</v>
      </c>
    </row>
    <row r="366" spans="12:13" x14ac:dyDescent="0.25">
      <c r="L366" s="65">
        <v>111295</v>
      </c>
      <c r="M366" t="s">
        <v>579</v>
      </c>
    </row>
    <row r="367" spans="12:13" x14ac:dyDescent="0.25">
      <c r="L367" s="65">
        <v>111300</v>
      </c>
      <c r="M367" t="s">
        <v>580</v>
      </c>
    </row>
    <row r="368" spans="12:13" x14ac:dyDescent="0.25">
      <c r="L368" s="65">
        <v>111310</v>
      </c>
      <c r="M368" t="s">
        <v>581</v>
      </c>
    </row>
    <row r="369" spans="12:13" x14ac:dyDescent="0.25">
      <c r="L369" s="65">
        <v>111311</v>
      </c>
      <c r="M369" t="s">
        <v>581</v>
      </c>
    </row>
    <row r="370" spans="12:13" x14ac:dyDescent="0.25">
      <c r="L370" s="65">
        <v>111380</v>
      </c>
      <c r="M370" t="s">
        <v>582</v>
      </c>
    </row>
    <row r="371" spans="12:13" x14ac:dyDescent="0.25">
      <c r="L371" s="65">
        <v>111381</v>
      </c>
      <c r="M371" t="s">
        <v>582</v>
      </c>
    </row>
    <row r="372" spans="12:13" x14ac:dyDescent="0.25">
      <c r="L372" s="65">
        <v>111390</v>
      </c>
      <c r="M372" t="s">
        <v>583</v>
      </c>
    </row>
    <row r="373" spans="12:13" x14ac:dyDescent="0.25">
      <c r="L373" s="65">
        <v>111391</v>
      </c>
      <c r="M373" t="s">
        <v>584</v>
      </c>
    </row>
    <row r="374" spans="12:13" x14ac:dyDescent="0.25">
      <c r="L374" s="65">
        <v>111398</v>
      </c>
      <c r="M374" t="s">
        <v>585</v>
      </c>
    </row>
    <row r="375" spans="12:13" x14ac:dyDescent="0.25">
      <c r="L375" s="65">
        <v>111400</v>
      </c>
      <c r="M375" t="s">
        <v>586</v>
      </c>
    </row>
    <row r="376" spans="12:13" x14ac:dyDescent="0.25">
      <c r="L376" s="65">
        <v>111410</v>
      </c>
      <c r="M376" t="s">
        <v>587</v>
      </c>
    </row>
    <row r="377" spans="12:13" x14ac:dyDescent="0.25">
      <c r="L377" s="65">
        <v>111411</v>
      </c>
      <c r="M377" t="s">
        <v>587</v>
      </c>
    </row>
    <row r="378" spans="12:13" x14ac:dyDescent="0.25">
      <c r="L378" s="65">
        <v>111490</v>
      </c>
      <c r="M378" t="s">
        <v>588</v>
      </c>
    </row>
    <row r="379" spans="12:13" x14ac:dyDescent="0.25">
      <c r="L379" s="65">
        <v>111491</v>
      </c>
      <c r="M379" t="s">
        <v>588</v>
      </c>
    </row>
    <row r="380" spans="12:13" x14ac:dyDescent="0.25">
      <c r="L380" s="65">
        <v>111500</v>
      </c>
      <c r="M380" t="s">
        <v>589</v>
      </c>
    </row>
    <row r="381" spans="12:13" x14ac:dyDescent="0.25">
      <c r="L381" s="65">
        <v>111510</v>
      </c>
      <c r="M381" t="s">
        <v>589</v>
      </c>
    </row>
    <row r="382" spans="12:13" x14ac:dyDescent="0.25">
      <c r="L382" s="65">
        <v>111511</v>
      </c>
      <c r="M382" t="s">
        <v>589</v>
      </c>
    </row>
    <row r="383" spans="12:13" x14ac:dyDescent="0.25">
      <c r="L383" s="65">
        <v>111590</v>
      </c>
      <c r="M383" t="s">
        <v>590</v>
      </c>
    </row>
    <row r="384" spans="12:13" x14ac:dyDescent="0.25">
      <c r="L384" s="65">
        <v>111591</v>
      </c>
      <c r="M384" t="s">
        <v>590</v>
      </c>
    </row>
    <row r="385" spans="12:13" x14ac:dyDescent="0.25">
      <c r="L385" s="65">
        <v>111600</v>
      </c>
      <c r="M385" t="s">
        <v>591</v>
      </c>
    </row>
    <row r="386" spans="12:13" x14ac:dyDescent="0.25">
      <c r="L386" s="65">
        <v>111610</v>
      </c>
      <c r="M386" t="s">
        <v>591</v>
      </c>
    </row>
    <row r="387" spans="12:13" x14ac:dyDescent="0.25">
      <c r="L387" s="65">
        <v>111611</v>
      </c>
      <c r="M387" t="s">
        <v>592</v>
      </c>
    </row>
    <row r="388" spans="12:13" x14ac:dyDescent="0.25">
      <c r="L388" s="65">
        <v>111612</v>
      </c>
      <c r="M388" t="s">
        <v>593</v>
      </c>
    </row>
    <row r="389" spans="12:13" x14ac:dyDescent="0.25">
      <c r="L389" s="65">
        <v>111613</v>
      </c>
      <c r="M389" t="s">
        <v>594</v>
      </c>
    </row>
    <row r="390" spans="12:13" x14ac:dyDescent="0.25">
      <c r="L390" s="65">
        <v>111690</v>
      </c>
      <c r="M390" t="s">
        <v>595</v>
      </c>
    </row>
    <row r="391" spans="12:13" x14ac:dyDescent="0.25">
      <c r="L391" s="65">
        <v>111691</v>
      </c>
      <c r="M391" t="s">
        <v>595</v>
      </c>
    </row>
    <row r="392" spans="12:13" x14ac:dyDescent="0.25">
      <c r="L392" s="65">
        <v>111700</v>
      </c>
      <c r="M392" t="s">
        <v>596</v>
      </c>
    </row>
    <row r="393" spans="12:13" x14ac:dyDescent="0.25">
      <c r="L393" s="65">
        <v>111710</v>
      </c>
      <c r="M393" t="s">
        <v>597</v>
      </c>
    </row>
    <row r="394" spans="12:13" x14ac:dyDescent="0.25">
      <c r="L394" s="65">
        <v>111711</v>
      </c>
      <c r="M394" t="s">
        <v>597</v>
      </c>
    </row>
    <row r="395" spans="12:13" x14ac:dyDescent="0.25">
      <c r="L395" s="65">
        <v>111712</v>
      </c>
      <c r="M395" t="s">
        <v>598</v>
      </c>
    </row>
    <row r="396" spans="12:13" x14ac:dyDescent="0.25">
      <c r="L396" s="65">
        <v>111790</v>
      </c>
      <c r="M396" t="s">
        <v>599</v>
      </c>
    </row>
    <row r="397" spans="12:13" x14ac:dyDescent="0.25">
      <c r="L397" s="65">
        <v>111791</v>
      </c>
      <c r="M397" t="s">
        <v>599</v>
      </c>
    </row>
    <row r="398" spans="12:13" x14ac:dyDescent="0.25">
      <c r="L398" s="65">
        <v>111800</v>
      </c>
      <c r="M398" t="s">
        <v>600</v>
      </c>
    </row>
    <row r="399" spans="12:13" x14ac:dyDescent="0.25">
      <c r="L399" s="65">
        <v>111810</v>
      </c>
      <c r="M399" t="s">
        <v>600</v>
      </c>
    </row>
    <row r="400" spans="12:13" x14ac:dyDescent="0.25">
      <c r="L400" s="65">
        <v>111811</v>
      </c>
      <c r="M400" t="s">
        <v>600</v>
      </c>
    </row>
    <row r="401" spans="12:13" x14ac:dyDescent="0.25">
      <c r="L401" s="65">
        <v>111890</v>
      </c>
      <c r="M401" t="s">
        <v>601</v>
      </c>
    </row>
    <row r="402" spans="12:13" x14ac:dyDescent="0.25">
      <c r="L402" s="65">
        <v>111891</v>
      </c>
      <c r="M402" t="s">
        <v>601</v>
      </c>
    </row>
    <row r="403" spans="12:13" x14ac:dyDescent="0.25">
      <c r="L403" s="65">
        <v>111900</v>
      </c>
      <c r="M403" t="s">
        <v>602</v>
      </c>
    </row>
    <row r="404" spans="12:13" x14ac:dyDescent="0.25">
      <c r="L404" s="65">
        <v>111910</v>
      </c>
      <c r="M404" t="s">
        <v>603</v>
      </c>
    </row>
    <row r="405" spans="12:13" x14ac:dyDescent="0.25">
      <c r="L405" s="65">
        <v>111911</v>
      </c>
      <c r="M405" t="s">
        <v>603</v>
      </c>
    </row>
    <row r="406" spans="12:13" x14ac:dyDescent="0.25">
      <c r="L406" s="65">
        <v>111920</v>
      </c>
      <c r="M406" t="s">
        <v>604</v>
      </c>
    </row>
    <row r="407" spans="12:13" x14ac:dyDescent="0.25">
      <c r="L407" s="65">
        <v>111921</v>
      </c>
      <c r="M407" t="s">
        <v>605</v>
      </c>
    </row>
    <row r="408" spans="12:13" x14ac:dyDescent="0.25">
      <c r="L408" s="65">
        <v>111922</v>
      </c>
      <c r="M408" t="s">
        <v>606</v>
      </c>
    </row>
    <row r="409" spans="12:13" x14ac:dyDescent="0.25">
      <c r="L409" s="65">
        <v>111930</v>
      </c>
      <c r="M409" t="s">
        <v>607</v>
      </c>
    </row>
    <row r="410" spans="12:13" x14ac:dyDescent="0.25">
      <c r="L410" s="65">
        <v>111931</v>
      </c>
      <c r="M410" t="s">
        <v>607</v>
      </c>
    </row>
    <row r="411" spans="12:13" x14ac:dyDescent="0.25">
      <c r="L411" s="65">
        <v>111940</v>
      </c>
      <c r="M411" t="s">
        <v>608</v>
      </c>
    </row>
    <row r="412" spans="12:13" x14ac:dyDescent="0.25">
      <c r="L412" s="65">
        <v>111941</v>
      </c>
      <c r="M412" t="s">
        <v>608</v>
      </c>
    </row>
    <row r="413" spans="12:13" x14ac:dyDescent="0.25">
      <c r="L413" s="65">
        <v>111990</v>
      </c>
      <c r="M413" t="s">
        <v>609</v>
      </c>
    </row>
    <row r="414" spans="12:13" x14ac:dyDescent="0.25">
      <c r="L414" s="65">
        <v>111991</v>
      </c>
      <c r="M414" t="s">
        <v>610</v>
      </c>
    </row>
    <row r="415" spans="12:13" x14ac:dyDescent="0.25">
      <c r="L415" s="65">
        <v>111992</v>
      </c>
      <c r="M415" t="s">
        <v>611</v>
      </c>
    </row>
    <row r="416" spans="12:13" x14ac:dyDescent="0.25">
      <c r="L416" s="65">
        <v>111993</v>
      </c>
      <c r="M416" t="s">
        <v>612</v>
      </c>
    </row>
    <row r="417" spans="12:13" x14ac:dyDescent="0.25">
      <c r="L417" s="65">
        <v>111994</v>
      </c>
      <c r="M417" t="s">
        <v>613</v>
      </c>
    </row>
    <row r="418" spans="12:13" x14ac:dyDescent="0.25">
      <c r="L418" s="65">
        <v>112000</v>
      </c>
      <c r="M418" t="s">
        <v>614</v>
      </c>
    </row>
    <row r="419" spans="12:13" x14ac:dyDescent="0.25">
      <c r="L419" s="65">
        <v>112100</v>
      </c>
      <c r="M419" t="s">
        <v>615</v>
      </c>
    </row>
    <row r="420" spans="12:13" x14ac:dyDescent="0.25">
      <c r="L420" s="65">
        <v>112110</v>
      </c>
      <c r="M420" t="s">
        <v>615</v>
      </c>
    </row>
    <row r="421" spans="12:13" x14ac:dyDescent="0.25">
      <c r="L421" s="65">
        <v>112111</v>
      </c>
      <c r="M421" t="s">
        <v>615</v>
      </c>
    </row>
    <row r="422" spans="12:13" x14ac:dyDescent="0.25">
      <c r="L422" s="65">
        <v>112190</v>
      </c>
      <c r="M422" t="s">
        <v>616</v>
      </c>
    </row>
    <row r="423" spans="12:13" x14ac:dyDescent="0.25">
      <c r="L423" s="65">
        <v>112191</v>
      </c>
      <c r="M423" t="s">
        <v>616</v>
      </c>
    </row>
    <row r="424" spans="12:13" x14ac:dyDescent="0.25">
      <c r="L424" s="65">
        <v>112200</v>
      </c>
      <c r="M424" t="s">
        <v>617</v>
      </c>
    </row>
    <row r="425" spans="12:13" x14ac:dyDescent="0.25">
      <c r="L425" s="65">
        <v>112210</v>
      </c>
      <c r="M425" t="s">
        <v>617</v>
      </c>
    </row>
    <row r="426" spans="12:13" x14ac:dyDescent="0.25">
      <c r="L426" s="65">
        <v>112211</v>
      </c>
      <c r="M426" t="s">
        <v>617</v>
      </c>
    </row>
    <row r="427" spans="12:13" x14ac:dyDescent="0.25">
      <c r="L427" s="65">
        <v>112290</v>
      </c>
      <c r="M427" t="s">
        <v>618</v>
      </c>
    </row>
    <row r="428" spans="12:13" x14ac:dyDescent="0.25">
      <c r="L428" s="65">
        <v>112291</v>
      </c>
      <c r="M428" t="s">
        <v>618</v>
      </c>
    </row>
    <row r="429" spans="12:13" x14ac:dyDescent="0.25">
      <c r="L429" s="65">
        <v>112300</v>
      </c>
      <c r="M429" t="s">
        <v>619</v>
      </c>
    </row>
    <row r="430" spans="12:13" x14ac:dyDescent="0.25">
      <c r="L430" s="65">
        <v>112310</v>
      </c>
      <c r="M430" t="s">
        <v>619</v>
      </c>
    </row>
    <row r="431" spans="12:13" x14ac:dyDescent="0.25">
      <c r="L431" s="65">
        <v>112311</v>
      </c>
      <c r="M431" t="s">
        <v>619</v>
      </c>
    </row>
    <row r="432" spans="12:13" x14ac:dyDescent="0.25">
      <c r="L432" s="65">
        <v>112390</v>
      </c>
      <c r="M432" t="s">
        <v>620</v>
      </c>
    </row>
    <row r="433" spans="12:13" x14ac:dyDescent="0.25">
      <c r="L433" s="65">
        <v>112391</v>
      </c>
      <c r="M433" t="s">
        <v>620</v>
      </c>
    </row>
    <row r="434" spans="12:13" x14ac:dyDescent="0.25">
      <c r="L434" s="65">
        <v>112400</v>
      </c>
      <c r="M434" t="s">
        <v>621</v>
      </c>
    </row>
    <row r="435" spans="12:13" x14ac:dyDescent="0.25">
      <c r="L435" s="65">
        <v>112410</v>
      </c>
      <c r="M435" t="s">
        <v>621</v>
      </c>
    </row>
    <row r="436" spans="12:13" x14ac:dyDescent="0.25">
      <c r="L436" s="65">
        <v>112411</v>
      </c>
      <c r="M436" t="s">
        <v>621</v>
      </c>
    </row>
    <row r="437" spans="12:13" x14ac:dyDescent="0.25">
      <c r="L437" s="65">
        <v>112490</v>
      </c>
      <c r="M437" t="s">
        <v>622</v>
      </c>
    </row>
    <row r="438" spans="12:13" x14ac:dyDescent="0.25">
      <c r="L438" s="65">
        <v>112491</v>
      </c>
      <c r="M438" t="s">
        <v>622</v>
      </c>
    </row>
    <row r="439" spans="12:13" x14ac:dyDescent="0.25">
      <c r="L439" s="65">
        <v>112500</v>
      </c>
      <c r="M439" t="s">
        <v>623</v>
      </c>
    </row>
    <row r="440" spans="12:13" x14ac:dyDescent="0.25">
      <c r="L440" s="65">
        <v>112510</v>
      </c>
      <c r="M440" t="s">
        <v>623</v>
      </c>
    </row>
    <row r="441" spans="12:13" x14ac:dyDescent="0.25">
      <c r="L441" s="65">
        <v>112511</v>
      </c>
      <c r="M441" t="s">
        <v>623</v>
      </c>
    </row>
    <row r="442" spans="12:13" x14ac:dyDescent="0.25">
      <c r="L442" s="65">
        <v>112590</v>
      </c>
      <c r="M442" t="s">
        <v>624</v>
      </c>
    </row>
    <row r="443" spans="12:13" x14ac:dyDescent="0.25">
      <c r="L443" s="65">
        <v>112591</v>
      </c>
      <c r="M443" t="s">
        <v>624</v>
      </c>
    </row>
    <row r="444" spans="12:13" x14ac:dyDescent="0.25">
      <c r="L444" s="65">
        <v>112600</v>
      </c>
      <c r="M444" t="s">
        <v>625</v>
      </c>
    </row>
    <row r="445" spans="12:13" x14ac:dyDescent="0.25">
      <c r="L445" s="65">
        <v>112610</v>
      </c>
      <c r="M445" t="s">
        <v>625</v>
      </c>
    </row>
    <row r="446" spans="12:13" x14ac:dyDescent="0.25">
      <c r="L446" s="65">
        <v>112611</v>
      </c>
      <c r="M446" t="s">
        <v>626</v>
      </c>
    </row>
    <row r="447" spans="12:13" x14ac:dyDescent="0.25">
      <c r="L447" s="65">
        <v>112612</v>
      </c>
      <c r="M447" t="s">
        <v>627</v>
      </c>
    </row>
    <row r="448" spans="12:13" x14ac:dyDescent="0.25">
      <c r="L448" s="65">
        <v>112690</v>
      </c>
      <c r="M448" t="s">
        <v>628</v>
      </c>
    </row>
    <row r="449" spans="12:13" x14ac:dyDescent="0.25">
      <c r="L449" s="65">
        <v>112691</v>
      </c>
      <c r="M449" t="s">
        <v>628</v>
      </c>
    </row>
    <row r="450" spans="12:13" x14ac:dyDescent="0.25">
      <c r="L450" s="65">
        <v>112700</v>
      </c>
      <c r="M450" t="s">
        <v>629</v>
      </c>
    </row>
    <row r="451" spans="12:13" x14ac:dyDescent="0.25">
      <c r="L451" s="65">
        <v>112710</v>
      </c>
      <c r="M451" t="s">
        <v>630</v>
      </c>
    </row>
    <row r="452" spans="12:13" x14ac:dyDescent="0.25">
      <c r="L452" s="65">
        <v>112711</v>
      </c>
      <c r="M452" t="s">
        <v>630</v>
      </c>
    </row>
    <row r="453" spans="12:13" x14ac:dyDescent="0.25">
      <c r="L453" s="65">
        <v>112720</v>
      </c>
      <c r="M453" t="s">
        <v>631</v>
      </c>
    </row>
    <row r="454" spans="12:13" x14ac:dyDescent="0.25">
      <c r="L454" s="65">
        <v>112721</v>
      </c>
      <c r="M454" t="s">
        <v>631</v>
      </c>
    </row>
    <row r="455" spans="12:13" x14ac:dyDescent="0.25">
      <c r="L455" s="65">
        <v>112790</v>
      </c>
      <c r="M455" t="s">
        <v>632</v>
      </c>
    </row>
    <row r="456" spans="12:13" x14ac:dyDescent="0.25">
      <c r="L456" s="65">
        <v>112791</v>
      </c>
      <c r="M456" t="s">
        <v>633</v>
      </c>
    </row>
    <row r="457" spans="12:13" x14ac:dyDescent="0.25">
      <c r="L457" s="65">
        <v>112792</v>
      </c>
      <c r="M457" t="s">
        <v>634</v>
      </c>
    </row>
    <row r="458" spans="12:13" x14ac:dyDescent="0.25">
      <c r="L458" s="65">
        <v>112800</v>
      </c>
      <c r="M458" t="s">
        <v>635</v>
      </c>
    </row>
    <row r="459" spans="12:13" x14ac:dyDescent="0.25">
      <c r="L459" s="65">
        <v>112810</v>
      </c>
      <c r="M459" t="s">
        <v>635</v>
      </c>
    </row>
    <row r="460" spans="12:13" x14ac:dyDescent="0.25">
      <c r="L460" s="65">
        <v>112811</v>
      </c>
      <c r="M460" t="s">
        <v>635</v>
      </c>
    </row>
    <row r="461" spans="12:13" x14ac:dyDescent="0.25">
      <c r="L461" s="65">
        <v>120000</v>
      </c>
      <c r="M461" t="s">
        <v>636</v>
      </c>
    </row>
    <row r="462" spans="12:13" x14ac:dyDescent="0.25">
      <c r="L462" s="65">
        <v>121000</v>
      </c>
      <c r="M462" t="s">
        <v>637</v>
      </c>
    </row>
    <row r="463" spans="12:13" x14ac:dyDescent="0.25">
      <c r="L463" s="65">
        <v>121100</v>
      </c>
      <c r="M463" t="s">
        <v>638</v>
      </c>
    </row>
    <row r="464" spans="12:13" x14ac:dyDescent="0.25">
      <c r="L464" s="65">
        <v>121110</v>
      </c>
      <c r="M464" t="s">
        <v>638</v>
      </c>
    </row>
    <row r="465" spans="12:13" x14ac:dyDescent="0.25">
      <c r="L465" s="65">
        <v>121111</v>
      </c>
      <c r="M465" t="s">
        <v>639</v>
      </c>
    </row>
    <row r="466" spans="12:13" x14ac:dyDescent="0.25">
      <c r="L466" s="65">
        <v>121112</v>
      </c>
      <c r="M466" t="s">
        <v>640</v>
      </c>
    </row>
    <row r="467" spans="12:13" x14ac:dyDescent="0.25">
      <c r="L467" s="65">
        <v>121113</v>
      </c>
      <c r="M467" t="s">
        <v>641</v>
      </c>
    </row>
    <row r="468" spans="12:13" x14ac:dyDescent="0.25">
      <c r="L468" s="65">
        <v>121200</v>
      </c>
      <c r="M468" t="s">
        <v>642</v>
      </c>
    </row>
    <row r="469" spans="12:13" x14ac:dyDescent="0.25">
      <c r="L469" s="65">
        <v>121210</v>
      </c>
      <c r="M469" t="s">
        <v>642</v>
      </c>
    </row>
    <row r="470" spans="12:13" x14ac:dyDescent="0.25">
      <c r="L470" s="65">
        <v>121211</v>
      </c>
      <c r="M470" t="s">
        <v>643</v>
      </c>
    </row>
    <row r="471" spans="12:13" x14ac:dyDescent="0.25">
      <c r="L471" s="65">
        <v>121212</v>
      </c>
      <c r="M471" t="s">
        <v>644</v>
      </c>
    </row>
    <row r="472" spans="12:13" x14ac:dyDescent="0.25">
      <c r="L472" s="65">
        <v>121213</v>
      </c>
      <c r="M472" t="s">
        <v>645</v>
      </c>
    </row>
    <row r="473" spans="12:13" x14ac:dyDescent="0.25">
      <c r="L473" s="65">
        <v>121214</v>
      </c>
      <c r="M473" t="s">
        <v>646</v>
      </c>
    </row>
    <row r="474" spans="12:13" x14ac:dyDescent="0.25">
      <c r="L474" s="65">
        <v>121215</v>
      </c>
      <c r="M474" t="s">
        <v>647</v>
      </c>
    </row>
    <row r="475" spans="12:13" x14ac:dyDescent="0.25">
      <c r="L475" s="65">
        <v>121216</v>
      </c>
      <c r="M475" t="s">
        <v>648</v>
      </c>
    </row>
    <row r="476" spans="12:13" x14ac:dyDescent="0.25">
      <c r="L476" s="65">
        <v>121217</v>
      </c>
      <c r="M476" t="s">
        <v>649</v>
      </c>
    </row>
    <row r="477" spans="12:13" x14ac:dyDescent="0.25">
      <c r="L477" s="65">
        <v>121218</v>
      </c>
      <c r="M477" t="s">
        <v>650</v>
      </c>
    </row>
    <row r="478" spans="12:13" x14ac:dyDescent="0.25">
      <c r="L478" s="65">
        <v>121219</v>
      </c>
      <c r="M478" t="s">
        <v>651</v>
      </c>
    </row>
    <row r="479" spans="12:13" x14ac:dyDescent="0.25">
      <c r="L479" s="65">
        <v>121300</v>
      </c>
      <c r="M479" t="s">
        <v>652</v>
      </c>
    </row>
    <row r="480" spans="12:13" x14ac:dyDescent="0.25">
      <c r="L480" s="65">
        <v>121310</v>
      </c>
      <c r="M480" t="s">
        <v>652</v>
      </c>
    </row>
    <row r="481" spans="12:13" x14ac:dyDescent="0.25">
      <c r="L481" s="65">
        <v>121311</v>
      </c>
      <c r="M481" t="s">
        <v>653</v>
      </c>
    </row>
    <row r="482" spans="12:13" x14ac:dyDescent="0.25">
      <c r="L482" s="65">
        <v>121312</v>
      </c>
      <c r="M482" t="s">
        <v>654</v>
      </c>
    </row>
    <row r="483" spans="12:13" x14ac:dyDescent="0.25">
      <c r="L483" s="65">
        <v>121313</v>
      </c>
      <c r="M483" t="s">
        <v>655</v>
      </c>
    </row>
    <row r="484" spans="12:13" x14ac:dyDescent="0.25">
      <c r="L484" s="65">
        <v>121314</v>
      </c>
      <c r="M484" t="s">
        <v>656</v>
      </c>
    </row>
    <row r="485" spans="12:13" x14ac:dyDescent="0.25">
      <c r="L485" s="65">
        <v>121315</v>
      </c>
      <c r="M485" t="s">
        <v>657</v>
      </c>
    </row>
    <row r="486" spans="12:13" x14ac:dyDescent="0.25">
      <c r="L486" s="65">
        <v>121319</v>
      </c>
      <c r="M486" t="s">
        <v>658</v>
      </c>
    </row>
    <row r="487" spans="12:13" x14ac:dyDescent="0.25">
      <c r="L487" s="65">
        <v>121400</v>
      </c>
      <c r="M487" t="s">
        <v>659</v>
      </c>
    </row>
    <row r="488" spans="12:13" x14ac:dyDescent="0.25">
      <c r="L488" s="65">
        <v>121410</v>
      </c>
      <c r="M488" t="s">
        <v>659</v>
      </c>
    </row>
    <row r="489" spans="12:13" x14ac:dyDescent="0.25">
      <c r="L489" s="65">
        <v>121411</v>
      </c>
      <c r="M489" t="s">
        <v>660</v>
      </c>
    </row>
    <row r="490" spans="12:13" x14ac:dyDescent="0.25">
      <c r="L490" s="65">
        <v>121412</v>
      </c>
      <c r="M490" t="s">
        <v>661</v>
      </c>
    </row>
    <row r="491" spans="12:13" x14ac:dyDescent="0.25">
      <c r="L491" s="65">
        <v>121413</v>
      </c>
      <c r="M491" t="s">
        <v>662</v>
      </c>
    </row>
    <row r="492" spans="12:13" x14ac:dyDescent="0.25">
      <c r="L492" s="65">
        <v>121414</v>
      </c>
      <c r="M492" t="s">
        <v>663</v>
      </c>
    </row>
    <row r="493" spans="12:13" x14ac:dyDescent="0.25">
      <c r="L493" s="65">
        <v>121418</v>
      </c>
      <c r="M493" t="s">
        <v>664</v>
      </c>
    </row>
    <row r="494" spans="12:13" x14ac:dyDescent="0.25">
      <c r="L494" s="65">
        <v>121419</v>
      </c>
      <c r="M494" t="s">
        <v>665</v>
      </c>
    </row>
    <row r="495" spans="12:13" x14ac:dyDescent="0.25">
      <c r="L495" s="65">
        <v>121500</v>
      </c>
      <c r="M495" t="s">
        <v>666</v>
      </c>
    </row>
    <row r="496" spans="12:13" x14ac:dyDescent="0.25">
      <c r="L496" s="65">
        <v>121510</v>
      </c>
      <c r="M496" t="s">
        <v>666</v>
      </c>
    </row>
    <row r="497" spans="12:13" x14ac:dyDescent="0.25">
      <c r="L497" s="65">
        <v>121511</v>
      </c>
      <c r="M497" t="s">
        <v>667</v>
      </c>
    </row>
    <row r="498" spans="12:13" x14ac:dyDescent="0.25">
      <c r="L498" s="65">
        <v>121512</v>
      </c>
      <c r="M498" t="s">
        <v>668</v>
      </c>
    </row>
    <row r="499" spans="12:13" x14ac:dyDescent="0.25">
      <c r="L499" s="65">
        <v>121513</v>
      </c>
      <c r="M499" t="s">
        <v>669</v>
      </c>
    </row>
    <row r="500" spans="12:13" x14ac:dyDescent="0.25">
      <c r="L500" s="65">
        <v>121518</v>
      </c>
      <c r="M500" t="s">
        <v>670</v>
      </c>
    </row>
    <row r="501" spans="12:13" x14ac:dyDescent="0.25">
      <c r="L501" s="65">
        <v>121600</v>
      </c>
      <c r="M501" t="s">
        <v>671</v>
      </c>
    </row>
    <row r="502" spans="12:13" x14ac:dyDescent="0.25">
      <c r="L502" s="65">
        <v>121610</v>
      </c>
      <c r="M502" t="s">
        <v>671</v>
      </c>
    </row>
    <row r="503" spans="12:13" x14ac:dyDescent="0.25">
      <c r="L503" s="65">
        <v>121611</v>
      </c>
      <c r="M503" t="s">
        <v>672</v>
      </c>
    </row>
    <row r="504" spans="12:13" x14ac:dyDescent="0.25">
      <c r="L504" s="65">
        <v>121612</v>
      </c>
      <c r="M504" t="s">
        <v>673</v>
      </c>
    </row>
    <row r="505" spans="12:13" x14ac:dyDescent="0.25">
      <c r="L505" s="65">
        <v>121618</v>
      </c>
      <c r="M505" t="s">
        <v>674</v>
      </c>
    </row>
    <row r="506" spans="12:13" x14ac:dyDescent="0.25">
      <c r="L506" s="65">
        <v>121619</v>
      </c>
      <c r="M506" t="s">
        <v>675</v>
      </c>
    </row>
    <row r="507" spans="12:13" x14ac:dyDescent="0.25">
      <c r="L507" s="65">
        <v>121700</v>
      </c>
      <c r="M507" t="s">
        <v>676</v>
      </c>
    </row>
    <row r="508" spans="12:13" x14ac:dyDescent="0.25">
      <c r="L508" s="65">
        <v>121710</v>
      </c>
      <c r="M508" t="s">
        <v>676</v>
      </c>
    </row>
    <row r="509" spans="12:13" x14ac:dyDescent="0.25">
      <c r="L509" s="65">
        <v>121711</v>
      </c>
      <c r="M509" t="s">
        <v>677</v>
      </c>
    </row>
    <row r="510" spans="12:13" x14ac:dyDescent="0.25">
      <c r="L510" s="65">
        <v>121712</v>
      </c>
      <c r="M510" t="s">
        <v>678</v>
      </c>
    </row>
    <row r="511" spans="12:13" x14ac:dyDescent="0.25">
      <c r="L511" s="65">
        <v>121713</v>
      </c>
      <c r="M511" t="s">
        <v>679</v>
      </c>
    </row>
    <row r="512" spans="12:13" x14ac:dyDescent="0.25">
      <c r="L512" s="65">
        <v>121714</v>
      </c>
      <c r="M512" t="s">
        <v>680</v>
      </c>
    </row>
    <row r="513" spans="12:13" x14ac:dyDescent="0.25">
      <c r="L513" s="65">
        <v>121715</v>
      </c>
      <c r="M513" t="s">
        <v>681</v>
      </c>
    </row>
    <row r="514" spans="12:13" x14ac:dyDescent="0.25">
      <c r="L514" s="65">
        <v>121716</v>
      </c>
      <c r="M514" t="s">
        <v>682</v>
      </c>
    </row>
    <row r="515" spans="12:13" x14ac:dyDescent="0.25">
      <c r="L515" s="65">
        <v>121717</v>
      </c>
      <c r="M515" t="s">
        <v>683</v>
      </c>
    </row>
    <row r="516" spans="12:13" x14ac:dyDescent="0.25">
      <c r="L516" s="65">
        <v>121718</v>
      </c>
      <c r="M516" t="s">
        <v>684</v>
      </c>
    </row>
    <row r="517" spans="12:13" x14ac:dyDescent="0.25">
      <c r="L517" s="65">
        <v>121719</v>
      </c>
      <c r="M517" t="s">
        <v>676</v>
      </c>
    </row>
    <row r="518" spans="12:13" x14ac:dyDescent="0.25">
      <c r="L518" s="65">
        <v>121800</v>
      </c>
      <c r="M518" t="s">
        <v>685</v>
      </c>
    </row>
    <row r="519" spans="12:13" x14ac:dyDescent="0.25">
      <c r="L519" s="65">
        <v>121810</v>
      </c>
      <c r="M519" t="s">
        <v>685</v>
      </c>
    </row>
    <row r="520" spans="12:13" x14ac:dyDescent="0.25">
      <c r="L520" s="65">
        <v>121811</v>
      </c>
      <c r="M520" t="s">
        <v>686</v>
      </c>
    </row>
    <row r="521" spans="12:13" x14ac:dyDescent="0.25">
      <c r="L521" s="65">
        <v>121812</v>
      </c>
      <c r="M521" t="s">
        <v>687</v>
      </c>
    </row>
    <row r="522" spans="12:13" x14ac:dyDescent="0.25">
      <c r="L522" s="65">
        <v>121900</v>
      </c>
      <c r="M522" t="s">
        <v>688</v>
      </c>
    </row>
    <row r="523" spans="12:13" x14ac:dyDescent="0.25">
      <c r="L523" s="65">
        <v>121910</v>
      </c>
      <c r="M523" t="s">
        <v>689</v>
      </c>
    </row>
    <row r="524" spans="12:13" x14ac:dyDescent="0.25">
      <c r="L524" s="65">
        <v>121911</v>
      </c>
      <c r="M524" t="s">
        <v>690</v>
      </c>
    </row>
    <row r="525" spans="12:13" x14ac:dyDescent="0.25">
      <c r="L525" s="65">
        <v>121912</v>
      </c>
      <c r="M525" t="s">
        <v>691</v>
      </c>
    </row>
    <row r="526" spans="12:13" x14ac:dyDescent="0.25">
      <c r="L526" s="65">
        <v>121913</v>
      </c>
      <c r="M526" t="s">
        <v>692</v>
      </c>
    </row>
    <row r="527" spans="12:13" x14ac:dyDescent="0.25">
      <c r="L527" s="65">
        <v>121914</v>
      </c>
      <c r="M527" t="s">
        <v>693</v>
      </c>
    </row>
    <row r="528" spans="12:13" x14ac:dyDescent="0.25">
      <c r="L528" s="65">
        <v>121915</v>
      </c>
      <c r="M528" t="s">
        <v>694</v>
      </c>
    </row>
    <row r="529" spans="12:13" x14ac:dyDescent="0.25">
      <c r="L529" s="65">
        <v>121916</v>
      </c>
      <c r="M529" t="s">
        <v>695</v>
      </c>
    </row>
    <row r="530" spans="12:13" x14ac:dyDescent="0.25">
      <c r="L530" s="65">
        <v>121917</v>
      </c>
      <c r="M530" t="s">
        <v>696</v>
      </c>
    </row>
    <row r="531" spans="12:13" x14ac:dyDescent="0.25">
      <c r="L531" s="65">
        <v>121920</v>
      </c>
      <c r="M531" t="s">
        <v>697</v>
      </c>
    </row>
    <row r="532" spans="12:13" x14ac:dyDescent="0.25">
      <c r="L532" s="65">
        <v>121921</v>
      </c>
      <c r="M532" t="s">
        <v>698</v>
      </c>
    </row>
    <row r="533" spans="12:13" x14ac:dyDescent="0.25">
      <c r="L533" s="65">
        <v>121922</v>
      </c>
      <c r="M533" t="s">
        <v>699</v>
      </c>
    </row>
    <row r="534" spans="12:13" x14ac:dyDescent="0.25">
      <c r="L534" s="65">
        <v>121990</v>
      </c>
      <c r="M534" t="s">
        <v>700</v>
      </c>
    </row>
    <row r="535" spans="12:13" x14ac:dyDescent="0.25">
      <c r="L535" s="65">
        <v>121991</v>
      </c>
      <c r="M535" t="s">
        <v>701</v>
      </c>
    </row>
    <row r="536" spans="12:13" x14ac:dyDescent="0.25">
      <c r="L536" s="65">
        <v>121992</v>
      </c>
      <c r="M536" t="s">
        <v>702</v>
      </c>
    </row>
    <row r="537" spans="12:13" x14ac:dyDescent="0.25">
      <c r="L537" s="65">
        <v>122000</v>
      </c>
      <c r="M537" t="s">
        <v>703</v>
      </c>
    </row>
    <row r="538" spans="12:13" x14ac:dyDescent="0.25">
      <c r="L538" s="65">
        <v>122100</v>
      </c>
      <c r="M538" t="s">
        <v>704</v>
      </c>
    </row>
    <row r="539" spans="12:13" x14ac:dyDescent="0.25">
      <c r="L539" s="65">
        <v>122110</v>
      </c>
      <c r="M539" t="s">
        <v>705</v>
      </c>
    </row>
    <row r="540" spans="12:13" x14ac:dyDescent="0.25">
      <c r="L540" s="65">
        <v>122111</v>
      </c>
      <c r="M540" t="s">
        <v>706</v>
      </c>
    </row>
    <row r="541" spans="12:13" x14ac:dyDescent="0.25">
      <c r="L541" s="65">
        <v>122112</v>
      </c>
      <c r="M541" t="s">
        <v>707</v>
      </c>
    </row>
    <row r="542" spans="12:13" x14ac:dyDescent="0.25">
      <c r="L542" s="65">
        <v>122113</v>
      </c>
      <c r="M542" t="s">
        <v>708</v>
      </c>
    </row>
    <row r="543" spans="12:13" x14ac:dyDescent="0.25">
      <c r="L543" s="65">
        <v>122119</v>
      </c>
      <c r="M543" t="s">
        <v>709</v>
      </c>
    </row>
    <row r="544" spans="12:13" x14ac:dyDescent="0.25">
      <c r="L544" s="65">
        <v>122120</v>
      </c>
      <c r="M544" t="s">
        <v>710</v>
      </c>
    </row>
    <row r="545" spans="12:13" x14ac:dyDescent="0.25">
      <c r="L545" s="65">
        <v>122121</v>
      </c>
      <c r="M545" t="s">
        <v>706</v>
      </c>
    </row>
    <row r="546" spans="12:13" x14ac:dyDescent="0.25">
      <c r="L546" s="65">
        <v>122122</v>
      </c>
      <c r="M546" t="s">
        <v>708</v>
      </c>
    </row>
    <row r="547" spans="12:13" x14ac:dyDescent="0.25">
      <c r="L547" s="65">
        <v>122129</v>
      </c>
      <c r="M547" t="s">
        <v>711</v>
      </c>
    </row>
    <row r="548" spans="12:13" x14ac:dyDescent="0.25">
      <c r="L548" s="65">
        <v>122130</v>
      </c>
      <c r="M548" t="s">
        <v>712</v>
      </c>
    </row>
    <row r="549" spans="12:13" x14ac:dyDescent="0.25">
      <c r="L549" s="65">
        <v>122131</v>
      </c>
      <c r="M549" t="s">
        <v>713</v>
      </c>
    </row>
    <row r="550" spans="12:13" x14ac:dyDescent="0.25">
      <c r="L550" s="65">
        <v>122132</v>
      </c>
      <c r="M550" t="s">
        <v>714</v>
      </c>
    </row>
    <row r="551" spans="12:13" x14ac:dyDescent="0.25">
      <c r="L551" s="65">
        <v>122133</v>
      </c>
      <c r="M551" t="s">
        <v>715</v>
      </c>
    </row>
    <row r="552" spans="12:13" x14ac:dyDescent="0.25">
      <c r="L552" s="65">
        <v>122139</v>
      </c>
      <c r="M552" t="s">
        <v>716</v>
      </c>
    </row>
    <row r="553" spans="12:13" x14ac:dyDescent="0.25">
      <c r="L553" s="65">
        <v>122140</v>
      </c>
      <c r="M553" t="s">
        <v>717</v>
      </c>
    </row>
    <row r="554" spans="12:13" x14ac:dyDescent="0.25">
      <c r="L554" s="65">
        <v>122141</v>
      </c>
      <c r="M554" t="s">
        <v>718</v>
      </c>
    </row>
    <row r="555" spans="12:13" x14ac:dyDescent="0.25">
      <c r="L555" s="65">
        <v>122142</v>
      </c>
      <c r="M555" t="s">
        <v>719</v>
      </c>
    </row>
    <row r="556" spans="12:13" x14ac:dyDescent="0.25">
      <c r="L556" s="65">
        <v>122143</v>
      </c>
      <c r="M556" t="s">
        <v>720</v>
      </c>
    </row>
    <row r="557" spans="12:13" x14ac:dyDescent="0.25">
      <c r="L557" s="65">
        <v>122144</v>
      </c>
      <c r="M557" t="s">
        <v>721</v>
      </c>
    </row>
    <row r="558" spans="12:13" x14ac:dyDescent="0.25">
      <c r="L558" s="65">
        <v>122145</v>
      </c>
      <c r="M558" t="s">
        <v>722</v>
      </c>
    </row>
    <row r="559" spans="12:13" x14ac:dyDescent="0.25">
      <c r="L559" s="65">
        <v>122146</v>
      </c>
      <c r="M559" t="s">
        <v>723</v>
      </c>
    </row>
    <row r="560" spans="12:13" x14ac:dyDescent="0.25">
      <c r="L560" s="65">
        <v>122147</v>
      </c>
      <c r="M560" t="s">
        <v>724</v>
      </c>
    </row>
    <row r="561" spans="12:13" x14ac:dyDescent="0.25">
      <c r="L561" s="65">
        <v>122148</v>
      </c>
      <c r="M561" t="s">
        <v>725</v>
      </c>
    </row>
    <row r="562" spans="12:13" x14ac:dyDescent="0.25">
      <c r="L562" s="65">
        <v>122149</v>
      </c>
      <c r="M562" t="s">
        <v>726</v>
      </c>
    </row>
    <row r="563" spans="12:13" x14ac:dyDescent="0.25">
      <c r="L563" s="65">
        <v>122150</v>
      </c>
      <c r="M563" t="s">
        <v>727</v>
      </c>
    </row>
    <row r="564" spans="12:13" x14ac:dyDescent="0.25">
      <c r="L564" s="65">
        <v>122151</v>
      </c>
      <c r="M564" t="s">
        <v>728</v>
      </c>
    </row>
    <row r="565" spans="12:13" x14ac:dyDescent="0.25">
      <c r="L565" s="65">
        <v>122152</v>
      </c>
      <c r="M565" t="s">
        <v>729</v>
      </c>
    </row>
    <row r="566" spans="12:13" x14ac:dyDescent="0.25">
      <c r="L566" s="65">
        <v>122153</v>
      </c>
      <c r="M566" t="s">
        <v>730</v>
      </c>
    </row>
    <row r="567" spans="12:13" x14ac:dyDescent="0.25">
      <c r="L567" s="65">
        <v>122154</v>
      </c>
      <c r="M567" t="s">
        <v>731</v>
      </c>
    </row>
    <row r="568" spans="12:13" x14ac:dyDescent="0.25">
      <c r="L568" s="65">
        <v>122155</v>
      </c>
      <c r="M568" t="s">
        <v>732</v>
      </c>
    </row>
    <row r="569" spans="12:13" x14ac:dyDescent="0.25">
      <c r="L569" s="65">
        <v>122156</v>
      </c>
      <c r="M569" t="s">
        <v>733</v>
      </c>
    </row>
    <row r="570" spans="12:13" x14ac:dyDescent="0.25">
      <c r="L570" s="65">
        <v>122157</v>
      </c>
      <c r="M570" t="s">
        <v>734</v>
      </c>
    </row>
    <row r="571" spans="12:13" x14ac:dyDescent="0.25">
      <c r="L571" s="65">
        <v>122159</v>
      </c>
      <c r="M571" t="s">
        <v>735</v>
      </c>
    </row>
    <row r="572" spans="12:13" x14ac:dyDescent="0.25">
      <c r="L572" s="65">
        <v>122160</v>
      </c>
      <c r="M572" t="s">
        <v>736</v>
      </c>
    </row>
    <row r="573" spans="12:13" x14ac:dyDescent="0.25">
      <c r="L573" s="65">
        <v>122161</v>
      </c>
      <c r="M573" t="s">
        <v>737</v>
      </c>
    </row>
    <row r="574" spans="12:13" x14ac:dyDescent="0.25">
      <c r="L574" s="65">
        <v>122162</v>
      </c>
      <c r="M574" t="s">
        <v>738</v>
      </c>
    </row>
    <row r="575" spans="12:13" x14ac:dyDescent="0.25">
      <c r="L575" s="65">
        <v>122163</v>
      </c>
      <c r="M575" t="s">
        <v>739</v>
      </c>
    </row>
    <row r="576" spans="12:13" x14ac:dyDescent="0.25">
      <c r="L576" s="65">
        <v>122164</v>
      </c>
      <c r="M576" t="s">
        <v>740</v>
      </c>
    </row>
    <row r="577" spans="12:13" x14ac:dyDescent="0.25">
      <c r="L577" s="65">
        <v>122165</v>
      </c>
      <c r="M577" t="s">
        <v>741</v>
      </c>
    </row>
    <row r="578" spans="12:13" x14ac:dyDescent="0.25">
      <c r="L578" s="65">
        <v>122169</v>
      </c>
      <c r="M578" t="s">
        <v>742</v>
      </c>
    </row>
    <row r="579" spans="12:13" x14ac:dyDescent="0.25">
      <c r="L579" s="65">
        <v>122190</v>
      </c>
      <c r="M579" t="s">
        <v>743</v>
      </c>
    </row>
    <row r="580" spans="12:13" x14ac:dyDescent="0.25">
      <c r="L580" s="65">
        <v>122191</v>
      </c>
      <c r="M580" t="s">
        <v>744</v>
      </c>
    </row>
    <row r="581" spans="12:13" x14ac:dyDescent="0.25">
      <c r="L581" s="65">
        <v>122192</v>
      </c>
      <c r="M581" t="s">
        <v>745</v>
      </c>
    </row>
    <row r="582" spans="12:13" x14ac:dyDescent="0.25">
      <c r="L582" s="65">
        <v>122193</v>
      </c>
      <c r="M582" t="s">
        <v>746</v>
      </c>
    </row>
    <row r="583" spans="12:13" x14ac:dyDescent="0.25">
      <c r="L583" s="65">
        <v>122194</v>
      </c>
      <c r="M583" t="s">
        <v>747</v>
      </c>
    </row>
    <row r="584" spans="12:13" x14ac:dyDescent="0.25">
      <c r="L584" s="65">
        <v>122195</v>
      </c>
      <c r="M584" t="s">
        <v>748</v>
      </c>
    </row>
    <row r="585" spans="12:13" x14ac:dyDescent="0.25">
      <c r="L585" s="65">
        <v>122196</v>
      </c>
      <c r="M585" t="s">
        <v>749</v>
      </c>
    </row>
    <row r="586" spans="12:13" x14ac:dyDescent="0.25">
      <c r="L586" s="65">
        <v>122197</v>
      </c>
      <c r="M586" t="s">
        <v>734</v>
      </c>
    </row>
    <row r="587" spans="12:13" x14ac:dyDescent="0.25">
      <c r="L587" s="65">
        <v>122198</v>
      </c>
      <c r="M587" t="s">
        <v>750</v>
      </c>
    </row>
    <row r="588" spans="12:13" x14ac:dyDescent="0.25">
      <c r="L588" s="65">
        <v>122199</v>
      </c>
      <c r="M588" t="s">
        <v>751</v>
      </c>
    </row>
    <row r="589" spans="12:13" x14ac:dyDescent="0.25">
      <c r="L589" s="65">
        <v>123000</v>
      </c>
      <c r="M589" t="s">
        <v>752</v>
      </c>
    </row>
    <row r="590" spans="12:13" x14ac:dyDescent="0.25">
      <c r="L590" s="65">
        <v>123100</v>
      </c>
      <c r="M590" t="s">
        <v>753</v>
      </c>
    </row>
    <row r="591" spans="12:13" x14ac:dyDescent="0.25">
      <c r="L591" s="65">
        <v>123110</v>
      </c>
      <c r="M591" t="s">
        <v>754</v>
      </c>
    </row>
    <row r="592" spans="12:13" x14ac:dyDescent="0.25">
      <c r="L592" s="65">
        <v>123111</v>
      </c>
      <c r="M592" t="s">
        <v>755</v>
      </c>
    </row>
    <row r="593" spans="12:13" x14ac:dyDescent="0.25">
      <c r="L593" s="65">
        <v>123112</v>
      </c>
      <c r="M593" t="s">
        <v>756</v>
      </c>
    </row>
    <row r="594" spans="12:13" x14ac:dyDescent="0.25">
      <c r="L594" s="65">
        <v>123113</v>
      </c>
      <c r="M594" t="s">
        <v>757</v>
      </c>
    </row>
    <row r="595" spans="12:13" x14ac:dyDescent="0.25">
      <c r="L595" s="65">
        <v>123119</v>
      </c>
      <c r="M595" t="s">
        <v>758</v>
      </c>
    </row>
    <row r="596" spans="12:13" x14ac:dyDescent="0.25">
      <c r="L596" s="65">
        <v>123120</v>
      </c>
      <c r="M596" t="s">
        <v>759</v>
      </c>
    </row>
    <row r="597" spans="12:13" x14ac:dyDescent="0.25">
      <c r="L597" s="65">
        <v>123121</v>
      </c>
      <c r="M597" t="s">
        <v>760</v>
      </c>
    </row>
    <row r="598" spans="12:13" x14ac:dyDescent="0.25">
      <c r="L598" s="65">
        <v>123122</v>
      </c>
      <c r="M598" t="s">
        <v>761</v>
      </c>
    </row>
    <row r="599" spans="12:13" x14ac:dyDescent="0.25">
      <c r="L599" s="65">
        <v>123129</v>
      </c>
      <c r="M599" t="s">
        <v>762</v>
      </c>
    </row>
    <row r="600" spans="12:13" x14ac:dyDescent="0.25">
      <c r="L600" s="65">
        <v>123130</v>
      </c>
      <c r="M600" t="s">
        <v>734</v>
      </c>
    </row>
    <row r="601" spans="12:13" x14ac:dyDescent="0.25">
      <c r="L601" s="65">
        <v>123131</v>
      </c>
      <c r="M601" t="s">
        <v>734</v>
      </c>
    </row>
    <row r="602" spans="12:13" x14ac:dyDescent="0.25">
      <c r="L602" s="65">
        <v>123190</v>
      </c>
      <c r="M602" t="s">
        <v>763</v>
      </c>
    </row>
    <row r="603" spans="12:13" x14ac:dyDescent="0.25">
      <c r="L603" s="65">
        <v>123191</v>
      </c>
      <c r="M603" t="s">
        <v>763</v>
      </c>
    </row>
    <row r="604" spans="12:13" x14ac:dyDescent="0.25">
      <c r="L604" s="65">
        <v>123200</v>
      </c>
      <c r="M604" t="s">
        <v>764</v>
      </c>
    </row>
    <row r="605" spans="12:13" x14ac:dyDescent="0.25">
      <c r="L605" s="65">
        <v>123210</v>
      </c>
      <c r="M605" t="s">
        <v>765</v>
      </c>
    </row>
    <row r="606" spans="12:13" x14ac:dyDescent="0.25">
      <c r="L606" s="65">
        <v>123211</v>
      </c>
      <c r="M606" t="s">
        <v>765</v>
      </c>
    </row>
    <row r="607" spans="12:13" x14ac:dyDescent="0.25">
      <c r="L607" s="65">
        <v>123220</v>
      </c>
      <c r="M607" t="s">
        <v>766</v>
      </c>
    </row>
    <row r="608" spans="12:13" x14ac:dyDescent="0.25">
      <c r="L608" s="65">
        <v>123221</v>
      </c>
      <c r="M608" t="s">
        <v>766</v>
      </c>
    </row>
    <row r="609" spans="12:13" x14ac:dyDescent="0.25">
      <c r="L609" s="65">
        <v>123230</v>
      </c>
      <c r="M609" t="s">
        <v>767</v>
      </c>
    </row>
    <row r="610" spans="12:13" x14ac:dyDescent="0.25">
      <c r="L610" s="65">
        <v>123231</v>
      </c>
      <c r="M610" t="s">
        <v>767</v>
      </c>
    </row>
    <row r="611" spans="12:13" x14ac:dyDescent="0.25">
      <c r="L611" s="65">
        <v>123240</v>
      </c>
      <c r="M611" t="s">
        <v>768</v>
      </c>
    </row>
    <row r="612" spans="12:13" x14ac:dyDescent="0.25">
      <c r="L612" s="65">
        <v>123241</v>
      </c>
      <c r="M612" t="s">
        <v>768</v>
      </c>
    </row>
    <row r="613" spans="12:13" x14ac:dyDescent="0.25">
      <c r="L613" s="65">
        <v>123250</v>
      </c>
      <c r="M613" t="s">
        <v>769</v>
      </c>
    </row>
    <row r="614" spans="12:13" x14ac:dyDescent="0.25">
      <c r="L614" s="65">
        <v>123251</v>
      </c>
      <c r="M614" t="s">
        <v>769</v>
      </c>
    </row>
    <row r="615" spans="12:13" x14ac:dyDescent="0.25">
      <c r="L615" s="65">
        <v>123260</v>
      </c>
      <c r="M615" t="s">
        <v>770</v>
      </c>
    </row>
    <row r="616" spans="12:13" x14ac:dyDescent="0.25">
      <c r="L616" s="65">
        <v>123261</v>
      </c>
      <c r="M616" t="s">
        <v>770</v>
      </c>
    </row>
    <row r="617" spans="12:13" x14ac:dyDescent="0.25">
      <c r="L617" s="65">
        <v>123290</v>
      </c>
      <c r="M617" t="s">
        <v>771</v>
      </c>
    </row>
    <row r="618" spans="12:13" x14ac:dyDescent="0.25">
      <c r="L618" s="65">
        <v>123291</v>
      </c>
      <c r="M618" t="s">
        <v>771</v>
      </c>
    </row>
    <row r="619" spans="12:13" x14ac:dyDescent="0.25">
      <c r="L619" s="65">
        <v>123300</v>
      </c>
      <c r="M619" t="s">
        <v>772</v>
      </c>
    </row>
    <row r="620" spans="12:13" x14ac:dyDescent="0.25">
      <c r="L620" s="65">
        <v>123310</v>
      </c>
      <c r="M620" t="s">
        <v>773</v>
      </c>
    </row>
    <row r="621" spans="12:13" x14ac:dyDescent="0.25">
      <c r="L621" s="65">
        <v>123311</v>
      </c>
      <c r="M621" t="s">
        <v>773</v>
      </c>
    </row>
    <row r="622" spans="12:13" x14ac:dyDescent="0.25">
      <c r="L622" s="65">
        <v>123320</v>
      </c>
      <c r="M622" t="s">
        <v>698</v>
      </c>
    </row>
    <row r="623" spans="12:13" x14ac:dyDescent="0.25">
      <c r="L623" s="65">
        <v>123321</v>
      </c>
      <c r="M623" t="s">
        <v>698</v>
      </c>
    </row>
    <row r="624" spans="12:13" x14ac:dyDescent="0.25">
      <c r="L624" s="65">
        <v>123330</v>
      </c>
      <c r="M624" t="s">
        <v>774</v>
      </c>
    </row>
    <row r="625" spans="12:13" x14ac:dyDescent="0.25">
      <c r="L625" s="65">
        <v>123331</v>
      </c>
      <c r="M625" t="s">
        <v>774</v>
      </c>
    </row>
    <row r="626" spans="12:13" x14ac:dyDescent="0.25">
      <c r="L626" s="65">
        <v>123340</v>
      </c>
      <c r="M626" t="s">
        <v>775</v>
      </c>
    </row>
    <row r="627" spans="12:13" x14ac:dyDescent="0.25">
      <c r="L627" s="65">
        <v>123341</v>
      </c>
      <c r="M627" t="s">
        <v>775</v>
      </c>
    </row>
    <row r="628" spans="12:13" x14ac:dyDescent="0.25">
      <c r="L628" s="65">
        <v>123350</v>
      </c>
      <c r="M628" t="s">
        <v>776</v>
      </c>
    </row>
    <row r="629" spans="12:13" x14ac:dyDescent="0.25">
      <c r="L629" s="65">
        <v>123351</v>
      </c>
      <c r="M629" t="s">
        <v>776</v>
      </c>
    </row>
    <row r="630" spans="12:13" x14ac:dyDescent="0.25">
      <c r="L630" s="65">
        <v>123360</v>
      </c>
      <c r="M630" t="s">
        <v>777</v>
      </c>
    </row>
    <row r="631" spans="12:13" x14ac:dyDescent="0.25">
      <c r="L631" s="65">
        <v>123361</v>
      </c>
      <c r="M631" t="s">
        <v>777</v>
      </c>
    </row>
    <row r="632" spans="12:13" x14ac:dyDescent="0.25">
      <c r="L632" s="65">
        <v>123370</v>
      </c>
      <c r="M632" t="s">
        <v>778</v>
      </c>
    </row>
    <row r="633" spans="12:13" x14ac:dyDescent="0.25">
      <c r="L633" s="65">
        <v>123371</v>
      </c>
      <c r="M633" t="s">
        <v>778</v>
      </c>
    </row>
    <row r="634" spans="12:13" x14ac:dyDescent="0.25">
      <c r="L634" s="65">
        <v>123380</v>
      </c>
      <c r="M634" t="s">
        <v>779</v>
      </c>
    </row>
    <row r="635" spans="12:13" x14ac:dyDescent="0.25">
      <c r="L635" s="65">
        <v>123381</v>
      </c>
      <c r="M635" t="s">
        <v>779</v>
      </c>
    </row>
    <row r="636" spans="12:13" x14ac:dyDescent="0.25">
      <c r="L636" s="65">
        <v>123390</v>
      </c>
      <c r="M636" t="s">
        <v>780</v>
      </c>
    </row>
    <row r="637" spans="12:13" x14ac:dyDescent="0.25">
      <c r="L637" s="65">
        <v>123391</v>
      </c>
      <c r="M637" t="s">
        <v>780</v>
      </c>
    </row>
    <row r="638" spans="12:13" x14ac:dyDescent="0.25">
      <c r="L638" s="65">
        <v>123900</v>
      </c>
      <c r="M638" t="s">
        <v>781</v>
      </c>
    </row>
    <row r="639" spans="12:13" x14ac:dyDescent="0.25">
      <c r="L639" s="65">
        <v>123910</v>
      </c>
      <c r="M639" t="s">
        <v>782</v>
      </c>
    </row>
    <row r="640" spans="12:13" x14ac:dyDescent="0.25">
      <c r="L640" s="65">
        <v>123911</v>
      </c>
      <c r="M640" t="s">
        <v>782</v>
      </c>
    </row>
    <row r="641" spans="12:13" x14ac:dyDescent="0.25">
      <c r="L641" s="65">
        <v>123920</v>
      </c>
      <c r="M641" t="s">
        <v>783</v>
      </c>
    </row>
    <row r="642" spans="12:13" x14ac:dyDescent="0.25">
      <c r="L642" s="65">
        <v>123921</v>
      </c>
      <c r="M642" t="s">
        <v>783</v>
      </c>
    </row>
    <row r="643" spans="12:13" x14ac:dyDescent="0.25">
      <c r="L643" s="65">
        <v>123930</v>
      </c>
      <c r="M643" t="s">
        <v>784</v>
      </c>
    </row>
    <row r="644" spans="12:13" x14ac:dyDescent="0.25">
      <c r="L644" s="65">
        <v>123931</v>
      </c>
      <c r="M644" t="s">
        <v>784</v>
      </c>
    </row>
    <row r="645" spans="12:13" x14ac:dyDescent="0.25">
      <c r="L645" s="65">
        <v>123940</v>
      </c>
      <c r="M645" t="s">
        <v>785</v>
      </c>
    </row>
    <row r="646" spans="12:13" x14ac:dyDescent="0.25">
      <c r="L646" s="65">
        <v>123941</v>
      </c>
      <c r="M646" t="s">
        <v>785</v>
      </c>
    </row>
    <row r="647" spans="12:13" x14ac:dyDescent="0.25">
      <c r="L647" s="65">
        <v>123950</v>
      </c>
      <c r="M647" t="s">
        <v>786</v>
      </c>
    </row>
    <row r="648" spans="12:13" x14ac:dyDescent="0.25">
      <c r="L648" s="65">
        <v>123951</v>
      </c>
      <c r="M648" t="s">
        <v>786</v>
      </c>
    </row>
    <row r="649" spans="12:13" x14ac:dyDescent="0.25">
      <c r="L649" s="65">
        <v>123960</v>
      </c>
      <c r="M649" t="s">
        <v>787</v>
      </c>
    </row>
    <row r="650" spans="12:13" x14ac:dyDescent="0.25">
      <c r="L650" s="65">
        <v>123961</v>
      </c>
      <c r="M650" t="s">
        <v>788</v>
      </c>
    </row>
    <row r="651" spans="12:13" x14ac:dyDescent="0.25">
      <c r="L651" s="65">
        <v>123962</v>
      </c>
      <c r="M651" t="s">
        <v>789</v>
      </c>
    </row>
    <row r="652" spans="12:13" x14ac:dyDescent="0.25">
      <c r="L652" s="65">
        <v>123963</v>
      </c>
      <c r="M652" t="s">
        <v>790</v>
      </c>
    </row>
    <row r="653" spans="12:13" x14ac:dyDescent="0.25">
      <c r="L653" s="65">
        <v>123964</v>
      </c>
      <c r="M653" t="s">
        <v>791</v>
      </c>
    </row>
    <row r="654" spans="12:13" x14ac:dyDescent="0.25">
      <c r="L654" s="65">
        <v>123965</v>
      </c>
      <c r="M654" t="s">
        <v>792</v>
      </c>
    </row>
    <row r="655" spans="12:13" x14ac:dyDescent="0.25">
      <c r="L655" s="65">
        <v>123966</v>
      </c>
      <c r="M655" t="s">
        <v>793</v>
      </c>
    </row>
    <row r="656" spans="12:13" x14ac:dyDescent="0.25">
      <c r="L656" s="65">
        <v>123967</v>
      </c>
      <c r="M656" t="s">
        <v>794</v>
      </c>
    </row>
    <row r="657" spans="12:13" x14ac:dyDescent="0.25">
      <c r="L657" s="65">
        <v>123968</v>
      </c>
      <c r="M657" t="s">
        <v>795</v>
      </c>
    </row>
    <row r="658" spans="12:13" x14ac:dyDescent="0.25">
      <c r="L658" s="65">
        <v>123969</v>
      </c>
      <c r="M658" t="s">
        <v>796</v>
      </c>
    </row>
    <row r="659" spans="12:13" x14ac:dyDescent="0.25">
      <c r="L659" s="65">
        <v>123990</v>
      </c>
      <c r="M659" t="s">
        <v>797</v>
      </c>
    </row>
    <row r="660" spans="12:13" x14ac:dyDescent="0.25">
      <c r="L660" s="65">
        <v>123991</v>
      </c>
      <c r="M660" t="s">
        <v>797</v>
      </c>
    </row>
    <row r="661" spans="12:13" x14ac:dyDescent="0.25">
      <c r="L661" s="65">
        <v>130000</v>
      </c>
      <c r="M661" t="s">
        <v>798</v>
      </c>
    </row>
    <row r="662" spans="12:13" x14ac:dyDescent="0.25">
      <c r="L662" s="65">
        <v>131000</v>
      </c>
      <c r="M662" t="s">
        <v>798</v>
      </c>
    </row>
    <row r="663" spans="12:13" x14ac:dyDescent="0.25">
      <c r="L663" s="65">
        <v>131100</v>
      </c>
      <c r="M663" t="s">
        <v>799</v>
      </c>
    </row>
    <row r="664" spans="12:13" x14ac:dyDescent="0.25">
      <c r="L664" s="65">
        <v>131110</v>
      </c>
      <c r="M664" t="s">
        <v>799</v>
      </c>
    </row>
    <row r="665" spans="12:13" x14ac:dyDescent="0.25">
      <c r="L665" s="65">
        <v>131111</v>
      </c>
      <c r="M665" t="s">
        <v>800</v>
      </c>
    </row>
    <row r="666" spans="12:13" x14ac:dyDescent="0.25">
      <c r="L666" s="65">
        <v>131112</v>
      </c>
      <c r="M666" t="s">
        <v>801</v>
      </c>
    </row>
    <row r="667" spans="12:13" x14ac:dyDescent="0.25">
      <c r="L667" s="65">
        <v>131113</v>
      </c>
      <c r="M667" t="s">
        <v>802</v>
      </c>
    </row>
    <row r="668" spans="12:13" x14ac:dyDescent="0.25">
      <c r="L668" s="65">
        <v>131114</v>
      </c>
      <c r="M668" t="s">
        <v>803</v>
      </c>
    </row>
    <row r="669" spans="12:13" x14ac:dyDescent="0.25">
      <c r="L669" s="65">
        <v>131119</v>
      </c>
      <c r="M669" t="s">
        <v>804</v>
      </c>
    </row>
    <row r="670" spans="12:13" x14ac:dyDescent="0.25">
      <c r="L670" s="65">
        <v>131200</v>
      </c>
      <c r="M670" t="s">
        <v>805</v>
      </c>
    </row>
    <row r="671" spans="12:13" x14ac:dyDescent="0.25">
      <c r="L671" s="65">
        <v>131210</v>
      </c>
      <c r="M671" t="s">
        <v>805</v>
      </c>
    </row>
    <row r="672" spans="12:13" x14ac:dyDescent="0.25">
      <c r="L672" s="65">
        <v>131211</v>
      </c>
      <c r="M672" t="s">
        <v>806</v>
      </c>
    </row>
    <row r="673" spans="12:13" x14ac:dyDescent="0.25">
      <c r="L673" s="65">
        <v>131212</v>
      </c>
      <c r="M673" t="s">
        <v>807</v>
      </c>
    </row>
    <row r="674" spans="12:13" x14ac:dyDescent="0.25">
      <c r="L674" s="65">
        <v>131300</v>
      </c>
      <c r="M674" t="s">
        <v>808</v>
      </c>
    </row>
    <row r="675" spans="12:13" x14ac:dyDescent="0.25">
      <c r="L675" s="65">
        <v>131310</v>
      </c>
      <c r="M675" t="s">
        <v>808</v>
      </c>
    </row>
    <row r="676" spans="12:13" x14ac:dyDescent="0.25">
      <c r="L676" s="65">
        <v>131311</v>
      </c>
      <c r="M676" t="s">
        <v>809</v>
      </c>
    </row>
    <row r="677" spans="12:13" x14ac:dyDescent="0.25">
      <c r="L677" s="65">
        <v>131312</v>
      </c>
      <c r="M677" t="s">
        <v>808</v>
      </c>
    </row>
    <row r="678" spans="12:13" x14ac:dyDescent="0.25">
      <c r="L678" s="65">
        <v>200000</v>
      </c>
      <c r="M678" t="s">
        <v>810</v>
      </c>
    </row>
    <row r="679" spans="12:13" x14ac:dyDescent="0.25">
      <c r="L679" s="66">
        <v>210000</v>
      </c>
      <c r="M679" s="62" t="s">
        <v>811</v>
      </c>
    </row>
    <row r="680" spans="12:13" x14ac:dyDescent="0.25">
      <c r="L680" s="65">
        <v>211000</v>
      </c>
      <c r="M680" t="s">
        <v>812</v>
      </c>
    </row>
    <row r="681" spans="12:13" x14ac:dyDescent="0.25">
      <c r="L681" s="65">
        <v>211100</v>
      </c>
      <c r="M681" t="s">
        <v>813</v>
      </c>
    </row>
    <row r="682" spans="12:13" x14ac:dyDescent="0.25">
      <c r="L682" s="65">
        <v>211110</v>
      </c>
      <c r="M682" t="s">
        <v>813</v>
      </c>
    </row>
    <row r="683" spans="12:13" x14ac:dyDescent="0.25">
      <c r="L683" s="65">
        <v>211111</v>
      </c>
      <c r="M683" t="s">
        <v>813</v>
      </c>
    </row>
    <row r="684" spans="12:13" x14ac:dyDescent="0.25">
      <c r="L684" s="65">
        <v>211200</v>
      </c>
      <c r="M684" t="s">
        <v>814</v>
      </c>
    </row>
    <row r="685" spans="12:13" x14ac:dyDescent="0.25">
      <c r="L685" s="65">
        <v>211210</v>
      </c>
      <c r="M685" t="s">
        <v>815</v>
      </c>
    </row>
    <row r="686" spans="12:13" x14ac:dyDescent="0.25">
      <c r="L686" s="65">
        <v>211211</v>
      </c>
      <c r="M686" t="s">
        <v>815</v>
      </c>
    </row>
    <row r="687" spans="12:13" x14ac:dyDescent="0.25">
      <c r="L687" s="65">
        <v>211220</v>
      </c>
      <c r="M687" t="s">
        <v>816</v>
      </c>
    </row>
    <row r="688" spans="12:13" x14ac:dyDescent="0.25">
      <c r="L688" s="65">
        <v>211221</v>
      </c>
      <c r="M688" t="s">
        <v>816</v>
      </c>
    </row>
    <row r="689" spans="12:13" x14ac:dyDescent="0.25">
      <c r="L689" s="65">
        <v>211230</v>
      </c>
      <c r="M689" t="s">
        <v>817</v>
      </c>
    </row>
    <row r="690" spans="12:13" x14ac:dyDescent="0.25">
      <c r="L690" s="65">
        <v>211231</v>
      </c>
      <c r="M690" t="s">
        <v>817</v>
      </c>
    </row>
    <row r="691" spans="12:13" x14ac:dyDescent="0.25">
      <c r="L691" s="65">
        <v>211240</v>
      </c>
      <c r="M691" t="s">
        <v>818</v>
      </c>
    </row>
    <row r="692" spans="12:13" x14ac:dyDescent="0.25">
      <c r="L692" s="65">
        <v>211241</v>
      </c>
      <c r="M692" t="s">
        <v>818</v>
      </c>
    </row>
    <row r="693" spans="12:13" x14ac:dyDescent="0.25">
      <c r="L693" s="65">
        <v>211250</v>
      </c>
      <c r="M693" t="s">
        <v>819</v>
      </c>
    </row>
    <row r="694" spans="12:13" x14ac:dyDescent="0.25">
      <c r="L694" s="65">
        <v>211251</v>
      </c>
      <c r="M694" t="s">
        <v>820</v>
      </c>
    </row>
    <row r="695" spans="12:13" x14ac:dyDescent="0.25">
      <c r="L695" s="65">
        <v>211252</v>
      </c>
      <c r="M695" t="s">
        <v>821</v>
      </c>
    </row>
    <row r="696" spans="12:13" x14ac:dyDescent="0.25">
      <c r="L696" s="65">
        <v>211255</v>
      </c>
      <c r="M696" t="s">
        <v>822</v>
      </c>
    </row>
    <row r="697" spans="12:13" x14ac:dyDescent="0.25">
      <c r="L697" s="65">
        <v>211300</v>
      </c>
      <c r="M697" t="s">
        <v>823</v>
      </c>
    </row>
    <row r="698" spans="12:13" x14ac:dyDescent="0.25">
      <c r="L698" s="65">
        <v>211310</v>
      </c>
      <c r="M698" t="s">
        <v>823</v>
      </c>
    </row>
    <row r="699" spans="12:13" x14ac:dyDescent="0.25">
      <c r="L699" s="65">
        <v>211311</v>
      </c>
      <c r="M699" t="s">
        <v>824</v>
      </c>
    </row>
    <row r="700" spans="12:13" x14ac:dyDescent="0.25">
      <c r="L700" s="65">
        <v>211390</v>
      </c>
      <c r="M700" t="s">
        <v>825</v>
      </c>
    </row>
    <row r="701" spans="12:13" x14ac:dyDescent="0.25">
      <c r="L701" s="65">
        <v>211391</v>
      </c>
      <c r="M701" t="s">
        <v>825</v>
      </c>
    </row>
    <row r="702" spans="12:13" x14ac:dyDescent="0.25">
      <c r="L702" s="65">
        <v>211400</v>
      </c>
      <c r="M702" t="s">
        <v>826</v>
      </c>
    </row>
    <row r="703" spans="12:13" x14ac:dyDescent="0.25">
      <c r="L703" s="65">
        <v>211410</v>
      </c>
      <c r="M703" t="s">
        <v>826</v>
      </c>
    </row>
    <row r="704" spans="12:13" x14ac:dyDescent="0.25">
      <c r="L704" s="65">
        <v>211411</v>
      </c>
      <c r="M704" t="s">
        <v>826</v>
      </c>
    </row>
    <row r="705" spans="12:13" x14ac:dyDescent="0.25">
      <c r="L705" s="65">
        <v>211500</v>
      </c>
      <c r="M705" t="s">
        <v>827</v>
      </c>
    </row>
    <row r="706" spans="12:13" x14ac:dyDescent="0.25">
      <c r="L706" s="65">
        <v>211510</v>
      </c>
      <c r="M706" t="s">
        <v>827</v>
      </c>
    </row>
    <row r="707" spans="12:13" x14ac:dyDescent="0.25">
      <c r="L707" s="65">
        <v>211511</v>
      </c>
      <c r="M707" t="s">
        <v>827</v>
      </c>
    </row>
    <row r="708" spans="12:13" x14ac:dyDescent="0.25">
      <c r="L708" s="65">
        <v>211600</v>
      </c>
      <c r="M708" t="s">
        <v>828</v>
      </c>
    </row>
    <row r="709" spans="12:13" x14ac:dyDescent="0.25">
      <c r="L709" s="65">
        <v>211610</v>
      </c>
      <c r="M709" t="s">
        <v>828</v>
      </c>
    </row>
    <row r="710" spans="12:13" x14ac:dyDescent="0.25">
      <c r="L710" s="65">
        <v>211611</v>
      </c>
      <c r="M710" t="s">
        <v>828</v>
      </c>
    </row>
    <row r="711" spans="12:13" x14ac:dyDescent="0.25">
      <c r="L711" s="65">
        <v>211700</v>
      </c>
      <c r="M711" t="s">
        <v>829</v>
      </c>
    </row>
    <row r="712" spans="12:13" x14ac:dyDescent="0.25">
      <c r="L712" s="65">
        <v>211710</v>
      </c>
      <c r="M712" t="s">
        <v>829</v>
      </c>
    </row>
    <row r="713" spans="12:13" x14ac:dyDescent="0.25">
      <c r="L713" s="65">
        <v>211711</v>
      </c>
      <c r="M713" t="s">
        <v>829</v>
      </c>
    </row>
    <row r="714" spans="12:13" x14ac:dyDescent="0.25">
      <c r="L714" s="65">
        <v>211800</v>
      </c>
      <c r="M714" t="s">
        <v>830</v>
      </c>
    </row>
    <row r="715" spans="12:13" x14ac:dyDescent="0.25">
      <c r="L715" s="65">
        <v>211810</v>
      </c>
      <c r="M715" t="s">
        <v>830</v>
      </c>
    </row>
    <row r="716" spans="12:13" x14ac:dyDescent="0.25">
      <c r="L716" s="65">
        <v>211811</v>
      </c>
      <c r="M716" t="s">
        <v>830</v>
      </c>
    </row>
    <row r="717" spans="12:13" x14ac:dyDescent="0.25">
      <c r="L717" s="65">
        <v>211900</v>
      </c>
      <c r="M717" t="s">
        <v>831</v>
      </c>
    </row>
    <row r="718" spans="12:13" x14ac:dyDescent="0.25">
      <c r="L718" s="65">
        <v>211910</v>
      </c>
      <c r="M718" t="s">
        <v>831</v>
      </c>
    </row>
    <row r="719" spans="12:13" x14ac:dyDescent="0.25">
      <c r="L719" s="65">
        <v>211911</v>
      </c>
      <c r="M719" t="s">
        <v>832</v>
      </c>
    </row>
    <row r="720" spans="12:13" x14ac:dyDescent="0.25">
      <c r="L720" s="65">
        <v>211912</v>
      </c>
      <c r="M720" t="s">
        <v>833</v>
      </c>
    </row>
    <row r="721" spans="12:13" x14ac:dyDescent="0.25">
      <c r="L721" s="65">
        <v>211913</v>
      </c>
      <c r="M721" t="s">
        <v>834</v>
      </c>
    </row>
    <row r="722" spans="12:13" x14ac:dyDescent="0.25">
      <c r="L722" s="65">
        <v>212000</v>
      </c>
      <c r="M722" t="s">
        <v>835</v>
      </c>
    </row>
    <row r="723" spans="12:13" x14ac:dyDescent="0.25">
      <c r="L723" s="65">
        <v>212100</v>
      </c>
      <c r="M723" t="s">
        <v>836</v>
      </c>
    </row>
    <row r="724" spans="12:13" x14ac:dyDescent="0.25">
      <c r="L724" s="65">
        <v>212110</v>
      </c>
      <c r="M724" t="s">
        <v>836</v>
      </c>
    </row>
    <row r="725" spans="12:13" x14ac:dyDescent="0.25">
      <c r="L725" s="65">
        <v>212111</v>
      </c>
      <c r="M725" t="s">
        <v>836</v>
      </c>
    </row>
    <row r="726" spans="12:13" x14ac:dyDescent="0.25">
      <c r="L726" s="65">
        <v>212200</v>
      </c>
      <c r="M726" t="s">
        <v>837</v>
      </c>
    </row>
    <row r="727" spans="12:13" x14ac:dyDescent="0.25">
      <c r="L727" s="65">
        <v>212210</v>
      </c>
      <c r="M727" t="s">
        <v>838</v>
      </c>
    </row>
    <row r="728" spans="12:13" x14ac:dyDescent="0.25">
      <c r="L728" s="65">
        <v>212211</v>
      </c>
      <c r="M728" t="s">
        <v>838</v>
      </c>
    </row>
    <row r="729" spans="12:13" x14ac:dyDescent="0.25">
      <c r="L729" s="65">
        <v>212220</v>
      </c>
      <c r="M729" t="s">
        <v>839</v>
      </c>
    </row>
    <row r="730" spans="12:13" x14ac:dyDescent="0.25">
      <c r="L730" s="65">
        <v>212221</v>
      </c>
      <c r="M730" t="s">
        <v>839</v>
      </c>
    </row>
    <row r="731" spans="12:13" x14ac:dyDescent="0.25">
      <c r="L731" s="65">
        <v>212290</v>
      </c>
      <c r="M731" t="s">
        <v>840</v>
      </c>
    </row>
    <row r="732" spans="12:13" x14ac:dyDescent="0.25">
      <c r="L732" s="65">
        <v>212291</v>
      </c>
      <c r="M732" t="s">
        <v>840</v>
      </c>
    </row>
    <row r="733" spans="12:13" x14ac:dyDescent="0.25">
      <c r="L733" s="65">
        <v>212300</v>
      </c>
      <c r="M733" t="s">
        <v>841</v>
      </c>
    </row>
    <row r="734" spans="12:13" x14ac:dyDescent="0.25">
      <c r="L734" s="65">
        <v>212310</v>
      </c>
      <c r="M734" t="s">
        <v>842</v>
      </c>
    </row>
    <row r="735" spans="12:13" x14ac:dyDescent="0.25">
      <c r="L735" s="65">
        <v>212311</v>
      </c>
      <c r="M735" t="s">
        <v>842</v>
      </c>
    </row>
    <row r="736" spans="12:13" x14ac:dyDescent="0.25">
      <c r="L736" s="65">
        <v>212320</v>
      </c>
      <c r="M736" t="s">
        <v>843</v>
      </c>
    </row>
    <row r="737" spans="12:13" x14ac:dyDescent="0.25">
      <c r="L737" s="65">
        <v>212321</v>
      </c>
      <c r="M737" t="s">
        <v>843</v>
      </c>
    </row>
    <row r="738" spans="12:13" x14ac:dyDescent="0.25">
      <c r="L738" s="65">
        <v>212330</v>
      </c>
      <c r="M738" t="s">
        <v>844</v>
      </c>
    </row>
    <row r="739" spans="12:13" x14ac:dyDescent="0.25">
      <c r="L739" s="65">
        <v>212331</v>
      </c>
      <c r="M739" t="s">
        <v>844</v>
      </c>
    </row>
    <row r="740" spans="12:13" x14ac:dyDescent="0.25">
      <c r="L740" s="65">
        <v>212340</v>
      </c>
      <c r="M740" t="s">
        <v>845</v>
      </c>
    </row>
    <row r="741" spans="12:13" x14ac:dyDescent="0.25">
      <c r="L741" s="65">
        <v>212341</v>
      </c>
      <c r="M741" t="s">
        <v>845</v>
      </c>
    </row>
    <row r="742" spans="12:13" x14ac:dyDescent="0.25">
      <c r="L742" s="65">
        <v>212350</v>
      </c>
      <c r="M742" t="s">
        <v>846</v>
      </c>
    </row>
    <row r="743" spans="12:13" x14ac:dyDescent="0.25">
      <c r="L743" s="65">
        <v>212351</v>
      </c>
      <c r="M743" t="s">
        <v>846</v>
      </c>
    </row>
    <row r="744" spans="12:13" x14ac:dyDescent="0.25">
      <c r="L744" s="65">
        <v>212390</v>
      </c>
      <c r="M744" t="s">
        <v>847</v>
      </c>
    </row>
    <row r="745" spans="12:13" x14ac:dyDescent="0.25">
      <c r="L745" s="65">
        <v>212391</v>
      </c>
      <c r="M745" t="s">
        <v>847</v>
      </c>
    </row>
    <row r="746" spans="12:13" x14ac:dyDescent="0.25">
      <c r="L746" s="65">
        <v>212400</v>
      </c>
      <c r="M746" t="s">
        <v>848</v>
      </c>
    </row>
    <row r="747" spans="12:13" x14ac:dyDescent="0.25">
      <c r="L747" s="65">
        <v>212410</v>
      </c>
      <c r="M747" t="s">
        <v>849</v>
      </c>
    </row>
    <row r="748" spans="12:13" x14ac:dyDescent="0.25">
      <c r="L748" s="65">
        <v>212411</v>
      </c>
      <c r="M748" t="s">
        <v>849</v>
      </c>
    </row>
    <row r="749" spans="12:13" x14ac:dyDescent="0.25">
      <c r="L749" s="65">
        <v>212490</v>
      </c>
      <c r="M749" t="s">
        <v>850</v>
      </c>
    </row>
    <row r="750" spans="12:13" x14ac:dyDescent="0.25">
      <c r="L750" s="65">
        <v>212491</v>
      </c>
      <c r="M750" t="s">
        <v>850</v>
      </c>
    </row>
    <row r="751" spans="12:13" x14ac:dyDescent="0.25">
      <c r="L751" s="65">
        <v>212500</v>
      </c>
      <c r="M751" t="s">
        <v>851</v>
      </c>
    </row>
    <row r="752" spans="12:13" x14ac:dyDescent="0.25">
      <c r="L752" s="65">
        <v>212510</v>
      </c>
      <c r="M752" t="s">
        <v>851</v>
      </c>
    </row>
    <row r="753" spans="12:13" x14ac:dyDescent="0.25">
      <c r="L753" s="65">
        <v>212511</v>
      </c>
      <c r="M753" t="s">
        <v>851</v>
      </c>
    </row>
    <row r="754" spans="12:13" x14ac:dyDescent="0.25">
      <c r="L754" s="65">
        <v>212600</v>
      </c>
      <c r="M754" t="s">
        <v>852</v>
      </c>
    </row>
    <row r="755" spans="12:13" x14ac:dyDescent="0.25">
      <c r="L755" s="65">
        <v>212610</v>
      </c>
      <c r="M755" t="s">
        <v>852</v>
      </c>
    </row>
    <row r="756" spans="12:13" x14ac:dyDescent="0.25">
      <c r="L756" s="65">
        <v>212611</v>
      </c>
      <c r="M756" t="s">
        <v>852</v>
      </c>
    </row>
    <row r="757" spans="12:13" x14ac:dyDescent="0.25">
      <c r="L757" s="65">
        <v>213000</v>
      </c>
      <c r="M757" t="s">
        <v>853</v>
      </c>
    </row>
    <row r="758" spans="12:13" x14ac:dyDescent="0.25">
      <c r="L758" s="65">
        <v>213100</v>
      </c>
      <c r="M758" t="s">
        <v>853</v>
      </c>
    </row>
    <row r="759" spans="12:13" x14ac:dyDescent="0.25">
      <c r="L759" s="65">
        <v>213110</v>
      </c>
      <c r="M759" t="s">
        <v>853</v>
      </c>
    </row>
    <row r="760" spans="12:13" x14ac:dyDescent="0.25">
      <c r="L760" s="65">
        <v>213111</v>
      </c>
      <c r="M760" t="s">
        <v>853</v>
      </c>
    </row>
    <row r="761" spans="12:13" x14ac:dyDescent="0.25">
      <c r="L761" s="65">
        <v>220000</v>
      </c>
      <c r="M761" t="s">
        <v>854</v>
      </c>
    </row>
    <row r="762" spans="12:13" x14ac:dyDescent="0.25">
      <c r="L762" s="65">
        <v>221000</v>
      </c>
      <c r="M762" t="s">
        <v>855</v>
      </c>
    </row>
    <row r="763" spans="12:13" x14ac:dyDescent="0.25">
      <c r="L763" s="65">
        <v>221100</v>
      </c>
      <c r="M763" t="s">
        <v>856</v>
      </c>
    </row>
    <row r="764" spans="12:13" x14ac:dyDescent="0.25">
      <c r="L764" s="65">
        <v>221110</v>
      </c>
      <c r="M764" t="s">
        <v>856</v>
      </c>
    </row>
    <row r="765" spans="12:13" x14ac:dyDescent="0.25">
      <c r="L765" s="65">
        <v>221111</v>
      </c>
      <c r="M765" t="s">
        <v>856</v>
      </c>
    </row>
    <row r="766" spans="12:13" x14ac:dyDescent="0.25">
      <c r="L766" s="65">
        <v>221200</v>
      </c>
      <c r="M766" t="s">
        <v>857</v>
      </c>
    </row>
    <row r="767" spans="12:13" x14ac:dyDescent="0.25">
      <c r="L767" s="65">
        <v>221210</v>
      </c>
      <c r="M767" t="s">
        <v>858</v>
      </c>
    </row>
    <row r="768" spans="12:13" x14ac:dyDescent="0.25">
      <c r="L768" s="65">
        <v>221211</v>
      </c>
      <c r="M768" t="s">
        <v>858</v>
      </c>
    </row>
    <row r="769" spans="12:13" x14ac:dyDescent="0.25">
      <c r="L769" s="65">
        <v>221220</v>
      </c>
      <c r="M769" t="s">
        <v>859</v>
      </c>
    </row>
    <row r="770" spans="12:13" x14ac:dyDescent="0.25">
      <c r="L770" s="65">
        <v>221221</v>
      </c>
      <c r="M770" t="s">
        <v>859</v>
      </c>
    </row>
    <row r="771" spans="12:13" x14ac:dyDescent="0.25">
      <c r="L771" s="65">
        <v>221230</v>
      </c>
      <c r="M771" t="s">
        <v>860</v>
      </c>
    </row>
    <row r="772" spans="12:13" x14ac:dyDescent="0.25">
      <c r="L772" s="65">
        <v>221231</v>
      </c>
      <c r="M772" t="s">
        <v>860</v>
      </c>
    </row>
    <row r="773" spans="12:13" x14ac:dyDescent="0.25">
      <c r="L773" s="65">
        <v>221240</v>
      </c>
      <c r="M773" t="s">
        <v>861</v>
      </c>
    </row>
    <row r="774" spans="12:13" x14ac:dyDescent="0.25">
      <c r="L774" s="65">
        <v>221241</v>
      </c>
      <c r="M774" t="s">
        <v>861</v>
      </c>
    </row>
    <row r="775" spans="12:13" x14ac:dyDescent="0.25">
      <c r="L775" s="65">
        <v>221250</v>
      </c>
      <c r="M775" t="s">
        <v>862</v>
      </c>
    </row>
    <row r="776" spans="12:13" x14ac:dyDescent="0.25">
      <c r="L776" s="65">
        <v>221251</v>
      </c>
      <c r="M776" t="s">
        <v>863</v>
      </c>
    </row>
    <row r="777" spans="12:13" x14ac:dyDescent="0.25">
      <c r="L777" s="65">
        <v>221252</v>
      </c>
      <c r="M777" t="s">
        <v>864</v>
      </c>
    </row>
    <row r="778" spans="12:13" x14ac:dyDescent="0.25">
      <c r="L778" s="65">
        <v>221255</v>
      </c>
      <c r="M778" t="s">
        <v>865</v>
      </c>
    </row>
    <row r="779" spans="12:13" x14ac:dyDescent="0.25">
      <c r="L779" s="65">
        <v>221300</v>
      </c>
      <c r="M779" t="s">
        <v>866</v>
      </c>
    </row>
    <row r="780" spans="12:13" x14ac:dyDescent="0.25">
      <c r="L780" s="65">
        <v>221310</v>
      </c>
      <c r="M780" t="s">
        <v>867</v>
      </c>
    </row>
    <row r="781" spans="12:13" x14ac:dyDescent="0.25">
      <c r="L781" s="65">
        <v>221311</v>
      </c>
      <c r="M781" t="s">
        <v>867</v>
      </c>
    </row>
    <row r="782" spans="12:13" x14ac:dyDescent="0.25">
      <c r="L782" s="65">
        <v>221390</v>
      </c>
      <c r="M782" t="s">
        <v>868</v>
      </c>
    </row>
    <row r="783" spans="12:13" x14ac:dyDescent="0.25">
      <c r="L783" s="65">
        <v>221391</v>
      </c>
      <c r="M783" t="s">
        <v>868</v>
      </c>
    </row>
    <row r="784" spans="12:13" x14ac:dyDescent="0.25">
      <c r="L784" s="65">
        <v>221400</v>
      </c>
      <c r="M784" t="s">
        <v>869</v>
      </c>
    </row>
    <row r="785" spans="12:13" x14ac:dyDescent="0.25">
      <c r="L785" s="65">
        <v>221410</v>
      </c>
      <c r="M785" t="s">
        <v>869</v>
      </c>
    </row>
    <row r="786" spans="12:13" x14ac:dyDescent="0.25">
      <c r="L786" s="65">
        <v>221411</v>
      </c>
      <c r="M786" t="s">
        <v>869</v>
      </c>
    </row>
    <row r="787" spans="12:13" x14ac:dyDescent="0.25">
      <c r="L787" s="65">
        <v>221500</v>
      </c>
      <c r="M787" t="s">
        <v>870</v>
      </c>
    </row>
    <row r="788" spans="12:13" x14ac:dyDescent="0.25">
      <c r="L788" s="65">
        <v>221510</v>
      </c>
      <c r="M788" t="s">
        <v>870</v>
      </c>
    </row>
    <row r="789" spans="12:13" x14ac:dyDescent="0.25">
      <c r="L789" s="65">
        <v>221511</v>
      </c>
      <c r="M789" t="s">
        <v>870</v>
      </c>
    </row>
    <row r="790" spans="12:13" x14ac:dyDescent="0.25">
      <c r="L790" s="65">
        <v>221600</v>
      </c>
      <c r="M790" t="s">
        <v>871</v>
      </c>
    </row>
    <row r="791" spans="12:13" x14ac:dyDescent="0.25">
      <c r="L791" s="65">
        <v>221610</v>
      </c>
      <c r="M791" t="s">
        <v>871</v>
      </c>
    </row>
    <row r="792" spans="12:13" x14ac:dyDescent="0.25">
      <c r="L792" s="65">
        <v>221611</v>
      </c>
      <c r="M792" t="s">
        <v>871</v>
      </c>
    </row>
    <row r="793" spans="12:13" x14ac:dyDescent="0.25">
      <c r="L793" s="65">
        <v>221700</v>
      </c>
      <c r="M793" t="s">
        <v>872</v>
      </c>
    </row>
    <row r="794" spans="12:13" x14ac:dyDescent="0.25">
      <c r="L794" s="65">
        <v>221710</v>
      </c>
      <c r="M794" t="s">
        <v>872</v>
      </c>
    </row>
    <row r="795" spans="12:13" x14ac:dyDescent="0.25">
      <c r="L795" s="65">
        <v>221711</v>
      </c>
      <c r="M795" t="s">
        <v>872</v>
      </c>
    </row>
    <row r="796" spans="12:13" x14ac:dyDescent="0.25">
      <c r="L796" s="65">
        <v>221800</v>
      </c>
      <c r="M796" t="s">
        <v>873</v>
      </c>
    </row>
    <row r="797" spans="12:13" x14ac:dyDescent="0.25">
      <c r="L797" s="65">
        <v>221810</v>
      </c>
      <c r="M797" t="s">
        <v>873</v>
      </c>
    </row>
    <row r="798" spans="12:13" x14ac:dyDescent="0.25">
      <c r="L798" s="65">
        <v>221811</v>
      </c>
      <c r="M798" t="s">
        <v>873</v>
      </c>
    </row>
    <row r="799" spans="12:13" x14ac:dyDescent="0.25">
      <c r="L799" s="65">
        <v>222000</v>
      </c>
      <c r="M799" t="s">
        <v>874</v>
      </c>
    </row>
    <row r="800" spans="12:13" x14ac:dyDescent="0.25">
      <c r="L800" s="65">
        <v>222100</v>
      </c>
      <c r="M800" t="s">
        <v>875</v>
      </c>
    </row>
    <row r="801" spans="12:13" x14ac:dyDescent="0.25">
      <c r="L801" s="65">
        <v>222110</v>
      </c>
      <c r="M801" t="s">
        <v>875</v>
      </c>
    </row>
    <row r="802" spans="12:13" x14ac:dyDescent="0.25">
      <c r="L802" s="65">
        <v>222111</v>
      </c>
      <c r="M802" t="s">
        <v>875</v>
      </c>
    </row>
    <row r="803" spans="12:13" x14ac:dyDescent="0.25">
      <c r="L803" s="65">
        <v>222200</v>
      </c>
      <c r="M803" t="s">
        <v>876</v>
      </c>
    </row>
    <row r="804" spans="12:13" x14ac:dyDescent="0.25">
      <c r="L804" s="65">
        <v>222210</v>
      </c>
      <c r="M804" t="s">
        <v>877</v>
      </c>
    </row>
    <row r="805" spans="12:13" x14ac:dyDescent="0.25">
      <c r="L805" s="65">
        <v>222211</v>
      </c>
      <c r="M805" t="s">
        <v>877</v>
      </c>
    </row>
    <row r="806" spans="12:13" x14ac:dyDescent="0.25">
      <c r="L806" s="65">
        <v>222220</v>
      </c>
      <c r="M806" t="s">
        <v>878</v>
      </c>
    </row>
    <row r="807" spans="12:13" x14ac:dyDescent="0.25">
      <c r="L807" s="65">
        <v>222221</v>
      </c>
      <c r="M807" t="s">
        <v>878</v>
      </c>
    </row>
    <row r="808" spans="12:13" x14ac:dyDescent="0.25">
      <c r="L808" s="65">
        <v>222290</v>
      </c>
      <c r="M808" t="s">
        <v>879</v>
      </c>
    </row>
    <row r="809" spans="12:13" x14ac:dyDescent="0.25">
      <c r="L809" s="65">
        <v>222291</v>
      </c>
      <c r="M809" t="s">
        <v>879</v>
      </c>
    </row>
    <row r="810" spans="12:13" x14ac:dyDescent="0.25">
      <c r="L810" s="65">
        <v>222300</v>
      </c>
      <c r="M810" t="s">
        <v>880</v>
      </c>
    </row>
    <row r="811" spans="12:13" x14ac:dyDescent="0.25">
      <c r="L811" s="65">
        <v>222310</v>
      </c>
      <c r="M811" t="s">
        <v>881</v>
      </c>
    </row>
    <row r="812" spans="12:13" x14ac:dyDescent="0.25">
      <c r="L812" s="65">
        <v>222311</v>
      </c>
      <c r="M812" t="s">
        <v>881</v>
      </c>
    </row>
    <row r="813" spans="12:13" x14ac:dyDescent="0.25">
      <c r="L813" s="65">
        <v>222320</v>
      </c>
      <c r="M813" t="s">
        <v>882</v>
      </c>
    </row>
    <row r="814" spans="12:13" x14ac:dyDescent="0.25">
      <c r="L814" s="65">
        <v>222321</v>
      </c>
      <c r="M814" t="s">
        <v>882</v>
      </c>
    </row>
    <row r="815" spans="12:13" x14ac:dyDescent="0.25">
      <c r="L815" s="65">
        <v>222330</v>
      </c>
      <c r="M815" t="s">
        <v>883</v>
      </c>
    </row>
    <row r="816" spans="12:13" x14ac:dyDescent="0.25">
      <c r="L816" s="65">
        <v>222331</v>
      </c>
      <c r="M816" t="s">
        <v>883</v>
      </c>
    </row>
    <row r="817" spans="12:13" x14ac:dyDescent="0.25">
      <c r="L817" s="65">
        <v>222340</v>
      </c>
      <c r="M817" t="s">
        <v>884</v>
      </c>
    </row>
    <row r="818" spans="12:13" x14ac:dyDescent="0.25">
      <c r="L818" s="65">
        <v>222341</v>
      </c>
      <c r="M818" t="s">
        <v>884</v>
      </c>
    </row>
    <row r="819" spans="12:13" x14ac:dyDescent="0.25">
      <c r="L819" s="65">
        <v>222350</v>
      </c>
      <c r="M819" t="s">
        <v>885</v>
      </c>
    </row>
    <row r="820" spans="12:13" x14ac:dyDescent="0.25">
      <c r="L820" s="65">
        <v>222351</v>
      </c>
      <c r="M820" t="s">
        <v>885</v>
      </c>
    </row>
    <row r="821" spans="12:13" x14ac:dyDescent="0.25">
      <c r="L821" s="65">
        <v>222390</v>
      </c>
      <c r="M821" t="s">
        <v>886</v>
      </c>
    </row>
    <row r="822" spans="12:13" x14ac:dyDescent="0.25">
      <c r="L822" s="65">
        <v>222391</v>
      </c>
      <c r="M822" t="s">
        <v>886</v>
      </c>
    </row>
    <row r="823" spans="12:13" x14ac:dyDescent="0.25">
      <c r="L823" s="65">
        <v>222400</v>
      </c>
      <c r="M823" t="s">
        <v>887</v>
      </c>
    </row>
    <row r="824" spans="12:13" x14ac:dyDescent="0.25">
      <c r="L824" s="65">
        <v>222410</v>
      </c>
      <c r="M824" t="s">
        <v>888</v>
      </c>
    </row>
    <row r="825" spans="12:13" x14ac:dyDescent="0.25">
      <c r="L825" s="65">
        <v>222411</v>
      </c>
      <c r="M825" t="s">
        <v>888</v>
      </c>
    </row>
    <row r="826" spans="12:13" x14ac:dyDescent="0.25">
      <c r="L826" s="65">
        <v>222490</v>
      </c>
      <c r="M826" t="s">
        <v>889</v>
      </c>
    </row>
    <row r="827" spans="12:13" x14ac:dyDescent="0.25">
      <c r="L827" s="65">
        <v>222491</v>
      </c>
      <c r="M827" t="s">
        <v>889</v>
      </c>
    </row>
    <row r="828" spans="12:13" x14ac:dyDescent="0.25">
      <c r="L828" s="65">
        <v>222500</v>
      </c>
      <c r="M828" t="s">
        <v>890</v>
      </c>
    </row>
    <row r="829" spans="12:13" x14ac:dyDescent="0.25">
      <c r="L829" s="65">
        <v>222510</v>
      </c>
      <c r="M829" t="s">
        <v>890</v>
      </c>
    </row>
    <row r="830" spans="12:13" x14ac:dyDescent="0.25">
      <c r="L830" s="65">
        <v>222511</v>
      </c>
      <c r="M830" t="s">
        <v>890</v>
      </c>
    </row>
    <row r="831" spans="12:13" x14ac:dyDescent="0.25">
      <c r="L831" s="65">
        <v>222600</v>
      </c>
      <c r="M831" t="s">
        <v>891</v>
      </c>
    </row>
    <row r="832" spans="12:13" x14ac:dyDescent="0.25">
      <c r="L832" s="65">
        <v>222610</v>
      </c>
      <c r="M832" t="s">
        <v>891</v>
      </c>
    </row>
    <row r="833" spans="12:13" x14ac:dyDescent="0.25">
      <c r="L833" s="65">
        <v>222611</v>
      </c>
      <c r="M833" t="s">
        <v>891</v>
      </c>
    </row>
    <row r="834" spans="12:13" x14ac:dyDescent="0.25">
      <c r="L834" s="65">
        <v>223000</v>
      </c>
      <c r="M834" t="s">
        <v>892</v>
      </c>
    </row>
    <row r="835" spans="12:13" x14ac:dyDescent="0.25">
      <c r="L835" s="65">
        <v>223100</v>
      </c>
      <c r="M835" t="s">
        <v>892</v>
      </c>
    </row>
    <row r="836" spans="12:13" x14ac:dyDescent="0.25">
      <c r="L836" s="65">
        <v>223110</v>
      </c>
      <c r="M836" t="s">
        <v>892</v>
      </c>
    </row>
    <row r="837" spans="12:13" x14ac:dyDescent="0.25">
      <c r="L837" s="65">
        <v>223111</v>
      </c>
      <c r="M837" t="s">
        <v>892</v>
      </c>
    </row>
    <row r="838" spans="12:13" x14ac:dyDescent="0.25">
      <c r="L838" s="65">
        <v>230000</v>
      </c>
      <c r="M838" t="s">
        <v>893</v>
      </c>
    </row>
    <row r="839" spans="12:13" x14ac:dyDescent="0.25">
      <c r="L839" s="65">
        <v>231000</v>
      </c>
      <c r="M839" t="s">
        <v>894</v>
      </c>
    </row>
    <row r="840" spans="12:13" x14ac:dyDescent="0.25">
      <c r="L840" s="65">
        <v>231100</v>
      </c>
      <c r="M840" t="s">
        <v>895</v>
      </c>
    </row>
    <row r="841" spans="12:13" x14ac:dyDescent="0.25">
      <c r="L841" s="65">
        <v>231110</v>
      </c>
      <c r="M841" t="s">
        <v>895</v>
      </c>
    </row>
    <row r="842" spans="12:13" x14ac:dyDescent="0.25">
      <c r="L842" s="65">
        <v>231111</v>
      </c>
      <c r="M842" t="s">
        <v>895</v>
      </c>
    </row>
    <row r="843" spans="12:13" x14ac:dyDescent="0.25">
      <c r="L843" s="65">
        <v>231200</v>
      </c>
      <c r="M843" t="s">
        <v>896</v>
      </c>
    </row>
    <row r="844" spans="12:13" x14ac:dyDescent="0.25">
      <c r="L844" s="65">
        <v>231210</v>
      </c>
      <c r="M844" t="s">
        <v>896</v>
      </c>
    </row>
    <row r="845" spans="12:13" x14ac:dyDescent="0.25">
      <c r="L845" s="65">
        <v>231211</v>
      </c>
      <c r="M845" t="s">
        <v>896</v>
      </c>
    </row>
    <row r="846" spans="12:13" x14ac:dyDescent="0.25">
      <c r="L846" s="65">
        <v>231300</v>
      </c>
      <c r="M846" t="s">
        <v>897</v>
      </c>
    </row>
    <row r="847" spans="12:13" x14ac:dyDescent="0.25">
      <c r="L847" s="65">
        <v>231310</v>
      </c>
      <c r="M847" t="s">
        <v>897</v>
      </c>
    </row>
    <row r="848" spans="12:13" x14ac:dyDescent="0.25">
      <c r="L848" s="65">
        <v>231311</v>
      </c>
      <c r="M848" t="s">
        <v>897</v>
      </c>
    </row>
    <row r="849" spans="12:13" x14ac:dyDescent="0.25">
      <c r="L849" s="65">
        <v>231400</v>
      </c>
      <c r="M849" t="s">
        <v>898</v>
      </c>
    </row>
    <row r="850" spans="12:13" x14ac:dyDescent="0.25">
      <c r="L850" s="65">
        <v>231410</v>
      </c>
      <c r="M850" t="s">
        <v>898</v>
      </c>
    </row>
    <row r="851" spans="12:13" x14ac:dyDescent="0.25">
      <c r="L851" s="65">
        <v>231411</v>
      </c>
      <c r="M851" t="s">
        <v>898</v>
      </c>
    </row>
    <row r="852" spans="12:13" x14ac:dyDescent="0.25">
      <c r="L852" s="65">
        <v>231500</v>
      </c>
      <c r="M852" t="s">
        <v>899</v>
      </c>
    </row>
    <row r="853" spans="12:13" x14ac:dyDescent="0.25">
      <c r="L853" s="65">
        <v>231510</v>
      </c>
      <c r="M853" t="s">
        <v>899</v>
      </c>
    </row>
    <row r="854" spans="12:13" x14ac:dyDescent="0.25">
      <c r="L854" s="65">
        <v>231511</v>
      </c>
      <c r="M854" t="s">
        <v>899</v>
      </c>
    </row>
    <row r="855" spans="12:13" x14ac:dyDescent="0.25">
      <c r="L855" s="65">
        <v>232000</v>
      </c>
      <c r="M855" t="s">
        <v>900</v>
      </c>
    </row>
    <row r="856" spans="12:13" x14ac:dyDescent="0.25">
      <c r="L856" s="65">
        <v>232100</v>
      </c>
      <c r="M856" t="s">
        <v>901</v>
      </c>
    </row>
    <row r="857" spans="12:13" x14ac:dyDescent="0.25">
      <c r="L857" s="65">
        <v>232110</v>
      </c>
      <c r="M857" t="s">
        <v>901</v>
      </c>
    </row>
    <row r="858" spans="12:13" x14ac:dyDescent="0.25">
      <c r="L858" s="65">
        <v>232111</v>
      </c>
      <c r="M858" t="s">
        <v>901</v>
      </c>
    </row>
    <row r="859" spans="12:13" x14ac:dyDescent="0.25">
      <c r="L859" s="65">
        <v>232200</v>
      </c>
      <c r="M859" t="s">
        <v>902</v>
      </c>
    </row>
    <row r="860" spans="12:13" x14ac:dyDescent="0.25">
      <c r="L860" s="65">
        <v>232210</v>
      </c>
      <c r="M860" t="s">
        <v>902</v>
      </c>
    </row>
    <row r="861" spans="12:13" x14ac:dyDescent="0.25">
      <c r="L861" s="65">
        <v>232211</v>
      </c>
      <c r="M861" t="s">
        <v>902</v>
      </c>
    </row>
    <row r="862" spans="12:13" x14ac:dyDescent="0.25">
      <c r="L862" s="65">
        <v>232300</v>
      </c>
      <c r="M862" t="s">
        <v>903</v>
      </c>
    </row>
    <row r="863" spans="12:13" x14ac:dyDescent="0.25">
      <c r="L863" s="65">
        <v>232310</v>
      </c>
      <c r="M863" t="s">
        <v>903</v>
      </c>
    </row>
    <row r="864" spans="12:13" x14ac:dyDescent="0.25">
      <c r="L864" s="65">
        <v>232311</v>
      </c>
      <c r="M864" t="s">
        <v>903</v>
      </c>
    </row>
    <row r="865" spans="12:13" x14ac:dyDescent="0.25">
      <c r="L865" s="65">
        <v>232400</v>
      </c>
      <c r="M865" t="s">
        <v>904</v>
      </c>
    </row>
    <row r="866" spans="12:13" x14ac:dyDescent="0.25">
      <c r="L866" s="65">
        <v>232410</v>
      </c>
      <c r="M866" t="s">
        <v>904</v>
      </c>
    </row>
    <row r="867" spans="12:13" x14ac:dyDescent="0.25">
      <c r="L867" s="65">
        <v>232411</v>
      </c>
      <c r="M867" t="s">
        <v>904</v>
      </c>
    </row>
    <row r="868" spans="12:13" x14ac:dyDescent="0.25">
      <c r="L868" s="65">
        <v>232500</v>
      </c>
      <c r="M868" t="s">
        <v>905</v>
      </c>
    </row>
    <row r="869" spans="12:13" x14ac:dyDescent="0.25">
      <c r="L869" s="65">
        <v>232510</v>
      </c>
      <c r="M869" t="s">
        <v>905</v>
      </c>
    </row>
    <row r="870" spans="12:13" x14ac:dyDescent="0.25">
      <c r="L870" s="65">
        <v>232511</v>
      </c>
      <c r="M870" t="s">
        <v>905</v>
      </c>
    </row>
    <row r="871" spans="12:13" x14ac:dyDescent="0.25">
      <c r="L871" s="65">
        <v>233000</v>
      </c>
      <c r="M871" t="s">
        <v>906</v>
      </c>
    </row>
    <row r="872" spans="12:13" x14ac:dyDescent="0.25">
      <c r="L872" s="65">
        <v>233100</v>
      </c>
      <c r="M872" t="s">
        <v>907</v>
      </c>
    </row>
    <row r="873" spans="12:13" x14ac:dyDescent="0.25">
      <c r="L873" s="65">
        <v>233110</v>
      </c>
      <c r="M873" t="s">
        <v>907</v>
      </c>
    </row>
    <row r="874" spans="12:13" x14ac:dyDescent="0.25">
      <c r="L874" s="65">
        <v>233111</v>
      </c>
      <c r="M874" t="s">
        <v>907</v>
      </c>
    </row>
    <row r="875" spans="12:13" x14ac:dyDescent="0.25">
      <c r="L875" s="65">
        <v>233200</v>
      </c>
      <c r="M875" t="s">
        <v>908</v>
      </c>
    </row>
    <row r="876" spans="12:13" x14ac:dyDescent="0.25">
      <c r="L876" s="65">
        <v>233210</v>
      </c>
      <c r="M876" t="s">
        <v>908</v>
      </c>
    </row>
    <row r="877" spans="12:13" x14ac:dyDescent="0.25">
      <c r="L877" s="65">
        <v>233211</v>
      </c>
      <c r="M877" t="s">
        <v>908</v>
      </c>
    </row>
    <row r="878" spans="12:13" x14ac:dyDescent="0.25">
      <c r="L878" s="65">
        <v>233300</v>
      </c>
      <c r="M878" t="s">
        <v>909</v>
      </c>
    </row>
    <row r="879" spans="12:13" x14ac:dyDescent="0.25">
      <c r="L879" s="65">
        <v>233310</v>
      </c>
      <c r="M879" t="s">
        <v>909</v>
      </c>
    </row>
    <row r="880" spans="12:13" x14ac:dyDescent="0.25">
      <c r="L880" s="65">
        <v>233311</v>
      </c>
      <c r="M880" t="s">
        <v>909</v>
      </c>
    </row>
    <row r="881" spans="12:13" x14ac:dyDescent="0.25">
      <c r="L881" s="65">
        <v>233400</v>
      </c>
      <c r="M881" t="s">
        <v>910</v>
      </c>
    </row>
    <row r="882" spans="12:13" x14ac:dyDescent="0.25">
      <c r="L882" s="65">
        <v>233410</v>
      </c>
      <c r="M882" t="s">
        <v>910</v>
      </c>
    </row>
    <row r="883" spans="12:13" x14ac:dyDescent="0.25">
      <c r="L883" s="65">
        <v>233411</v>
      </c>
      <c r="M883" t="s">
        <v>910</v>
      </c>
    </row>
    <row r="884" spans="12:13" x14ac:dyDescent="0.25">
      <c r="L884" s="65">
        <v>233500</v>
      </c>
      <c r="M884" t="s">
        <v>911</v>
      </c>
    </row>
    <row r="885" spans="12:13" x14ac:dyDescent="0.25">
      <c r="L885" s="65">
        <v>233510</v>
      </c>
      <c r="M885" t="s">
        <v>911</v>
      </c>
    </row>
    <row r="886" spans="12:13" x14ac:dyDescent="0.25">
      <c r="L886" s="65">
        <v>233511</v>
      </c>
      <c r="M886" t="s">
        <v>911</v>
      </c>
    </row>
    <row r="887" spans="12:13" x14ac:dyDescent="0.25">
      <c r="L887" s="65">
        <v>234000</v>
      </c>
      <c r="M887" t="s">
        <v>912</v>
      </c>
    </row>
    <row r="888" spans="12:13" x14ac:dyDescent="0.25">
      <c r="L888" s="65">
        <v>234100</v>
      </c>
      <c r="M888" t="s">
        <v>913</v>
      </c>
    </row>
    <row r="889" spans="12:13" x14ac:dyDescent="0.25">
      <c r="L889" s="65">
        <v>234110</v>
      </c>
      <c r="M889" t="s">
        <v>913</v>
      </c>
    </row>
    <row r="890" spans="12:13" x14ac:dyDescent="0.25">
      <c r="L890" s="65">
        <v>234111</v>
      </c>
      <c r="M890" t="s">
        <v>913</v>
      </c>
    </row>
    <row r="891" spans="12:13" x14ac:dyDescent="0.25">
      <c r="L891" s="65">
        <v>234200</v>
      </c>
      <c r="M891" t="s">
        <v>914</v>
      </c>
    </row>
    <row r="892" spans="12:13" x14ac:dyDescent="0.25">
      <c r="L892" s="65">
        <v>234210</v>
      </c>
      <c r="M892" t="s">
        <v>914</v>
      </c>
    </row>
    <row r="893" spans="12:13" x14ac:dyDescent="0.25">
      <c r="L893" s="65">
        <v>234211</v>
      </c>
      <c r="M893" t="s">
        <v>914</v>
      </c>
    </row>
    <row r="894" spans="12:13" x14ac:dyDescent="0.25">
      <c r="L894" s="65">
        <v>234300</v>
      </c>
      <c r="M894" t="s">
        <v>915</v>
      </c>
    </row>
    <row r="895" spans="12:13" x14ac:dyDescent="0.25">
      <c r="L895" s="65">
        <v>234310</v>
      </c>
      <c r="M895" t="s">
        <v>915</v>
      </c>
    </row>
    <row r="896" spans="12:13" x14ac:dyDescent="0.25">
      <c r="L896" s="65">
        <v>234311</v>
      </c>
      <c r="M896" t="s">
        <v>915</v>
      </c>
    </row>
    <row r="897" spans="12:13" x14ac:dyDescent="0.25">
      <c r="L897" s="65">
        <v>235000</v>
      </c>
      <c r="M897" t="s">
        <v>916</v>
      </c>
    </row>
    <row r="898" spans="12:13" x14ac:dyDescent="0.25">
      <c r="L898" s="65">
        <v>235100</v>
      </c>
      <c r="M898" t="s">
        <v>917</v>
      </c>
    </row>
    <row r="899" spans="12:13" x14ac:dyDescent="0.25">
      <c r="L899" s="65">
        <v>235110</v>
      </c>
      <c r="M899" t="s">
        <v>917</v>
      </c>
    </row>
    <row r="900" spans="12:13" x14ac:dyDescent="0.25">
      <c r="L900" s="65">
        <v>235111</v>
      </c>
      <c r="M900" t="s">
        <v>917</v>
      </c>
    </row>
    <row r="901" spans="12:13" x14ac:dyDescent="0.25">
      <c r="L901" s="65">
        <v>235200</v>
      </c>
      <c r="M901" t="s">
        <v>918</v>
      </c>
    </row>
    <row r="902" spans="12:13" x14ac:dyDescent="0.25">
      <c r="L902" s="65">
        <v>235210</v>
      </c>
      <c r="M902" t="s">
        <v>918</v>
      </c>
    </row>
    <row r="903" spans="12:13" x14ac:dyDescent="0.25">
      <c r="L903" s="65">
        <v>235211</v>
      </c>
      <c r="M903" t="s">
        <v>918</v>
      </c>
    </row>
    <row r="904" spans="12:13" x14ac:dyDescent="0.25">
      <c r="L904" s="65">
        <v>235300</v>
      </c>
      <c r="M904" t="s">
        <v>919</v>
      </c>
    </row>
    <row r="905" spans="12:13" x14ac:dyDescent="0.25">
      <c r="L905" s="65">
        <v>235310</v>
      </c>
      <c r="M905" t="s">
        <v>919</v>
      </c>
    </row>
    <row r="906" spans="12:13" x14ac:dyDescent="0.25">
      <c r="L906" s="65">
        <v>235311</v>
      </c>
      <c r="M906" t="s">
        <v>919</v>
      </c>
    </row>
    <row r="907" spans="12:13" x14ac:dyDescent="0.25">
      <c r="L907" s="65">
        <v>235400</v>
      </c>
      <c r="M907" t="s">
        <v>920</v>
      </c>
    </row>
    <row r="908" spans="12:13" x14ac:dyDescent="0.25">
      <c r="L908" s="65">
        <v>235410</v>
      </c>
      <c r="M908" t="s">
        <v>920</v>
      </c>
    </row>
    <row r="909" spans="12:13" x14ac:dyDescent="0.25">
      <c r="L909" s="65">
        <v>235411</v>
      </c>
      <c r="M909" t="s">
        <v>920</v>
      </c>
    </row>
    <row r="910" spans="12:13" x14ac:dyDescent="0.25">
      <c r="L910" s="65">
        <v>235500</v>
      </c>
      <c r="M910" t="s">
        <v>921</v>
      </c>
    </row>
    <row r="911" spans="12:13" x14ac:dyDescent="0.25">
      <c r="L911" s="65">
        <v>235510</v>
      </c>
      <c r="M911" t="s">
        <v>921</v>
      </c>
    </row>
    <row r="912" spans="12:13" x14ac:dyDescent="0.25">
      <c r="L912" s="65">
        <v>235511</v>
      </c>
      <c r="M912" t="s">
        <v>921</v>
      </c>
    </row>
    <row r="913" spans="12:13" x14ac:dyDescent="0.25">
      <c r="L913" s="65">
        <v>236000</v>
      </c>
      <c r="M913" t="s">
        <v>922</v>
      </c>
    </row>
    <row r="914" spans="12:13" x14ac:dyDescent="0.25">
      <c r="L914" s="65">
        <v>236100</v>
      </c>
      <c r="M914" t="s">
        <v>923</v>
      </c>
    </row>
    <row r="915" spans="12:13" x14ac:dyDescent="0.25">
      <c r="L915" s="65">
        <v>236110</v>
      </c>
      <c r="M915" t="s">
        <v>923</v>
      </c>
    </row>
    <row r="916" spans="12:13" x14ac:dyDescent="0.25">
      <c r="L916" s="65">
        <v>236111</v>
      </c>
      <c r="M916" t="s">
        <v>923</v>
      </c>
    </row>
    <row r="917" spans="12:13" x14ac:dyDescent="0.25">
      <c r="L917" s="65">
        <v>236120</v>
      </c>
      <c r="M917" t="s">
        <v>924</v>
      </c>
    </row>
    <row r="918" spans="12:13" x14ac:dyDescent="0.25">
      <c r="L918" s="65">
        <v>236121</v>
      </c>
      <c r="M918" t="s">
        <v>925</v>
      </c>
    </row>
    <row r="919" spans="12:13" x14ac:dyDescent="0.25">
      <c r="L919" s="65">
        <v>236122</v>
      </c>
      <c r="M919" t="s">
        <v>926</v>
      </c>
    </row>
    <row r="920" spans="12:13" x14ac:dyDescent="0.25">
      <c r="L920" s="65">
        <v>236123</v>
      </c>
      <c r="M920" t="s">
        <v>927</v>
      </c>
    </row>
    <row r="921" spans="12:13" x14ac:dyDescent="0.25">
      <c r="L921" s="65">
        <v>236200</v>
      </c>
      <c r="M921" t="s">
        <v>928</v>
      </c>
    </row>
    <row r="922" spans="12:13" x14ac:dyDescent="0.25">
      <c r="L922" s="65">
        <v>236210</v>
      </c>
      <c r="M922" t="s">
        <v>928</v>
      </c>
    </row>
    <row r="923" spans="12:13" x14ac:dyDescent="0.25">
      <c r="L923" s="65">
        <v>236211</v>
      </c>
      <c r="M923" t="s">
        <v>928</v>
      </c>
    </row>
    <row r="924" spans="12:13" x14ac:dyDescent="0.25">
      <c r="L924" s="65">
        <v>236300</v>
      </c>
      <c r="M924" t="s">
        <v>929</v>
      </c>
    </row>
    <row r="925" spans="12:13" x14ac:dyDescent="0.25">
      <c r="L925" s="65">
        <v>236310</v>
      </c>
      <c r="M925" t="s">
        <v>929</v>
      </c>
    </row>
    <row r="926" spans="12:13" x14ac:dyDescent="0.25">
      <c r="L926" s="65">
        <v>236311</v>
      </c>
      <c r="M926" t="s">
        <v>929</v>
      </c>
    </row>
    <row r="927" spans="12:13" x14ac:dyDescent="0.25">
      <c r="L927" s="65">
        <v>236400</v>
      </c>
      <c r="M927" t="s">
        <v>930</v>
      </c>
    </row>
    <row r="928" spans="12:13" x14ac:dyDescent="0.25">
      <c r="L928" s="65">
        <v>236410</v>
      </c>
      <c r="M928" t="s">
        <v>930</v>
      </c>
    </row>
    <row r="929" spans="12:13" x14ac:dyDescent="0.25">
      <c r="L929" s="65">
        <v>236411</v>
      </c>
      <c r="M929" t="s">
        <v>930</v>
      </c>
    </row>
    <row r="930" spans="12:13" x14ac:dyDescent="0.25">
      <c r="L930" s="65">
        <v>236500</v>
      </c>
      <c r="M930" t="s">
        <v>931</v>
      </c>
    </row>
    <row r="931" spans="12:13" x14ac:dyDescent="0.25">
      <c r="L931" s="65">
        <v>236510</v>
      </c>
      <c r="M931" t="s">
        <v>931</v>
      </c>
    </row>
    <row r="932" spans="12:13" x14ac:dyDescent="0.25">
      <c r="L932" s="65">
        <v>236511</v>
      </c>
      <c r="M932" t="s">
        <v>931</v>
      </c>
    </row>
    <row r="933" spans="12:13" x14ac:dyDescent="0.25">
      <c r="L933" s="65">
        <v>237000</v>
      </c>
      <c r="M933" t="s">
        <v>932</v>
      </c>
    </row>
    <row r="934" spans="12:13" x14ac:dyDescent="0.25">
      <c r="L934" s="65">
        <v>237100</v>
      </c>
      <c r="M934" t="s">
        <v>933</v>
      </c>
    </row>
    <row r="935" spans="12:13" x14ac:dyDescent="0.25">
      <c r="L935" s="65">
        <v>237110</v>
      </c>
      <c r="M935" t="s">
        <v>933</v>
      </c>
    </row>
    <row r="936" spans="12:13" x14ac:dyDescent="0.25">
      <c r="L936" s="65">
        <v>237111</v>
      </c>
      <c r="M936" t="s">
        <v>934</v>
      </c>
    </row>
    <row r="937" spans="12:13" x14ac:dyDescent="0.25">
      <c r="L937" s="65">
        <v>237112</v>
      </c>
      <c r="M937" t="s">
        <v>935</v>
      </c>
    </row>
    <row r="938" spans="12:13" x14ac:dyDescent="0.25">
      <c r="L938" s="65">
        <v>237200</v>
      </c>
      <c r="M938" t="s">
        <v>936</v>
      </c>
    </row>
    <row r="939" spans="12:13" x14ac:dyDescent="0.25">
      <c r="L939" s="65">
        <v>237210</v>
      </c>
      <c r="M939" t="s">
        <v>936</v>
      </c>
    </row>
    <row r="940" spans="12:13" x14ac:dyDescent="0.25">
      <c r="L940" s="65">
        <v>237211</v>
      </c>
      <c r="M940" t="s">
        <v>936</v>
      </c>
    </row>
    <row r="941" spans="12:13" x14ac:dyDescent="0.25">
      <c r="L941" s="65">
        <v>237300</v>
      </c>
      <c r="M941" t="s">
        <v>937</v>
      </c>
    </row>
    <row r="942" spans="12:13" x14ac:dyDescent="0.25">
      <c r="L942" s="65">
        <v>237310</v>
      </c>
      <c r="M942" t="s">
        <v>937</v>
      </c>
    </row>
    <row r="943" spans="12:13" x14ac:dyDescent="0.25">
      <c r="L943" s="65">
        <v>237311</v>
      </c>
      <c r="M943" t="s">
        <v>937</v>
      </c>
    </row>
    <row r="944" spans="12:13" x14ac:dyDescent="0.25">
      <c r="L944" s="65">
        <v>237400</v>
      </c>
      <c r="M944" t="s">
        <v>938</v>
      </c>
    </row>
    <row r="945" spans="12:13" x14ac:dyDescent="0.25">
      <c r="L945" s="65">
        <v>237410</v>
      </c>
      <c r="M945" t="s">
        <v>938</v>
      </c>
    </row>
    <row r="946" spans="12:13" x14ac:dyDescent="0.25">
      <c r="L946" s="65">
        <v>237411</v>
      </c>
      <c r="M946" t="s">
        <v>938</v>
      </c>
    </row>
    <row r="947" spans="12:13" x14ac:dyDescent="0.25">
      <c r="L947" s="65">
        <v>237500</v>
      </c>
      <c r="M947" t="s">
        <v>939</v>
      </c>
    </row>
    <row r="948" spans="12:13" x14ac:dyDescent="0.25">
      <c r="L948" s="65">
        <v>237510</v>
      </c>
      <c r="M948" t="s">
        <v>939</v>
      </c>
    </row>
    <row r="949" spans="12:13" x14ac:dyDescent="0.25">
      <c r="L949" s="65">
        <v>237511</v>
      </c>
      <c r="M949" t="s">
        <v>939</v>
      </c>
    </row>
    <row r="950" spans="12:13" x14ac:dyDescent="0.25">
      <c r="L950" s="65">
        <v>237600</v>
      </c>
      <c r="M950" t="s">
        <v>940</v>
      </c>
    </row>
    <row r="951" spans="12:13" x14ac:dyDescent="0.25">
      <c r="L951" s="65">
        <v>237610</v>
      </c>
      <c r="M951" t="s">
        <v>940</v>
      </c>
    </row>
    <row r="952" spans="12:13" x14ac:dyDescent="0.25">
      <c r="L952" s="65">
        <v>237611</v>
      </c>
      <c r="M952" t="s">
        <v>940</v>
      </c>
    </row>
    <row r="953" spans="12:13" x14ac:dyDescent="0.25">
      <c r="L953" s="65">
        <v>237700</v>
      </c>
      <c r="M953" t="s">
        <v>941</v>
      </c>
    </row>
    <row r="954" spans="12:13" x14ac:dyDescent="0.25">
      <c r="L954" s="65">
        <v>237710</v>
      </c>
      <c r="M954" t="s">
        <v>941</v>
      </c>
    </row>
    <row r="955" spans="12:13" x14ac:dyDescent="0.25">
      <c r="L955" s="65">
        <v>237711</v>
      </c>
      <c r="M955" t="s">
        <v>941</v>
      </c>
    </row>
    <row r="956" spans="12:13" x14ac:dyDescent="0.25">
      <c r="L956" s="65">
        <v>238000</v>
      </c>
      <c r="M956" t="s">
        <v>942</v>
      </c>
    </row>
    <row r="957" spans="12:13" x14ac:dyDescent="0.25">
      <c r="L957" s="65">
        <v>238100</v>
      </c>
      <c r="M957" t="s">
        <v>943</v>
      </c>
    </row>
    <row r="958" spans="12:13" x14ac:dyDescent="0.25">
      <c r="L958" s="65">
        <v>238110</v>
      </c>
      <c r="M958" t="s">
        <v>943</v>
      </c>
    </row>
    <row r="959" spans="12:13" x14ac:dyDescent="0.25">
      <c r="L959" s="65">
        <v>238111</v>
      </c>
      <c r="M959" t="s">
        <v>943</v>
      </c>
    </row>
    <row r="960" spans="12:13" x14ac:dyDescent="0.25">
      <c r="L960" s="65">
        <v>238200</v>
      </c>
      <c r="M960" t="s">
        <v>944</v>
      </c>
    </row>
    <row r="961" spans="12:13" x14ac:dyDescent="0.25">
      <c r="L961" s="65">
        <v>238210</v>
      </c>
      <c r="M961" t="s">
        <v>944</v>
      </c>
    </row>
    <row r="962" spans="12:13" x14ac:dyDescent="0.25">
      <c r="L962" s="65">
        <v>238211</v>
      </c>
      <c r="M962" t="s">
        <v>944</v>
      </c>
    </row>
    <row r="963" spans="12:13" x14ac:dyDescent="0.25">
      <c r="L963" s="65">
        <v>238300</v>
      </c>
      <c r="M963" t="s">
        <v>945</v>
      </c>
    </row>
    <row r="964" spans="12:13" x14ac:dyDescent="0.25">
      <c r="L964" s="65">
        <v>238310</v>
      </c>
      <c r="M964" t="s">
        <v>945</v>
      </c>
    </row>
    <row r="965" spans="12:13" x14ac:dyDescent="0.25">
      <c r="L965" s="65">
        <v>238311</v>
      </c>
      <c r="M965" t="s">
        <v>945</v>
      </c>
    </row>
    <row r="966" spans="12:13" x14ac:dyDescent="0.25">
      <c r="L966" s="65">
        <v>238400</v>
      </c>
      <c r="M966" t="s">
        <v>946</v>
      </c>
    </row>
    <row r="967" spans="12:13" x14ac:dyDescent="0.25">
      <c r="L967" s="65">
        <v>238410</v>
      </c>
      <c r="M967" t="s">
        <v>946</v>
      </c>
    </row>
    <row r="968" spans="12:13" x14ac:dyDescent="0.25">
      <c r="L968" s="65">
        <v>238411</v>
      </c>
      <c r="M968" t="s">
        <v>946</v>
      </c>
    </row>
    <row r="969" spans="12:13" x14ac:dyDescent="0.25">
      <c r="L969" s="65">
        <v>238500</v>
      </c>
      <c r="M969" t="s">
        <v>947</v>
      </c>
    </row>
    <row r="970" spans="12:13" x14ac:dyDescent="0.25">
      <c r="L970" s="65">
        <v>238510</v>
      </c>
      <c r="M970" t="s">
        <v>947</v>
      </c>
    </row>
    <row r="971" spans="12:13" x14ac:dyDescent="0.25">
      <c r="L971" s="65">
        <v>238511</v>
      </c>
      <c r="M971" t="s">
        <v>947</v>
      </c>
    </row>
    <row r="972" spans="12:13" x14ac:dyDescent="0.25">
      <c r="L972" s="65">
        <v>239000</v>
      </c>
      <c r="M972" t="s">
        <v>948</v>
      </c>
    </row>
    <row r="973" spans="12:13" x14ac:dyDescent="0.25">
      <c r="L973" s="65">
        <v>239100</v>
      </c>
      <c r="M973" t="s">
        <v>949</v>
      </c>
    </row>
    <row r="974" spans="12:13" x14ac:dyDescent="0.25">
      <c r="L974" s="65">
        <v>239110</v>
      </c>
      <c r="M974" t="s">
        <v>949</v>
      </c>
    </row>
    <row r="975" spans="12:13" x14ac:dyDescent="0.25">
      <c r="L975" s="65">
        <v>239111</v>
      </c>
      <c r="M975" t="s">
        <v>949</v>
      </c>
    </row>
    <row r="976" spans="12:13" x14ac:dyDescent="0.25">
      <c r="L976" s="65">
        <v>239200</v>
      </c>
      <c r="M976" t="s">
        <v>950</v>
      </c>
    </row>
    <row r="977" spans="12:13" x14ac:dyDescent="0.25">
      <c r="L977" s="65">
        <v>239210</v>
      </c>
      <c r="M977" t="s">
        <v>950</v>
      </c>
    </row>
    <row r="978" spans="12:13" x14ac:dyDescent="0.25">
      <c r="L978" s="65">
        <v>239211</v>
      </c>
      <c r="M978" t="s">
        <v>950</v>
      </c>
    </row>
    <row r="979" spans="12:13" x14ac:dyDescent="0.25">
      <c r="L979" s="65">
        <v>239300</v>
      </c>
      <c r="M979" t="s">
        <v>951</v>
      </c>
    </row>
    <row r="980" spans="12:13" x14ac:dyDescent="0.25">
      <c r="L980" s="65">
        <v>239310</v>
      </c>
      <c r="M980" t="s">
        <v>951</v>
      </c>
    </row>
    <row r="981" spans="12:13" x14ac:dyDescent="0.25">
      <c r="L981" s="65">
        <v>239311</v>
      </c>
      <c r="M981" t="s">
        <v>951</v>
      </c>
    </row>
    <row r="982" spans="12:13" x14ac:dyDescent="0.25">
      <c r="L982" s="65">
        <v>239400</v>
      </c>
      <c r="M982" t="s">
        <v>952</v>
      </c>
    </row>
    <row r="983" spans="12:13" x14ac:dyDescent="0.25">
      <c r="L983" s="65">
        <v>239410</v>
      </c>
      <c r="M983" t="s">
        <v>952</v>
      </c>
    </row>
    <row r="984" spans="12:13" x14ac:dyDescent="0.25">
      <c r="L984" s="65">
        <v>239411</v>
      </c>
      <c r="M984" t="s">
        <v>952</v>
      </c>
    </row>
    <row r="985" spans="12:13" x14ac:dyDescent="0.25">
      <c r="L985" s="65">
        <v>239500</v>
      </c>
      <c r="M985" t="s">
        <v>953</v>
      </c>
    </row>
    <row r="986" spans="12:13" x14ac:dyDescent="0.25">
      <c r="L986" s="65">
        <v>239510</v>
      </c>
      <c r="M986" t="s">
        <v>953</v>
      </c>
    </row>
    <row r="987" spans="12:13" x14ac:dyDescent="0.25">
      <c r="L987" s="65">
        <v>239511</v>
      </c>
      <c r="M987" t="s">
        <v>953</v>
      </c>
    </row>
    <row r="988" spans="12:13" x14ac:dyDescent="0.25">
      <c r="L988" s="65">
        <v>240000</v>
      </c>
      <c r="M988" t="s">
        <v>954</v>
      </c>
    </row>
    <row r="989" spans="12:13" x14ac:dyDescent="0.25">
      <c r="L989" s="65">
        <v>241000</v>
      </c>
      <c r="M989" t="s">
        <v>955</v>
      </c>
    </row>
    <row r="990" spans="12:13" x14ac:dyDescent="0.25">
      <c r="L990" s="65">
        <v>241100</v>
      </c>
      <c r="M990" t="s">
        <v>956</v>
      </c>
    </row>
    <row r="991" spans="12:13" x14ac:dyDescent="0.25">
      <c r="L991" s="65">
        <v>241110</v>
      </c>
      <c r="M991" t="s">
        <v>957</v>
      </c>
    </row>
    <row r="992" spans="12:13" x14ac:dyDescent="0.25">
      <c r="L992" s="65">
        <v>241111</v>
      </c>
      <c r="M992" t="s">
        <v>958</v>
      </c>
    </row>
    <row r="993" spans="12:13" x14ac:dyDescent="0.25">
      <c r="L993" s="65">
        <v>241112</v>
      </c>
      <c r="M993" t="s">
        <v>959</v>
      </c>
    </row>
    <row r="994" spans="12:13" x14ac:dyDescent="0.25">
      <c r="L994" s="65">
        <v>241120</v>
      </c>
      <c r="M994" t="s">
        <v>960</v>
      </c>
    </row>
    <row r="995" spans="12:13" x14ac:dyDescent="0.25">
      <c r="L995" s="65">
        <v>241121</v>
      </c>
      <c r="M995" t="s">
        <v>961</v>
      </c>
    </row>
    <row r="996" spans="12:13" x14ac:dyDescent="0.25">
      <c r="L996" s="65">
        <v>241122</v>
      </c>
      <c r="M996" t="s">
        <v>962</v>
      </c>
    </row>
    <row r="997" spans="12:13" x14ac:dyDescent="0.25">
      <c r="L997" s="65">
        <v>241123</v>
      </c>
      <c r="M997" t="s">
        <v>963</v>
      </c>
    </row>
    <row r="998" spans="12:13" x14ac:dyDescent="0.25">
      <c r="L998" s="65">
        <v>241124</v>
      </c>
      <c r="M998" t="s">
        <v>964</v>
      </c>
    </row>
    <row r="999" spans="12:13" x14ac:dyDescent="0.25">
      <c r="L999" s="65">
        <v>241125</v>
      </c>
      <c r="M999" t="s">
        <v>965</v>
      </c>
    </row>
    <row r="1000" spans="12:13" x14ac:dyDescent="0.25">
      <c r="L1000" s="65">
        <v>241130</v>
      </c>
      <c r="M1000" t="s">
        <v>966</v>
      </c>
    </row>
    <row r="1001" spans="12:13" x14ac:dyDescent="0.25">
      <c r="L1001" s="65">
        <v>241131</v>
      </c>
      <c r="M1001" t="s">
        <v>967</v>
      </c>
    </row>
    <row r="1002" spans="12:13" x14ac:dyDescent="0.25">
      <c r="L1002" s="65">
        <v>241132</v>
      </c>
      <c r="M1002" t="s">
        <v>968</v>
      </c>
    </row>
    <row r="1003" spans="12:13" x14ac:dyDescent="0.25">
      <c r="L1003" s="65">
        <v>241140</v>
      </c>
      <c r="M1003" t="s">
        <v>969</v>
      </c>
    </row>
    <row r="1004" spans="12:13" x14ac:dyDescent="0.25">
      <c r="L1004" s="65">
        <v>241141</v>
      </c>
      <c r="M1004" t="s">
        <v>969</v>
      </c>
    </row>
    <row r="1005" spans="12:13" x14ac:dyDescent="0.25">
      <c r="L1005" s="65">
        <v>241150</v>
      </c>
      <c r="M1005" t="s">
        <v>970</v>
      </c>
    </row>
    <row r="1006" spans="12:13" x14ac:dyDescent="0.25">
      <c r="L1006" s="65">
        <v>241151</v>
      </c>
      <c r="M1006" t="s">
        <v>970</v>
      </c>
    </row>
    <row r="1007" spans="12:13" x14ac:dyDescent="0.25">
      <c r="L1007" s="65">
        <v>241160</v>
      </c>
      <c r="M1007" t="s">
        <v>971</v>
      </c>
    </row>
    <row r="1008" spans="12:13" x14ac:dyDescent="0.25">
      <c r="L1008" s="65">
        <v>241161</v>
      </c>
      <c r="M1008" t="s">
        <v>971</v>
      </c>
    </row>
    <row r="1009" spans="12:13" x14ac:dyDescent="0.25">
      <c r="L1009" s="65">
        <v>241170</v>
      </c>
      <c r="M1009" t="s">
        <v>972</v>
      </c>
    </row>
    <row r="1010" spans="12:13" x14ac:dyDescent="0.25">
      <c r="L1010" s="65">
        <v>241171</v>
      </c>
      <c r="M1010" t="s">
        <v>972</v>
      </c>
    </row>
    <row r="1011" spans="12:13" x14ac:dyDescent="0.25">
      <c r="L1011" s="65">
        <v>241180</v>
      </c>
      <c r="M1011" t="s">
        <v>973</v>
      </c>
    </row>
    <row r="1012" spans="12:13" x14ac:dyDescent="0.25">
      <c r="L1012" s="65">
        <v>241181</v>
      </c>
      <c r="M1012" t="s">
        <v>973</v>
      </c>
    </row>
    <row r="1013" spans="12:13" x14ac:dyDescent="0.25">
      <c r="L1013" s="65">
        <v>241200</v>
      </c>
      <c r="M1013" t="s">
        <v>974</v>
      </c>
    </row>
    <row r="1014" spans="12:13" x14ac:dyDescent="0.25">
      <c r="L1014" s="65">
        <v>241210</v>
      </c>
      <c r="M1014" t="s">
        <v>975</v>
      </c>
    </row>
    <row r="1015" spans="12:13" x14ac:dyDescent="0.25">
      <c r="L1015" s="65">
        <v>241211</v>
      </c>
      <c r="M1015" t="s">
        <v>976</v>
      </c>
    </row>
    <row r="1016" spans="12:13" x14ac:dyDescent="0.25">
      <c r="L1016" s="65">
        <v>241212</v>
      </c>
      <c r="M1016" t="s">
        <v>977</v>
      </c>
    </row>
    <row r="1017" spans="12:13" x14ac:dyDescent="0.25">
      <c r="L1017" s="65">
        <v>241220</v>
      </c>
      <c r="M1017" t="s">
        <v>978</v>
      </c>
    </row>
    <row r="1018" spans="12:13" x14ac:dyDescent="0.25">
      <c r="L1018" s="65">
        <v>241221</v>
      </c>
      <c r="M1018" t="s">
        <v>979</v>
      </c>
    </row>
    <row r="1019" spans="12:13" x14ac:dyDescent="0.25">
      <c r="L1019" s="65">
        <v>241222</v>
      </c>
      <c r="M1019" t="s">
        <v>980</v>
      </c>
    </row>
    <row r="1020" spans="12:13" x14ac:dyDescent="0.25">
      <c r="L1020" s="65">
        <v>241229</v>
      </c>
      <c r="M1020" t="s">
        <v>981</v>
      </c>
    </row>
    <row r="1021" spans="12:13" x14ac:dyDescent="0.25">
      <c r="L1021" s="65">
        <v>241230</v>
      </c>
      <c r="M1021" t="s">
        <v>982</v>
      </c>
    </row>
    <row r="1022" spans="12:13" x14ac:dyDescent="0.25">
      <c r="L1022" s="65">
        <v>241231</v>
      </c>
      <c r="M1022" t="s">
        <v>983</v>
      </c>
    </row>
    <row r="1023" spans="12:13" x14ac:dyDescent="0.25">
      <c r="L1023" s="65">
        <v>241232</v>
      </c>
      <c r="M1023" t="s">
        <v>984</v>
      </c>
    </row>
    <row r="1024" spans="12:13" x14ac:dyDescent="0.25">
      <c r="L1024" s="65">
        <v>241233</v>
      </c>
      <c r="M1024" t="s">
        <v>985</v>
      </c>
    </row>
    <row r="1025" spans="12:13" x14ac:dyDescent="0.25">
      <c r="L1025" s="65">
        <v>241234</v>
      </c>
      <c r="M1025" t="s">
        <v>986</v>
      </c>
    </row>
    <row r="1026" spans="12:13" x14ac:dyDescent="0.25">
      <c r="L1026" s="65">
        <v>241235</v>
      </c>
      <c r="M1026" t="s">
        <v>987</v>
      </c>
    </row>
    <row r="1027" spans="12:13" x14ac:dyDescent="0.25">
      <c r="L1027" s="65">
        <v>241239</v>
      </c>
      <c r="M1027" t="s">
        <v>988</v>
      </c>
    </row>
    <row r="1028" spans="12:13" x14ac:dyDescent="0.25">
      <c r="L1028" s="65">
        <v>241240</v>
      </c>
      <c r="M1028" t="s">
        <v>989</v>
      </c>
    </row>
    <row r="1029" spans="12:13" x14ac:dyDescent="0.25">
      <c r="L1029" s="65">
        <v>241241</v>
      </c>
      <c r="M1029" t="s">
        <v>990</v>
      </c>
    </row>
    <row r="1030" spans="12:13" x14ac:dyDescent="0.25">
      <c r="L1030" s="65">
        <v>241249</v>
      </c>
      <c r="M1030" t="s">
        <v>991</v>
      </c>
    </row>
    <row r="1031" spans="12:13" x14ac:dyDescent="0.25">
      <c r="L1031" s="65">
        <v>241250</v>
      </c>
      <c r="M1031" t="s">
        <v>992</v>
      </c>
    </row>
    <row r="1032" spans="12:13" x14ac:dyDescent="0.25">
      <c r="L1032" s="65">
        <v>241251</v>
      </c>
      <c r="M1032" t="s">
        <v>992</v>
      </c>
    </row>
    <row r="1033" spans="12:13" x14ac:dyDescent="0.25">
      <c r="L1033" s="65">
        <v>241260</v>
      </c>
      <c r="M1033" t="s">
        <v>993</v>
      </c>
    </row>
    <row r="1034" spans="12:13" x14ac:dyDescent="0.25">
      <c r="L1034" s="65">
        <v>241261</v>
      </c>
      <c r="M1034" t="s">
        <v>993</v>
      </c>
    </row>
    <row r="1035" spans="12:13" x14ac:dyDescent="0.25">
      <c r="L1035" s="65">
        <v>241300</v>
      </c>
      <c r="M1035" t="s">
        <v>994</v>
      </c>
    </row>
    <row r="1036" spans="12:13" x14ac:dyDescent="0.25">
      <c r="L1036" s="65">
        <v>241310</v>
      </c>
      <c r="M1036" t="s">
        <v>994</v>
      </c>
    </row>
    <row r="1037" spans="12:13" x14ac:dyDescent="0.25">
      <c r="L1037" s="65">
        <v>241311</v>
      </c>
      <c r="M1037" t="s">
        <v>994</v>
      </c>
    </row>
    <row r="1038" spans="12:13" x14ac:dyDescent="0.25">
      <c r="L1038" s="65">
        <v>241400</v>
      </c>
      <c r="M1038" t="s">
        <v>995</v>
      </c>
    </row>
    <row r="1039" spans="12:13" x14ac:dyDescent="0.25">
      <c r="L1039" s="65">
        <v>241410</v>
      </c>
      <c r="M1039" t="s">
        <v>995</v>
      </c>
    </row>
    <row r="1040" spans="12:13" x14ac:dyDescent="0.25">
      <c r="L1040" s="65">
        <v>241411</v>
      </c>
      <c r="M1040" t="s">
        <v>996</v>
      </c>
    </row>
    <row r="1041" spans="12:13" x14ac:dyDescent="0.25">
      <c r="L1041" s="65">
        <v>241412</v>
      </c>
      <c r="M1041" t="s">
        <v>997</v>
      </c>
    </row>
    <row r="1042" spans="12:13" x14ac:dyDescent="0.25">
      <c r="L1042" s="65">
        <v>241413</v>
      </c>
      <c r="M1042" t="s">
        <v>998</v>
      </c>
    </row>
    <row r="1043" spans="12:13" x14ac:dyDescent="0.25">
      <c r="L1043" s="65">
        <v>242000</v>
      </c>
      <c r="M1043" t="s">
        <v>999</v>
      </c>
    </row>
    <row r="1044" spans="12:13" x14ac:dyDescent="0.25">
      <c r="L1044" s="65">
        <v>242100</v>
      </c>
      <c r="M1044" t="s">
        <v>1000</v>
      </c>
    </row>
    <row r="1045" spans="12:13" x14ac:dyDescent="0.25">
      <c r="L1045" s="65">
        <v>242110</v>
      </c>
      <c r="M1045" t="s">
        <v>1001</v>
      </c>
    </row>
    <row r="1046" spans="12:13" x14ac:dyDescent="0.25">
      <c r="L1046" s="65">
        <v>242111</v>
      </c>
      <c r="M1046" t="s">
        <v>1002</v>
      </c>
    </row>
    <row r="1047" spans="12:13" x14ac:dyDescent="0.25">
      <c r="L1047" s="65">
        <v>242112</v>
      </c>
      <c r="M1047" t="s">
        <v>1003</v>
      </c>
    </row>
    <row r="1048" spans="12:13" x14ac:dyDescent="0.25">
      <c r="L1048" s="65">
        <v>242113</v>
      </c>
      <c r="M1048" t="s">
        <v>1004</v>
      </c>
    </row>
    <row r="1049" spans="12:13" x14ac:dyDescent="0.25">
      <c r="L1049" s="65">
        <v>242114</v>
      </c>
      <c r="M1049" t="s">
        <v>1005</v>
      </c>
    </row>
    <row r="1050" spans="12:13" x14ac:dyDescent="0.25">
      <c r="L1050" s="65">
        <v>242119</v>
      </c>
      <c r="M1050" t="s">
        <v>1006</v>
      </c>
    </row>
    <row r="1051" spans="12:13" x14ac:dyDescent="0.25">
      <c r="L1051" s="65">
        <v>242120</v>
      </c>
      <c r="M1051" t="s">
        <v>1007</v>
      </c>
    </row>
    <row r="1052" spans="12:13" x14ac:dyDescent="0.25">
      <c r="L1052" s="65">
        <v>242121</v>
      </c>
      <c r="M1052" t="s">
        <v>1008</v>
      </c>
    </row>
    <row r="1053" spans="12:13" x14ac:dyDescent="0.25">
      <c r="L1053" s="65">
        <v>242122</v>
      </c>
      <c r="M1053" t="s">
        <v>1009</v>
      </c>
    </row>
    <row r="1054" spans="12:13" x14ac:dyDescent="0.25">
      <c r="L1054" s="65">
        <v>242123</v>
      </c>
      <c r="M1054" t="s">
        <v>1010</v>
      </c>
    </row>
    <row r="1055" spans="12:13" x14ac:dyDescent="0.25">
      <c r="L1055" s="65">
        <v>242124</v>
      </c>
      <c r="M1055" t="s">
        <v>1011</v>
      </c>
    </row>
    <row r="1056" spans="12:13" x14ac:dyDescent="0.25">
      <c r="L1056" s="65">
        <v>242129</v>
      </c>
      <c r="M1056" t="s">
        <v>1012</v>
      </c>
    </row>
    <row r="1057" spans="12:13" x14ac:dyDescent="0.25">
      <c r="L1057" s="65">
        <v>242200</v>
      </c>
      <c r="M1057" t="s">
        <v>1013</v>
      </c>
    </row>
    <row r="1058" spans="12:13" x14ac:dyDescent="0.25">
      <c r="L1058" s="65">
        <v>242210</v>
      </c>
      <c r="M1058" t="s">
        <v>1014</v>
      </c>
    </row>
    <row r="1059" spans="12:13" x14ac:dyDescent="0.25">
      <c r="L1059" s="65">
        <v>242211</v>
      </c>
      <c r="M1059" t="s">
        <v>1015</v>
      </c>
    </row>
    <row r="1060" spans="12:13" x14ac:dyDescent="0.25">
      <c r="L1060" s="65">
        <v>242219</v>
      </c>
      <c r="M1060" t="s">
        <v>1016</v>
      </c>
    </row>
    <row r="1061" spans="12:13" x14ac:dyDescent="0.25">
      <c r="L1061" s="65">
        <v>242220</v>
      </c>
      <c r="M1061" t="s">
        <v>1017</v>
      </c>
    </row>
    <row r="1062" spans="12:13" x14ac:dyDescent="0.25">
      <c r="L1062" s="65">
        <v>242221</v>
      </c>
      <c r="M1062" t="s">
        <v>1018</v>
      </c>
    </row>
    <row r="1063" spans="12:13" x14ac:dyDescent="0.25">
      <c r="L1063" s="65">
        <v>242229</v>
      </c>
      <c r="M1063" t="s">
        <v>1019</v>
      </c>
    </row>
    <row r="1064" spans="12:13" x14ac:dyDescent="0.25">
      <c r="L1064" s="65">
        <v>242300</v>
      </c>
      <c r="M1064" t="s">
        <v>1020</v>
      </c>
    </row>
    <row r="1065" spans="12:13" x14ac:dyDescent="0.25">
      <c r="L1065" s="65">
        <v>242310</v>
      </c>
      <c r="M1065" t="s">
        <v>1021</v>
      </c>
    </row>
    <row r="1066" spans="12:13" x14ac:dyDescent="0.25">
      <c r="L1066" s="65">
        <v>242311</v>
      </c>
      <c r="M1066" t="s">
        <v>1022</v>
      </c>
    </row>
    <row r="1067" spans="12:13" x14ac:dyDescent="0.25">
      <c r="L1067" s="65">
        <v>242319</v>
      </c>
      <c r="M1067" t="s">
        <v>1023</v>
      </c>
    </row>
    <row r="1068" spans="12:13" x14ac:dyDescent="0.25">
      <c r="L1068" s="65">
        <v>242320</v>
      </c>
      <c r="M1068" t="s">
        <v>1024</v>
      </c>
    </row>
    <row r="1069" spans="12:13" x14ac:dyDescent="0.25">
      <c r="L1069" s="65">
        <v>242321</v>
      </c>
      <c r="M1069" t="s">
        <v>1025</v>
      </c>
    </row>
    <row r="1070" spans="12:13" x14ac:dyDescent="0.25">
      <c r="L1070" s="65">
        <v>242329</v>
      </c>
      <c r="M1070" t="s">
        <v>1026</v>
      </c>
    </row>
    <row r="1071" spans="12:13" x14ac:dyDescent="0.25">
      <c r="L1071" s="65">
        <v>242400</v>
      </c>
      <c r="M1071" t="s">
        <v>1027</v>
      </c>
    </row>
    <row r="1072" spans="12:13" x14ac:dyDescent="0.25">
      <c r="L1072" s="65">
        <v>242410</v>
      </c>
      <c r="M1072" t="s">
        <v>1028</v>
      </c>
    </row>
    <row r="1073" spans="12:13" x14ac:dyDescent="0.25">
      <c r="L1073" s="65">
        <v>242411</v>
      </c>
      <c r="M1073" t="s">
        <v>1028</v>
      </c>
    </row>
    <row r="1074" spans="12:13" x14ac:dyDescent="0.25">
      <c r="L1074" s="65">
        <v>242420</v>
      </c>
      <c r="M1074" t="s">
        <v>1029</v>
      </c>
    </row>
    <row r="1075" spans="12:13" x14ac:dyDescent="0.25">
      <c r="L1075" s="65">
        <v>242421</v>
      </c>
      <c r="M1075" t="s">
        <v>1029</v>
      </c>
    </row>
    <row r="1076" spans="12:13" x14ac:dyDescent="0.25">
      <c r="L1076" s="65">
        <v>243000</v>
      </c>
      <c r="M1076" t="s">
        <v>1030</v>
      </c>
    </row>
    <row r="1077" spans="12:13" x14ac:dyDescent="0.25">
      <c r="L1077" s="65">
        <v>243100</v>
      </c>
      <c r="M1077" t="s">
        <v>1031</v>
      </c>
    </row>
    <row r="1078" spans="12:13" x14ac:dyDescent="0.25">
      <c r="L1078" s="65">
        <v>243110</v>
      </c>
      <c r="M1078" t="s">
        <v>1032</v>
      </c>
    </row>
    <row r="1079" spans="12:13" x14ac:dyDescent="0.25">
      <c r="L1079" s="65">
        <v>243111</v>
      </c>
      <c r="M1079" t="s">
        <v>1032</v>
      </c>
    </row>
    <row r="1080" spans="12:13" x14ac:dyDescent="0.25">
      <c r="L1080" s="65">
        <v>243120</v>
      </c>
      <c r="M1080" t="s">
        <v>1033</v>
      </c>
    </row>
    <row r="1081" spans="12:13" x14ac:dyDescent="0.25">
      <c r="L1081" s="65">
        <v>243121</v>
      </c>
      <c r="M1081" t="s">
        <v>1033</v>
      </c>
    </row>
    <row r="1082" spans="12:13" x14ac:dyDescent="0.25">
      <c r="L1082" s="65">
        <v>243200</v>
      </c>
      <c r="M1082" t="s">
        <v>1034</v>
      </c>
    </row>
    <row r="1083" spans="12:13" x14ac:dyDescent="0.25">
      <c r="L1083" s="65">
        <v>243210</v>
      </c>
      <c r="M1083" t="s">
        <v>1035</v>
      </c>
    </row>
    <row r="1084" spans="12:13" x14ac:dyDescent="0.25">
      <c r="L1084" s="65">
        <v>243211</v>
      </c>
      <c r="M1084" t="s">
        <v>1036</v>
      </c>
    </row>
    <row r="1085" spans="12:13" x14ac:dyDescent="0.25">
      <c r="L1085" s="65">
        <v>243212</v>
      </c>
      <c r="M1085" t="s">
        <v>1037</v>
      </c>
    </row>
    <row r="1086" spans="12:13" x14ac:dyDescent="0.25">
      <c r="L1086" s="65">
        <v>243219</v>
      </c>
      <c r="M1086" t="s">
        <v>1038</v>
      </c>
    </row>
    <row r="1087" spans="12:13" x14ac:dyDescent="0.25">
      <c r="L1087" s="65">
        <v>243220</v>
      </c>
      <c r="M1087" t="s">
        <v>1039</v>
      </c>
    </row>
    <row r="1088" spans="12:13" x14ac:dyDescent="0.25">
      <c r="L1088" s="65">
        <v>243221</v>
      </c>
      <c r="M1088" t="s">
        <v>1040</v>
      </c>
    </row>
    <row r="1089" spans="12:13" x14ac:dyDescent="0.25">
      <c r="L1089" s="65">
        <v>243222</v>
      </c>
      <c r="M1089" t="s">
        <v>1041</v>
      </c>
    </row>
    <row r="1090" spans="12:13" x14ac:dyDescent="0.25">
      <c r="L1090" s="65">
        <v>243229</v>
      </c>
      <c r="M1090" t="s">
        <v>1042</v>
      </c>
    </row>
    <row r="1091" spans="12:13" x14ac:dyDescent="0.25">
      <c r="L1091" s="65">
        <v>243300</v>
      </c>
      <c r="M1091" t="s">
        <v>1043</v>
      </c>
    </row>
    <row r="1092" spans="12:13" x14ac:dyDescent="0.25">
      <c r="L1092" s="65">
        <v>243310</v>
      </c>
      <c r="M1092" t="s">
        <v>1044</v>
      </c>
    </row>
    <row r="1093" spans="12:13" x14ac:dyDescent="0.25">
      <c r="L1093" s="65">
        <v>243311</v>
      </c>
      <c r="M1093" t="s">
        <v>1045</v>
      </c>
    </row>
    <row r="1094" spans="12:13" x14ac:dyDescent="0.25">
      <c r="L1094" s="65">
        <v>243312</v>
      </c>
      <c r="M1094" t="s">
        <v>1046</v>
      </c>
    </row>
    <row r="1095" spans="12:13" x14ac:dyDescent="0.25">
      <c r="L1095" s="65">
        <v>243313</v>
      </c>
      <c r="M1095" t="s">
        <v>1047</v>
      </c>
    </row>
    <row r="1096" spans="12:13" x14ac:dyDescent="0.25">
      <c r="L1096" s="65">
        <v>243314</v>
      </c>
      <c r="M1096" t="s">
        <v>1048</v>
      </c>
    </row>
    <row r="1097" spans="12:13" x14ac:dyDescent="0.25">
      <c r="L1097" s="65">
        <v>243320</v>
      </c>
      <c r="M1097" t="s">
        <v>1049</v>
      </c>
    </row>
    <row r="1098" spans="12:13" x14ac:dyDescent="0.25">
      <c r="L1098" s="65">
        <v>243321</v>
      </c>
      <c r="M1098" t="s">
        <v>1050</v>
      </c>
    </row>
    <row r="1099" spans="12:13" x14ac:dyDescent="0.25">
      <c r="L1099" s="65">
        <v>243322</v>
      </c>
      <c r="M1099" t="s">
        <v>1051</v>
      </c>
    </row>
    <row r="1100" spans="12:13" x14ac:dyDescent="0.25">
      <c r="L1100" s="65">
        <v>243323</v>
      </c>
      <c r="M1100" t="s">
        <v>1052</v>
      </c>
    </row>
    <row r="1101" spans="12:13" x14ac:dyDescent="0.25">
      <c r="L1101" s="65">
        <v>243324</v>
      </c>
      <c r="M1101" t="s">
        <v>1053</v>
      </c>
    </row>
    <row r="1102" spans="12:13" x14ac:dyDescent="0.25">
      <c r="L1102" s="65">
        <v>243400</v>
      </c>
      <c r="M1102" t="s">
        <v>1054</v>
      </c>
    </row>
    <row r="1103" spans="12:13" x14ac:dyDescent="0.25">
      <c r="L1103" s="65">
        <v>243410</v>
      </c>
      <c r="M1103" t="s">
        <v>1055</v>
      </c>
    </row>
    <row r="1104" spans="12:13" x14ac:dyDescent="0.25">
      <c r="L1104" s="65">
        <v>243411</v>
      </c>
      <c r="M1104" t="s">
        <v>1056</v>
      </c>
    </row>
    <row r="1105" spans="12:13" x14ac:dyDescent="0.25">
      <c r="L1105" s="65">
        <v>243412</v>
      </c>
      <c r="M1105" t="s">
        <v>1057</v>
      </c>
    </row>
    <row r="1106" spans="12:13" x14ac:dyDescent="0.25">
      <c r="L1106" s="65">
        <v>243413</v>
      </c>
      <c r="M1106" t="s">
        <v>1058</v>
      </c>
    </row>
    <row r="1107" spans="12:13" x14ac:dyDescent="0.25">
      <c r="L1107" s="65">
        <v>243414</v>
      </c>
      <c r="M1107" t="s">
        <v>1059</v>
      </c>
    </row>
    <row r="1108" spans="12:13" x14ac:dyDescent="0.25">
      <c r="L1108" s="65">
        <v>243415</v>
      </c>
      <c r="M1108" t="s">
        <v>1060</v>
      </c>
    </row>
    <row r="1109" spans="12:13" x14ac:dyDescent="0.25">
      <c r="L1109" s="65">
        <v>243420</v>
      </c>
      <c r="M1109" t="s">
        <v>1061</v>
      </c>
    </row>
    <row r="1110" spans="12:13" x14ac:dyDescent="0.25">
      <c r="L1110" s="65">
        <v>243421</v>
      </c>
      <c r="M1110" t="s">
        <v>1062</v>
      </c>
    </row>
    <row r="1111" spans="12:13" x14ac:dyDescent="0.25">
      <c r="L1111" s="65">
        <v>243422</v>
      </c>
      <c r="M1111" t="s">
        <v>1063</v>
      </c>
    </row>
    <row r="1112" spans="12:13" x14ac:dyDescent="0.25">
      <c r="L1112" s="65">
        <v>243425</v>
      </c>
      <c r="M1112" t="s">
        <v>1064</v>
      </c>
    </row>
    <row r="1113" spans="12:13" x14ac:dyDescent="0.25">
      <c r="L1113" s="65">
        <v>244000</v>
      </c>
      <c r="M1113" t="s">
        <v>1065</v>
      </c>
    </row>
    <row r="1114" spans="12:13" x14ac:dyDescent="0.25">
      <c r="L1114" s="65">
        <v>244100</v>
      </c>
      <c r="M1114" t="s">
        <v>1066</v>
      </c>
    </row>
    <row r="1115" spans="12:13" x14ac:dyDescent="0.25">
      <c r="L1115" s="65">
        <v>244110</v>
      </c>
      <c r="M1115" t="s">
        <v>1067</v>
      </c>
    </row>
    <row r="1116" spans="12:13" x14ac:dyDescent="0.25">
      <c r="L1116" s="65">
        <v>244111</v>
      </c>
      <c r="M1116" t="s">
        <v>1068</v>
      </c>
    </row>
    <row r="1117" spans="12:13" x14ac:dyDescent="0.25">
      <c r="L1117" s="65">
        <v>244112</v>
      </c>
      <c r="M1117" t="s">
        <v>1069</v>
      </c>
    </row>
    <row r="1118" spans="12:13" x14ac:dyDescent="0.25">
      <c r="L1118" s="65">
        <v>244113</v>
      </c>
      <c r="M1118" t="s">
        <v>1070</v>
      </c>
    </row>
    <row r="1119" spans="12:13" x14ac:dyDescent="0.25">
      <c r="L1119" s="65">
        <v>244114</v>
      </c>
      <c r="M1119" t="s">
        <v>1071</v>
      </c>
    </row>
    <row r="1120" spans="12:13" x14ac:dyDescent="0.25">
      <c r="L1120" s="65">
        <v>244119</v>
      </c>
      <c r="M1120" t="s">
        <v>1072</v>
      </c>
    </row>
    <row r="1121" spans="12:13" x14ac:dyDescent="0.25">
      <c r="L1121" s="65">
        <v>244120</v>
      </c>
      <c r="M1121" t="s">
        <v>1073</v>
      </c>
    </row>
    <row r="1122" spans="12:13" x14ac:dyDescent="0.25">
      <c r="L1122" s="65">
        <v>244121</v>
      </c>
      <c r="M1122" t="s">
        <v>1074</v>
      </c>
    </row>
    <row r="1123" spans="12:13" x14ac:dyDescent="0.25">
      <c r="L1123" s="65">
        <v>244122</v>
      </c>
      <c r="M1123" t="s">
        <v>1075</v>
      </c>
    </row>
    <row r="1124" spans="12:13" x14ac:dyDescent="0.25">
      <c r="L1124" s="65">
        <v>244123</v>
      </c>
      <c r="M1124" t="s">
        <v>1076</v>
      </c>
    </row>
    <row r="1125" spans="12:13" x14ac:dyDescent="0.25">
      <c r="L1125" s="65">
        <v>244124</v>
      </c>
      <c r="M1125" t="s">
        <v>1077</v>
      </c>
    </row>
    <row r="1126" spans="12:13" x14ac:dyDescent="0.25">
      <c r="L1126" s="65">
        <v>244125</v>
      </c>
      <c r="M1126" t="s">
        <v>1078</v>
      </c>
    </row>
    <row r="1127" spans="12:13" x14ac:dyDescent="0.25">
      <c r="L1127" s="65">
        <v>244126</v>
      </c>
      <c r="M1127" t="s">
        <v>1079</v>
      </c>
    </row>
    <row r="1128" spans="12:13" x14ac:dyDescent="0.25">
      <c r="L1128" s="65">
        <v>244129</v>
      </c>
      <c r="M1128" t="s">
        <v>1080</v>
      </c>
    </row>
    <row r="1129" spans="12:13" x14ac:dyDescent="0.25">
      <c r="L1129" s="65">
        <v>244190</v>
      </c>
      <c r="M1129" t="s">
        <v>1081</v>
      </c>
    </row>
    <row r="1130" spans="12:13" x14ac:dyDescent="0.25">
      <c r="L1130" s="65">
        <v>244191</v>
      </c>
      <c r="M1130" t="s">
        <v>1082</v>
      </c>
    </row>
    <row r="1131" spans="12:13" x14ac:dyDescent="0.25">
      <c r="L1131" s="65">
        <v>244192</v>
      </c>
      <c r="M1131" t="s">
        <v>1083</v>
      </c>
    </row>
    <row r="1132" spans="12:13" x14ac:dyDescent="0.25">
      <c r="L1132" s="65">
        <v>244193</v>
      </c>
      <c r="M1132" t="s">
        <v>1084</v>
      </c>
    </row>
    <row r="1133" spans="12:13" x14ac:dyDescent="0.25">
      <c r="L1133" s="65">
        <v>244194</v>
      </c>
      <c r="M1133" t="s">
        <v>1085</v>
      </c>
    </row>
    <row r="1134" spans="12:13" x14ac:dyDescent="0.25">
      <c r="L1134" s="65">
        <v>244195</v>
      </c>
      <c r="M1134" t="s">
        <v>1086</v>
      </c>
    </row>
    <row r="1135" spans="12:13" x14ac:dyDescent="0.25">
      <c r="L1135" s="65">
        <v>244200</v>
      </c>
      <c r="M1135" t="s">
        <v>1087</v>
      </c>
    </row>
    <row r="1136" spans="12:13" x14ac:dyDescent="0.25">
      <c r="L1136" s="65">
        <v>244210</v>
      </c>
      <c r="M1136" t="s">
        <v>1088</v>
      </c>
    </row>
    <row r="1137" spans="12:13" x14ac:dyDescent="0.25">
      <c r="L1137" s="65">
        <v>244211</v>
      </c>
      <c r="M1137" t="s">
        <v>1089</v>
      </c>
    </row>
    <row r="1138" spans="12:13" x14ac:dyDescent="0.25">
      <c r="L1138" s="65">
        <v>244212</v>
      </c>
      <c r="M1138" t="s">
        <v>1090</v>
      </c>
    </row>
    <row r="1139" spans="12:13" x14ac:dyDescent="0.25">
      <c r="L1139" s="65">
        <v>244213</v>
      </c>
      <c r="M1139" t="s">
        <v>1091</v>
      </c>
    </row>
    <row r="1140" spans="12:13" x14ac:dyDescent="0.25">
      <c r="L1140" s="65">
        <v>244220</v>
      </c>
      <c r="M1140" t="s">
        <v>1092</v>
      </c>
    </row>
    <row r="1141" spans="12:13" x14ac:dyDescent="0.25">
      <c r="L1141" s="65">
        <v>244221</v>
      </c>
      <c r="M1141" t="s">
        <v>1092</v>
      </c>
    </row>
    <row r="1142" spans="12:13" x14ac:dyDescent="0.25">
      <c r="L1142" s="65">
        <v>244230</v>
      </c>
      <c r="M1142" t="s">
        <v>1093</v>
      </c>
    </row>
    <row r="1143" spans="12:13" x14ac:dyDescent="0.25">
      <c r="L1143" s="65">
        <v>244231</v>
      </c>
      <c r="M1143" t="s">
        <v>1093</v>
      </c>
    </row>
    <row r="1144" spans="12:13" x14ac:dyDescent="0.25">
      <c r="L1144" s="65">
        <v>244240</v>
      </c>
      <c r="M1144" t="s">
        <v>1094</v>
      </c>
    </row>
    <row r="1145" spans="12:13" x14ac:dyDescent="0.25">
      <c r="L1145" s="65">
        <v>244241</v>
      </c>
      <c r="M1145" t="s">
        <v>1094</v>
      </c>
    </row>
    <row r="1146" spans="12:13" x14ac:dyDescent="0.25">
      <c r="L1146" s="65">
        <v>244250</v>
      </c>
      <c r="M1146" t="s">
        <v>1095</v>
      </c>
    </row>
    <row r="1147" spans="12:13" x14ac:dyDescent="0.25">
      <c r="L1147" s="65">
        <v>244251</v>
      </c>
      <c r="M1147" t="s">
        <v>1096</v>
      </c>
    </row>
    <row r="1148" spans="12:13" x14ac:dyDescent="0.25">
      <c r="L1148" s="65">
        <v>244252</v>
      </c>
      <c r="M1148" t="s">
        <v>1097</v>
      </c>
    </row>
    <row r="1149" spans="12:13" x14ac:dyDescent="0.25">
      <c r="L1149" s="65">
        <v>244260</v>
      </c>
      <c r="M1149" t="s">
        <v>1098</v>
      </c>
    </row>
    <row r="1150" spans="12:13" x14ac:dyDescent="0.25">
      <c r="L1150" s="65">
        <v>244261</v>
      </c>
      <c r="M1150" t="s">
        <v>1098</v>
      </c>
    </row>
    <row r="1151" spans="12:13" x14ac:dyDescent="0.25">
      <c r="L1151" s="65">
        <v>244270</v>
      </c>
      <c r="M1151" t="s">
        <v>1099</v>
      </c>
    </row>
    <row r="1152" spans="12:13" x14ac:dyDescent="0.25">
      <c r="L1152" s="65">
        <v>244271</v>
      </c>
      <c r="M1152" t="s">
        <v>1100</v>
      </c>
    </row>
    <row r="1153" spans="12:13" x14ac:dyDescent="0.25">
      <c r="L1153" s="65">
        <v>244272</v>
      </c>
      <c r="M1153" t="s">
        <v>1101</v>
      </c>
    </row>
    <row r="1154" spans="12:13" x14ac:dyDescent="0.25">
      <c r="L1154" s="65">
        <v>244273</v>
      </c>
      <c r="M1154" t="s">
        <v>1102</v>
      </c>
    </row>
    <row r="1155" spans="12:13" x14ac:dyDescent="0.25">
      <c r="L1155" s="65">
        <v>244274</v>
      </c>
      <c r="M1155" t="s">
        <v>1103</v>
      </c>
    </row>
    <row r="1156" spans="12:13" x14ac:dyDescent="0.25">
      <c r="L1156" s="65">
        <v>244280</v>
      </c>
      <c r="M1156" t="s">
        <v>1104</v>
      </c>
    </row>
    <row r="1157" spans="12:13" x14ac:dyDescent="0.25">
      <c r="L1157" s="65">
        <v>244281</v>
      </c>
      <c r="M1157" t="s">
        <v>1104</v>
      </c>
    </row>
    <row r="1158" spans="12:13" x14ac:dyDescent="0.25">
      <c r="L1158" s="65">
        <v>244290</v>
      </c>
      <c r="M1158" t="s">
        <v>1105</v>
      </c>
    </row>
    <row r="1159" spans="12:13" x14ac:dyDescent="0.25">
      <c r="L1159" s="65">
        <v>244291</v>
      </c>
      <c r="M1159" t="s">
        <v>1106</v>
      </c>
    </row>
    <row r="1160" spans="12:13" x14ac:dyDescent="0.25">
      <c r="L1160" s="65">
        <v>244292</v>
      </c>
      <c r="M1160" t="s">
        <v>1107</v>
      </c>
    </row>
    <row r="1161" spans="12:13" x14ac:dyDescent="0.25">
      <c r="L1161" s="65">
        <v>244293</v>
      </c>
      <c r="M1161" t="s">
        <v>1108</v>
      </c>
    </row>
    <row r="1162" spans="12:13" x14ac:dyDescent="0.25">
      <c r="L1162" s="65">
        <v>245000</v>
      </c>
      <c r="M1162" t="s">
        <v>1109</v>
      </c>
    </row>
    <row r="1163" spans="12:13" x14ac:dyDescent="0.25">
      <c r="L1163" s="65">
        <v>245100</v>
      </c>
      <c r="M1163" t="s">
        <v>1110</v>
      </c>
    </row>
    <row r="1164" spans="12:13" x14ac:dyDescent="0.25">
      <c r="L1164" s="65">
        <v>245110</v>
      </c>
      <c r="M1164" t="s">
        <v>1111</v>
      </c>
    </row>
    <row r="1165" spans="12:13" x14ac:dyDescent="0.25">
      <c r="L1165" s="65">
        <v>245111</v>
      </c>
      <c r="M1165" t="s">
        <v>1111</v>
      </c>
    </row>
    <row r="1166" spans="12:13" x14ac:dyDescent="0.25">
      <c r="L1166" s="65">
        <v>245112</v>
      </c>
      <c r="M1166" t="s">
        <v>1112</v>
      </c>
    </row>
    <row r="1167" spans="12:13" x14ac:dyDescent="0.25">
      <c r="L1167" s="65">
        <v>245113</v>
      </c>
      <c r="M1167" t="s">
        <v>1113</v>
      </c>
    </row>
    <row r="1168" spans="12:13" x14ac:dyDescent="0.25">
      <c r="L1168" s="65">
        <v>245190</v>
      </c>
      <c r="M1168" t="s">
        <v>1114</v>
      </c>
    </row>
    <row r="1169" spans="12:13" x14ac:dyDescent="0.25">
      <c r="L1169" s="65">
        <v>245191</v>
      </c>
      <c r="M1169" t="s">
        <v>1115</v>
      </c>
    </row>
    <row r="1170" spans="12:13" x14ac:dyDescent="0.25">
      <c r="L1170" s="65">
        <v>245192</v>
      </c>
      <c r="M1170" t="s">
        <v>1116</v>
      </c>
    </row>
    <row r="1171" spans="12:13" x14ac:dyDescent="0.25">
      <c r="L1171" s="65">
        <v>245193</v>
      </c>
      <c r="M1171" t="s">
        <v>1117</v>
      </c>
    </row>
    <row r="1172" spans="12:13" x14ac:dyDescent="0.25">
      <c r="L1172" s="65">
        <v>245194</v>
      </c>
      <c r="M1172" t="s">
        <v>1118</v>
      </c>
    </row>
    <row r="1173" spans="12:13" x14ac:dyDescent="0.25">
      <c r="L1173" s="65">
        <v>245195</v>
      </c>
      <c r="M1173" t="s">
        <v>1119</v>
      </c>
    </row>
    <row r="1174" spans="12:13" x14ac:dyDescent="0.25">
      <c r="L1174" s="65">
        <v>245196</v>
      </c>
      <c r="M1174" t="s">
        <v>1120</v>
      </c>
    </row>
    <row r="1175" spans="12:13" x14ac:dyDescent="0.25">
      <c r="L1175" s="65">
        <v>245199</v>
      </c>
      <c r="M1175" t="s">
        <v>1114</v>
      </c>
    </row>
    <row r="1176" spans="12:13" x14ac:dyDescent="0.25">
      <c r="L1176" s="65">
        <v>245200</v>
      </c>
      <c r="M1176" t="s">
        <v>1121</v>
      </c>
    </row>
    <row r="1177" spans="12:13" x14ac:dyDescent="0.25">
      <c r="L1177" s="65">
        <v>245210</v>
      </c>
      <c r="M1177" t="s">
        <v>1122</v>
      </c>
    </row>
    <row r="1178" spans="12:13" x14ac:dyDescent="0.25">
      <c r="L1178" s="65">
        <v>245211</v>
      </c>
      <c r="M1178" t="s">
        <v>1123</v>
      </c>
    </row>
    <row r="1179" spans="12:13" x14ac:dyDescent="0.25">
      <c r="L1179" s="65">
        <v>245212</v>
      </c>
      <c r="M1179" t="s">
        <v>1124</v>
      </c>
    </row>
    <row r="1180" spans="12:13" x14ac:dyDescent="0.25">
      <c r="L1180" s="65">
        <v>245213</v>
      </c>
      <c r="M1180" t="s">
        <v>1125</v>
      </c>
    </row>
    <row r="1181" spans="12:13" x14ac:dyDescent="0.25">
      <c r="L1181" s="65">
        <v>245214</v>
      </c>
      <c r="M1181" t="s">
        <v>1126</v>
      </c>
    </row>
    <row r="1182" spans="12:13" x14ac:dyDescent="0.25">
      <c r="L1182" s="65">
        <v>245219</v>
      </c>
      <c r="M1182" t="s">
        <v>1127</v>
      </c>
    </row>
    <row r="1183" spans="12:13" x14ac:dyDescent="0.25">
      <c r="L1183" s="65">
        <v>245220</v>
      </c>
      <c r="M1183" t="s">
        <v>1128</v>
      </c>
    </row>
    <row r="1184" spans="12:13" x14ac:dyDescent="0.25">
      <c r="L1184" s="65">
        <v>245221</v>
      </c>
      <c r="M1184" t="s">
        <v>1129</v>
      </c>
    </row>
    <row r="1185" spans="12:13" x14ac:dyDescent="0.25">
      <c r="L1185" s="65">
        <v>245222</v>
      </c>
      <c r="M1185" t="s">
        <v>1130</v>
      </c>
    </row>
    <row r="1186" spans="12:13" x14ac:dyDescent="0.25">
      <c r="L1186" s="65">
        <v>245223</v>
      </c>
      <c r="M1186" t="s">
        <v>1131</v>
      </c>
    </row>
    <row r="1187" spans="12:13" x14ac:dyDescent="0.25">
      <c r="L1187" s="65">
        <v>245224</v>
      </c>
      <c r="M1187" t="s">
        <v>1132</v>
      </c>
    </row>
    <row r="1188" spans="12:13" x14ac:dyDescent="0.25">
      <c r="L1188" s="65">
        <v>245225</v>
      </c>
      <c r="M1188" t="s">
        <v>1133</v>
      </c>
    </row>
    <row r="1189" spans="12:13" x14ac:dyDescent="0.25">
      <c r="L1189" s="65">
        <v>245230</v>
      </c>
      <c r="M1189" t="s">
        <v>1134</v>
      </c>
    </row>
    <row r="1190" spans="12:13" x14ac:dyDescent="0.25">
      <c r="L1190" s="65">
        <v>245231</v>
      </c>
      <c r="M1190" t="s">
        <v>1135</v>
      </c>
    </row>
    <row r="1191" spans="12:13" x14ac:dyDescent="0.25">
      <c r="L1191" s="65">
        <v>245232</v>
      </c>
      <c r="M1191" t="s">
        <v>1136</v>
      </c>
    </row>
    <row r="1192" spans="12:13" x14ac:dyDescent="0.25">
      <c r="L1192" s="65">
        <v>245233</v>
      </c>
      <c r="M1192" t="s">
        <v>1137</v>
      </c>
    </row>
    <row r="1193" spans="12:13" x14ac:dyDescent="0.25">
      <c r="L1193" s="65">
        <v>245234</v>
      </c>
      <c r="M1193" t="s">
        <v>1138</v>
      </c>
    </row>
    <row r="1194" spans="12:13" x14ac:dyDescent="0.25">
      <c r="L1194" s="65">
        <v>245240</v>
      </c>
      <c r="M1194" t="s">
        <v>1139</v>
      </c>
    </row>
    <row r="1195" spans="12:13" x14ac:dyDescent="0.25">
      <c r="L1195" s="65">
        <v>245241</v>
      </c>
      <c r="M1195" t="s">
        <v>1140</v>
      </c>
    </row>
    <row r="1196" spans="12:13" x14ac:dyDescent="0.25">
      <c r="L1196" s="65">
        <v>245242</v>
      </c>
      <c r="M1196" t="s">
        <v>1141</v>
      </c>
    </row>
    <row r="1197" spans="12:13" x14ac:dyDescent="0.25">
      <c r="L1197" s="65">
        <v>245243</v>
      </c>
      <c r="M1197" t="s">
        <v>1142</v>
      </c>
    </row>
    <row r="1198" spans="12:13" x14ac:dyDescent="0.25">
      <c r="L1198" s="65">
        <v>245244</v>
      </c>
      <c r="M1198" t="s">
        <v>1143</v>
      </c>
    </row>
    <row r="1199" spans="12:13" x14ac:dyDescent="0.25">
      <c r="L1199" s="65">
        <v>245245</v>
      </c>
      <c r="M1199" t="s">
        <v>1144</v>
      </c>
    </row>
    <row r="1200" spans="12:13" x14ac:dyDescent="0.25">
      <c r="L1200" s="65">
        <v>245246</v>
      </c>
      <c r="M1200" t="s">
        <v>1145</v>
      </c>
    </row>
    <row r="1201" spans="12:13" x14ac:dyDescent="0.25">
      <c r="L1201" s="65">
        <v>245247</v>
      </c>
      <c r="M1201" t="s">
        <v>1146</v>
      </c>
    </row>
    <row r="1202" spans="12:13" x14ac:dyDescent="0.25">
      <c r="L1202" s="65">
        <v>245248</v>
      </c>
      <c r="M1202" t="s">
        <v>1147</v>
      </c>
    </row>
    <row r="1203" spans="12:13" x14ac:dyDescent="0.25">
      <c r="L1203" s="65">
        <v>245249</v>
      </c>
      <c r="M1203" t="s">
        <v>1148</v>
      </c>
    </row>
    <row r="1204" spans="12:13" x14ac:dyDescent="0.25">
      <c r="L1204" s="65">
        <v>245300</v>
      </c>
      <c r="M1204" t="s">
        <v>1149</v>
      </c>
    </row>
    <row r="1205" spans="12:13" x14ac:dyDescent="0.25">
      <c r="L1205" s="65">
        <v>245310</v>
      </c>
      <c r="M1205" t="s">
        <v>1149</v>
      </c>
    </row>
    <row r="1206" spans="12:13" x14ac:dyDescent="0.25">
      <c r="L1206" s="65">
        <v>245311</v>
      </c>
      <c r="M1206" t="s">
        <v>1149</v>
      </c>
    </row>
    <row r="1207" spans="12:13" x14ac:dyDescent="0.25">
      <c r="L1207" s="65">
        <v>245400</v>
      </c>
      <c r="M1207" t="s">
        <v>1150</v>
      </c>
    </row>
    <row r="1208" spans="12:13" x14ac:dyDescent="0.25">
      <c r="L1208" s="65">
        <v>245410</v>
      </c>
      <c r="M1208" t="s">
        <v>1150</v>
      </c>
    </row>
    <row r="1209" spans="12:13" x14ac:dyDescent="0.25">
      <c r="L1209" s="65">
        <v>245411</v>
      </c>
      <c r="M1209" t="s">
        <v>1150</v>
      </c>
    </row>
    <row r="1210" spans="12:13" x14ac:dyDescent="0.25">
      <c r="L1210" s="65">
        <v>245420</v>
      </c>
      <c r="M1210" t="s">
        <v>1151</v>
      </c>
    </row>
    <row r="1211" spans="12:13" x14ac:dyDescent="0.25">
      <c r="L1211" s="65">
        <v>245421</v>
      </c>
      <c r="M1211" t="s">
        <v>1151</v>
      </c>
    </row>
    <row r="1212" spans="12:13" x14ac:dyDescent="0.25">
      <c r="L1212" s="65">
        <v>245500</v>
      </c>
      <c r="M1212" t="s">
        <v>1152</v>
      </c>
    </row>
    <row r="1213" spans="12:13" x14ac:dyDescent="0.25">
      <c r="L1213" s="65">
        <v>245510</v>
      </c>
      <c r="M1213" t="s">
        <v>1152</v>
      </c>
    </row>
    <row r="1214" spans="12:13" x14ac:dyDescent="0.25">
      <c r="L1214" s="65">
        <v>245511</v>
      </c>
      <c r="M1214" t="s">
        <v>1152</v>
      </c>
    </row>
    <row r="1215" spans="12:13" x14ac:dyDescent="0.25">
      <c r="L1215" s="65">
        <v>250000</v>
      </c>
      <c r="M1215" t="s">
        <v>1153</v>
      </c>
    </row>
    <row r="1216" spans="12:13" x14ac:dyDescent="0.25">
      <c r="L1216" s="65">
        <v>251000</v>
      </c>
      <c r="M1216" t="s">
        <v>1154</v>
      </c>
    </row>
    <row r="1217" spans="12:13" x14ac:dyDescent="0.25">
      <c r="L1217" s="65">
        <v>251100</v>
      </c>
      <c r="M1217" t="s">
        <v>1155</v>
      </c>
    </row>
    <row r="1218" spans="12:13" x14ac:dyDescent="0.25">
      <c r="L1218" s="65">
        <v>251110</v>
      </c>
      <c r="M1218" t="s">
        <v>1155</v>
      </c>
    </row>
    <row r="1219" spans="12:13" x14ac:dyDescent="0.25">
      <c r="L1219" s="65">
        <v>251111</v>
      </c>
      <c r="M1219" t="s">
        <v>1155</v>
      </c>
    </row>
    <row r="1220" spans="12:13" x14ac:dyDescent="0.25">
      <c r="L1220" s="65">
        <v>251200</v>
      </c>
      <c r="M1220" t="s">
        <v>1156</v>
      </c>
    </row>
    <row r="1221" spans="12:13" x14ac:dyDescent="0.25">
      <c r="L1221" s="65">
        <v>251210</v>
      </c>
      <c r="M1221" t="s">
        <v>1156</v>
      </c>
    </row>
    <row r="1222" spans="12:13" x14ac:dyDescent="0.25">
      <c r="L1222" s="65">
        <v>251211</v>
      </c>
      <c r="M1222" t="s">
        <v>1156</v>
      </c>
    </row>
    <row r="1223" spans="12:13" x14ac:dyDescent="0.25">
      <c r="L1223" s="65">
        <v>251212</v>
      </c>
      <c r="M1223" t="s">
        <v>1157</v>
      </c>
    </row>
    <row r="1224" spans="12:13" x14ac:dyDescent="0.25">
      <c r="L1224" s="65">
        <v>251219</v>
      </c>
      <c r="M1224" t="s">
        <v>1158</v>
      </c>
    </row>
    <row r="1225" spans="12:13" x14ac:dyDescent="0.25">
      <c r="L1225" s="65">
        <v>251300</v>
      </c>
      <c r="M1225" t="s">
        <v>1159</v>
      </c>
    </row>
    <row r="1226" spans="12:13" x14ac:dyDescent="0.25">
      <c r="L1226" s="65">
        <v>251310</v>
      </c>
      <c r="M1226" t="s">
        <v>1159</v>
      </c>
    </row>
    <row r="1227" spans="12:13" x14ac:dyDescent="0.25">
      <c r="L1227" s="65">
        <v>251311</v>
      </c>
      <c r="M1227" t="s">
        <v>1159</v>
      </c>
    </row>
    <row r="1228" spans="12:13" x14ac:dyDescent="0.25">
      <c r="L1228" s="65">
        <v>252000</v>
      </c>
      <c r="M1228" t="s">
        <v>1160</v>
      </c>
    </row>
    <row r="1229" spans="12:13" x14ac:dyDescent="0.25">
      <c r="L1229" s="65">
        <v>252100</v>
      </c>
      <c r="M1229" t="s">
        <v>1161</v>
      </c>
    </row>
    <row r="1230" spans="12:13" x14ac:dyDescent="0.25">
      <c r="L1230" s="65">
        <v>252110</v>
      </c>
      <c r="M1230" t="s">
        <v>1161</v>
      </c>
    </row>
    <row r="1231" spans="12:13" x14ac:dyDescent="0.25">
      <c r="L1231" s="65">
        <v>252111</v>
      </c>
      <c r="M1231" t="s">
        <v>1161</v>
      </c>
    </row>
    <row r="1232" spans="12:13" x14ac:dyDescent="0.25">
      <c r="L1232" s="65">
        <v>252200</v>
      </c>
      <c r="M1232" t="s">
        <v>1162</v>
      </c>
    </row>
    <row r="1233" spans="12:13" x14ac:dyDescent="0.25">
      <c r="L1233" s="65">
        <v>252210</v>
      </c>
      <c r="M1233" t="s">
        <v>1162</v>
      </c>
    </row>
    <row r="1234" spans="12:13" x14ac:dyDescent="0.25">
      <c r="L1234" s="65">
        <v>252211</v>
      </c>
      <c r="M1234" t="s">
        <v>1162</v>
      </c>
    </row>
    <row r="1235" spans="12:13" x14ac:dyDescent="0.25">
      <c r="L1235" s="65">
        <v>253000</v>
      </c>
      <c r="M1235" t="s">
        <v>1163</v>
      </c>
    </row>
    <row r="1236" spans="12:13" x14ac:dyDescent="0.25">
      <c r="L1236" s="65">
        <v>253100</v>
      </c>
      <c r="M1236" t="s">
        <v>1163</v>
      </c>
    </row>
    <row r="1237" spans="12:13" x14ac:dyDescent="0.25">
      <c r="L1237" s="65">
        <v>253110</v>
      </c>
      <c r="M1237" t="s">
        <v>1163</v>
      </c>
    </row>
    <row r="1238" spans="12:13" x14ac:dyDescent="0.25">
      <c r="L1238" s="65">
        <v>253111</v>
      </c>
      <c r="M1238" t="s">
        <v>1164</v>
      </c>
    </row>
    <row r="1239" spans="12:13" x14ac:dyDescent="0.25">
      <c r="L1239" s="65">
        <v>253112</v>
      </c>
      <c r="M1239" t="s">
        <v>1165</v>
      </c>
    </row>
    <row r="1240" spans="12:13" x14ac:dyDescent="0.25">
      <c r="L1240" s="65">
        <v>254000</v>
      </c>
      <c r="M1240" t="s">
        <v>1166</v>
      </c>
    </row>
    <row r="1241" spans="12:13" x14ac:dyDescent="0.25">
      <c r="L1241" s="65">
        <v>254100</v>
      </c>
      <c r="M1241" t="s">
        <v>1167</v>
      </c>
    </row>
    <row r="1242" spans="12:13" x14ac:dyDescent="0.25">
      <c r="L1242" s="65">
        <v>254110</v>
      </c>
      <c r="M1242" t="s">
        <v>1167</v>
      </c>
    </row>
    <row r="1243" spans="12:13" x14ac:dyDescent="0.25">
      <c r="L1243" s="65">
        <v>254111</v>
      </c>
      <c r="M1243" t="s">
        <v>1168</v>
      </c>
    </row>
    <row r="1244" spans="12:13" x14ac:dyDescent="0.25">
      <c r="L1244" s="65">
        <v>254112</v>
      </c>
      <c r="M1244" t="s">
        <v>1169</v>
      </c>
    </row>
    <row r="1245" spans="12:13" x14ac:dyDescent="0.25">
      <c r="L1245" s="65">
        <v>254113</v>
      </c>
      <c r="M1245" t="s">
        <v>1170</v>
      </c>
    </row>
    <row r="1246" spans="12:13" x14ac:dyDescent="0.25">
      <c r="L1246" s="65">
        <v>254114</v>
      </c>
      <c r="M1246" t="s">
        <v>1171</v>
      </c>
    </row>
    <row r="1247" spans="12:13" x14ac:dyDescent="0.25">
      <c r="L1247" s="65">
        <v>254200</v>
      </c>
      <c r="M1247" t="s">
        <v>1172</v>
      </c>
    </row>
    <row r="1248" spans="12:13" x14ac:dyDescent="0.25">
      <c r="L1248" s="65">
        <v>254210</v>
      </c>
      <c r="M1248" t="s">
        <v>1172</v>
      </c>
    </row>
    <row r="1249" spans="12:13" x14ac:dyDescent="0.25">
      <c r="L1249" s="65">
        <v>254211</v>
      </c>
      <c r="M1249" t="s">
        <v>1172</v>
      </c>
    </row>
    <row r="1250" spans="12:13" x14ac:dyDescent="0.25">
      <c r="L1250" s="65">
        <v>254900</v>
      </c>
      <c r="M1250" t="s">
        <v>1173</v>
      </c>
    </row>
    <row r="1251" spans="12:13" x14ac:dyDescent="0.25">
      <c r="L1251" s="65">
        <v>254910</v>
      </c>
      <c r="M1251" t="s">
        <v>1174</v>
      </c>
    </row>
    <row r="1252" spans="12:13" x14ac:dyDescent="0.25">
      <c r="L1252" s="65">
        <v>254911</v>
      </c>
      <c r="M1252" t="s">
        <v>1175</v>
      </c>
    </row>
    <row r="1253" spans="12:13" x14ac:dyDescent="0.25">
      <c r="L1253" s="65">
        <v>254912</v>
      </c>
      <c r="M1253" t="s">
        <v>1176</v>
      </c>
    </row>
    <row r="1254" spans="12:13" x14ac:dyDescent="0.25">
      <c r="L1254" s="65">
        <v>254913</v>
      </c>
      <c r="M1254" t="s">
        <v>1177</v>
      </c>
    </row>
    <row r="1255" spans="12:13" x14ac:dyDescent="0.25">
      <c r="L1255" s="65">
        <v>254920</v>
      </c>
      <c r="M1255" t="s">
        <v>1178</v>
      </c>
    </row>
    <row r="1256" spans="12:13" x14ac:dyDescent="0.25">
      <c r="L1256" s="65">
        <v>254921</v>
      </c>
      <c r="M1256" t="s">
        <v>1179</v>
      </c>
    </row>
    <row r="1257" spans="12:13" x14ac:dyDescent="0.25">
      <c r="L1257" s="65">
        <v>254922</v>
      </c>
      <c r="M1257" t="s">
        <v>1180</v>
      </c>
    </row>
    <row r="1258" spans="12:13" x14ac:dyDescent="0.25">
      <c r="L1258" s="65">
        <v>254930</v>
      </c>
      <c r="M1258" t="s">
        <v>1181</v>
      </c>
    </row>
    <row r="1259" spans="12:13" x14ac:dyDescent="0.25">
      <c r="L1259" s="65">
        <v>254931</v>
      </c>
      <c r="M1259" t="s">
        <v>1181</v>
      </c>
    </row>
    <row r="1260" spans="12:13" x14ac:dyDescent="0.25">
      <c r="L1260" s="65">
        <v>254932</v>
      </c>
      <c r="M1260" t="s">
        <v>1182</v>
      </c>
    </row>
    <row r="1261" spans="12:13" x14ac:dyDescent="0.25">
      <c r="L1261" s="65">
        <v>290000</v>
      </c>
      <c r="M1261" t="s">
        <v>1183</v>
      </c>
    </row>
    <row r="1262" spans="12:13" x14ac:dyDescent="0.25">
      <c r="L1262" s="65">
        <v>291000</v>
      </c>
      <c r="M1262" t="s">
        <v>1183</v>
      </c>
    </row>
    <row r="1263" spans="12:13" x14ac:dyDescent="0.25">
      <c r="L1263" s="65">
        <v>291100</v>
      </c>
      <c r="M1263" t="s">
        <v>1184</v>
      </c>
    </row>
    <row r="1264" spans="12:13" x14ac:dyDescent="0.25">
      <c r="L1264" s="65">
        <v>291110</v>
      </c>
      <c r="M1264" t="s">
        <v>1185</v>
      </c>
    </row>
    <row r="1265" spans="12:13" x14ac:dyDescent="0.25">
      <c r="L1265" s="65">
        <v>291111</v>
      </c>
      <c r="M1265" t="s">
        <v>1185</v>
      </c>
    </row>
    <row r="1266" spans="12:13" x14ac:dyDescent="0.25">
      <c r="L1266" s="65">
        <v>291190</v>
      </c>
      <c r="M1266" t="s">
        <v>1186</v>
      </c>
    </row>
    <row r="1267" spans="12:13" x14ac:dyDescent="0.25">
      <c r="L1267" s="65">
        <v>291191</v>
      </c>
      <c r="M1267" t="s">
        <v>1186</v>
      </c>
    </row>
    <row r="1268" spans="12:13" x14ac:dyDescent="0.25">
      <c r="L1268" s="65">
        <v>291200</v>
      </c>
      <c r="M1268" t="s">
        <v>1187</v>
      </c>
    </row>
    <row r="1269" spans="12:13" x14ac:dyDescent="0.25">
      <c r="L1269" s="65">
        <v>291210</v>
      </c>
      <c r="M1269" t="s">
        <v>1188</v>
      </c>
    </row>
    <row r="1270" spans="12:13" x14ac:dyDescent="0.25">
      <c r="L1270" s="65">
        <v>291211</v>
      </c>
      <c r="M1270" t="s">
        <v>1189</v>
      </c>
    </row>
    <row r="1271" spans="12:13" x14ac:dyDescent="0.25">
      <c r="L1271" s="65">
        <v>291212</v>
      </c>
      <c r="M1271" t="s">
        <v>1190</v>
      </c>
    </row>
    <row r="1272" spans="12:13" x14ac:dyDescent="0.25">
      <c r="L1272" s="65">
        <v>291213</v>
      </c>
      <c r="M1272" t="s">
        <v>1191</v>
      </c>
    </row>
    <row r="1273" spans="12:13" x14ac:dyDescent="0.25">
      <c r="L1273" s="65">
        <v>291220</v>
      </c>
      <c r="M1273" t="s">
        <v>1192</v>
      </c>
    </row>
    <row r="1274" spans="12:13" x14ac:dyDescent="0.25">
      <c r="L1274" s="65">
        <v>291221</v>
      </c>
      <c r="M1274" t="s">
        <v>1192</v>
      </c>
    </row>
    <row r="1275" spans="12:13" x14ac:dyDescent="0.25">
      <c r="L1275" s="65">
        <v>291300</v>
      </c>
      <c r="M1275" t="s">
        <v>1193</v>
      </c>
    </row>
    <row r="1276" spans="12:13" x14ac:dyDescent="0.25">
      <c r="L1276" s="65">
        <v>291310</v>
      </c>
      <c r="M1276" t="s">
        <v>1193</v>
      </c>
    </row>
    <row r="1277" spans="12:13" x14ac:dyDescent="0.25">
      <c r="L1277" s="65">
        <v>291311</v>
      </c>
      <c r="M1277" t="s">
        <v>1194</v>
      </c>
    </row>
    <row r="1278" spans="12:13" x14ac:dyDescent="0.25">
      <c r="L1278" s="65">
        <v>291312</v>
      </c>
      <c r="M1278" t="s">
        <v>1195</v>
      </c>
    </row>
    <row r="1279" spans="12:13" x14ac:dyDescent="0.25">
      <c r="L1279" s="65">
        <v>291900</v>
      </c>
      <c r="M1279" t="s">
        <v>1196</v>
      </c>
    </row>
    <row r="1280" spans="12:13" x14ac:dyDescent="0.25">
      <c r="L1280" s="65">
        <v>291910</v>
      </c>
      <c r="M1280" t="s">
        <v>1196</v>
      </c>
    </row>
    <row r="1281" spans="12:13" x14ac:dyDescent="0.25">
      <c r="L1281" s="65">
        <v>291911</v>
      </c>
      <c r="M1281" t="s">
        <v>1197</v>
      </c>
    </row>
    <row r="1282" spans="12:13" x14ac:dyDescent="0.25">
      <c r="L1282" s="65">
        <v>291919</v>
      </c>
      <c r="M1282" t="s">
        <v>1196</v>
      </c>
    </row>
    <row r="1283" spans="12:13" x14ac:dyDescent="0.25">
      <c r="L1283" s="65">
        <v>300000</v>
      </c>
      <c r="M1283" t="s">
        <v>1198</v>
      </c>
    </row>
    <row r="1284" spans="12:13" x14ac:dyDescent="0.25">
      <c r="L1284" s="65">
        <v>310000</v>
      </c>
      <c r="M1284" t="s">
        <v>1199</v>
      </c>
    </row>
    <row r="1285" spans="12:13" x14ac:dyDescent="0.25">
      <c r="L1285" s="65">
        <v>311000</v>
      </c>
      <c r="M1285" t="s">
        <v>1199</v>
      </c>
    </row>
    <row r="1286" spans="12:13" x14ac:dyDescent="0.25">
      <c r="L1286" s="65">
        <v>311100</v>
      </c>
      <c r="M1286" t="s">
        <v>266</v>
      </c>
    </row>
    <row r="1287" spans="12:13" x14ac:dyDescent="0.25">
      <c r="L1287" s="66">
        <v>311110</v>
      </c>
      <c r="M1287" t="s">
        <v>1200</v>
      </c>
    </row>
    <row r="1288" spans="12:13" x14ac:dyDescent="0.25">
      <c r="L1288" s="65">
        <v>311111</v>
      </c>
      <c r="M1288" t="s">
        <v>268</v>
      </c>
    </row>
    <row r="1289" spans="12:13" x14ac:dyDescent="0.25">
      <c r="L1289" s="65">
        <v>311112</v>
      </c>
      <c r="M1289" t="s">
        <v>324</v>
      </c>
    </row>
    <row r="1290" spans="12:13" x14ac:dyDescent="0.25">
      <c r="L1290" s="65">
        <v>311113</v>
      </c>
      <c r="M1290" t="s">
        <v>391</v>
      </c>
    </row>
    <row r="1291" spans="12:13" x14ac:dyDescent="0.25">
      <c r="L1291" s="65">
        <v>311120</v>
      </c>
      <c r="M1291" t="s">
        <v>396</v>
      </c>
    </row>
    <row r="1292" spans="12:13" x14ac:dyDescent="0.25">
      <c r="L1292" s="65">
        <v>311121</v>
      </c>
      <c r="M1292" t="s">
        <v>396</v>
      </c>
    </row>
    <row r="1293" spans="12:13" x14ac:dyDescent="0.25">
      <c r="L1293" s="65">
        <v>311130</v>
      </c>
      <c r="M1293" t="s">
        <v>402</v>
      </c>
    </row>
    <row r="1294" spans="12:13" x14ac:dyDescent="0.25">
      <c r="L1294" s="65">
        <v>311131</v>
      </c>
      <c r="M1294" t="s">
        <v>402</v>
      </c>
    </row>
    <row r="1295" spans="12:13" x14ac:dyDescent="0.25">
      <c r="L1295" s="65">
        <v>311140</v>
      </c>
      <c r="M1295" t="s">
        <v>1201</v>
      </c>
    </row>
    <row r="1296" spans="12:13" x14ac:dyDescent="0.25">
      <c r="L1296" s="65">
        <v>311141</v>
      </c>
      <c r="M1296" t="s">
        <v>1201</v>
      </c>
    </row>
    <row r="1297" spans="12:13" x14ac:dyDescent="0.25">
      <c r="L1297" s="65">
        <v>311150</v>
      </c>
      <c r="M1297" t="s">
        <v>438</v>
      </c>
    </row>
    <row r="1298" spans="12:13" x14ac:dyDescent="0.25">
      <c r="L1298" s="65">
        <v>311151</v>
      </c>
      <c r="M1298" t="s">
        <v>438</v>
      </c>
    </row>
    <row r="1299" spans="12:13" x14ac:dyDescent="0.25">
      <c r="L1299" s="65">
        <v>311160</v>
      </c>
      <c r="M1299" t="s">
        <v>488</v>
      </c>
    </row>
    <row r="1300" spans="12:13" x14ac:dyDescent="0.25">
      <c r="L1300" s="65">
        <v>311161</v>
      </c>
      <c r="M1300" t="s">
        <v>488</v>
      </c>
    </row>
    <row r="1301" spans="12:13" x14ac:dyDescent="0.25">
      <c r="L1301" s="65">
        <v>311200</v>
      </c>
      <c r="M1301" t="s">
        <v>519</v>
      </c>
    </row>
    <row r="1302" spans="12:13" x14ac:dyDescent="0.25">
      <c r="L1302" s="65">
        <v>311210</v>
      </c>
      <c r="M1302" t="s">
        <v>1202</v>
      </c>
    </row>
    <row r="1303" spans="12:13" x14ac:dyDescent="0.25">
      <c r="L1303" s="65">
        <v>311211</v>
      </c>
      <c r="M1303" t="s">
        <v>1202</v>
      </c>
    </row>
    <row r="1304" spans="12:13" x14ac:dyDescent="0.25">
      <c r="L1304" s="65">
        <v>311220</v>
      </c>
      <c r="M1304" t="s">
        <v>1203</v>
      </c>
    </row>
    <row r="1305" spans="12:13" x14ac:dyDescent="0.25">
      <c r="L1305" s="65">
        <v>311221</v>
      </c>
      <c r="M1305" t="s">
        <v>1203</v>
      </c>
    </row>
    <row r="1306" spans="12:13" x14ac:dyDescent="0.25">
      <c r="L1306" s="65">
        <v>311230</v>
      </c>
      <c r="M1306" t="s">
        <v>1204</v>
      </c>
    </row>
    <row r="1307" spans="12:13" x14ac:dyDescent="0.25">
      <c r="L1307" s="65">
        <v>311231</v>
      </c>
      <c r="M1307" t="s">
        <v>1204</v>
      </c>
    </row>
    <row r="1308" spans="12:13" x14ac:dyDescent="0.25">
      <c r="L1308" s="65">
        <v>311240</v>
      </c>
      <c r="M1308" t="s">
        <v>1205</v>
      </c>
    </row>
    <row r="1309" spans="12:13" x14ac:dyDescent="0.25">
      <c r="L1309" s="65">
        <v>311241</v>
      </c>
      <c r="M1309" t="s">
        <v>1205</v>
      </c>
    </row>
    <row r="1310" spans="12:13" x14ac:dyDescent="0.25">
      <c r="L1310" s="65">
        <v>311250</v>
      </c>
      <c r="M1310" t="s">
        <v>1206</v>
      </c>
    </row>
    <row r="1311" spans="12:13" x14ac:dyDescent="0.25">
      <c r="L1311" s="65">
        <v>311251</v>
      </c>
      <c r="M1311" t="s">
        <v>1206</v>
      </c>
    </row>
    <row r="1312" spans="12:13" x14ac:dyDescent="0.25">
      <c r="L1312" s="65">
        <v>311260</v>
      </c>
      <c r="M1312" t="s">
        <v>539</v>
      </c>
    </row>
    <row r="1313" spans="12:13" x14ac:dyDescent="0.25">
      <c r="L1313" s="65">
        <v>311261</v>
      </c>
      <c r="M1313" t="s">
        <v>539</v>
      </c>
    </row>
    <row r="1314" spans="12:13" x14ac:dyDescent="0.25">
      <c r="L1314" s="65">
        <v>311270</v>
      </c>
      <c r="M1314" t="s">
        <v>536</v>
      </c>
    </row>
    <row r="1315" spans="12:13" x14ac:dyDescent="0.25">
      <c r="L1315" s="65">
        <v>311271</v>
      </c>
      <c r="M1315" t="s">
        <v>536</v>
      </c>
    </row>
    <row r="1316" spans="12:13" x14ac:dyDescent="0.25">
      <c r="L1316" s="65">
        <v>311300</v>
      </c>
      <c r="M1316" t="s">
        <v>1207</v>
      </c>
    </row>
    <row r="1317" spans="12:13" x14ac:dyDescent="0.25">
      <c r="L1317" s="65">
        <v>311310</v>
      </c>
      <c r="M1317" t="s">
        <v>1207</v>
      </c>
    </row>
    <row r="1318" spans="12:13" x14ac:dyDescent="0.25">
      <c r="L1318" s="65">
        <v>311311</v>
      </c>
      <c r="M1318" t="s">
        <v>1207</v>
      </c>
    </row>
    <row r="1319" spans="12:13" x14ac:dyDescent="0.25">
      <c r="L1319" s="65">
        <v>311400</v>
      </c>
      <c r="M1319" t="s">
        <v>559</v>
      </c>
    </row>
    <row r="1320" spans="12:13" x14ac:dyDescent="0.25">
      <c r="L1320" s="65">
        <v>311410</v>
      </c>
      <c r="M1320" t="s">
        <v>559</v>
      </c>
    </row>
    <row r="1321" spans="12:13" x14ac:dyDescent="0.25">
      <c r="L1321" s="65">
        <v>311411</v>
      </c>
      <c r="M1321" t="s">
        <v>561</v>
      </c>
    </row>
    <row r="1322" spans="12:13" x14ac:dyDescent="0.25">
      <c r="L1322" s="65">
        <v>311412</v>
      </c>
      <c r="M1322" t="s">
        <v>1208</v>
      </c>
    </row>
    <row r="1323" spans="12:13" x14ac:dyDescent="0.25">
      <c r="L1323" s="65">
        <v>311419</v>
      </c>
      <c r="M1323" t="s">
        <v>1209</v>
      </c>
    </row>
    <row r="1324" spans="12:13" x14ac:dyDescent="0.25">
      <c r="L1324" s="65">
        <v>311500</v>
      </c>
      <c r="M1324" t="s">
        <v>1210</v>
      </c>
    </row>
    <row r="1325" spans="12:13" x14ac:dyDescent="0.25">
      <c r="L1325" s="65">
        <v>311510</v>
      </c>
      <c r="M1325" t="s">
        <v>1210</v>
      </c>
    </row>
    <row r="1326" spans="12:13" x14ac:dyDescent="0.25">
      <c r="L1326" s="65">
        <v>311511</v>
      </c>
      <c r="M1326" t="s">
        <v>1211</v>
      </c>
    </row>
    <row r="1327" spans="12:13" x14ac:dyDescent="0.25">
      <c r="L1327" s="65">
        <v>311512</v>
      </c>
      <c r="M1327" t="s">
        <v>1212</v>
      </c>
    </row>
    <row r="1328" spans="12:13" x14ac:dyDescent="0.25">
      <c r="L1328" s="65">
        <v>311513</v>
      </c>
      <c r="M1328" t="s">
        <v>1213</v>
      </c>
    </row>
    <row r="1329" spans="12:13" x14ac:dyDescent="0.25">
      <c r="L1329" s="65">
        <v>311519</v>
      </c>
      <c r="M1329" t="s">
        <v>1214</v>
      </c>
    </row>
    <row r="1330" spans="12:13" x14ac:dyDescent="0.25">
      <c r="L1330" s="65">
        <v>311600</v>
      </c>
      <c r="M1330" t="s">
        <v>1215</v>
      </c>
    </row>
    <row r="1331" spans="12:13" x14ac:dyDescent="0.25">
      <c r="L1331" s="65">
        <v>311610</v>
      </c>
      <c r="M1331" t="s">
        <v>1216</v>
      </c>
    </row>
    <row r="1332" spans="12:13" x14ac:dyDescent="0.25">
      <c r="L1332" s="65">
        <v>311611</v>
      </c>
      <c r="M1332" t="s">
        <v>1217</v>
      </c>
    </row>
    <row r="1333" spans="12:13" x14ac:dyDescent="0.25">
      <c r="L1333" s="65">
        <v>311612</v>
      </c>
      <c r="M1333" t="s">
        <v>1218</v>
      </c>
    </row>
    <row r="1334" spans="12:13" x14ac:dyDescent="0.25">
      <c r="L1334" s="65">
        <v>311700</v>
      </c>
      <c r="M1334" t="s">
        <v>1219</v>
      </c>
    </row>
    <row r="1335" spans="12:13" x14ac:dyDescent="0.25">
      <c r="L1335" s="65">
        <v>311710</v>
      </c>
      <c r="M1335" t="s">
        <v>1219</v>
      </c>
    </row>
    <row r="1336" spans="12:13" x14ac:dyDescent="0.25">
      <c r="L1336" s="65">
        <v>311711</v>
      </c>
      <c r="M1336" t="s">
        <v>1220</v>
      </c>
    </row>
    <row r="1337" spans="12:13" x14ac:dyDescent="0.25">
      <c r="L1337" s="65">
        <v>311712</v>
      </c>
      <c r="M1337" t="s">
        <v>1221</v>
      </c>
    </row>
    <row r="1338" spans="12:13" x14ac:dyDescent="0.25">
      <c r="L1338" s="65">
        <v>311713</v>
      </c>
      <c r="M1338" t="s">
        <v>1222</v>
      </c>
    </row>
    <row r="1339" spans="12:13" x14ac:dyDescent="0.25">
      <c r="L1339" s="65">
        <v>311900</v>
      </c>
      <c r="M1339" t="s">
        <v>1223</v>
      </c>
    </row>
    <row r="1340" spans="12:13" x14ac:dyDescent="0.25">
      <c r="L1340" s="65">
        <v>311910</v>
      </c>
      <c r="M1340" t="s">
        <v>1223</v>
      </c>
    </row>
    <row r="1341" spans="12:13" x14ac:dyDescent="0.25">
      <c r="L1341" s="65">
        <v>311911</v>
      </c>
      <c r="M1341" t="s">
        <v>1223</v>
      </c>
    </row>
    <row r="1342" spans="12:13" x14ac:dyDescent="0.25">
      <c r="L1342" s="65">
        <v>320000</v>
      </c>
      <c r="M1342" t="s">
        <v>1224</v>
      </c>
    </row>
    <row r="1343" spans="12:13" x14ac:dyDescent="0.25">
      <c r="L1343" s="65">
        <v>321000</v>
      </c>
      <c r="M1343" t="s">
        <v>1224</v>
      </c>
    </row>
    <row r="1344" spans="12:13" x14ac:dyDescent="0.25">
      <c r="L1344" s="65">
        <v>321100</v>
      </c>
      <c r="M1344" t="s">
        <v>1224</v>
      </c>
    </row>
    <row r="1345" spans="12:13" x14ac:dyDescent="0.25">
      <c r="L1345" s="65">
        <v>321110</v>
      </c>
      <c r="M1345" t="s">
        <v>1225</v>
      </c>
    </row>
    <row r="1346" spans="12:13" x14ac:dyDescent="0.25">
      <c r="L1346" s="65">
        <v>321111</v>
      </c>
      <c r="M1346" t="s">
        <v>1225</v>
      </c>
    </row>
    <row r="1347" spans="12:13" x14ac:dyDescent="0.25">
      <c r="L1347" s="65">
        <v>321120</v>
      </c>
      <c r="M1347" t="s">
        <v>1226</v>
      </c>
    </row>
    <row r="1348" spans="12:13" x14ac:dyDescent="0.25">
      <c r="L1348" s="65">
        <v>321121</v>
      </c>
      <c r="M1348" t="s">
        <v>1227</v>
      </c>
    </row>
    <row r="1349" spans="12:13" x14ac:dyDescent="0.25">
      <c r="L1349" s="65">
        <v>321122</v>
      </c>
      <c r="M1349" t="s">
        <v>1228</v>
      </c>
    </row>
    <row r="1350" spans="12:13" x14ac:dyDescent="0.25">
      <c r="L1350" s="65">
        <v>321200</v>
      </c>
      <c r="M1350" t="s">
        <v>1229</v>
      </c>
    </row>
    <row r="1351" spans="12:13" x14ac:dyDescent="0.25">
      <c r="L1351" s="65">
        <v>321210</v>
      </c>
      <c r="M1351" t="s">
        <v>1229</v>
      </c>
    </row>
    <row r="1352" spans="12:13" x14ac:dyDescent="0.25">
      <c r="L1352" s="65">
        <v>321211</v>
      </c>
      <c r="M1352" t="s">
        <v>1229</v>
      </c>
    </row>
    <row r="1353" spans="12:13" x14ac:dyDescent="0.25">
      <c r="L1353" s="65">
        <v>321300</v>
      </c>
      <c r="M1353" t="s">
        <v>1230</v>
      </c>
    </row>
    <row r="1354" spans="12:13" x14ac:dyDescent="0.25">
      <c r="L1354" s="65">
        <v>321310</v>
      </c>
      <c r="M1354" t="s">
        <v>1230</v>
      </c>
    </row>
    <row r="1355" spans="12:13" x14ac:dyDescent="0.25">
      <c r="L1355" s="65">
        <v>321311</v>
      </c>
      <c r="M1355" t="s">
        <v>1231</v>
      </c>
    </row>
    <row r="1356" spans="12:13" x14ac:dyDescent="0.25">
      <c r="L1356" s="65">
        <v>321312</v>
      </c>
      <c r="M1356" t="s">
        <v>1232</v>
      </c>
    </row>
    <row r="1357" spans="12:13" x14ac:dyDescent="0.25">
      <c r="L1357" s="65">
        <v>330000</v>
      </c>
      <c r="M1357" t="s">
        <v>1233</v>
      </c>
    </row>
    <row r="1358" spans="12:13" x14ac:dyDescent="0.25">
      <c r="L1358" s="65">
        <v>331000</v>
      </c>
      <c r="M1358" t="s">
        <v>1233</v>
      </c>
    </row>
    <row r="1359" spans="12:13" x14ac:dyDescent="0.25">
      <c r="L1359" s="65">
        <v>331100</v>
      </c>
      <c r="M1359" t="s">
        <v>1233</v>
      </c>
    </row>
    <row r="1360" spans="12:13" x14ac:dyDescent="0.25">
      <c r="L1360" s="65">
        <v>331110</v>
      </c>
      <c r="M1360" t="s">
        <v>275</v>
      </c>
    </row>
    <row r="1361" spans="12:13" x14ac:dyDescent="0.25">
      <c r="L1361" s="65">
        <v>331111</v>
      </c>
      <c r="M1361" t="s">
        <v>275</v>
      </c>
    </row>
    <row r="1362" spans="12:13" x14ac:dyDescent="0.25">
      <c r="L1362" s="65">
        <v>331120</v>
      </c>
      <c r="M1362" t="s">
        <v>1234</v>
      </c>
    </row>
    <row r="1363" spans="12:13" x14ac:dyDescent="0.25">
      <c r="L1363" s="65">
        <v>331121</v>
      </c>
      <c r="M1363" t="s">
        <v>1234</v>
      </c>
    </row>
    <row r="1364" spans="12:13" x14ac:dyDescent="0.25">
      <c r="L1364" s="65">
        <v>331130</v>
      </c>
      <c r="M1364" t="s">
        <v>1235</v>
      </c>
    </row>
    <row r="1365" spans="12:13" x14ac:dyDescent="0.25">
      <c r="L1365" s="65">
        <v>331131</v>
      </c>
      <c r="M1365" t="s">
        <v>1235</v>
      </c>
    </row>
    <row r="1366" spans="12:13" x14ac:dyDescent="0.25">
      <c r="L1366" s="65">
        <v>331140</v>
      </c>
      <c r="M1366" t="s">
        <v>1236</v>
      </c>
    </row>
    <row r="1367" spans="12:13" x14ac:dyDescent="0.25">
      <c r="L1367" s="65">
        <v>331141</v>
      </c>
      <c r="M1367" t="s">
        <v>1236</v>
      </c>
    </row>
    <row r="1368" spans="12:13" x14ac:dyDescent="0.25">
      <c r="L1368" s="65">
        <v>331150</v>
      </c>
      <c r="M1368" t="s">
        <v>408</v>
      </c>
    </row>
    <row r="1369" spans="12:13" x14ac:dyDescent="0.25">
      <c r="L1369" s="65">
        <v>331151</v>
      </c>
      <c r="M1369" t="s">
        <v>408</v>
      </c>
    </row>
    <row r="1370" spans="12:13" x14ac:dyDescent="0.25">
      <c r="L1370" s="65">
        <v>331160</v>
      </c>
      <c r="M1370" t="s">
        <v>1237</v>
      </c>
    </row>
    <row r="1371" spans="12:13" x14ac:dyDescent="0.25">
      <c r="L1371" s="65">
        <v>331161</v>
      </c>
      <c r="M1371" t="s">
        <v>1238</v>
      </c>
    </row>
    <row r="1372" spans="12:13" x14ac:dyDescent="0.25">
      <c r="L1372" s="65">
        <v>331170</v>
      </c>
      <c r="M1372" t="s">
        <v>1239</v>
      </c>
    </row>
    <row r="1373" spans="12:13" x14ac:dyDescent="0.25">
      <c r="L1373" s="65">
        <v>331171</v>
      </c>
      <c r="M1373" t="s">
        <v>1239</v>
      </c>
    </row>
    <row r="1374" spans="12:13" x14ac:dyDescent="0.25">
      <c r="L1374" s="65">
        <v>331180</v>
      </c>
      <c r="M1374" t="s">
        <v>1240</v>
      </c>
    </row>
    <row r="1375" spans="12:13" x14ac:dyDescent="0.25">
      <c r="L1375" s="65">
        <v>331181</v>
      </c>
      <c r="M1375" t="s">
        <v>1240</v>
      </c>
    </row>
    <row r="1376" spans="12:13" x14ac:dyDescent="0.25">
      <c r="L1376" s="65">
        <v>340000</v>
      </c>
      <c r="M1376" t="s">
        <v>1241</v>
      </c>
    </row>
    <row r="1377" spans="12:13" x14ac:dyDescent="0.25">
      <c r="L1377" s="65">
        <v>341000</v>
      </c>
      <c r="M1377" t="s">
        <v>1241</v>
      </c>
    </row>
    <row r="1378" spans="12:13" x14ac:dyDescent="0.25">
      <c r="L1378" s="65">
        <v>341100</v>
      </c>
      <c r="M1378" t="s">
        <v>1241</v>
      </c>
    </row>
    <row r="1379" spans="12:13" x14ac:dyDescent="0.25">
      <c r="L1379" s="65">
        <v>341110</v>
      </c>
      <c r="M1379" t="s">
        <v>276</v>
      </c>
    </row>
    <row r="1380" spans="12:13" x14ac:dyDescent="0.25">
      <c r="L1380" s="65">
        <v>341111</v>
      </c>
      <c r="M1380" t="s">
        <v>276</v>
      </c>
    </row>
    <row r="1381" spans="12:13" x14ac:dyDescent="0.25">
      <c r="L1381" s="65">
        <v>341120</v>
      </c>
      <c r="M1381" t="s">
        <v>1242</v>
      </c>
    </row>
    <row r="1382" spans="12:13" x14ac:dyDescent="0.25">
      <c r="L1382" s="65">
        <v>341121</v>
      </c>
      <c r="M1382" t="s">
        <v>1242</v>
      </c>
    </row>
    <row r="1383" spans="12:13" x14ac:dyDescent="0.25">
      <c r="L1383" s="65">
        <v>341130</v>
      </c>
      <c r="M1383" t="s">
        <v>1243</v>
      </c>
    </row>
    <row r="1384" spans="12:13" x14ac:dyDescent="0.25">
      <c r="L1384" s="65">
        <v>341131</v>
      </c>
      <c r="M1384" t="s">
        <v>1243</v>
      </c>
    </row>
    <row r="1385" spans="12:13" x14ac:dyDescent="0.25">
      <c r="L1385" s="65">
        <v>341140</v>
      </c>
      <c r="M1385" t="s">
        <v>400</v>
      </c>
    </row>
    <row r="1386" spans="12:13" x14ac:dyDescent="0.25">
      <c r="L1386" s="65">
        <v>341141</v>
      </c>
      <c r="M1386" t="s">
        <v>400</v>
      </c>
    </row>
    <row r="1387" spans="12:13" x14ac:dyDescent="0.25">
      <c r="L1387" s="65">
        <v>341150</v>
      </c>
      <c r="M1387" t="s">
        <v>409</v>
      </c>
    </row>
    <row r="1388" spans="12:13" x14ac:dyDescent="0.25">
      <c r="L1388" s="65">
        <v>341151</v>
      </c>
      <c r="M1388" t="s">
        <v>409</v>
      </c>
    </row>
    <row r="1389" spans="12:13" x14ac:dyDescent="0.25">
      <c r="L1389" s="65">
        <v>341160</v>
      </c>
      <c r="M1389" t="s">
        <v>1244</v>
      </c>
    </row>
    <row r="1390" spans="12:13" x14ac:dyDescent="0.25">
      <c r="L1390" s="65">
        <v>341161</v>
      </c>
      <c r="M1390" t="s">
        <v>1244</v>
      </c>
    </row>
    <row r="1391" spans="12:13" x14ac:dyDescent="0.25">
      <c r="L1391" s="65">
        <v>341170</v>
      </c>
      <c r="M1391" t="s">
        <v>507</v>
      </c>
    </row>
    <row r="1392" spans="12:13" x14ac:dyDescent="0.25">
      <c r="L1392" s="65">
        <v>341171</v>
      </c>
      <c r="M1392" t="s">
        <v>507</v>
      </c>
    </row>
    <row r="1393" spans="12:13" x14ac:dyDescent="0.25">
      <c r="L1393" s="65">
        <v>341180</v>
      </c>
      <c r="M1393" t="s">
        <v>1245</v>
      </c>
    </row>
    <row r="1394" spans="12:13" x14ac:dyDescent="0.25">
      <c r="L1394" s="65">
        <v>341181</v>
      </c>
      <c r="M1394" t="s">
        <v>1245</v>
      </c>
    </row>
    <row r="1395" spans="12:13" x14ac:dyDescent="0.25">
      <c r="L1395" s="65">
        <v>350000</v>
      </c>
      <c r="M1395" t="s">
        <v>1246</v>
      </c>
    </row>
    <row r="1396" spans="12:13" x14ac:dyDescent="0.25">
      <c r="L1396" s="65">
        <v>351000</v>
      </c>
      <c r="M1396" t="s">
        <v>1247</v>
      </c>
    </row>
    <row r="1397" spans="12:13" x14ac:dyDescent="0.25">
      <c r="L1397" s="65">
        <v>351100</v>
      </c>
      <c r="M1397" t="s">
        <v>1247</v>
      </c>
    </row>
    <row r="1398" spans="12:13" x14ac:dyDescent="0.25">
      <c r="L1398" s="65">
        <v>351110</v>
      </c>
      <c r="M1398" t="s">
        <v>1248</v>
      </c>
    </row>
    <row r="1399" spans="12:13" x14ac:dyDescent="0.25">
      <c r="L1399" s="65">
        <v>351111</v>
      </c>
      <c r="M1399" t="s">
        <v>1248</v>
      </c>
    </row>
    <row r="1400" spans="12:13" x14ac:dyDescent="0.25">
      <c r="L1400" s="65">
        <v>351120</v>
      </c>
      <c r="M1400" t="s">
        <v>1249</v>
      </c>
    </row>
    <row r="1401" spans="12:13" x14ac:dyDescent="0.25">
      <c r="L1401" s="65">
        <v>351121</v>
      </c>
      <c r="M1401" t="s">
        <v>1250</v>
      </c>
    </row>
    <row r="1402" spans="12:13" x14ac:dyDescent="0.25">
      <c r="L1402" s="65">
        <v>351122</v>
      </c>
      <c r="M1402" t="s">
        <v>1251</v>
      </c>
    </row>
    <row r="1403" spans="12:13" x14ac:dyDescent="0.25">
      <c r="L1403" s="65">
        <v>351123</v>
      </c>
      <c r="M1403" t="s">
        <v>1252</v>
      </c>
    </row>
    <row r="1404" spans="12:13" x14ac:dyDescent="0.25">
      <c r="L1404" s="65">
        <v>351130</v>
      </c>
      <c r="M1404" t="s">
        <v>1253</v>
      </c>
    </row>
    <row r="1405" spans="12:13" x14ac:dyDescent="0.25">
      <c r="L1405" s="65">
        <v>351131</v>
      </c>
      <c r="M1405" t="s">
        <v>1253</v>
      </c>
    </row>
    <row r="1406" spans="12:13" x14ac:dyDescent="0.25">
      <c r="L1406" s="65">
        <v>351140</v>
      </c>
      <c r="M1406" t="s">
        <v>1254</v>
      </c>
    </row>
    <row r="1407" spans="12:13" x14ac:dyDescent="0.25">
      <c r="L1407" s="65">
        <v>351141</v>
      </c>
      <c r="M1407" t="s">
        <v>1254</v>
      </c>
    </row>
    <row r="1408" spans="12:13" x14ac:dyDescent="0.25">
      <c r="L1408" s="65">
        <v>351150</v>
      </c>
      <c r="M1408" t="s">
        <v>1255</v>
      </c>
    </row>
    <row r="1409" spans="12:13" x14ac:dyDescent="0.25">
      <c r="L1409" s="65">
        <v>351151</v>
      </c>
      <c r="M1409" t="s">
        <v>1255</v>
      </c>
    </row>
    <row r="1410" spans="12:13" x14ac:dyDescent="0.25">
      <c r="L1410" s="65">
        <v>352000</v>
      </c>
      <c r="M1410" t="s">
        <v>1256</v>
      </c>
    </row>
    <row r="1411" spans="12:13" x14ac:dyDescent="0.25">
      <c r="L1411" s="65">
        <v>352100</v>
      </c>
      <c r="M1411" t="s">
        <v>1256</v>
      </c>
    </row>
    <row r="1412" spans="12:13" x14ac:dyDescent="0.25">
      <c r="L1412" s="65">
        <v>352110</v>
      </c>
      <c r="M1412" t="s">
        <v>1257</v>
      </c>
    </row>
    <row r="1413" spans="12:13" x14ac:dyDescent="0.25">
      <c r="L1413" s="65">
        <v>352111</v>
      </c>
      <c r="M1413" t="s">
        <v>1257</v>
      </c>
    </row>
    <row r="1414" spans="12:13" x14ac:dyDescent="0.25">
      <c r="L1414" s="65">
        <v>352120</v>
      </c>
      <c r="M1414" t="s">
        <v>1258</v>
      </c>
    </row>
    <row r="1415" spans="12:13" x14ac:dyDescent="0.25">
      <c r="L1415" s="65">
        <v>352121</v>
      </c>
      <c r="M1415" t="s">
        <v>1259</v>
      </c>
    </row>
    <row r="1416" spans="12:13" x14ac:dyDescent="0.25">
      <c r="L1416" s="65">
        <v>352122</v>
      </c>
      <c r="M1416" t="s">
        <v>1260</v>
      </c>
    </row>
    <row r="1417" spans="12:13" x14ac:dyDescent="0.25">
      <c r="L1417" s="65">
        <v>352123</v>
      </c>
      <c r="M1417" t="s">
        <v>1261</v>
      </c>
    </row>
    <row r="1418" spans="12:13" x14ac:dyDescent="0.25">
      <c r="L1418" s="65">
        <v>352130</v>
      </c>
      <c r="M1418" t="s">
        <v>1262</v>
      </c>
    </row>
    <row r="1419" spans="12:13" x14ac:dyDescent="0.25">
      <c r="L1419" s="65">
        <v>352131</v>
      </c>
      <c r="M1419" t="s">
        <v>1262</v>
      </c>
    </row>
    <row r="1420" spans="12:13" x14ac:dyDescent="0.25">
      <c r="L1420" s="65">
        <v>352140</v>
      </c>
      <c r="M1420" t="s">
        <v>1263</v>
      </c>
    </row>
    <row r="1421" spans="12:13" x14ac:dyDescent="0.25">
      <c r="L1421" s="65">
        <v>352141</v>
      </c>
      <c r="M1421" t="s">
        <v>1263</v>
      </c>
    </row>
    <row r="1422" spans="12:13" x14ac:dyDescent="0.25">
      <c r="L1422" s="65">
        <v>352150</v>
      </c>
      <c r="M1422" t="s">
        <v>1264</v>
      </c>
    </row>
    <row r="1423" spans="12:13" x14ac:dyDescent="0.25">
      <c r="L1423" s="65">
        <v>352151</v>
      </c>
      <c r="M1423" t="s">
        <v>1264</v>
      </c>
    </row>
    <row r="1424" spans="12:13" x14ac:dyDescent="0.25">
      <c r="L1424" s="65">
        <v>400000</v>
      </c>
      <c r="M1424" t="s">
        <v>1265</v>
      </c>
    </row>
    <row r="1425" spans="12:13" x14ac:dyDescent="0.25">
      <c r="L1425" s="65">
        <v>410000</v>
      </c>
      <c r="M1425" t="s">
        <v>1266</v>
      </c>
    </row>
    <row r="1426" spans="12:13" x14ac:dyDescent="0.25">
      <c r="L1426" s="65">
        <v>411000</v>
      </c>
      <c r="M1426" t="s">
        <v>1267</v>
      </c>
    </row>
    <row r="1427" spans="12:13" x14ac:dyDescent="0.25">
      <c r="L1427" s="65">
        <v>411100</v>
      </c>
      <c r="M1427" t="s">
        <v>1268</v>
      </c>
    </row>
    <row r="1428" spans="12:13" x14ac:dyDescent="0.25">
      <c r="L1428" s="65">
        <v>411110</v>
      </c>
      <c r="M1428" t="s">
        <v>1268</v>
      </c>
    </row>
    <row r="1429" spans="12:13" x14ac:dyDescent="0.25">
      <c r="L1429" s="65">
        <v>411111</v>
      </c>
      <c r="M1429" t="s">
        <v>1269</v>
      </c>
    </row>
    <row r="1430" spans="12:13" x14ac:dyDescent="0.25">
      <c r="L1430" s="65">
        <v>411112</v>
      </c>
      <c r="M1430" t="s">
        <v>1270</v>
      </c>
    </row>
    <row r="1431" spans="12:13" x14ac:dyDescent="0.25">
      <c r="L1431" s="65">
        <v>411113</v>
      </c>
      <c r="M1431" t="s">
        <v>1271</v>
      </c>
    </row>
    <row r="1432" spans="12:13" x14ac:dyDescent="0.25">
      <c r="L1432" s="65">
        <v>411114</v>
      </c>
      <c r="M1432" t="s">
        <v>1272</v>
      </c>
    </row>
    <row r="1433" spans="12:13" x14ac:dyDescent="0.25">
      <c r="L1433" s="65">
        <v>411115</v>
      </c>
      <c r="M1433" t="s">
        <v>1273</v>
      </c>
    </row>
    <row r="1434" spans="12:13" x14ac:dyDescent="0.25">
      <c r="L1434" s="65">
        <v>411116</v>
      </c>
      <c r="M1434" t="s">
        <v>1274</v>
      </c>
    </row>
    <row r="1435" spans="12:13" x14ac:dyDescent="0.25">
      <c r="L1435" s="65">
        <v>411117</v>
      </c>
      <c r="M1435" t="s">
        <v>1275</v>
      </c>
    </row>
    <row r="1436" spans="12:13" x14ac:dyDescent="0.25">
      <c r="L1436" s="65">
        <v>411118</v>
      </c>
      <c r="M1436" t="s">
        <v>1276</v>
      </c>
    </row>
    <row r="1437" spans="12:13" x14ac:dyDescent="0.25">
      <c r="L1437" s="66">
        <v>411119</v>
      </c>
      <c r="M1437" t="s">
        <v>1277</v>
      </c>
    </row>
    <row r="1438" spans="12:13" x14ac:dyDescent="0.25">
      <c r="L1438" s="65">
        <v>411120</v>
      </c>
      <c r="M1438" t="s">
        <v>1278</v>
      </c>
    </row>
    <row r="1439" spans="12:13" x14ac:dyDescent="0.25">
      <c r="L1439" s="65">
        <v>411121</v>
      </c>
      <c r="M1439" t="s">
        <v>1279</v>
      </c>
    </row>
    <row r="1440" spans="12:13" x14ac:dyDescent="0.25">
      <c r="L1440" s="65">
        <v>411122</v>
      </c>
      <c r="M1440" t="s">
        <v>1280</v>
      </c>
    </row>
    <row r="1441" spans="12:13" x14ac:dyDescent="0.25">
      <c r="L1441" s="65">
        <v>411130</v>
      </c>
      <c r="M1441" t="s">
        <v>1281</v>
      </c>
    </row>
    <row r="1442" spans="12:13" x14ac:dyDescent="0.25">
      <c r="L1442" s="65">
        <v>411131</v>
      </c>
      <c r="M1442" t="s">
        <v>1281</v>
      </c>
    </row>
    <row r="1443" spans="12:13" x14ac:dyDescent="0.25">
      <c r="L1443" s="65">
        <v>411140</v>
      </c>
      <c r="M1443" t="s">
        <v>1282</v>
      </c>
    </row>
    <row r="1444" spans="12:13" x14ac:dyDescent="0.25">
      <c r="L1444" s="65">
        <v>411141</v>
      </c>
      <c r="M1444" t="s">
        <v>1282</v>
      </c>
    </row>
    <row r="1445" spans="12:13" x14ac:dyDescent="0.25">
      <c r="L1445" s="65">
        <v>411150</v>
      </c>
      <c r="M1445" t="s">
        <v>1283</v>
      </c>
    </row>
    <row r="1446" spans="12:13" x14ac:dyDescent="0.25">
      <c r="L1446" s="65">
        <v>411151</v>
      </c>
      <c r="M1446" t="s">
        <v>1284</v>
      </c>
    </row>
    <row r="1447" spans="12:13" x14ac:dyDescent="0.25">
      <c r="L1447" s="65">
        <v>411159</v>
      </c>
      <c r="M1447" t="s">
        <v>1285</v>
      </c>
    </row>
    <row r="1448" spans="12:13" x14ac:dyDescent="0.25">
      <c r="L1448" s="65">
        <v>411190</v>
      </c>
      <c r="M1448" t="s">
        <v>1286</v>
      </c>
    </row>
    <row r="1449" spans="12:13" x14ac:dyDescent="0.25">
      <c r="L1449" s="65">
        <v>411191</v>
      </c>
      <c r="M1449" t="s">
        <v>1286</v>
      </c>
    </row>
    <row r="1450" spans="12:13" x14ac:dyDescent="0.25">
      <c r="L1450" s="65">
        <v>412000</v>
      </c>
      <c r="M1450" t="s">
        <v>1287</v>
      </c>
    </row>
    <row r="1451" spans="12:13" x14ac:dyDescent="0.25">
      <c r="L1451" s="65">
        <v>412100</v>
      </c>
      <c r="M1451" t="s">
        <v>1288</v>
      </c>
    </row>
    <row r="1452" spans="12:13" x14ac:dyDescent="0.25">
      <c r="L1452" s="65">
        <v>412110</v>
      </c>
      <c r="M1452" t="s">
        <v>1288</v>
      </c>
    </row>
    <row r="1453" spans="12:13" x14ac:dyDescent="0.25">
      <c r="L1453" s="65">
        <v>412111</v>
      </c>
      <c r="M1453" t="s">
        <v>1288</v>
      </c>
    </row>
    <row r="1454" spans="12:13" x14ac:dyDescent="0.25">
      <c r="L1454" s="65">
        <v>412112</v>
      </c>
      <c r="M1454" t="s">
        <v>1289</v>
      </c>
    </row>
    <row r="1455" spans="12:13" x14ac:dyDescent="0.25">
      <c r="L1455" s="65">
        <v>412113</v>
      </c>
      <c r="M1455" t="s">
        <v>1290</v>
      </c>
    </row>
    <row r="1456" spans="12:13" x14ac:dyDescent="0.25">
      <c r="L1456" s="65">
        <v>412200</v>
      </c>
      <c r="M1456" t="s">
        <v>1291</v>
      </c>
    </row>
    <row r="1457" spans="12:13" x14ac:dyDescent="0.25">
      <c r="L1457" s="65">
        <v>412210</v>
      </c>
      <c r="M1457" t="s">
        <v>1291</v>
      </c>
    </row>
    <row r="1458" spans="12:13" x14ac:dyDescent="0.25">
      <c r="L1458" s="65">
        <v>412211</v>
      </c>
      <c r="M1458" t="s">
        <v>1291</v>
      </c>
    </row>
    <row r="1459" spans="12:13" x14ac:dyDescent="0.25">
      <c r="L1459" s="65">
        <v>412221</v>
      </c>
      <c r="M1459" t="s">
        <v>1292</v>
      </c>
    </row>
    <row r="1460" spans="12:13" x14ac:dyDescent="0.25">
      <c r="L1460" s="65">
        <v>412300</v>
      </c>
      <c r="M1460" t="s">
        <v>1293</v>
      </c>
    </row>
    <row r="1461" spans="12:13" x14ac:dyDescent="0.25">
      <c r="L1461" s="65">
        <v>412310</v>
      </c>
      <c r="M1461" t="s">
        <v>1293</v>
      </c>
    </row>
    <row r="1462" spans="12:13" x14ac:dyDescent="0.25">
      <c r="L1462" s="65">
        <v>412311</v>
      </c>
      <c r="M1462" t="s">
        <v>1293</v>
      </c>
    </row>
    <row r="1463" spans="12:13" x14ac:dyDescent="0.25">
      <c r="L1463" s="65">
        <v>413000</v>
      </c>
      <c r="M1463" t="s">
        <v>1294</v>
      </c>
    </row>
    <row r="1464" spans="12:13" x14ac:dyDescent="0.25">
      <c r="L1464" s="65">
        <v>413100</v>
      </c>
      <c r="M1464" t="s">
        <v>1294</v>
      </c>
    </row>
    <row r="1465" spans="12:13" x14ac:dyDescent="0.25">
      <c r="L1465" s="65">
        <v>413110</v>
      </c>
      <c r="M1465" t="s">
        <v>1294</v>
      </c>
    </row>
    <row r="1466" spans="12:13" x14ac:dyDescent="0.25">
      <c r="L1466" s="65">
        <v>413111</v>
      </c>
      <c r="M1466" t="s">
        <v>1295</v>
      </c>
    </row>
    <row r="1467" spans="12:13" x14ac:dyDescent="0.25">
      <c r="L1467" s="65">
        <v>413112</v>
      </c>
      <c r="M1467" t="s">
        <v>1296</v>
      </c>
    </row>
    <row r="1468" spans="12:13" x14ac:dyDescent="0.25">
      <c r="L1468" s="65">
        <v>413119</v>
      </c>
      <c r="M1468" t="s">
        <v>1297</v>
      </c>
    </row>
    <row r="1469" spans="12:13" x14ac:dyDescent="0.25">
      <c r="L1469" s="65">
        <v>413120</v>
      </c>
      <c r="M1469" t="s">
        <v>1298</v>
      </c>
    </row>
    <row r="1470" spans="12:13" x14ac:dyDescent="0.25">
      <c r="L1470" s="65">
        <v>413121</v>
      </c>
      <c r="M1470" t="s">
        <v>1298</v>
      </c>
    </row>
    <row r="1471" spans="12:13" x14ac:dyDescent="0.25">
      <c r="L1471" s="65">
        <v>413130</v>
      </c>
      <c r="M1471" t="s">
        <v>1299</v>
      </c>
    </row>
    <row r="1472" spans="12:13" x14ac:dyDescent="0.25">
      <c r="L1472" s="65">
        <v>413131</v>
      </c>
      <c r="M1472" t="s">
        <v>1300</v>
      </c>
    </row>
    <row r="1473" spans="12:13" x14ac:dyDescent="0.25">
      <c r="L1473" s="65">
        <v>413139</v>
      </c>
      <c r="M1473" t="s">
        <v>1301</v>
      </c>
    </row>
    <row r="1474" spans="12:13" x14ac:dyDescent="0.25">
      <c r="L1474" s="65">
        <v>413140</v>
      </c>
      <c r="M1474" t="s">
        <v>1302</v>
      </c>
    </row>
    <row r="1475" spans="12:13" x14ac:dyDescent="0.25">
      <c r="L1475" s="65">
        <v>413141</v>
      </c>
      <c r="M1475" t="s">
        <v>1303</v>
      </c>
    </row>
    <row r="1476" spans="12:13" x14ac:dyDescent="0.25">
      <c r="L1476" s="65">
        <v>413142</v>
      </c>
      <c r="M1476" t="s">
        <v>1304</v>
      </c>
    </row>
    <row r="1477" spans="12:13" x14ac:dyDescent="0.25">
      <c r="L1477" s="65">
        <v>413150</v>
      </c>
      <c r="M1477" t="s">
        <v>1305</v>
      </c>
    </row>
    <row r="1478" spans="12:13" x14ac:dyDescent="0.25">
      <c r="L1478" s="65">
        <v>413151</v>
      </c>
      <c r="M1478" t="s">
        <v>1305</v>
      </c>
    </row>
    <row r="1479" spans="12:13" x14ac:dyDescent="0.25">
      <c r="L1479" s="65">
        <v>413160</v>
      </c>
      <c r="M1479" t="s">
        <v>1306</v>
      </c>
    </row>
    <row r="1480" spans="12:13" x14ac:dyDescent="0.25">
      <c r="L1480" s="65">
        <v>413161</v>
      </c>
      <c r="M1480" t="s">
        <v>1306</v>
      </c>
    </row>
    <row r="1481" spans="12:13" x14ac:dyDescent="0.25">
      <c r="L1481" s="65">
        <v>413170</v>
      </c>
      <c r="M1481" t="s">
        <v>1307</v>
      </c>
    </row>
    <row r="1482" spans="12:13" x14ac:dyDescent="0.25">
      <c r="L1482" s="65">
        <v>413171</v>
      </c>
      <c r="M1482" t="s">
        <v>1307</v>
      </c>
    </row>
    <row r="1483" spans="12:13" x14ac:dyDescent="0.25">
      <c r="L1483" s="65">
        <v>413180</v>
      </c>
      <c r="M1483" t="s">
        <v>1308</v>
      </c>
    </row>
    <row r="1484" spans="12:13" x14ac:dyDescent="0.25">
      <c r="L1484" s="65">
        <v>413181</v>
      </c>
      <c r="M1484" t="s">
        <v>1308</v>
      </c>
    </row>
    <row r="1485" spans="12:13" x14ac:dyDescent="0.25">
      <c r="L1485" s="65">
        <v>414000</v>
      </c>
      <c r="M1485" t="s">
        <v>1309</v>
      </c>
    </row>
    <row r="1486" spans="12:13" x14ac:dyDescent="0.25">
      <c r="L1486" s="65">
        <v>414100</v>
      </c>
      <c r="M1486" t="s">
        <v>1310</v>
      </c>
    </row>
    <row r="1487" spans="12:13" x14ac:dyDescent="0.25">
      <c r="L1487" s="65">
        <v>414110</v>
      </c>
      <c r="M1487" t="s">
        <v>1311</v>
      </c>
    </row>
    <row r="1488" spans="12:13" x14ac:dyDescent="0.25">
      <c r="L1488" s="65">
        <v>414111</v>
      </c>
      <c r="M1488" t="s">
        <v>1311</v>
      </c>
    </row>
    <row r="1489" spans="12:13" x14ac:dyDescent="0.25">
      <c r="L1489" s="65">
        <v>414120</v>
      </c>
      <c r="M1489" t="s">
        <v>1312</v>
      </c>
    </row>
    <row r="1490" spans="12:13" x14ac:dyDescent="0.25">
      <c r="L1490" s="65">
        <v>414121</v>
      </c>
      <c r="M1490" t="s">
        <v>1312</v>
      </c>
    </row>
    <row r="1491" spans="12:13" x14ac:dyDescent="0.25">
      <c r="L1491" s="65">
        <v>414130</v>
      </c>
      <c r="M1491" t="s">
        <v>1313</v>
      </c>
    </row>
    <row r="1492" spans="12:13" x14ac:dyDescent="0.25">
      <c r="L1492" s="65">
        <v>414131</v>
      </c>
      <c r="M1492" t="s">
        <v>1313</v>
      </c>
    </row>
    <row r="1493" spans="12:13" x14ac:dyDescent="0.25">
      <c r="L1493" s="65">
        <v>414200</v>
      </c>
      <c r="M1493" t="s">
        <v>1314</v>
      </c>
    </row>
    <row r="1494" spans="12:13" x14ac:dyDescent="0.25">
      <c r="L1494" s="65">
        <v>414210</v>
      </c>
      <c r="M1494" t="s">
        <v>1314</v>
      </c>
    </row>
    <row r="1495" spans="12:13" x14ac:dyDescent="0.25">
      <c r="L1495" s="65">
        <v>414211</v>
      </c>
      <c r="M1495" t="s">
        <v>1314</v>
      </c>
    </row>
    <row r="1496" spans="12:13" x14ac:dyDescent="0.25">
      <c r="L1496" s="65">
        <v>414300</v>
      </c>
      <c r="M1496" t="s">
        <v>1315</v>
      </c>
    </row>
    <row r="1497" spans="12:13" x14ac:dyDescent="0.25">
      <c r="L1497" s="65">
        <v>414310</v>
      </c>
      <c r="M1497" t="s">
        <v>1315</v>
      </c>
    </row>
    <row r="1498" spans="12:13" x14ac:dyDescent="0.25">
      <c r="L1498" s="65">
        <v>414311</v>
      </c>
      <c r="M1498" t="s">
        <v>1316</v>
      </c>
    </row>
    <row r="1499" spans="12:13" x14ac:dyDescent="0.25">
      <c r="L1499" s="65">
        <v>414312</v>
      </c>
      <c r="M1499" t="s">
        <v>1317</v>
      </c>
    </row>
    <row r="1500" spans="12:13" x14ac:dyDescent="0.25">
      <c r="L1500" s="65">
        <v>414314</v>
      </c>
      <c r="M1500" t="s">
        <v>1318</v>
      </c>
    </row>
    <row r="1501" spans="12:13" x14ac:dyDescent="0.25">
      <c r="L1501" s="65">
        <v>414400</v>
      </c>
      <c r="M1501" t="s">
        <v>1319</v>
      </c>
    </row>
    <row r="1502" spans="12:13" x14ac:dyDescent="0.25">
      <c r="L1502" s="65">
        <v>414410</v>
      </c>
      <c r="M1502" t="s">
        <v>1319</v>
      </c>
    </row>
    <row r="1503" spans="12:13" x14ac:dyDescent="0.25">
      <c r="L1503" s="65">
        <v>414411</v>
      </c>
      <c r="M1503" t="s">
        <v>1320</v>
      </c>
    </row>
    <row r="1504" spans="12:13" x14ac:dyDescent="0.25">
      <c r="L1504" s="65">
        <v>414412</v>
      </c>
      <c r="M1504" t="s">
        <v>1321</v>
      </c>
    </row>
    <row r="1505" spans="12:13" x14ac:dyDescent="0.25">
      <c r="L1505" s="65">
        <v>414419</v>
      </c>
      <c r="M1505" t="s">
        <v>1322</v>
      </c>
    </row>
    <row r="1506" spans="12:13" x14ac:dyDescent="0.25">
      <c r="L1506" s="65">
        <v>415000</v>
      </c>
      <c r="M1506" t="s">
        <v>1323</v>
      </c>
    </row>
    <row r="1507" spans="12:13" x14ac:dyDescent="0.25">
      <c r="L1507" s="65">
        <v>415100</v>
      </c>
      <c r="M1507" t="s">
        <v>1323</v>
      </c>
    </row>
    <row r="1508" spans="12:13" x14ac:dyDescent="0.25">
      <c r="L1508" s="65">
        <v>415110</v>
      </c>
      <c r="M1508" t="s">
        <v>1323</v>
      </c>
    </row>
    <row r="1509" spans="12:13" x14ac:dyDescent="0.25">
      <c r="L1509" s="65">
        <v>415111</v>
      </c>
      <c r="M1509" t="s">
        <v>1324</v>
      </c>
    </row>
    <row r="1510" spans="12:13" x14ac:dyDescent="0.25">
      <c r="L1510" s="65">
        <v>415112</v>
      </c>
      <c r="M1510" t="s">
        <v>1325</v>
      </c>
    </row>
    <row r="1511" spans="12:13" x14ac:dyDescent="0.25">
      <c r="L1511" s="65">
        <v>415113</v>
      </c>
      <c r="M1511" t="s">
        <v>1326</v>
      </c>
    </row>
    <row r="1512" spans="12:13" x14ac:dyDescent="0.25">
      <c r="L1512" s="65">
        <v>415114</v>
      </c>
      <c r="M1512" t="s">
        <v>1327</v>
      </c>
    </row>
    <row r="1513" spans="12:13" x14ac:dyDescent="0.25">
      <c r="L1513" s="65">
        <v>415119</v>
      </c>
      <c r="M1513" t="s">
        <v>1328</v>
      </c>
    </row>
    <row r="1514" spans="12:13" x14ac:dyDescent="0.25">
      <c r="L1514" s="65">
        <v>416000</v>
      </c>
      <c r="M1514" t="s">
        <v>1329</v>
      </c>
    </row>
    <row r="1515" spans="12:13" x14ac:dyDescent="0.25">
      <c r="L1515" s="65">
        <v>416100</v>
      </c>
      <c r="M1515" t="s">
        <v>1329</v>
      </c>
    </row>
    <row r="1516" spans="12:13" x14ac:dyDescent="0.25">
      <c r="L1516" s="65">
        <v>416110</v>
      </c>
      <c r="M1516" t="s">
        <v>1330</v>
      </c>
    </row>
    <row r="1517" spans="12:13" x14ac:dyDescent="0.25">
      <c r="L1517" s="65">
        <v>416111</v>
      </c>
      <c r="M1517" t="s">
        <v>1331</v>
      </c>
    </row>
    <row r="1518" spans="12:13" x14ac:dyDescent="0.25">
      <c r="L1518" s="65">
        <v>416112</v>
      </c>
      <c r="M1518" t="s">
        <v>1332</v>
      </c>
    </row>
    <row r="1519" spans="12:13" x14ac:dyDescent="0.25">
      <c r="L1519" s="65">
        <v>416119</v>
      </c>
      <c r="M1519" t="s">
        <v>1333</v>
      </c>
    </row>
    <row r="1520" spans="12:13" x14ac:dyDescent="0.25">
      <c r="L1520" s="65">
        <v>416120</v>
      </c>
      <c r="M1520" t="s">
        <v>1334</v>
      </c>
    </row>
    <row r="1521" spans="12:13" x14ac:dyDescent="0.25">
      <c r="L1521" s="65">
        <v>416121</v>
      </c>
      <c r="M1521" t="s">
        <v>1335</v>
      </c>
    </row>
    <row r="1522" spans="12:13" x14ac:dyDescent="0.25">
      <c r="L1522" s="65">
        <v>416130</v>
      </c>
      <c r="M1522" t="s">
        <v>1336</v>
      </c>
    </row>
    <row r="1523" spans="12:13" x14ac:dyDescent="0.25">
      <c r="L1523" s="65">
        <v>416131</v>
      </c>
      <c r="M1523" t="s">
        <v>1337</v>
      </c>
    </row>
    <row r="1524" spans="12:13" x14ac:dyDescent="0.25">
      <c r="L1524" s="65">
        <v>416132</v>
      </c>
      <c r="M1524" t="s">
        <v>1338</v>
      </c>
    </row>
    <row r="1525" spans="12:13" x14ac:dyDescent="0.25">
      <c r="L1525" s="65">
        <v>417000</v>
      </c>
      <c r="M1525" t="s">
        <v>1339</v>
      </c>
    </row>
    <row r="1526" spans="12:13" x14ac:dyDescent="0.25">
      <c r="L1526" s="65">
        <v>417100</v>
      </c>
      <c r="M1526" t="s">
        <v>1339</v>
      </c>
    </row>
    <row r="1527" spans="12:13" x14ac:dyDescent="0.25">
      <c r="L1527" s="65">
        <v>417110</v>
      </c>
      <c r="M1527" t="s">
        <v>1339</v>
      </c>
    </row>
    <row r="1528" spans="12:13" x14ac:dyDescent="0.25">
      <c r="L1528" s="65">
        <v>417111</v>
      </c>
      <c r="M1528" t="s">
        <v>1339</v>
      </c>
    </row>
    <row r="1529" spans="12:13" x14ac:dyDescent="0.25">
      <c r="L1529" s="65">
        <v>418000</v>
      </c>
      <c r="M1529" t="s">
        <v>1340</v>
      </c>
    </row>
    <row r="1530" spans="12:13" x14ac:dyDescent="0.25">
      <c r="L1530" s="65">
        <v>418100</v>
      </c>
      <c r="M1530" t="s">
        <v>1340</v>
      </c>
    </row>
    <row r="1531" spans="12:13" x14ac:dyDescent="0.25">
      <c r="L1531" s="65">
        <v>418110</v>
      </c>
      <c r="M1531" t="s">
        <v>1340</v>
      </c>
    </row>
    <row r="1532" spans="12:13" x14ac:dyDescent="0.25">
      <c r="L1532" s="65">
        <v>418111</v>
      </c>
      <c r="M1532" t="s">
        <v>1340</v>
      </c>
    </row>
    <row r="1533" spans="12:13" x14ac:dyDescent="0.25">
      <c r="L1533" s="65">
        <v>420000</v>
      </c>
      <c r="M1533" t="s">
        <v>1341</v>
      </c>
    </row>
    <row r="1534" spans="12:13" x14ac:dyDescent="0.25">
      <c r="L1534" s="65">
        <v>421000</v>
      </c>
      <c r="M1534" t="s">
        <v>1342</v>
      </c>
    </row>
    <row r="1535" spans="12:13" x14ac:dyDescent="0.25">
      <c r="L1535" s="65">
        <v>421100</v>
      </c>
      <c r="M1535" t="s">
        <v>1343</v>
      </c>
    </row>
    <row r="1536" spans="12:13" x14ac:dyDescent="0.25">
      <c r="L1536" s="65">
        <v>421110</v>
      </c>
      <c r="M1536" t="s">
        <v>1344</v>
      </c>
    </row>
    <row r="1537" spans="12:13" x14ac:dyDescent="0.25">
      <c r="L1537" s="65">
        <v>421111</v>
      </c>
      <c r="M1537" t="s">
        <v>1344</v>
      </c>
    </row>
    <row r="1538" spans="12:13" x14ac:dyDescent="0.25">
      <c r="L1538" s="65">
        <v>421120</v>
      </c>
      <c r="M1538" t="s">
        <v>1345</v>
      </c>
    </row>
    <row r="1539" spans="12:13" x14ac:dyDescent="0.25">
      <c r="L1539" s="65">
        <v>421121</v>
      </c>
      <c r="M1539" t="s">
        <v>1345</v>
      </c>
    </row>
    <row r="1540" spans="12:13" x14ac:dyDescent="0.25">
      <c r="L1540" s="65">
        <v>421200</v>
      </c>
      <c r="M1540" t="s">
        <v>1346</v>
      </c>
    </row>
    <row r="1541" spans="12:13" x14ac:dyDescent="0.25">
      <c r="L1541" s="65">
        <v>421210</v>
      </c>
      <c r="M1541" t="s">
        <v>1347</v>
      </c>
    </row>
    <row r="1542" spans="12:13" x14ac:dyDescent="0.25">
      <c r="L1542" s="65">
        <v>421211</v>
      </c>
      <c r="M1542" t="s">
        <v>1347</v>
      </c>
    </row>
    <row r="1543" spans="12:13" x14ac:dyDescent="0.25">
      <c r="L1543" s="65">
        <v>421220</v>
      </c>
      <c r="M1543" t="s">
        <v>1348</v>
      </c>
    </row>
    <row r="1544" spans="12:13" x14ac:dyDescent="0.25">
      <c r="L1544" s="65">
        <v>421221</v>
      </c>
      <c r="M1544" t="s">
        <v>1349</v>
      </c>
    </row>
    <row r="1545" spans="12:13" x14ac:dyDescent="0.25">
      <c r="L1545" s="65">
        <v>421222</v>
      </c>
      <c r="M1545" t="s">
        <v>1350</v>
      </c>
    </row>
    <row r="1546" spans="12:13" x14ac:dyDescent="0.25">
      <c r="L1546" s="65">
        <v>421223</v>
      </c>
      <c r="M1546" t="s">
        <v>1351</v>
      </c>
    </row>
    <row r="1547" spans="12:13" x14ac:dyDescent="0.25">
      <c r="L1547" s="65">
        <v>421224</v>
      </c>
      <c r="M1547" t="s">
        <v>1352</v>
      </c>
    </row>
    <row r="1548" spans="12:13" x14ac:dyDescent="0.25">
      <c r="L1548" s="65">
        <v>421225</v>
      </c>
      <c r="M1548" t="s">
        <v>1353</v>
      </c>
    </row>
    <row r="1549" spans="12:13" x14ac:dyDescent="0.25">
      <c r="L1549" s="65">
        <v>421300</v>
      </c>
      <c r="M1549" t="s">
        <v>1354</v>
      </c>
    </row>
    <row r="1550" spans="12:13" x14ac:dyDescent="0.25">
      <c r="L1550" s="65">
        <v>421310</v>
      </c>
      <c r="M1550" t="s">
        <v>1355</v>
      </c>
    </row>
    <row r="1551" spans="12:13" x14ac:dyDescent="0.25">
      <c r="L1551" s="65">
        <v>421311</v>
      </c>
      <c r="M1551" t="s">
        <v>1355</v>
      </c>
    </row>
    <row r="1552" spans="12:13" x14ac:dyDescent="0.25">
      <c r="L1552" s="65">
        <v>421320</v>
      </c>
      <c r="M1552" t="s">
        <v>1356</v>
      </c>
    </row>
    <row r="1553" spans="12:13" x14ac:dyDescent="0.25">
      <c r="L1553" s="65">
        <v>421321</v>
      </c>
      <c r="M1553" t="s">
        <v>1357</v>
      </c>
    </row>
    <row r="1554" spans="12:13" x14ac:dyDescent="0.25">
      <c r="L1554" s="65">
        <v>421322</v>
      </c>
      <c r="M1554" t="s">
        <v>1358</v>
      </c>
    </row>
    <row r="1555" spans="12:13" x14ac:dyDescent="0.25">
      <c r="L1555" s="65">
        <v>421323</v>
      </c>
      <c r="M1555" t="s">
        <v>1359</v>
      </c>
    </row>
    <row r="1556" spans="12:13" x14ac:dyDescent="0.25">
      <c r="L1556" s="65">
        <v>421324</v>
      </c>
      <c r="M1556" t="s">
        <v>1360</v>
      </c>
    </row>
    <row r="1557" spans="12:13" x14ac:dyDescent="0.25">
      <c r="L1557" s="65">
        <v>421325</v>
      </c>
      <c r="M1557" t="s">
        <v>1361</v>
      </c>
    </row>
    <row r="1558" spans="12:13" x14ac:dyDescent="0.25">
      <c r="L1558" s="65">
        <v>421390</v>
      </c>
      <c r="M1558" t="s">
        <v>1362</v>
      </c>
    </row>
    <row r="1559" spans="12:13" x14ac:dyDescent="0.25">
      <c r="L1559" s="65">
        <v>421391</v>
      </c>
      <c r="M1559" t="s">
        <v>1363</v>
      </c>
    </row>
    <row r="1560" spans="12:13" x14ac:dyDescent="0.25">
      <c r="L1560" s="65">
        <v>421392</v>
      </c>
      <c r="M1560" t="s">
        <v>1364</v>
      </c>
    </row>
    <row r="1561" spans="12:13" x14ac:dyDescent="0.25">
      <c r="L1561" s="65">
        <v>421400</v>
      </c>
      <c r="M1561" t="s">
        <v>1365</v>
      </c>
    </row>
    <row r="1562" spans="12:13" x14ac:dyDescent="0.25">
      <c r="L1562" s="65">
        <v>421410</v>
      </c>
      <c r="M1562" t="s">
        <v>1366</v>
      </c>
    </row>
    <row r="1563" spans="12:13" x14ac:dyDescent="0.25">
      <c r="L1563" s="65">
        <v>421411</v>
      </c>
      <c r="M1563" t="s">
        <v>1367</v>
      </c>
    </row>
    <row r="1564" spans="12:13" x14ac:dyDescent="0.25">
      <c r="L1564" s="65">
        <v>421412</v>
      </c>
      <c r="M1564" t="s">
        <v>1368</v>
      </c>
    </row>
    <row r="1565" spans="12:13" x14ac:dyDescent="0.25">
      <c r="L1565" s="65">
        <v>421413</v>
      </c>
      <c r="M1565" t="s">
        <v>1369</v>
      </c>
    </row>
    <row r="1566" spans="12:13" x14ac:dyDescent="0.25">
      <c r="L1566" s="65">
        <v>421414</v>
      </c>
      <c r="M1566" t="s">
        <v>1370</v>
      </c>
    </row>
    <row r="1567" spans="12:13" x14ac:dyDescent="0.25">
      <c r="L1567" s="65">
        <v>421419</v>
      </c>
      <c r="M1567" t="s">
        <v>1371</v>
      </c>
    </row>
    <row r="1568" spans="12:13" x14ac:dyDescent="0.25">
      <c r="L1568" s="65">
        <v>421420</v>
      </c>
      <c r="M1568" t="s">
        <v>1372</v>
      </c>
    </row>
    <row r="1569" spans="12:13" x14ac:dyDescent="0.25">
      <c r="L1569" s="65">
        <v>421421</v>
      </c>
      <c r="M1569" t="s">
        <v>1373</v>
      </c>
    </row>
    <row r="1570" spans="12:13" x14ac:dyDescent="0.25">
      <c r="L1570" s="65">
        <v>421422</v>
      </c>
      <c r="M1570" t="s">
        <v>1374</v>
      </c>
    </row>
    <row r="1571" spans="12:13" x14ac:dyDescent="0.25">
      <c r="L1571" s="65">
        <v>421429</v>
      </c>
      <c r="M1571" t="s">
        <v>1375</v>
      </c>
    </row>
    <row r="1572" spans="12:13" x14ac:dyDescent="0.25">
      <c r="L1572" s="65">
        <v>421500</v>
      </c>
      <c r="M1572" t="s">
        <v>1376</v>
      </c>
    </row>
    <row r="1573" spans="12:13" x14ac:dyDescent="0.25">
      <c r="L1573" s="65">
        <v>421510</v>
      </c>
      <c r="M1573" t="s">
        <v>1377</v>
      </c>
    </row>
    <row r="1574" spans="12:13" x14ac:dyDescent="0.25">
      <c r="L1574" s="65">
        <v>421511</v>
      </c>
      <c r="M1574" t="s">
        <v>1378</v>
      </c>
    </row>
    <row r="1575" spans="12:13" x14ac:dyDescent="0.25">
      <c r="L1575" s="65">
        <v>421512</v>
      </c>
      <c r="M1575" t="s">
        <v>1379</v>
      </c>
    </row>
    <row r="1576" spans="12:13" x14ac:dyDescent="0.25">
      <c r="L1576" s="65">
        <v>421513</v>
      </c>
      <c r="M1576" t="s">
        <v>1380</v>
      </c>
    </row>
    <row r="1577" spans="12:13" x14ac:dyDescent="0.25">
      <c r="L1577" s="65">
        <v>421519</v>
      </c>
      <c r="M1577" t="s">
        <v>1381</v>
      </c>
    </row>
    <row r="1578" spans="12:13" x14ac:dyDescent="0.25">
      <c r="L1578" s="65">
        <v>421520</v>
      </c>
      <c r="M1578" t="s">
        <v>1382</v>
      </c>
    </row>
    <row r="1579" spans="12:13" x14ac:dyDescent="0.25">
      <c r="L1579" s="65">
        <v>421521</v>
      </c>
      <c r="M1579" t="s">
        <v>1383</v>
      </c>
    </row>
    <row r="1580" spans="12:13" x14ac:dyDescent="0.25">
      <c r="L1580" s="65">
        <v>421522</v>
      </c>
      <c r="M1580" t="s">
        <v>1384</v>
      </c>
    </row>
    <row r="1581" spans="12:13" x14ac:dyDescent="0.25">
      <c r="L1581" s="65">
        <v>421523</v>
      </c>
      <c r="M1581" t="s">
        <v>1385</v>
      </c>
    </row>
    <row r="1582" spans="12:13" x14ac:dyDescent="0.25">
      <c r="L1582" s="65">
        <v>421600</v>
      </c>
      <c r="M1582" t="s">
        <v>1386</v>
      </c>
    </row>
    <row r="1583" spans="12:13" x14ac:dyDescent="0.25">
      <c r="L1583" s="65">
        <v>421610</v>
      </c>
      <c r="M1583" t="s">
        <v>1387</v>
      </c>
    </row>
    <row r="1584" spans="12:13" x14ac:dyDescent="0.25">
      <c r="L1584" s="65">
        <v>421611</v>
      </c>
      <c r="M1584" t="s">
        <v>1388</v>
      </c>
    </row>
    <row r="1585" spans="12:13" x14ac:dyDescent="0.25">
      <c r="L1585" s="65">
        <v>421612</v>
      </c>
      <c r="M1585" t="s">
        <v>1389</v>
      </c>
    </row>
    <row r="1586" spans="12:13" x14ac:dyDescent="0.25">
      <c r="L1586" s="65">
        <v>421619</v>
      </c>
      <c r="M1586" t="s">
        <v>1390</v>
      </c>
    </row>
    <row r="1587" spans="12:13" x14ac:dyDescent="0.25">
      <c r="L1587" s="65">
        <v>421620</v>
      </c>
      <c r="M1587" t="s">
        <v>1391</v>
      </c>
    </row>
    <row r="1588" spans="12:13" x14ac:dyDescent="0.25">
      <c r="L1588" s="65">
        <v>421621</v>
      </c>
      <c r="M1588" t="s">
        <v>1392</v>
      </c>
    </row>
    <row r="1589" spans="12:13" x14ac:dyDescent="0.25">
      <c r="L1589" s="65">
        <v>421622</v>
      </c>
      <c r="M1589" t="s">
        <v>1393</v>
      </c>
    </row>
    <row r="1590" spans="12:13" x14ac:dyDescent="0.25">
      <c r="L1590" s="65">
        <v>421623</v>
      </c>
      <c r="M1590" t="s">
        <v>1394</v>
      </c>
    </row>
    <row r="1591" spans="12:13" x14ac:dyDescent="0.25">
      <c r="L1591" s="65">
        <v>421624</v>
      </c>
      <c r="M1591" t="s">
        <v>1395</v>
      </c>
    </row>
    <row r="1592" spans="12:13" x14ac:dyDescent="0.25">
      <c r="L1592" s="65">
        <v>421625</v>
      </c>
      <c r="M1592" t="s">
        <v>1396</v>
      </c>
    </row>
    <row r="1593" spans="12:13" x14ac:dyDescent="0.25">
      <c r="L1593" s="65">
        <v>421626</v>
      </c>
      <c r="M1593" t="s">
        <v>1397</v>
      </c>
    </row>
    <row r="1594" spans="12:13" x14ac:dyDescent="0.25">
      <c r="L1594" s="65">
        <v>421627</v>
      </c>
      <c r="M1594" t="s">
        <v>1398</v>
      </c>
    </row>
    <row r="1595" spans="12:13" x14ac:dyDescent="0.25">
      <c r="L1595" s="65">
        <v>421628</v>
      </c>
      <c r="M1595" t="s">
        <v>1399</v>
      </c>
    </row>
    <row r="1596" spans="12:13" x14ac:dyDescent="0.25">
      <c r="L1596" s="65">
        <v>421629</v>
      </c>
      <c r="M1596" t="s">
        <v>1400</v>
      </c>
    </row>
    <row r="1597" spans="12:13" x14ac:dyDescent="0.25">
      <c r="L1597" s="65">
        <v>421900</v>
      </c>
      <c r="M1597" t="s">
        <v>1401</v>
      </c>
    </row>
    <row r="1598" spans="12:13" x14ac:dyDescent="0.25">
      <c r="L1598" s="65">
        <v>421910</v>
      </c>
      <c r="M1598" t="s">
        <v>1401</v>
      </c>
    </row>
    <row r="1599" spans="12:13" x14ac:dyDescent="0.25">
      <c r="L1599" s="65">
        <v>421911</v>
      </c>
      <c r="M1599" t="s">
        <v>1402</v>
      </c>
    </row>
    <row r="1600" spans="12:13" x14ac:dyDescent="0.25">
      <c r="L1600" s="65">
        <v>421919</v>
      </c>
      <c r="M1600" t="s">
        <v>1403</v>
      </c>
    </row>
    <row r="1601" spans="12:13" x14ac:dyDescent="0.25">
      <c r="L1601" s="65">
        <v>422000</v>
      </c>
      <c r="M1601" t="s">
        <v>1404</v>
      </c>
    </row>
    <row r="1602" spans="12:13" x14ac:dyDescent="0.25">
      <c r="L1602" s="65">
        <v>422100</v>
      </c>
      <c r="M1602" t="s">
        <v>1405</v>
      </c>
    </row>
    <row r="1603" spans="12:13" x14ac:dyDescent="0.25">
      <c r="L1603" s="65">
        <v>422110</v>
      </c>
      <c r="M1603" t="s">
        <v>1406</v>
      </c>
    </row>
    <row r="1604" spans="12:13" x14ac:dyDescent="0.25">
      <c r="L1604" s="65">
        <v>422111</v>
      </c>
      <c r="M1604" t="s">
        <v>1406</v>
      </c>
    </row>
    <row r="1605" spans="12:13" x14ac:dyDescent="0.25">
      <c r="L1605" s="65">
        <v>422120</v>
      </c>
      <c r="M1605" t="s">
        <v>1407</v>
      </c>
    </row>
    <row r="1606" spans="12:13" x14ac:dyDescent="0.25">
      <c r="L1606" s="65">
        <v>422121</v>
      </c>
      <c r="M1606" t="s">
        <v>1407</v>
      </c>
    </row>
    <row r="1607" spans="12:13" x14ac:dyDescent="0.25">
      <c r="L1607" s="65">
        <v>422130</v>
      </c>
      <c r="M1607" t="s">
        <v>1408</v>
      </c>
    </row>
    <row r="1608" spans="12:13" x14ac:dyDescent="0.25">
      <c r="L1608" s="65">
        <v>422131</v>
      </c>
      <c r="M1608" t="s">
        <v>1408</v>
      </c>
    </row>
    <row r="1609" spans="12:13" x14ac:dyDescent="0.25">
      <c r="L1609" s="65">
        <v>422190</v>
      </c>
      <c r="M1609" t="s">
        <v>1409</v>
      </c>
    </row>
    <row r="1610" spans="12:13" x14ac:dyDescent="0.25">
      <c r="L1610" s="65">
        <v>422191</v>
      </c>
      <c r="M1610" t="s">
        <v>1410</v>
      </c>
    </row>
    <row r="1611" spans="12:13" x14ac:dyDescent="0.25">
      <c r="L1611" s="65">
        <v>422192</v>
      </c>
      <c r="M1611" t="s">
        <v>1411</v>
      </c>
    </row>
    <row r="1612" spans="12:13" x14ac:dyDescent="0.25">
      <c r="L1612" s="65">
        <v>422193</v>
      </c>
      <c r="M1612" t="s">
        <v>1412</v>
      </c>
    </row>
    <row r="1613" spans="12:13" x14ac:dyDescent="0.25">
      <c r="L1613" s="65">
        <v>422194</v>
      </c>
      <c r="M1613" t="s">
        <v>1413</v>
      </c>
    </row>
    <row r="1614" spans="12:13" x14ac:dyDescent="0.25">
      <c r="L1614" s="65">
        <v>422199</v>
      </c>
      <c r="M1614" t="s">
        <v>1414</v>
      </c>
    </row>
    <row r="1615" spans="12:13" x14ac:dyDescent="0.25">
      <c r="L1615" s="65">
        <v>422200</v>
      </c>
      <c r="M1615" t="s">
        <v>1415</v>
      </c>
    </row>
    <row r="1616" spans="12:13" x14ac:dyDescent="0.25">
      <c r="L1616" s="65">
        <v>422210</v>
      </c>
      <c r="M1616" t="s">
        <v>1416</v>
      </c>
    </row>
    <row r="1617" spans="12:13" x14ac:dyDescent="0.25">
      <c r="L1617" s="65">
        <v>422211</v>
      </c>
      <c r="M1617" t="s">
        <v>1416</v>
      </c>
    </row>
    <row r="1618" spans="12:13" x14ac:dyDescent="0.25">
      <c r="L1618" s="65">
        <v>422220</v>
      </c>
      <c r="M1618" t="s">
        <v>1417</v>
      </c>
    </row>
    <row r="1619" spans="12:13" x14ac:dyDescent="0.25">
      <c r="L1619" s="65">
        <v>422221</v>
      </c>
      <c r="M1619" t="s">
        <v>1417</v>
      </c>
    </row>
    <row r="1620" spans="12:13" x14ac:dyDescent="0.25">
      <c r="L1620" s="65">
        <v>422230</v>
      </c>
      <c r="M1620" t="s">
        <v>1418</v>
      </c>
    </row>
    <row r="1621" spans="12:13" x14ac:dyDescent="0.25">
      <c r="L1621" s="65">
        <v>422231</v>
      </c>
      <c r="M1621" t="s">
        <v>1418</v>
      </c>
    </row>
    <row r="1622" spans="12:13" x14ac:dyDescent="0.25">
      <c r="L1622" s="65">
        <v>422290</v>
      </c>
      <c r="M1622" t="s">
        <v>1409</v>
      </c>
    </row>
    <row r="1623" spans="12:13" x14ac:dyDescent="0.25">
      <c r="L1623" s="65">
        <v>422291</v>
      </c>
      <c r="M1623" t="s">
        <v>1419</v>
      </c>
    </row>
    <row r="1624" spans="12:13" x14ac:dyDescent="0.25">
      <c r="L1624" s="65">
        <v>422292</v>
      </c>
      <c r="M1624" t="s">
        <v>1411</v>
      </c>
    </row>
    <row r="1625" spans="12:13" x14ac:dyDescent="0.25">
      <c r="L1625" s="65">
        <v>422293</v>
      </c>
      <c r="M1625" t="s">
        <v>1413</v>
      </c>
    </row>
    <row r="1626" spans="12:13" x14ac:dyDescent="0.25">
      <c r="L1626" s="65">
        <v>422299</v>
      </c>
      <c r="M1626" t="s">
        <v>1420</v>
      </c>
    </row>
    <row r="1627" spans="12:13" x14ac:dyDescent="0.25">
      <c r="L1627" s="65">
        <v>422300</v>
      </c>
      <c r="M1627" t="s">
        <v>1421</v>
      </c>
    </row>
    <row r="1628" spans="12:13" x14ac:dyDescent="0.25">
      <c r="L1628" s="65">
        <v>422310</v>
      </c>
      <c r="M1628" t="s">
        <v>1422</v>
      </c>
    </row>
    <row r="1629" spans="12:13" x14ac:dyDescent="0.25">
      <c r="L1629" s="65">
        <v>422311</v>
      </c>
      <c r="M1629" t="s">
        <v>1422</v>
      </c>
    </row>
    <row r="1630" spans="12:13" x14ac:dyDescent="0.25">
      <c r="L1630" s="65">
        <v>422320</v>
      </c>
      <c r="M1630" t="s">
        <v>1423</v>
      </c>
    </row>
    <row r="1631" spans="12:13" x14ac:dyDescent="0.25">
      <c r="L1631" s="65">
        <v>422321</v>
      </c>
      <c r="M1631" t="s">
        <v>1423</v>
      </c>
    </row>
    <row r="1632" spans="12:13" x14ac:dyDescent="0.25">
      <c r="L1632" s="65">
        <v>422330</v>
      </c>
      <c r="M1632" t="s">
        <v>1424</v>
      </c>
    </row>
    <row r="1633" spans="12:13" x14ac:dyDescent="0.25">
      <c r="L1633" s="65">
        <v>422331</v>
      </c>
      <c r="M1633" t="s">
        <v>1424</v>
      </c>
    </row>
    <row r="1634" spans="12:13" x14ac:dyDescent="0.25">
      <c r="L1634" s="65">
        <v>422390</v>
      </c>
      <c r="M1634" t="s">
        <v>1425</v>
      </c>
    </row>
    <row r="1635" spans="12:13" x14ac:dyDescent="0.25">
      <c r="L1635" s="65">
        <v>422391</v>
      </c>
      <c r="M1635" t="s">
        <v>1426</v>
      </c>
    </row>
    <row r="1636" spans="12:13" x14ac:dyDescent="0.25">
      <c r="L1636" s="65">
        <v>422392</v>
      </c>
      <c r="M1636" t="s">
        <v>1411</v>
      </c>
    </row>
    <row r="1637" spans="12:13" x14ac:dyDescent="0.25">
      <c r="L1637" s="65">
        <v>422393</v>
      </c>
      <c r="M1637" t="s">
        <v>1427</v>
      </c>
    </row>
    <row r="1638" spans="12:13" x14ac:dyDescent="0.25">
      <c r="L1638" s="65">
        <v>422394</v>
      </c>
      <c r="M1638" t="s">
        <v>1428</v>
      </c>
    </row>
    <row r="1639" spans="12:13" x14ac:dyDescent="0.25">
      <c r="L1639" s="65">
        <v>422399</v>
      </c>
      <c r="M1639" t="s">
        <v>1429</v>
      </c>
    </row>
    <row r="1640" spans="12:13" x14ac:dyDescent="0.25">
      <c r="L1640" s="65">
        <v>422400</v>
      </c>
      <c r="M1640" t="s">
        <v>1430</v>
      </c>
    </row>
    <row r="1641" spans="12:13" x14ac:dyDescent="0.25">
      <c r="L1641" s="65">
        <v>422410</v>
      </c>
      <c r="M1641" t="s">
        <v>1430</v>
      </c>
    </row>
    <row r="1642" spans="12:13" x14ac:dyDescent="0.25">
      <c r="L1642" s="65">
        <v>422411</v>
      </c>
      <c r="M1642" t="s">
        <v>1431</v>
      </c>
    </row>
    <row r="1643" spans="12:13" x14ac:dyDescent="0.25">
      <c r="L1643" s="65">
        <v>422412</v>
      </c>
      <c r="M1643" t="s">
        <v>1432</v>
      </c>
    </row>
    <row r="1644" spans="12:13" x14ac:dyDescent="0.25">
      <c r="L1644" s="65">
        <v>422900</v>
      </c>
      <c r="M1644" t="s">
        <v>1433</v>
      </c>
    </row>
    <row r="1645" spans="12:13" x14ac:dyDescent="0.25">
      <c r="L1645" s="65">
        <v>422910</v>
      </c>
      <c r="M1645" t="s">
        <v>1433</v>
      </c>
    </row>
    <row r="1646" spans="12:13" x14ac:dyDescent="0.25">
      <c r="L1646" s="65">
        <v>422911</v>
      </c>
      <c r="M1646" t="s">
        <v>1434</v>
      </c>
    </row>
    <row r="1647" spans="12:13" x14ac:dyDescent="0.25">
      <c r="L1647" s="65">
        <v>423000</v>
      </c>
      <c r="M1647" t="s">
        <v>1435</v>
      </c>
    </row>
    <row r="1648" spans="12:13" x14ac:dyDescent="0.25">
      <c r="L1648" s="65">
        <v>423100</v>
      </c>
      <c r="M1648" t="s">
        <v>1436</v>
      </c>
    </row>
    <row r="1649" spans="12:13" x14ac:dyDescent="0.25">
      <c r="L1649" s="65">
        <v>423110</v>
      </c>
      <c r="M1649" t="s">
        <v>1437</v>
      </c>
    </row>
    <row r="1650" spans="12:13" x14ac:dyDescent="0.25">
      <c r="L1650" s="65">
        <v>423111</v>
      </c>
      <c r="M1650" t="s">
        <v>1437</v>
      </c>
    </row>
    <row r="1651" spans="12:13" x14ac:dyDescent="0.25">
      <c r="L1651" s="65">
        <v>423120</v>
      </c>
      <c r="M1651" t="s">
        <v>1438</v>
      </c>
    </row>
    <row r="1652" spans="12:13" x14ac:dyDescent="0.25">
      <c r="L1652" s="65">
        <v>423121</v>
      </c>
      <c r="M1652" t="s">
        <v>1438</v>
      </c>
    </row>
    <row r="1653" spans="12:13" x14ac:dyDescent="0.25">
      <c r="L1653" s="65">
        <v>423130</v>
      </c>
      <c r="M1653" t="s">
        <v>1439</v>
      </c>
    </row>
    <row r="1654" spans="12:13" x14ac:dyDescent="0.25">
      <c r="L1654" s="65">
        <v>423131</v>
      </c>
      <c r="M1654" t="s">
        <v>1439</v>
      </c>
    </row>
    <row r="1655" spans="12:13" x14ac:dyDescent="0.25">
      <c r="L1655" s="65">
        <v>423190</v>
      </c>
      <c r="M1655" t="s">
        <v>1440</v>
      </c>
    </row>
    <row r="1656" spans="12:13" x14ac:dyDescent="0.25">
      <c r="L1656" s="65">
        <v>423191</v>
      </c>
      <c r="M1656" t="s">
        <v>1440</v>
      </c>
    </row>
    <row r="1657" spans="12:13" x14ac:dyDescent="0.25">
      <c r="L1657" s="65">
        <v>423200</v>
      </c>
      <c r="M1657" t="s">
        <v>1441</v>
      </c>
    </row>
    <row r="1658" spans="12:13" x14ac:dyDescent="0.25">
      <c r="L1658" s="65">
        <v>423210</v>
      </c>
      <c r="M1658" t="s">
        <v>1442</v>
      </c>
    </row>
    <row r="1659" spans="12:13" x14ac:dyDescent="0.25">
      <c r="L1659" s="65">
        <v>423211</v>
      </c>
      <c r="M1659" t="s">
        <v>1443</v>
      </c>
    </row>
    <row r="1660" spans="12:13" x14ac:dyDescent="0.25">
      <c r="L1660" s="65">
        <v>423212</v>
      </c>
      <c r="M1660" t="s">
        <v>1444</v>
      </c>
    </row>
    <row r="1661" spans="12:13" x14ac:dyDescent="0.25">
      <c r="L1661" s="65">
        <v>423220</v>
      </c>
      <c r="M1661" t="s">
        <v>1445</v>
      </c>
    </row>
    <row r="1662" spans="12:13" x14ac:dyDescent="0.25">
      <c r="L1662" s="65">
        <v>423221</v>
      </c>
      <c r="M1662" t="s">
        <v>1445</v>
      </c>
    </row>
    <row r="1663" spans="12:13" x14ac:dyDescent="0.25">
      <c r="L1663" s="65">
        <v>423290</v>
      </c>
      <c r="M1663" t="s">
        <v>1446</v>
      </c>
    </row>
    <row r="1664" spans="12:13" x14ac:dyDescent="0.25">
      <c r="L1664" s="65">
        <v>423291</v>
      </c>
      <c r="M1664" t="s">
        <v>1446</v>
      </c>
    </row>
    <row r="1665" spans="12:13" x14ac:dyDescent="0.25">
      <c r="L1665" s="65">
        <v>423300</v>
      </c>
      <c r="M1665" t="s">
        <v>1447</v>
      </c>
    </row>
    <row r="1666" spans="12:13" x14ac:dyDescent="0.25">
      <c r="L1666" s="65">
        <v>423310</v>
      </c>
      <c r="M1666" t="s">
        <v>1447</v>
      </c>
    </row>
    <row r="1667" spans="12:13" x14ac:dyDescent="0.25">
      <c r="L1667" s="65">
        <v>423311</v>
      </c>
      <c r="M1667" t="s">
        <v>1447</v>
      </c>
    </row>
    <row r="1668" spans="12:13" x14ac:dyDescent="0.25">
      <c r="L1668" s="65">
        <v>423320</v>
      </c>
      <c r="M1668" t="s">
        <v>1448</v>
      </c>
    </row>
    <row r="1669" spans="12:13" x14ac:dyDescent="0.25">
      <c r="L1669" s="65">
        <v>423321</v>
      </c>
      <c r="M1669" t="s">
        <v>1449</v>
      </c>
    </row>
    <row r="1670" spans="12:13" x14ac:dyDescent="0.25">
      <c r="L1670" s="65">
        <v>423322</v>
      </c>
      <c r="M1670" t="s">
        <v>1450</v>
      </c>
    </row>
    <row r="1671" spans="12:13" x14ac:dyDescent="0.25">
      <c r="L1671" s="65">
        <v>423323</v>
      </c>
      <c r="M1671" t="s">
        <v>1451</v>
      </c>
    </row>
    <row r="1672" spans="12:13" x14ac:dyDescent="0.25">
      <c r="L1672" s="65">
        <v>423390</v>
      </c>
      <c r="M1672" t="s">
        <v>1452</v>
      </c>
    </row>
    <row r="1673" spans="12:13" x14ac:dyDescent="0.25">
      <c r="L1673" s="65">
        <v>423391</v>
      </c>
      <c r="M1673" t="s">
        <v>1453</v>
      </c>
    </row>
    <row r="1674" spans="12:13" x14ac:dyDescent="0.25">
      <c r="L1674" s="65">
        <v>423399</v>
      </c>
      <c r="M1674" t="s">
        <v>1454</v>
      </c>
    </row>
    <row r="1675" spans="12:13" x14ac:dyDescent="0.25">
      <c r="L1675" s="65">
        <v>423400</v>
      </c>
      <c r="M1675" t="s">
        <v>1455</v>
      </c>
    </row>
    <row r="1676" spans="12:13" x14ac:dyDescent="0.25">
      <c r="L1676" s="65">
        <v>423410</v>
      </c>
      <c r="M1676" t="s">
        <v>1456</v>
      </c>
    </row>
    <row r="1677" spans="12:13" x14ac:dyDescent="0.25">
      <c r="L1677" s="65">
        <v>423411</v>
      </c>
      <c r="M1677" t="s">
        <v>1457</v>
      </c>
    </row>
    <row r="1678" spans="12:13" x14ac:dyDescent="0.25">
      <c r="L1678" s="65">
        <v>423412</v>
      </c>
      <c r="M1678" t="s">
        <v>1458</v>
      </c>
    </row>
    <row r="1679" spans="12:13" x14ac:dyDescent="0.25">
      <c r="L1679" s="65">
        <v>423413</v>
      </c>
      <c r="M1679" t="s">
        <v>1459</v>
      </c>
    </row>
    <row r="1680" spans="12:13" x14ac:dyDescent="0.25">
      <c r="L1680" s="65">
        <v>423419</v>
      </c>
      <c r="M1680" t="s">
        <v>1460</v>
      </c>
    </row>
    <row r="1681" spans="12:13" x14ac:dyDescent="0.25">
      <c r="L1681" s="65">
        <v>423420</v>
      </c>
      <c r="M1681" t="s">
        <v>1461</v>
      </c>
    </row>
    <row r="1682" spans="12:13" x14ac:dyDescent="0.25">
      <c r="L1682" s="65">
        <v>423421</v>
      </c>
      <c r="M1682" t="s">
        <v>1462</v>
      </c>
    </row>
    <row r="1683" spans="12:13" x14ac:dyDescent="0.25">
      <c r="L1683" s="65">
        <v>423422</v>
      </c>
      <c r="M1683" t="s">
        <v>1463</v>
      </c>
    </row>
    <row r="1684" spans="12:13" x14ac:dyDescent="0.25">
      <c r="L1684" s="65">
        <v>423430</v>
      </c>
      <c r="M1684" t="s">
        <v>1464</v>
      </c>
    </row>
    <row r="1685" spans="12:13" x14ac:dyDescent="0.25">
      <c r="L1685" s="65">
        <v>423431</v>
      </c>
      <c r="M1685" t="s">
        <v>1464</v>
      </c>
    </row>
    <row r="1686" spans="12:13" x14ac:dyDescent="0.25">
      <c r="L1686" s="65">
        <v>423432</v>
      </c>
      <c r="M1686" t="s">
        <v>1465</v>
      </c>
    </row>
    <row r="1687" spans="12:13" x14ac:dyDescent="0.25">
      <c r="L1687" s="65">
        <v>423439</v>
      </c>
      <c r="M1687" t="s">
        <v>1466</v>
      </c>
    </row>
    <row r="1688" spans="12:13" x14ac:dyDescent="0.25">
      <c r="L1688" s="65">
        <v>423440</v>
      </c>
      <c r="M1688" t="s">
        <v>1467</v>
      </c>
    </row>
    <row r="1689" spans="12:13" x14ac:dyDescent="0.25">
      <c r="L1689" s="65">
        <v>423441</v>
      </c>
      <c r="M1689" t="s">
        <v>1468</v>
      </c>
    </row>
    <row r="1690" spans="12:13" x14ac:dyDescent="0.25">
      <c r="L1690" s="65">
        <v>423449</v>
      </c>
      <c r="M1690" t="s">
        <v>1469</v>
      </c>
    </row>
    <row r="1691" spans="12:13" x14ac:dyDescent="0.25">
      <c r="L1691" s="65">
        <v>423500</v>
      </c>
      <c r="M1691" t="s">
        <v>1470</v>
      </c>
    </row>
    <row r="1692" spans="12:13" x14ac:dyDescent="0.25">
      <c r="L1692" s="65">
        <v>423510</v>
      </c>
      <c r="M1692" t="s">
        <v>1471</v>
      </c>
    </row>
    <row r="1693" spans="12:13" x14ac:dyDescent="0.25">
      <c r="L1693" s="65">
        <v>423511</v>
      </c>
      <c r="M1693" t="s">
        <v>1471</v>
      </c>
    </row>
    <row r="1694" spans="12:13" x14ac:dyDescent="0.25">
      <c r="L1694" s="65">
        <v>423520</v>
      </c>
      <c r="M1694" t="s">
        <v>1472</v>
      </c>
    </row>
    <row r="1695" spans="12:13" x14ac:dyDescent="0.25">
      <c r="L1695" s="65">
        <v>423521</v>
      </c>
      <c r="M1695" t="s">
        <v>1473</v>
      </c>
    </row>
    <row r="1696" spans="12:13" x14ac:dyDescent="0.25">
      <c r="L1696" s="65">
        <v>423522</v>
      </c>
      <c r="M1696" t="s">
        <v>1474</v>
      </c>
    </row>
    <row r="1697" spans="12:13" x14ac:dyDescent="0.25">
      <c r="L1697" s="65">
        <v>423530</v>
      </c>
      <c r="M1697" t="s">
        <v>1475</v>
      </c>
    </row>
    <row r="1698" spans="12:13" x14ac:dyDescent="0.25">
      <c r="L1698" s="65">
        <v>423531</v>
      </c>
      <c r="M1698" t="s">
        <v>1476</v>
      </c>
    </row>
    <row r="1699" spans="12:13" x14ac:dyDescent="0.25">
      <c r="L1699" s="65">
        <v>423532</v>
      </c>
      <c r="M1699" t="s">
        <v>1477</v>
      </c>
    </row>
    <row r="1700" spans="12:13" x14ac:dyDescent="0.25">
      <c r="L1700" s="65">
        <v>423539</v>
      </c>
      <c r="M1700" t="s">
        <v>1478</v>
      </c>
    </row>
    <row r="1701" spans="12:13" x14ac:dyDescent="0.25">
      <c r="L1701" s="65">
        <v>423540</v>
      </c>
      <c r="M1701" t="s">
        <v>1479</v>
      </c>
    </row>
    <row r="1702" spans="12:13" x14ac:dyDescent="0.25">
      <c r="L1702" s="65">
        <v>423541</v>
      </c>
      <c r="M1702" t="s">
        <v>1480</v>
      </c>
    </row>
    <row r="1703" spans="12:13" x14ac:dyDescent="0.25">
      <c r="L1703" s="65">
        <v>423542</v>
      </c>
      <c r="M1703" t="s">
        <v>1481</v>
      </c>
    </row>
    <row r="1704" spans="12:13" x14ac:dyDescent="0.25">
      <c r="L1704" s="65">
        <v>423590</v>
      </c>
      <c r="M1704" t="s">
        <v>1482</v>
      </c>
    </row>
    <row r="1705" spans="12:13" x14ac:dyDescent="0.25">
      <c r="L1705" s="65">
        <v>423591</v>
      </c>
      <c r="M1705" t="s">
        <v>1336</v>
      </c>
    </row>
    <row r="1706" spans="12:13" x14ac:dyDescent="0.25">
      <c r="L1706" s="65">
        <v>423599</v>
      </c>
      <c r="M1706" t="s">
        <v>1482</v>
      </c>
    </row>
    <row r="1707" spans="12:13" x14ac:dyDescent="0.25">
      <c r="L1707" s="65">
        <v>423600</v>
      </c>
      <c r="M1707" t="s">
        <v>1483</v>
      </c>
    </row>
    <row r="1708" spans="12:13" x14ac:dyDescent="0.25">
      <c r="L1708" s="65">
        <v>423610</v>
      </c>
      <c r="M1708" t="s">
        <v>1484</v>
      </c>
    </row>
    <row r="1709" spans="12:13" x14ac:dyDescent="0.25">
      <c r="L1709" s="65">
        <v>423611</v>
      </c>
      <c r="M1709" t="s">
        <v>1485</v>
      </c>
    </row>
    <row r="1710" spans="12:13" x14ac:dyDescent="0.25">
      <c r="L1710" s="65">
        <v>423612</v>
      </c>
      <c r="M1710" t="s">
        <v>1486</v>
      </c>
    </row>
    <row r="1711" spans="12:13" x14ac:dyDescent="0.25">
      <c r="L1711" s="65">
        <v>423620</v>
      </c>
      <c r="M1711" t="s">
        <v>1487</v>
      </c>
    </row>
    <row r="1712" spans="12:13" x14ac:dyDescent="0.25">
      <c r="L1712" s="65">
        <v>423621</v>
      </c>
      <c r="M1712" t="s">
        <v>1487</v>
      </c>
    </row>
    <row r="1713" spans="12:13" x14ac:dyDescent="0.25">
      <c r="L1713" s="65">
        <v>423700</v>
      </c>
      <c r="M1713" t="s">
        <v>1488</v>
      </c>
    </row>
    <row r="1714" spans="12:13" x14ac:dyDescent="0.25">
      <c r="L1714" s="65">
        <v>423710</v>
      </c>
      <c r="M1714" t="s">
        <v>1488</v>
      </c>
    </row>
    <row r="1715" spans="12:13" x14ac:dyDescent="0.25">
      <c r="L1715" s="65">
        <v>423711</v>
      </c>
      <c r="M1715" t="s">
        <v>1488</v>
      </c>
    </row>
    <row r="1716" spans="12:13" x14ac:dyDescent="0.25">
      <c r="L1716" s="65">
        <v>423712</v>
      </c>
      <c r="M1716" t="s">
        <v>1489</v>
      </c>
    </row>
    <row r="1717" spans="12:13" x14ac:dyDescent="0.25">
      <c r="L1717" s="65">
        <v>423900</v>
      </c>
      <c r="M1717" t="s">
        <v>1490</v>
      </c>
    </row>
    <row r="1718" spans="12:13" x14ac:dyDescent="0.25">
      <c r="L1718" s="65">
        <v>423910</v>
      </c>
      <c r="M1718" t="s">
        <v>1490</v>
      </c>
    </row>
    <row r="1719" spans="12:13" x14ac:dyDescent="0.25">
      <c r="L1719" s="65">
        <v>423911</v>
      </c>
      <c r="M1719" t="s">
        <v>1490</v>
      </c>
    </row>
    <row r="1720" spans="12:13" x14ac:dyDescent="0.25">
      <c r="L1720" s="65">
        <v>424000</v>
      </c>
      <c r="M1720" t="s">
        <v>1491</v>
      </c>
    </row>
    <row r="1721" spans="12:13" x14ac:dyDescent="0.25">
      <c r="L1721" s="65">
        <v>424100</v>
      </c>
      <c r="M1721" t="s">
        <v>1492</v>
      </c>
    </row>
    <row r="1722" spans="12:13" x14ac:dyDescent="0.25">
      <c r="L1722" s="65">
        <v>424110</v>
      </c>
      <c r="M1722" t="s">
        <v>1493</v>
      </c>
    </row>
    <row r="1723" spans="12:13" x14ac:dyDescent="0.25">
      <c r="L1723" s="65">
        <v>424111</v>
      </c>
      <c r="M1723" t="s">
        <v>1494</v>
      </c>
    </row>
    <row r="1724" spans="12:13" x14ac:dyDescent="0.25">
      <c r="L1724" s="65">
        <v>424112</v>
      </c>
      <c r="M1724" t="s">
        <v>1495</v>
      </c>
    </row>
    <row r="1725" spans="12:13" x14ac:dyDescent="0.25">
      <c r="L1725" s="65">
        <v>424113</v>
      </c>
      <c r="M1725" t="s">
        <v>1496</v>
      </c>
    </row>
    <row r="1726" spans="12:13" x14ac:dyDescent="0.25">
      <c r="L1726" s="65">
        <v>424119</v>
      </c>
      <c r="M1726" t="s">
        <v>1497</v>
      </c>
    </row>
    <row r="1727" spans="12:13" x14ac:dyDescent="0.25">
      <c r="L1727" s="65">
        <v>424200</v>
      </c>
      <c r="M1727" t="s">
        <v>1498</v>
      </c>
    </row>
    <row r="1728" spans="12:13" x14ac:dyDescent="0.25">
      <c r="L1728" s="65">
        <v>424210</v>
      </c>
      <c r="M1728" t="s">
        <v>1499</v>
      </c>
    </row>
    <row r="1729" spans="12:13" x14ac:dyDescent="0.25">
      <c r="L1729" s="65">
        <v>424211</v>
      </c>
      <c r="M1729" t="s">
        <v>1499</v>
      </c>
    </row>
    <row r="1730" spans="12:13" x14ac:dyDescent="0.25">
      <c r="L1730" s="65">
        <v>424212</v>
      </c>
      <c r="M1730" t="s">
        <v>1500</v>
      </c>
    </row>
    <row r="1731" spans="12:13" x14ac:dyDescent="0.25">
      <c r="L1731" s="65">
        <v>424213</v>
      </c>
      <c r="M1731" t="s">
        <v>1501</v>
      </c>
    </row>
    <row r="1732" spans="12:13" x14ac:dyDescent="0.25">
      <c r="L1732" s="65">
        <v>424220</v>
      </c>
      <c r="M1732" t="s">
        <v>1502</v>
      </c>
    </row>
    <row r="1733" spans="12:13" x14ac:dyDescent="0.25">
      <c r="L1733" s="65">
        <v>424221</v>
      </c>
      <c r="M1733" t="s">
        <v>1502</v>
      </c>
    </row>
    <row r="1734" spans="12:13" x14ac:dyDescent="0.25">
      <c r="L1734" s="65">
        <v>424230</v>
      </c>
      <c r="M1734" t="s">
        <v>1503</v>
      </c>
    </row>
    <row r="1735" spans="12:13" x14ac:dyDescent="0.25">
      <c r="L1735" s="65">
        <v>424231</v>
      </c>
      <c r="M1735" t="s">
        <v>1503</v>
      </c>
    </row>
    <row r="1736" spans="12:13" x14ac:dyDescent="0.25">
      <c r="L1736" s="65">
        <v>424300</v>
      </c>
      <c r="M1736" t="s">
        <v>1504</v>
      </c>
    </row>
    <row r="1737" spans="12:13" x14ac:dyDescent="0.25">
      <c r="L1737" s="65">
        <v>424310</v>
      </c>
      <c r="M1737" t="s">
        <v>1505</v>
      </c>
    </row>
    <row r="1738" spans="12:13" x14ac:dyDescent="0.25">
      <c r="L1738" s="65">
        <v>424311</v>
      </c>
      <c r="M1738" t="s">
        <v>1505</v>
      </c>
    </row>
    <row r="1739" spans="12:13" x14ac:dyDescent="0.25">
      <c r="L1739" s="65">
        <v>424320</v>
      </c>
      <c r="M1739" t="s">
        <v>1506</v>
      </c>
    </row>
    <row r="1740" spans="12:13" x14ac:dyDescent="0.25">
      <c r="L1740" s="65">
        <v>424321</v>
      </c>
      <c r="M1740" t="s">
        <v>1506</v>
      </c>
    </row>
    <row r="1741" spans="12:13" x14ac:dyDescent="0.25">
      <c r="L1741" s="65">
        <v>424330</v>
      </c>
      <c r="M1741" t="s">
        <v>1507</v>
      </c>
    </row>
    <row r="1742" spans="12:13" x14ac:dyDescent="0.25">
      <c r="L1742" s="65">
        <v>424331</v>
      </c>
      <c r="M1742" t="s">
        <v>1507</v>
      </c>
    </row>
    <row r="1743" spans="12:13" x14ac:dyDescent="0.25">
      <c r="L1743" s="65">
        <v>424340</v>
      </c>
      <c r="M1743" t="s">
        <v>1508</v>
      </c>
    </row>
    <row r="1744" spans="12:13" x14ac:dyDescent="0.25">
      <c r="L1744" s="65">
        <v>424341</v>
      </c>
      <c r="M1744" t="s">
        <v>1508</v>
      </c>
    </row>
    <row r="1745" spans="12:13" x14ac:dyDescent="0.25">
      <c r="L1745" s="65">
        <v>424350</v>
      </c>
      <c r="M1745" t="s">
        <v>1509</v>
      </c>
    </row>
    <row r="1746" spans="12:13" x14ac:dyDescent="0.25">
      <c r="L1746" s="65">
        <v>424351</v>
      </c>
      <c r="M1746" t="s">
        <v>1509</v>
      </c>
    </row>
    <row r="1747" spans="12:13" x14ac:dyDescent="0.25">
      <c r="L1747" s="65">
        <v>424400</v>
      </c>
      <c r="M1747" t="s">
        <v>1510</v>
      </c>
    </row>
    <row r="1748" spans="12:13" x14ac:dyDescent="0.25">
      <c r="L1748" s="65">
        <v>424410</v>
      </c>
      <c r="M1748" t="s">
        <v>1510</v>
      </c>
    </row>
    <row r="1749" spans="12:13" x14ac:dyDescent="0.25">
      <c r="L1749" s="65">
        <v>424411</v>
      </c>
      <c r="M1749" t="s">
        <v>1510</v>
      </c>
    </row>
    <row r="1750" spans="12:13" x14ac:dyDescent="0.25">
      <c r="L1750" s="65">
        <v>424500</v>
      </c>
      <c r="M1750" t="s">
        <v>1511</v>
      </c>
    </row>
    <row r="1751" spans="12:13" x14ac:dyDescent="0.25">
      <c r="L1751" s="65">
        <v>424510</v>
      </c>
      <c r="M1751" t="s">
        <v>1511</v>
      </c>
    </row>
    <row r="1752" spans="12:13" x14ac:dyDescent="0.25">
      <c r="L1752" s="65">
        <v>424511</v>
      </c>
      <c r="M1752" t="s">
        <v>1511</v>
      </c>
    </row>
    <row r="1753" spans="12:13" x14ac:dyDescent="0.25">
      <c r="L1753" s="65">
        <v>424600</v>
      </c>
      <c r="M1753" t="s">
        <v>1512</v>
      </c>
    </row>
    <row r="1754" spans="12:13" x14ac:dyDescent="0.25">
      <c r="L1754" s="65">
        <v>424610</v>
      </c>
      <c r="M1754" t="s">
        <v>1513</v>
      </c>
    </row>
    <row r="1755" spans="12:13" x14ac:dyDescent="0.25">
      <c r="L1755" s="65">
        <v>424611</v>
      </c>
      <c r="M1755" t="s">
        <v>1513</v>
      </c>
    </row>
    <row r="1756" spans="12:13" x14ac:dyDescent="0.25">
      <c r="L1756" s="65">
        <v>424620</v>
      </c>
      <c r="M1756" t="s">
        <v>1514</v>
      </c>
    </row>
    <row r="1757" spans="12:13" x14ac:dyDescent="0.25">
      <c r="L1757" s="65">
        <v>424621</v>
      </c>
      <c r="M1757" t="s">
        <v>1514</v>
      </c>
    </row>
    <row r="1758" spans="12:13" x14ac:dyDescent="0.25">
      <c r="L1758" s="65">
        <v>424630</v>
      </c>
      <c r="M1758" t="s">
        <v>1515</v>
      </c>
    </row>
    <row r="1759" spans="12:13" x14ac:dyDescent="0.25">
      <c r="L1759" s="65">
        <v>424631</v>
      </c>
      <c r="M1759" t="s">
        <v>1515</v>
      </c>
    </row>
    <row r="1760" spans="12:13" x14ac:dyDescent="0.25">
      <c r="L1760" s="65">
        <v>424900</v>
      </c>
      <c r="M1760" t="s">
        <v>1516</v>
      </c>
    </row>
    <row r="1761" spans="12:13" x14ac:dyDescent="0.25">
      <c r="L1761" s="65">
        <v>424910</v>
      </c>
      <c r="M1761" t="s">
        <v>1516</v>
      </c>
    </row>
    <row r="1762" spans="12:13" x14ac:dyDescent="0.25">
      <c r="L1762" s="65">
        <v>424911</v>
      </c>
      <c r="M1762" t="s">
        <v>1516</v>
      </c>
    </row>
    <row r="1763" spans="12:13" x14ac:dyDescent="0.25">
      <c r="L1763" s="65">
        <v>425000</v>
      </c>
      <c r="M1763" t="s">
        <v>1517</v>
      </c>
    </row>
    <row r="1764" spans="12:13" x14ac:dyDescent="0.25">
      <c r="L1764" s="65">
        <v>425100</v>
      </c>
      <c r="M1764" t="s">
        <v>1518</v>
      </c>
    </row>
    <row r="1765" spans="12:13" x14ac:dyDescent="0.25">
      <c r="L1765" s="65">
        <v>425110</v>
      </c>
      <c r="M1765" t="s">
        <v>1519</v>
      </c>
    </row>
    <row r="1766" spans="12:13" x14ac:dyDescent="0.25">
      <c r="L1766" s="65">
        <v>425111</v>
      </c>
      <c r="M1766" t="s">
        <v>1520</v>
      </c>
    </row>
    <row r="1767" spans="12:13" x14ac:dyDescent="0.25">
      <c r="L1767" s="65">
        <v>425112</v>
      </c>
      <c r="M1767" t="s">
        <v>1521</v>
      </c>
    </row>
    <row r="1768" spans="12:13" x14ac:dyDescent="0.25">
      <c r="L1768" s="65">
        <v>425113</v>
      </c>
      <c r="M1768" t="s">
        <v>1522</v>
      </c>
    </row>
    <row r="1769" spans="12:13" x14ac:dyDescent="0.25">
      <c r="L1769" s="65">
        <v>425114</v>
      </c>
      <c r="M1769" t="s">
        <v>1523</v>
      </c>
    </row>
    <row r="1770" spans="12:13" x14ac:dyDescent="0.25">
      <c r="L1770" s="65">
        <v>425115</v>
      </c>
      <c r="M1770" t="s">
        <v>1524</v>
      </c>
    </row>
    <row r="1771" spans="12:13" x14ac:dyDescent="0.25">
      <c r="L1771" s="65">
        <v>425116</v>
      </c>
      <c r="M1771" t="s">
        <v>1353</v>
      </c>
    </row>
    <row r="1772" spans="12:13" x14ac:dyDescent="0.25">
      <c r="L1772" s="65">
        <v>425117</v>
      </c>
      <c r="M1772" t="s">
        <v>1525</v>
      </c>
    </row>
    <row r="1773" spans="12:13" x14ac:dyDescent="0.25">
      <c r="L1773" s="65">
        <v>425118</v>
      </c>
      <c r="M1773" t="s">
        <v>1526</v>
      </c>
    </row>
    <row r="1774" spans="12:13" x14ac:dyDescent="0.25">
      <c r="L1774" s="65">
        <v>425119</v>
      </c>
      <c r="M1774" t="s">
        <v>1527</v>
      </c>
    </row>
    <row r="1775" spans="12:13" x14ac:dyDescent="0.25">
      <c r="L1775" s="65">
        <v>425190</v>
      </c>
      <c r="M1775" t="s">
        <v>1528</v>
      </c>
    </row>
    <row r="1776" spans="12:13" x14ac:dyDescent="0.25">
      <c r="L1776" s="65">
        <v>425191</v>
      </c>
      <c r="M1776" t="s">
        <v>1528</v>
      </c>
    </row>
    <row r="1777" spans="12:13" x14ac:dyDescent="0.25">
      <c r="L1777" s="65">
        <v>425200</v>
      </c>
      <c r="M1777" t="s">
        <v>1529</v>
      </c>
    </row>
    <row r="1778" spans="12:13" x14ac:dyDescent="0.25">
      <c r="L1778" s="65">
        <v>425210</v>
      </c>
      <c r="M1778" t="s">
        <v>1530</v>
      </c>
    </row>
    <row r="1779" spans="12:13" x14ac:dyDescent="0.25">
      <c r="L1779" s="65">
        <v>425211</v>
      </c>
      <c r="M1779" t="s">
        <v>1531</v>
      </c>
    </row>
    <row r="1780" spans="12:13" x14ac:dyDescent="0.25">
      <c r="L1780" s="65">
        <v>425212</v>
      </c>
      <c r="M1780" t="s">
        <v>1532</v>
      </c>
    </row>
    <row r="1781" spans="12:13" x14ac:dyDescent="0.25">
      <c r="L1781" s="65">
        <v>425213</v>
      </c>
      <c r="M1781" t="s">
        <v>1533</v>
      </c>
    </row>
    <row r="1782" spans="12:13" x14ac:dyDescent="0.25">
      <c r="L1782" s="65">
        <v>425219</v>
      </c>
      <c r="M1782" t="s">
        <v>1534</v>
      </c>
    </row>
    <row r="1783" spans="12:13" x14ac:dyDescent="0.25">
      <c r="L1783" s="65">
        <v>425220</v>
      </c>
      <c r="M1783" t="s">
        <v>1535</v>
      </c>
    </row>
    <row r="1784" spans="12:13" x14ac:dyDescent="0.25">
      <c r="L1784" s="65">
        <v>425221</v>
      </c>
      <c r="M1784" t="s">
        <v>1536</v>
      </c>
    </row>
    <row r="1785" spans="12:13" x14ac:dyDescent="0.25">
      <c r="L1785" s="65">
        <v>425222</v>
      </c>
      <c r="M1785" t="s">
        <v>336</v>
      </c>
    </row>
    <row r="1786" spans="12:13" x14ac:dyDescent="0.25">
      <c r="L1786" s="65">
        <v>425223</v>
      </c>
      <c r="M1786" t="s">
        <v>1537</v>
      </c>
    </row>
    <row r="1787" spans="12:13" x14ac:dyDescent="0.25">
      <c r="L1787" s="65">
        <v>425224</v>
      </c>
      <c r="M1787" t="s">
        <v>338</v>
      </c>
    </row>
    <row r="1788" spans="12:13" x14ac:dyDescent="0.25">
      <c r="L1788" s="65">
        <v>425225</v>
      </c>
      <c r="M1788" t="s">
        <v>339</v>
      </c>
    </row>
    <row r="1789" spans="12:13" x14ac:dyDescent="0.25">
      <c r="L1789" s="65">
        <v>425226</v>
      </c>
      <c r="M1789" t="s">
        <v>1538</v>
      </c>
    </row>
    <row r="1790" spans="12:13" x14ac:dyDescent="0.25">
      <c r="L1790" s="65">
        <v>425227</v>
      </c>
      <c r="M1790" t="s">
        <v>1539</v>
      </c>
    </row>
    <row r="1791" spans="12:13" x14ac:dyDescent="0.25">
      <c r="L1791" s="65">
        <v>425229</v>
      </c>
      <c r="M1791" t="s">
        <v>1540</v>
      </c>
    </row>
    <row r="1792" spans="12:13" x14ac:dyDescent="0.25">
      <c r="L1792" s="65">
        <v>425230</v>
      </c>
      <c r="M1792" t="s">
        <v>1541</v>
      </c>
    </row>
    <row r="1793" spans="12:13" x14ac:dyDescent="0.25">
      <c r="L1793" s="65">
        <v>425231</v>
      </c>
      <c r="M1793" t="s">
        <v>1541</v>
      </c>
    </row>
    <row r="1794" spans="12:13" x14ac:dyDescent="0.25">
      <c r="L1794" s="65">
        <v>425240</v>
      </c>
      <c r="M1794" t="s">
        <v>1542</v>
      </c>
    </row>
    <row r="1795" spans="12:13" x14ac:dyDescent="0.25">
      <c r="L1795" s="65">
        <v>425241</v>
      </c>
      <c r="M1795" t="s">
        <v>1543</v>
      </c>
    </row>
    <row r="1796" spans="12:13" x14ac:dyDescent="0.25">
      <c r="L1796" s="65">
        <v>425242</v>
      </c>
      <c r="M1796" t="s">
        <v>1544</v>
      </c>
    </row>
    <row r="1797" spans="12:13" x14ac:dyDescent="0.25">
      <c r="L1797" s="65">
        <v>425250</v>
      </c>
      <c r="M1797" t="s">
        <v>1545</v>
      </c>
    </row>
    <row r="1798" spans="12:13" x14ac:dyDescent="0.25">
      <c r="L1798" s="65">
        <v>425251</v>
      </c>
      <c r="M1798" t="s">
        <v>1546</v>
      </c>
    </row>
    <row r="1799" spans="12:13" x14ac:dyDescent="0.25">
      <c r="L1799" s="65">
        <v>425252</v>
      </c>
      <c r="M1799" t="s">
        <v>1547</v>
      </c>
    </row>
    <row r="1800" spans="12:13" x14ac:dyDescent="0.25">
      <c r="L1800" s="65">
        <v>425253</v>
      </c>
      <c r="M1800" t="s">
        <v>1548</v>
      </c>
    </row>
    <row r="1801" spans="12:13" x14ac:dyDescent="0.25">
      <c r="L1801" s="65">
        <v>425260</v>
      </c>
      <c r="M1801" t="s">
        <v>1549</v>
      </c>
    </row>
    <row r="1802" spans="12:13" x14ac:dyDescent="0.25">
      <c r="L1802" s="65">
        <v>425261</v>
      </c>
      <c r="M1802" t="s">
        <v>1550</v>
      </c>
    </row>
    <row r="1803" spans="12:13" x14ac:dyDescent="0.25">
      <c r="L1803" s="65">
        <v>425262</v>
      </c>
      <c r="M1803" t="s">
        <v>1551</v>
      </c>
    </row>
    <row r="1804" spans="12:13" x14ac:dyDescent="0.25">
      <c r="L1804" s="65">
        <v>425263</v>
      </c>
      <c r="M1804" t="s">
        <v>1552</v>
      </c>
    </row>
    <row r="1805" spans="12:13" x14ac:dyDescent="0.25">
      <c r="L1805" s="65">
        <v>425270</v>
      </c>
      <c r="M1805" t="s">
        <v>1553</v>
      </c>
    </row>
    <row r="1806" spans="12:13" x14ac:dyDescent="0.25">
      <c r="L1806" s="65">
        <v>425271</v>
      </c>
      <c r="M1806" t="s">
        <v>1553</v>
      </c>
    </row>
    <row r="1807" spans="12:13" x14ac:dyDescent="0.25">
      <c r="L1807" s="65">
        <v>425280</v>
      </c>
      <c r="M1807" t="s">
        <v>1554</v>
      </c>
    </row>
    <row r="1808" spans="12:13" x14ac:dyDescent="0.25">
      <c r="L1808" s="65">
        <v>425281</v>
      </c>
      <c r="M1808" t="s">
        <v>1554</v>
      </c>
    </row>
    <row r="1809" spans="12:13" x14ac:dyDescent="0.25">
      <c r="L1809" s="65">
        <v>425290</v>
      </c>
      <c r="M1809" t="s">
        <v>1555</v>
      </c>
    </row>
    <row r="1810" spans="12:13" x14ac:dyDescent="0.25">
      <c r="L1810" s="65">
        <v>425291</v>
      </c>
      <c r="M1810" t="s">
        <v>1555</v>
      </c>
    </row>
    <row r="1811" spans="12:13" x14ac:dyDescent="0.25">
      <c r="L1811" s="65">
        <v>426000</v>
      </c>
      <c r="M1811" t="s">
        <v>1556</v>
      </c>
    </row>
    <row r="1812" spans="12:13" x14ac:dyDescent="0.25">
      <c r="L1812" s="65">
        <v>426100</v>
      </c>
      <c r="M1812" t="s">
        <v>1557</v>
      </c>
    </row>
    <row r="1813" spans="12:13" x14ac:dyDescent="0.25">
      <c r="L1813" s="65">
        <v>426110</v>
      </c>
      <c r="M1813" t="s">
        <v>1558</v>
      </c>
    </row>
    <row r="1814" spans="12:13" x14ac:dyDescent="0.25">
      <c r="L1814" s="65">
        <v>426111</v>
      </c>
      <c r="M1814" t="s">
        <v>1558</v>
      </c>
    </row>
    <row r="1815" spans="12:13" x14ac:dyDescent="0.25">
      <c r="L1815" s="65">
        <v>426120</v>
      </c>
      <c r="M1815" t="s">
        <v>1559</v>
      </c>
    </row>
    <row r="1816" spans="12:13" x14ac:dyDescent="0.25">
      <c r="L1816" s="65">
        <v>426121</v>
      </c>
      <c r="M1816" t="s">
        <v>1560</v>
      </c>
    </row>
    <row r="1817" spans="12:13" x14ac:dyDescent="0.25">
      <c r="L1817" s="65">
        <v>426122</v>
      </c>
      <c r="M1817" t="s">
        <v>1561</v>
      </c>
    </row>
    <row r="1818" spans="12:13" x14ac:dyDescent="0.25">
      <c r="L1818" s="65">
        <v>426123</v>
      </c>
      <c r="M1818" t="s">
        <v>1562</v>
      </c>
    </row>
    <row r="1819" spans="12:13" x14ac:dyDescent="0.25">
      <c r="L1819" s="65">
        <v>426124</v>
      </c>
      <c r="M1819" t="s">
        <v>1563</v>
      </c>
    </row>
    <row r="1820" spans="12:13" x14ac:dyDescent="0.25">
      <c r="L1820" s="65">
        <v>426129</v>
      </c>
      <c r="M1820" t="s">
        <v>1564</v>
      </c>
    </row>
    <row r="1821" spans="12:13" x14ac:dyDescent="0.25">
      <c r="L1821" s="65">
        <v>426130</v>
      </c>
      <c r="M1821" t="s">
        <v>1565</v>
      </c>
    </row>
    <row r="1822" spans="12:13" x14ac:dyDescent="0.25">
      <c r="L1822" s="65">
        <v>426131</v>
      </c>
      <c r="M1822" t="s">
        <v>1566</v>
      </c>
    </row>
    <row r="1823" spans="12:13" x14ac:dyDescent="0.25">
      <c r="L1823" s="65">
        <v>426190</v>
      </c>
      <c r="M1823" t="s">
        <v>1567</v>
      </c>
    </row>
    <row r="1824" spans="12:13" x14ac:dyDescent="0.25">
      <c r="L1824" s="65">
        <v>426191</v>
      </c>
      <c r="M1824" t="s">
        <v>1567</v>
      </c>
    </row>
    <row r="1825" spans="12:13" x14ac:dyDescent="0.25">
      <c r="L1825" s="65">
        <v>426200</v>
      </c>
      <c r="M1825" t="s">
        <v>1568</v>
      </c>
    </row>
    <row r="1826" spans="12:13" x14ac:dyDescent="0.25">
      <c r="L1826" s="65">
        <v>426210</v>
      </c>
      <c r="M1826" t="s">
        <v>1569</v>
      </c>
    </row>
    <row r="1827" spans="12:13" x14ac:dyDescent="0.25">
      <c r="L1827" s="65">
        <v>426211</v>
      </c>
      <c r="M1827" t="s">
        <v>1569</v>
      </c>
    </row>
    <row r="1828" spans="12:13" x14ac:dyDescent="0.25">
      <c r="L1828" s="65">
        <v>426220</v>
      </c>
      <c r="M1828" t="s">
        <v>1570</v>
      </c>
    </row>
    <row r="1829" spans="12:13" x14ac:dyDescent="0.25">
      <c r="L1829" s="65">
        <v>426221</v>
      </c>
      <c r="M1829" t="s">
        <v>1570</v>
      </c>
    </row>
    <row r="1830" spans="12:13" x14ac:dyDescent="0.25">
      <c r="L1830" s="65">
        <v>426230</v>
      </c>
      <c r="M1830" t="s">
        <v>1571</v>
      </c>
    </row>
    <row r="1831" spans="12:13" x14ac:dyDescent="0.25">
      <c r="L1831" s="65">
        <v>426231</v>
      </c>
      <c r="M1831" t="s">
        <v>1571</v>
      </c>
    </row>
    <row r="1832" spans="12:13" x14ac:dyDescent="0.25">
      <c r="L1832" s="65">
        <v>426240</v>
      </c>
      <c r="M1832" t="s">
        <v>1572</v>
      </c>
    </row>
    <row r="1833" spans="12:13" x14ac:dyDescent="0.25">
      <c r="L1833" s="65">
        <v>426241</v>
      </c>
      <c r="M1833" t="s">
        <v>1572</v>
      </c>
    </row>
    <row r="1834" spans="12:13" x14ac:dyDescent="0.25">
      <c r="L1834" s="65">
        <v>426250</v>
      </c>
      <c r="M1834" t="s">
        <v>1573</v>
      </c>
    </row>
    <row r="1835" spans="12:13" x14ac:dyDescent="0.25">
      <c r="L1835" s="65">
        <v>426251</v>
      </c>
      <c r="M1835" t="s">
        <v>1573</v>
      </c>
    </row>
    <row r="1836" spans="12:13" x14ac:dyDescent="0.25">
      <c r="L1836" s="65">
        <v>426290</v>
      </c>
      <c r="M1836" t="s">
        <v>1574</v>
      </c>
    </row>
    <row r="1837" spans="12:13" x14ac:dyDescent="0.25">
      <c r="L1837" s="65">
        <v>426291</v>
      </c>
      <c r="M1837" t="s">
        <v>1574</v>
      </c>
    </row>
    <row r="1838" spans="12:13" x14ac:dyDescent="0.25">
      <c r="L1838" s="65">
        <v>426300</v>
      </c>
      <c r="M1838" t="s">
        <v>1575</v>
      </c>
    </row>
    <row r="1839" spans="12:13" x14ac:dyDescent="0.25">
      <c r="L1839" s="65">
        <v>426310</v>
      </c>
      <c r="M1839" t="s">
        <v>1576</v>
      </c>
    </row>
    <row r="1840" spans="12:13" x14ac:dyDescent="0.25">
      <c r="L1840" s="65">
        <v>426311</v>
      </c>
      <c r="M1840" t="s">
        <v>1577</v>
      </c>
    </row>
    <row r="1841" spans="12:13" x14ac:dyDescent="0.25">
      <c r="L1841" s="65">
        <v>426312</v>
      </c>
      <c r="M1841" t="s">
        <v>1578</v>
      </c>
    </row>
    <row r="1842" spans="12:13" x14ac:dyDescent="0.25">
      <c r="L1842" s="65">
        <v>426320</v>
      </c>
      <c r="M1842" t="s">
        <v>1579</v>
      </c>
    </row>
    <row r="1843" spans="12:13" x14ac:dyDescent="0.25">
      <c r="L1843" s="65">
        <v>426321</v>
      </c>
      <c r="M1843" t="s">
        <v>1579</v>
      </c>
    </row>
    <row r="1844" spans="12:13" x14ac:dyDescent="0.25">
      <c r="L1844" s="65">
        <v>426400</v>
      </c>
      <c r="M1844" t="s">
        <v>1580</v>
      </c>
    </row>
    <row r="1845" spans="12:13" x14ac:dyDescent="0.25">
      <c r="L1845" s="65">
        <v>426410</v>
      </c>
      <c r="M1845" t="s">
        <v>1581</v>
      </c>
    </row>
    <row r="1846" spans="12:13" x14ac:dyDescent="0.25">
      <c r="L1846" s="65">
        <v>426411</v>
      </c>
      <c r="M1846" t="s">
        <v>1582</v>
      </c>
    </row>
    <row r="1847" spans="12:13" x14ac:dyDescent="0.25">
      <c r="L1847" s="65">
        <v>426412</v>
      </c>
      <c r="M1847" t="s">
        <v>1583</v>
      </c>
    </row>
    <row r="1848" spans="12:13" x14ac:dyDescent="0.25">
      <c r="L1848" s="65">
        <v>426413</v>
      </c>
      <c r="M1848" t="s">
        <v>1584</v>
      </c>
    </row>
    <row r="1849" spans="12:13" x14ac:dyDescent="0.25">
      <c r="L1849" s="65">
        <v>426490</v>
      </c>
      <c r="M1849" t="s">
        <v>1585</v>
      </c>
    </row>
    <row r="1850" spans="12:13" x14ac:dyDescent="0.25">
      <c r="L1850" s="65">
        <v>426491</v>
      </c>
      <c r="M1850" t="s">
        <v>1585</v>
      </c>
    </row>
    <row r="1851" spans="12:13" x14ac:dyDescent="0.25">
      <c r="L1851" s="65">
        <v>426500</v>
      </c>
      <c r="M1851" t="s">
        <v>1586</v>
      </c>
    </row>
    <row r="1852" spans="12:13" x14ac:dyDescent="0.25">
      <c r="L1852" s="65">
        <v>426510</v>
      </c>
      <c r="M1852" t="s">
        <v>1587</v>
      </c>
    </row>
    <row r="1853" spans="12:13" x14ac:dyDescent="0.25">
      <c r="L1853" s="65">
        <v>426511</v>
      </c>
      <c r="M1853" t="s">
        <v>1587</v>
      </c>
    </row>
    <row r="1854" spans="12:13" x14ac:dyDescent="0.25">
      <c r="L1854" s="65">
        <v>426520</v>
      </c>
      <c r="M1854" t="s">
        <v>1588</v>
      </c>
    </row>
    <row r="1855" spans="12:13" x14ac:dyDescent="0.25">
      <c r="L1855" s="65">
        <v>426521</v>
      </c>
      <c r="M1855" t="s">
        <v>1588</v>
      </c>
    </row>
    <row r="1856" spans="12:13" x14ac:dyDescent="0.25">
      <c r="L1856" s="65">
        <v>426530</v>
      </c>
      <c r="M1856" t="s">
        <v>1589</v>
      </c>
    </row>
    <row r="1857" spans="12:13" x14ac:dyDescent="0.25">
      <c r="L1857" s="65">
        <v>426531</v>
      </c>
      <c r="M1857" t="s">
        <v>1589</v>
      </c>
    </row>
    <row r="1858" spans="12:13" x14ac:dyDescent="0.25">
      <c r="L1858" s="65">
        <v>426540</v>
      </c>
      <c r="M1858" t="s">
        <v>1590</v>
      </c>
    </row>
    <row r="1859" spans="12:13" x14ac:dyDescent="0.25">
      <c r="L1859" s="65">
        <v>426541</v>
      </c>
      <c r="M1859" t="s">
        <v>1590</v>
      </c>
    </row>
    <row r="1860" spans="12:13" x14ac:dyDescent="0.25">
      <c r="L1860" s="65">
        <v>426550</v>
      </c>
      <c r="M1860" t="s">
        <v>1591</v>
      </c>
    </row>
    <row r="1861" spans="12:13" x14ac:dyDescent="0.25">
      <c r="L1861" s="65">
        <v>426551</v>
      </c>
      <c r="M1861" t="s">
        <v>1591</v>
      </c>
    </row>
    <row r="1862" spans="12:13" x14ac:dyDescent="0.25">
      <c r="L1862" s="65">
        <v>426590</v>
      </c>
      <c r="M1862" t="s">
        <v>1592</v>
      </c>
    </row>
    <row r="1863" spans="12:13" x14ac:dyDescent="0.25">
      <c r="L1863" s="65">
        <v>426591</v>
      </c>
      <c r="M1863" t="s">
        <v>1592</v>
      </c>
    </row>
    <row r="1864" spans="12:13" x14ac:dyDescent="0.25">
      <c r="L1864" s="65">
        <v>426600</v>
      </c>
      <c r="M1864" t="s">
        <v>1593</v>
      </c>
    </row>
    <row r="1865" spans="12:13" x14ac:dyDescent="0.25">
      <c r="L1865" s="65">
        <v>426610</v>
      </c>
      <c r="M1865" t="s">
        <v>1579</v>
      </c>
    </row>
    <row r="1866" spans="12:13" x14ac:dyDescent="0.25">
      <c r="L1866" s="65">
        <v>426611</v>
      </c>
      <c r="M1866" t="s">
        <v>1579</v>
      </c>
    </row>
    <row r="1867" spans="12:13" x14ac:dyDescent="0.25">
      <c r="L1867" s="65">
        <v>426620</v>
      </c>
      <c r="M1867" t="s">
        <v>1594</v>
      </c>
    </row>
    <row r="1868" spans="12:13" x14ac:dyDescent="0.25">
      <c r="L1868" s="65">
        <v>426621</v>
      </c>
      <c r="M1868" t="s">
        <v>1594</v>
      </c>
    </row>
    <row r="1869" spans="12:13" x14ac:dyDescent="0.25">
      <c r="L1869" s="65">
        <v>426630</v>
      </c>
      <c r="M1869" t="s">
        <v>1595</v>
      </c>
    </row>
    <row r="1870" spans="12:13" x14ac:dyDescent="0.25">
      <c r="L1870" s="65">
        <v>426631</v>
      </c>
      <c r="M1870" t="s">
        <v>1595</v>
      </c>
    </row>
    <row r="1871" spans="12:13" x14ac:dyDescent="0.25">
      <c r="L1871" s="65">
        <v>426700</v>
      </c>
      <c r="M1871" t="s">
        <v>1596</v>
      </c>
    </row>
    <row r="1872" spans="12:13" x14ac:dyDescent="0.25">
      <c r="L1872" s="65">
        <v>426710</v>
      </c>
      <c r="M1872" t="s">
        <v>1597</v>
      </c>
    </row>
    <row r="1873" spans="12:13" x14ac:dyDescent="0.25">
      <c r="L1873" s="65">
        <v>426711</v>
      </c>
      <c r="M1873" t="s">
        <v>1597</v>
      </c>
    </row>
    <row r="1874" spans="12:13" x14ac:dyDescent="0.25">
      <c r="L1874" s="65">
        <v>426720</v>
      </c>
      <c r="M1874" t="s">
        <v>1598</v>
      </c>
    </row>
    <row r="1875" spans="12:13" x14ac:dyDescent="0.25">
      <c r="L1875" s="65">
        <v>426721</v>
      </c>
      <c r="M1875" t="s">
        <v>1598</v>
      </c>
    </row>
    <row r="1876" spans="12:13" x14ac:dyDescent="0.25">
      <c r="L1876" s="65">
        <v>426730</v>
      </c>
      <c r="M1876" t="s">
        <v>1599</v>
      </c>
    </row>
    <row r="1877" spans="12:13" x14ac:dyDescent="0.25">
      <c r="L1877" s="65">
        <v>426731</v>
      </c>
      <c r="M1877" t="s">
        <v>1599</v>
      </c>
    </row>
    <row r="1878" spans="12:13" x14ac:dyDescent="0.25">
      <c r="L1878" s="65">
        <v>426740</v>
      </c>
      <c r="M1878" t="s">
        <v>1600</v>
      </c>
    </row>
    <row r="1879" spans="12:13" x14ac:dyDescent="0.25">
      <c r="L1879" s="65">
        <v>426741</v>
      </c>
      <c r="M1879" t="s">
        <v>1600</v>
      </c>
    </row>
    <row r="1880" spans="12:13" x14ac:dyDescent="0.25">
      <c r="L1880" s="65">
        <v>426750</v>
      </c>
      <c r="M1880" t="s">
        <v>1601</v>
      </c>
    </row>
    <row r="1881" spans="12:13" x14ac:dyDescent="0.25">
      <c r="L1881" s="65">
        <v>426751</v>
      </c>
      <c r="M1881" t="s">
        <v>1601</v>
      </c>
    </row>
    <row r="1882" spans="12:13" x14ac:dyDescent="0.25">
      <c r="L1882" s="65">
        <v>426760</v>
      </c>
      <c r="M1882" t="s">
        <v>1602</v>
      </c>
    </row>
    <row r="1883" spans="12:13" x14ac:dyDescent="0.25">
      <c r="L1883" s="65">
        <v>426761</v>
      </c>
      <c r="M1883" t="s">
        <v>1602</v>
      </c>
    </row>
    <row r="1884" spans="12:13" x14ac:dyDescent="0.25">
      <c r="L1884" s="65">
        <v>426790</v>
      </c>
      <c r="M1884" t="s">
        <v>1603</v>
      </c>
    </row>
    <row r="1885" spans="12:13" x14ac:dyDescent="0.25">
      <c r="L1885" s="65">
        <v>426791</v>
      </c>
      <c r="M1885" t="s">
        <v>1603</v>
      </c>
    </row>
    <row r="1886" spans="12:13" x14ac:dyDescent="0.25">
      <c r="L1886" s="65">
        <v>426800</v>
      </c>
      <c r="M1886" t="s">
        <v>1604</v>
      </c>
    </row>
    <row r="1887" spans="12:13" x14ac:dyDescent="0.25">
      <c r="L1887" s="65">
        <v>426810</v>
      </c>
      <c r="M1887" t="s">
        <v>1605</v>
      </c>
    </row>
    <row r="1888" spans="12:13" x14ac:dyDescent="0.25">
      <c r="L1888" s="65">
        <v>426811</v>
      </c>
      <c r="M1888" t="s">
        <v>1606</v>
      </c>
    </row>
    <row r="1889" spans="12:13" x14ac:dyDescent="0.25">
      <c r="L1889" s="65">
        <v>426812</v>
      </c>
      <c r="M1889" t="s">
        <v>1607</v>
      </c>
    </row>
    <row r="1890" spans="12:13" x14ac:dyDescent="0.25">
      <c r="L1890" s="65">
        <v>426819</v>
      </c>
      <c r="M1890" t="s">
        <v>1608</v>
      </c>
    </row>
    <row r="1891" spans="12:13" x14ac:dyDescent="0.25">
      <c r="L1891" s="65">
        <v>426820</v>
      </c>
      <c r="M1891" t="s">
        <v>1609</v>
      </c>
    </row>
    <row r="1892" spans="12:13" x14ac:dyDescent="0.25">
      <c r="L1892" s="65">
        <v>426821</v>
      </c>
      <c r="M1892" t="s">
        <v>1610</v>
      </c>
    </row>
    <row r="1893" spans="12:13" x14ac:dyDescent="0.25">
      <c r="L1893" s="65">
        <v>426822</v>
      </c>
      <c r="M1893" t="s">
        <v>1611</v>
      </c>
    </row>
    <row r="1894" spans="12:13" x14ac:dyDescent="0.25">
      <c r="L1894" s="65">
        <v>426823</v>
      </c>
      <c r="M1894" t="s">
        <v>1612</v>
      </c>
    </row>
    <row r="1895" spans="12:13" x14ac:dyDescent="0.25">
      <c r="L1895" s="65">
        <v>426829</v>
      </c>
      <c r="M1895" t="s">
        <v>1613</v>
      </c>
    </row>
    <row r="1896" spans="12:13" x14ac:dyDescent="0.25">
      <c r="L1896" s="65">
        <v>426900</v>
      </c>
      <c r="M1896" t="s">
        <v>1614</v>
      </c>
    </row>
    <row r="1897" spans="12:13" x14ac:dyDescent="0.25">
      <c r="L1897" s="65">
        <v>426910</v>
      </c>
      <c r="M1897" t="s">
        <v>1614</v>
      </c>
    </row>
    <row r="1898" spans="12:13" x14ac:dyDescent="0.25">
      <c r="L1898" s="65">
        <v>426911</v>
      </c>
      <c r="M1898" t="s">
        <v>1615</v>
      </c>
    </row>
    <row r="1899" spans="12:13" x14ac:dyDescent="0.25">
      <c r="L1899" s="65">
        <v>426912</v>
      </c>
      <c r="M1899" t="s">
        <v>1616</v>
      </c>
    </row>
    <row r="1900" spans="12:13" x14ac:dyDescent="0.25">
      <c r="L1900" s="65">
        <v>426913</v>
      </c>
      <c r="M1900" t="s">
        <v>1617</v>
      </c>
    </row>
    <row r="1901" spans="12:13" x14ac:dyDescent="0.25">
      <c r="L1901" s="65">
        <v>426914</v>
      </c>
      <c r="M1901" t="s">
        <v>1618</v>
      </c>
    </row>
    <row r="1902" spans="12:13" x14ac:dyDescent="0.25">
      <c r="L1902" s="65">
        <v>426919</v>
      </c>
      <c r="M1902" t="s">
        <v>1619</v>
      </c>
    </row>
    <row r="1903" spans="12:13" x14ac:dyDescent="0.25">
      <c r="L1903" s="65">
        <v>430000</v>
      </c>
      <c r="M1903" t="s">
        <v>1620</v>
      </c>
    </row>
    <row r="1904" spans="12:13" x14ac:dyDescent="0.25">
      <c r="L1904" s="65">
        <v>431000</v>
      </c>
      <c r="M1904" t="s">
        <v>1621</v>
      </c>
    </row>
    <row r="1905" spans="12:13" x14ac:dyDescent="0.25">
      <c r="L1905" s="65">
        <v>431100</v>
      </c>
      <c r="M1905" t="s">
        <v>1622</v>
      </c>
    </row>
    <row r="1906" spans="12:13" x14ac:dyDescent="0.25">
      <c r="L1906" s="65">
        <v>431110</v>
      </c>
      <c r="M1906" t="s">
        <v>1622</v>
      </c>
    </row>
    <row r="1907" spans="12:13" x14ac:dyDescent="0.25">
      <c r="L1907" s="65">
        <v>431111</v>
      </c>
      <c r="M1907" t="s">
        <v>1622</v>
      </c>
    </row>
    <row r="1908" spans="12:13" x14ac:dyDescent="0.25">
      <c r="L1908" s="65">
        <v>431200</v>
      </c>
      <c r="M1908" t="s">
        <v>1623</v>
      </c>
    </row>
    <row r="1909" spans="12:13" x14ac:dyDescent="0.25">
      <c r="L1909" s="65">
        <v>431210</v>
      </c>
      <c r="M1909" t="s">
        <v>1623</v>
      </c>
    </row>
    <row r="1910" spans="12:13" x14ac:dyDescent="0.25">
      <c r="L1910" s="65">
        <v>431211</v>
      </c>
      <c r="M1910" t="s">
        <v>1623</v>
      </c>
    </row>
    <row r="1911" spans="12:13" x14ac:dyDescent="0.25">
      <c r="L1911" s="65">
        <v>431300</v>
      </c>
      <c r="M1911" t="s">
        <v>1624</v>
      </c>
    </row>
    <row r="1912" spans="12:13" x14ac:dyDescent="0.25">
      <c r="L1912" s="65">
        <v>431310</v>
      </c>
      <c r="M1912" t="s">
        <v>1624</v>
      </c>
    </row>
    <row r="1913" spans="12:13" x14ac:dyDescent="0.25">
      <c r="L1913" s="65">
        <v>431311</v>
      </c>
      <c r="M1913" t="s">
        <v>1624</v>
      </c>
    </row>
    <row r="1914" spans="12:13" x14ac:dyDescent="0.25">
      <c r="L1914" s="65">
        <v>432000</v>
      </c>
      <c r="M1914" t="s">
        <v>1625</v>
      </c>
    </row>
    <row r="1915" spans="12:13" x14ac:dyDescent="0.25">
      <c r="L1915" s="65">
        <v>432100</v>
      </c>
      <c r="M1915" t="s">
        <v>1625</v>
      </c>
    </row>
    <row r="1916" spans="12:13" x14ac:dyDescent="0.25">
      <c r="L1916" s="65">
        <v>432110</v>
      </c>
      <c r="M1916" t="s">
        <v>1625</v>
      </c>
    </row>
    <row r="1917" spans="12:13" x14ac:dyDescent="0.25">
      <c r="L1917" s="65">
        <v>432111</v>
      </c>
      <c r="M1917" t="s">
        <v>1625</v>
      </c>
    </row>
    <row r="1918" spans="12:13" x14ac:dyDescent="0.25">
      <c r="L1918" t="s">
        <v>1626</v>
      </c>
      <c r="M1918" t="s">
        <v>1627</v>
      </c>
    </row>
    <row r="1919" spans="12:13" x14ac:dyDescent="0.25">
      <c r="L1919" s="65">
        <v>433100</v>
      </c>
      <c r="M1919" t="s">
        <v>1628</v>
      </c>
    </row>
    <row r="1920" spans="12:13" x14ac:dyDescent="0.25">
      <c r="L1920" s="65">
        <v>433110</v>
      </c>
      <c r="M1920" t="s">
        <v>1628</v>
      </c>
    </row>
    <row r="1921" spans="12:13" x14ac:dyDescent="0.25">
      <c r="L1921" s="65">
        <v>433111</v>
      </c>
      <c r="M1921" t="s">
        <v>1628</v>
      </c>
    </row>
    <row r="1922" spans="12:13" x14ac:dyDescent="0.25">
      <c r="L1922" s="65">
        <v>434000</v>
      </c>
      <c r="M1922" t="s">
        <v>1629</v>
      </c>
    </row>
    <row r="1923" spans="12:13" x14ac:dyDescent="0.25">
      <c r="L1923" s="65">
        <v>434100</v>
      </c>
      <c r="M1923" t="s">
        <v>1630</v>
      </c>
    </row>
    <row r="1924" spans="12:13" x14ac:dyDescent="0.25">
      <c r="L1924" s="65">
        <v>434110</v>
      </c>
      <c r="M1924" t="s">
        <v>1630</v>
      </c>
    </row>
    <row r="1925" spans="12:13" x14ac:dyDescent="0.25">
      <c r="L1925" s="65">
        <v>434111</v>
      </c>
      <c r="M1925" t="s">
        <v>1630</v>
      </c>
    </row>
    <row r="1926" spans="12:13" x14ac:dyDescent="0.25">
      <c r="L1926" s="65">
        <v>434200</v>
      </c>
      <c r="M1926" t="s">
        <v>1631</v>
      </c>
    </row>
    <row r="1927" spans="12:13" x14ac:dyDescent="0.25">
      <c r="L1927" s="65">
        <v>434210</v>
      </c>
      <c r="M1927" t="s">
        <v>1631</v>
      </c>
    </row>
    <row r="1928" spans="12:13" x14ac:dyDescent="0.25">
      <c r="L1928" s="65">
        <v>434211</v>
      </c>
      <c r="M1928" t="s">
        <v>1631</v>
      </c>
    </row>
    <row r="1929" spans="12:13" x14ac:dyDescent="0.25">
      <c r="L1929" s="65">
        <v>434300</v>
      </c>
      <c r="M1929" t="s">
        <v>1632</v>
      </c>
    </row>
    <row r="1930" spans="12:13" x14ac:dyDescent="0.25">
      <c r="L1930" s="65">
        <v>434310</v>
      </c>
      <c r="M1930" t="s">
        <v>1633</v>
      </c>
    </row>
    <row r="1931" spans="12:13" x14ac:dyDescent="0.25">
      <c r="L1931" s="65">
        <v>434311</v>
      </c>
      <c r="M1931" t="s">
        <v>1633</v>
      </c>
    </row>
    <row r="1932" spans="12:13" x14ac:dyDescent="0.25">
      <c r="L1932" s="65">
        <v>434320</v>
      </c>
      <c r="M1932" t="s">
        <v>1634</v>
      </c>
    </row>
    <row r="1933" spans="12:13" x14ac:dyDescent="0.25">
      <c r="L1933" s="65">
        <v>434321</v>
      </c>
      <c r="M1933" t="s">
        <v>1634</v>
      </c>
    </row>
    <row r="1934" spans="12:13" x14ac:dyDescent="0.25">
      <c r="L1934" s="65">
        <v>435000</v>
      </c>
      <c r="M1934" t="s">
        <v>1635</v>
      </c>
    </row>
    <row r="1935" spans="12:13" x14ac:dyDescent="0.25">
      <c r="L1935" s="65">
        <v>435100</v>
      </c>
      <c r="M1935" t="s">
        <v>1635</v>
      </c>
    </row>
    <row r="1936" spans="12:13" x14ac:dyDescent="0.25">
      <c r="L1936" s="65">
        <v>435110</v>
      </c>
      <c r="M1936" t="s">
        <v>1635</v>
      </c>
    </row>
    <row r="1937" spans="12:13" x14ac:dyDescent="0.25">
      <c r="L1937" s="65">
        <v>435111</v>
      </c>
      <c r="M1937" t="s">
        <v>1635</v>
      </c>
    </row>
    <row r="1938" spans="12:13" x14ac:dyDescent="0.25">
      <c r="L1938" s="65">
        <v>440000</v>
      </c>
      <c r="M1938" t="s">
        <v>1636</v>
      </c>
    </row>
    <row r="1939" spans="12:13" x14ac:dyDescent="0.25">
      <c r="L1939" s="65">
        <v>441000</v>
      </c>
      <c r="M1939" t="s">
        <v>1637</v>
      </c>
    </row>
    <row r="1940" spans="12:13" x14ac:dyDescent="0.25">
      <c r="L1940" s="65">
        <v>441100</v>
      </c>
      <c r="M1940" t="s">
        <v>1638</v>
      </c>
    </row>
    <row r="1941" spans="12:13" x14ac:dyDescent="0.25">
      <c r="L1941" s="65">
        <v>441110</v>
      </c>
      <c r="M1941" t="s">
        <v>1639</v>
      </c>
    </row>
    <row r="1942" spans="12:13" x14ac:dyDescent="0.25">
      <c r="L1942" s="65">
        <v>441111</v>
      </c>
      <c r="M1942" t="s">
        <v>1639</v>
      </c>
    </row>
    <row r="1943" spans="12:13" x14ac:dyDescent="0.25">
      <c r="L1943" s="65">
        <v>441120</v>
      </c>
      <c r="M1943" t="s">
        <v>1640</v>
      </c>
    </row>
    <row r="1944" spans="12:13" x14ac:dyDescent="0.25">
      <c r="L1944" s="65">
        <v>441121</v>
      </c>
      <c r="M1944" t="s">
        <v>1640</v>
      </c>
    </row>
    <row r="1945" spans="12:13" x14ac:dyDescent="0.25">
      <c r="L1945" s="65">
        <v>441200</v>
      </c>
      <c r="M1945" t="s">
        <v>1641</v>
      </c>
    </row>
    <row r="1946" spans="12:13" x14ac:dyDescent="0.25">
      <c r="L1946" s="65">
        <v>441210</v>
      </c>
      <c r="M1946" t="s">
        <v>1642</v>
      </c>
    </row>
    <row r="1947" spans="12:13" x14ac:dyDescent="0.25">
      <c r="L1947" s="65">
        <v>441211</v>
      </c>
      <c r="M1947" t="s">
        <v>1642</v>
      </c>
    </row>
    <row r="1948" spans="12:13" x14ac:dyDescent="0.25">
      <c r="L1948" s="65">
        <v>441220</v>
      </c>
      <c r="M1948" t="s">
        <v>1643</v>
      </c>
    </row>
    <row r="1949" spans="12:13" x14ac:dyDescent="0.25">
      <c r="L1949" s="65">
        <v>441221</v>
      </c>
      <c r="M1949" t="s">
        <v>1643</v>
      </c>
    </row>
    <row r="1950" spans="12:13" x14ac:dyDescent="0.25">
      <c r="L1950" s="65">
        <v>441230</v>
      </c>
      <c r="M1950" t="s">
        <v>1644</v>
      </c>
    </row>
    <row r="1951" spans="12:13" x14ac:dyDescent="0.25">
      <c r="L1951" s="65">
        <v>441231</v>
      </c>
      <c r="M1951" t="s">
        <v>1644</v>
      </c>
    </row>
    <row r="1952" spans="12:13" x14ac:dyDescent="0.25">
      <c r="L1952" s="65">
        <v>441240</v>
      </c>
      <c r="M1952" t="s">
        <v>1645</v>
      </c>
    </row>
    <row r="1953" spans="12:13" x14ac:dyDescent="0.25">
      <c r="L1953" s="65">
        <v>441241</v>
      </c>
      <c r="M1953" t="s">
        <v>1645</v>
      </c>
    </row>
    <row r="1954" spans="12:13" x14ac:dyDescent="0.25">
      <c r="L1954" s="65">
        <v>441250</v>
      </c>
      <c r="M1954" t="s">
        <v>1646</v>
      </c>
    </row>
    <row r="1955" spans="12:13" x14ac:dyDescent="0.25">
      <c r="L1955" s="65">
        <v>441251</v>
      </c>
      <c r="M1955" t="s">
        <v>1647</v>
      </c>
    </row>
    <row r="1956" spans="12:13" x14ac:dyDescent="0.25">
      <c r="L1956" s="65">
        <v>441252</v>
      </c>
      <c r="M1956" t="s">
        <v>1648</v>
      </c>
    </row>
    <row r="1957" spans="12:13" x14ac:dyDescent="0.25">
      <c r="L1957" s="65">
        <v>441255</v>
      </c>
      <c r="M1957" t="s">
        <v>1649</v>
      </c>
    </row>
    <row r="1958" spans="12:13" x14ac:dyDescent="0.25">
      <c r="L1958" s="65">
        <v>441300</v>
      </c>
      <c r="M1958" t="s">
        <v>1650</v>
      </c>
    </row>
    <row r="1959" spans="12:13" x14ac:dyDescent="0.25">
      <c r="L1959" s="65">
        <v>441310</v>
      </c>
      <c r="M1959" t="s">
        <v>1651</v>
      </c>
    </row>
    <row r="1960" spans="12:13" x14ac:dyDescent="0.25">
      <c r="L1960" s="65">
        <v>441311</v>
      </c>
      <c r="M1960" t="s">
        <v>1651</v>
      </c>
    </row>
    <row r="1961" spans="12:13" x14ac:dyDescent="0.25">
      <c r="L1961" s="65">
        <v>441390</v>
      </c>
      <c r="M1961" t="s">
        <v>1652</v>
      </c>
    </row>
    <row r="1962" spans="12:13" x14ac:dyDescent="0.25">
      <c r="L1962" s="65">
        <v>441391</v>
      </c>
      <c r="M1962" t="s">
        <v>1652</v>
      </c>
    </row>
    <row r="1963" spans="12:13" x14ac:dyDescent="0.25">
      <c r="L1963" s="65">
        <v>441400</v>
      </c>
      <c r="M1963" t="s">
        <v>1653</v>
      </c>
    </row>
    <row r="1964" spans="12:13" x14ac:dyDescent="0.25">
      <c r="L1964" s="65">
        <v>441410</v>
      </c>
      <c r="M1964" t="s">
        <v>1653</v>
      </c>
    </row>
    <row r="1965" spans="12:13" x14ac:dyDescent="0.25">
      <c r="L1965" s="65">
        <v>441411</v>
      </c>
      <c r="M1965" t="s">
        <v>1653</v>
      </c>
    </row>
    <row r="1966" spans="12:13" x14ac:dyDescent="0.25">
      <c r="L1966" s="65">
        <v>441500</v>
      </c>
      <c r="M1966" t="s">
        <v>1654</v>
      </c>
    </row>
    <row r="1967" spans="12:13" x14ac:dyDescent="0.25">
      <c r="L1967" s="65">
        <v>441510</v>
      </c>
      <c r="M1967" t="s">
        <v>1654</v>
      </c>
    </row>
    <row r="1968" spans="12:13" x14ac:dyDescent="0.25">
      <c r="L1968" s="65">
        <v>441511</v>
      </c>
      <c r="M1968" t="s">
        <v>1654</v>
      </c>
    </row>
    <row r="1969" spans="12:13" x14ac:dyDescent="0.25">
      <c r="L1969" s="65">
        <v>441600</v>
      </c>
      <c r="M1969" t="s">
        <v>1655</v>
      </c>
    </row>
    <row r="1970" spans="12:13" x14ac:dyDescent="0.25">
      <c r="L1970" s="65">
        <v>441610</v>
      </c>
      <c r="M1970" t="s">
        <v>1655</v>
      </c>
    </row>
    <row r="1971" spans="12:13" x14ac:dyDescent="0.25">
      <c r="L1971" s="65">
        <v>441611</v>
      </c>
      <c r="M1971" t="s">
        <v>1655</v>
      </c>
    </row>
    <row r="1972" spans="12:13" x14ac:dyDescent="0.25">
      <c r="L1972" s="65">
        <v>441700</v>
      </c>
      <c r="M1972" t="s">
        <v>1656</v>
      </c>
    </row>
    <row r="1973" spans="12:13" x14ac:dyDescent="0.25">
      <c r="L1973" s="65">
        <v>441710</v>
      </c>
      <c r="M1973" t="s">
        <v>1656</v>
      </c>
    </row>
    <row r="1974" spans="12:13" x14ac:dyDescent="0.25">
      <c r="L1974" s="65">
        <v>441711</v>
      </c>
      <c r="M1974" t="s">
        <v>1656</v>
      </c>
    </row>
    <row r="1975" spans="12:13" x14ac:dyDescent="0.25">
      <c r="L1975" s="65">
        <v>441800</v>
      </c>
      <c r="M1975" t="s">
        <v>1657</v>
      </c>
    </row>
    <row r="1976" spans="12:13" x14ac:dyDescent="0.25">
      <c r="L1976" s="65">
        <v>441810</v>
      </c>
      <c r="M1976" t="s">
        <v>1657</v>
      </c>
    </row>
    <row r="1977" spans="12:13" x14ac:dyDescent="0.25">
      <c r="L1977" s="65">
        <v>441811</v>
      </c>
      <c r="M1977" t="s">
        <v>1657</v>
      </c>
    </row>
    <row r="1978" spans="12:13" x14ac:dyDescent="0.25">
      <c r="L1978" s="65">
        <v>441900</v>
      </c>
      <c r="M1978" t="s">
        <v>1658</v>
      </c>
    </row>
    <row r="1979" spans="12:13" x14ac:dyDescent="0.25">
      <c r="L1979" s="65">
        <v>441910</v>
      </c>
      <c r="M1979" t="s">
        <v>1658</v>
      </c>
    </row>
    <row r="1980" spans="12:13" x14ac:dyDescent="0.25">
      <c r="L1980" s="65">
        <v>441911</v>
      </c>
      <c r="M1980" t="s">
        <v>1659</v>
      </c>
    </row>
    <row r="1981" spans="12:13" x14ac:dyDescent="0.25">
      <c r="L1981" s="65">
        <v>442000</v>
      </c>
      <c r="M1981" t="s">
        <v>1660</v>
      </c>
    </row>
    <row r="1982" spans="12:13" x14ac:dyDescent="0.25">
      <c r="L1982" s="65">
        <v>442100</v>
      </c>
      <c r="M1982" t="s">
        <v>1661</v>
      </c>
    </row>
    <row r="1983" spans="12:13" x14ac:dyDescent="0.25">
      <c r="L1983" s="65">
        <v>442110</v>
      </c>
      <c r="M1983" t="s">
        <v>1662</v>
      </c>
    </row>
    <row r="1984" spans="12:13" x14ac:dyDescent="0.25">
      <c r="L1984" s="65">
        <v>442111</v>
      </c>
      <c r="M1984" t="s">
        <v>1662</v>
      </c>
    </row>
    <row r="1985" spans="12:13" x14ac:dyDescent="0.25">
      <c r="L1985" s="65">
        <v>442120</v>
      </c>
      <c r="M1985" t="s">
        <v>1663</v>
      </c>
    </row>
    <row r="1986" spans="12:13" x14ac:dyDescent="0.25">
      <c r="L1986" s="65">
        <v>442121</v>
      </c>
      <c r="M1986" t="s">
        <v>1664</v>
      </c>
    </row>
    <row r="1987" spans="12:13" x14ac:dyDescent="0.25">
      <c r="L1987" s="65">
        <v>442200</v>
      </c>
      <c r="M1987" t="s">
        <v>1665</v>
      </c>
    </row>
    <row r="1988" spans="12:13" x14ac:dyDescent="0.25">
      <c r="L1988" s="65">
        <v>442210</v>
      </c>
      <c r="M1988" t="s">
        <v>1666</v>
      </c>
    </row>
    <row r="1989" spans="12:13" x14ac:dyDescent="0.25">
      <c r="L1989" s="65">
        <v>442211</v>
      </c>
      <c r="M1989" t="s">
        <v>1666</v>
      </c>
    </row>
    <row r="1990" spans="12:13" x14ac:dyDescent="0.25">
      <c r="L1990" s="65">
        <v>442220</v>
      </c>
      <c r="M1990" t="s">
        <v>1667</v>
      </c>
    </row>
    <row r="1991" spans="12:13" x14ac:dyDescent="0.25">
      <c r="L1991" s="65">
        <v>442221</v>
      </c>
      <c r="M1991" t="s">
        <v>1667</v>
      </c>
    </row>
    <row r="1992" spans="12:13" x14ac:dyDescent="0.25">
      <c r="L1992" s="65">
        <v>442290</v>
      </c>
      <c r="M1992" t="s">
        <v>1668</v>
      </c>
    </row>
    <row r="1993" spans="12:13" x14ac:dyDescent="0.25">
      <c r="L1993" s="65">
        <v>442291</v>
      </c>
      <c r="M1993" t="s">
        <v>1668</v>
      </c>
    </row>
    <row r="1994" spans="12:13" x14ac:dyDescent="0.25">
      <c r="L1994" s="65">
        <v>442300</v>
      </c>
      <c r="M1994" t="s">
        <v>1669</v>
      </c>
    </row>
    <row r="1995" spans="12:13" x14ac:dyDescent="0.25">
      <c r="L1995" s="65">
        <v>442310</v>
      </c>
      <c r="M1995" t="s">
        <v>1670</v>
      </c>
    </row>
    <row r="1996" spans="12:13" x14ac:dyDescent="0.25">
      <c r="L1996" s="65">
        <v>442311</v>
      </c>
      <c r="M1996" t="s">
        <v>1670</v>
      </c>
    </row>
    <row r="1997" spans="12:13" x14ac:dyDescent="0.25">
      <c r="L1997" s="65">
        <v>442320</v>
      </c>
      <c r="M1997" t="s">
        <v>1671</v>
      </c>
    </row>
    <row r="1998" spans="12:13" x14ac:dyDescent="0.25">
      <c r="L1998" s="65">
        <v>442321</v>
      </c>
      <c r="M1998" t="s">
        <v>1671</v>
      </c>
    </row>
    <row r="1999" spans="12:13" x14ac:dyDescent="0.25">
      <c r="L1999" s="65">
        <v>442330</v>
      </c>
      <c r="M1999" t="s">
        <v>1672</v>
      </c>
    </row>
    <row r="2000" spans="12:13" x14ac:dyDescent="0.25">
      <c r="L2000" s="65">
        <v>442331</v>
      </c>
      <c r="M2000" t="s">
        <v>1672</v>
      </c>
    </row>
    <row r="2001" spans="12:13" x14ac:dyDescent="0.25">
      <c r="L2001" s="65">
        <v>442340</v>
      </c>
      <c r="M2001" t="s">
        <v>1673</v>
      </c>
    </row>
    <row r="2002" spans="12:13" x14ac:dyDescent="0.25">
      <c r="L2002" s="65">
        <v>442341</v>
      </c>
      <c r="M2002" t="s">
        <v>1673</v>
      </c>
    </row>
    <row r="2003" spans="12:13" x14ac:dyDescent="0.25">
      <c r="L2003" s="65">
        <v>442350</v>
      </c>
      <c r="M2003" t="s">
        <v>1674</v>
      </c>
    </row>
    <row r="2004" spans="12:13" x14ac:dyDescent="0.25">
      <c r="L2004" s="65">
        <v>442351</v>
      </c>
      <c r="M2004" t="s">
        <v>1674</v>
      </c>
    </row>
    <row r="2005" spans="12:13" x14ac:dyDescent="0.25">
      <c r="L2005" s="65">
        <v>442390</v>
      </c>
      <c r="M2005" t="s">
        <v>1675</v>
      </c>
    </row>
    <row r="2006" spans="12:13" x14ac:dyDescent="0.25">
      <c r="L2006" s="65">
        <v>442391</v>
      </c>
      <c r="M2006" t="s">
        <v>1675</v>
      </c>
    </row>
    <row r="2007" spans="12:13" x14ac:dyDescent="0.25">
      <c r="L2007" s="65">
        <v>442400</v>
      </c>
      <c r="M2007" t="s">
        <v>1676</v>
      </c>
    </row>
    <row r="2008" spans="12:13" x14ac:dyDescent="0.25">
      <c r="L2008" s="65">
        <v>442410</v>
      </c>
      <c r="M2008" t="s">
        <v>1677</v>
      </c>
    </row>
    <row r="2009" spans="12:13" x14ac:dyDescent="0.25">
      <c r="L2009" s="65">
        <v>442411</v>
      </c>
      <c r="M2009" t="s">
        <v>1677</v>
      </c>
    </row>
    <row r="2010" spans="12:13" x14ac:dyDescent="0.25">
      <c r="L2010" s="65">
        <v>442490</v>
      </c>
      <c r="M2010" t="s">
        <v>1678</v>
      </c>
    </row>
    <row r="2011" spans="12:13" x14ac:dyDescent="0.25">
      <c r="L2011" s="65">
        <v>442491</v>
      </c>
      <c r="M2011" t="s">
        <v>1678</v>
      </c>
    </row>
    <row r="2012" spans="12:13" x14ac:dyDescent="0.25">
      <c r="L2012" s="65">
        <v>442500</v>
      </c>
      <c r="M2012" t="s">
        <v>1679</v>
      </c>
    </row>
    <row r="2013" spans="12:13" x14ac:dyDescent="0.25">
      <c r="L2013" s="65">
        <v>442510</v>
      </c>
      <c r="M2013" t="s">
        <v>1679</v>
      </c>
    </row>
    <row r="2014" spans="12:13" x14ac:dyDescent="0.25">
      <c r="L2014" s="65">
        <v>442511</v>
      </c>
      <c r="M2014" t="s">
        <v>1679</v>
      </c>
    </row>
    <row r="2015" spans="12:13" x14ac:dyDescent="0.25">
      <c r="L2015" s="65">
        <v>442600</v>
      </c>
      <c r="M2015" t="s">
        <v>1680</v>
      </c>
    </row>
    <row r="2016" spans="12:13" x14ac:dyDescent="0.25">
      <c r="L2016" s="65">
        <v>442610</v>
      </c>
      <c r="M2016" t="s">
        <v>1680</v>
      </c>
    </row>
    <row r="2017" spans="12:13" x14ac:dyDescent="0.25">
      <c r="L2017" s="65">
        <v>442611</v>
      </c>
      <c r="M2017" t="s">
        <v>1680</v>
      </c>
    </row>
    <row r="2018" spans="12:13" x14ac:dyDescent="0.25">
      <c r="L2018" s="65">
        <v>443000</v>
      </c>
      <c r="M2018" t="s">
        <v>1681</v>
      </c>
    </row>
    <row r="2019" spans="12:13" x14ac:dyDescent="0.25">
      <c r="L2019" s="65">
        <v>443100</v>
      </c>
      <c r="M2019" t="s">
        <v>1681</v>
      </c>
    </row>
    <row r="2020" spans="12:13" x14ac:dyDescent="0.25">
      <c r="L2020" s="65">
        <v>443110</v>
      </c>
      <c r="M2020" t="s">
        <v>1681</v>
      </c>
    </row>
    <row r="2021" spans="12:13" x14ac:dyDescent="0.25">
      <c r="L2021" s="65">
        <v>443111</v>
      </c>
      <c r="M2021" t="s">
        <v>1681</v>
      </c>
    </row>
    <row r="2022" spans="12:13" x14ac:dyDescent="0.25">
      <c r="L2022" s="65">
        <v>444000</v>
      </c>
      <c r="M2022" t="s">
        <v>1682</v>
      </c>
    </row>
    <row r="2023" spans="12:13" x14ac:dyDescent="0.25">
      <c r="L2023" s="65">
        <v>444100</v>
      </c>
      <c r="M2023" t="s">
        <v>1683</v>
      </c>
    </row>
    <row r="2024" spans="12:13" x14ac:dyDescent="0.25">
      <c r="L2024" s="65">
        <v>444110</v>
      </c>
      <c r="M2024" t="s">
        <v>1683</v>
      </c>
    </row>
    <row r="2025" spans="12:13" x14ac:dyDescent="0.25">
      <c r="L2025" s="65">
        <v>444111</v>
      </c>
      <c r="M2025" t="s">
        <v>1683</v>
      </c>
    </row>
    <row r="2026" spans="12:13" x14ac:dyDescent="0.25">
      <c r="L2026" s="65">
        <v>444200</v>
      </c>
      <c r="M2026" t="s">
        <v>1684</v>
      </c>
    </row>
    <row r="2027" spans="12:13" x14ac:dyDescent="0.25">
      <c r="L2027" s="65">
        <v>444210</v>
      </c>
      <c r="M2027" t="s">
        <v>1684</v>
      </c>
    </row>
    <row r="2028" spans="12:13" x14ac:dyDescent="0.25">
      <c r="L2028" s="65">
        <v>444211</v>
      </c>
      <c r="M2028" t="s">
        <v>1684</v>
      </c>
    </row>
    <row r="2029" spans="12:13" x14ac:dyDescent="0.25">
      <c r="L2029" s="65">
        <v>444212</v>
      </c>
      <c r="M2029" t="s">
        <v>1685</v>
      </c>
    </row>
    <row r="2030" spans="12:13" x14ac:dyDescent="0.25">
      <c r="L2030" s="65">
        <v>444219</v>
      </c>
      <c r="M2030" t="s">
        <v>1686</v>
      </c>
    </row>
    <row r="2031" spans="12:13" x14ac:dyDescent="0.25">
      <c r="L2031" s="65">
        <v>444300</v>
      </c>
      <c r="M2031" t="s">
        <v>1687</v>
      </c>
    </row>
    <row r="2032" spans="12:13" x14ac:dyDescent="0.25">
      <c r="L2032" s="65">
        <v>444310</v>
      </c>
      <c r="M2032" t="s">
        <v>1687</v>
      </c>
    </row>
    <row r="2033" spans="12:13" x14ac:dyDescent="0.25">
      <c r="L2033" s="65">
        <v>444311</v>
      </c>
      <c r="M2033" t="s">
        <v>1687</v>
      </c>
    </row>
    <row r="2034" spans="12:13" x14ac:dyDescent="0.25">
      <c r="L2034" s="65">
        <v>450000</v>
      </c>
      <c r="M2034" t="s">
        <v>1688</v>
      </c>
    </row>
    <row r="2035" spans="12:13" x14ac:dyDescent="0.25">
      <c r="L2035" s="65">
        <v>451000</v>
      </c>
      <c r="M2035" t="s">
        <v>1689</v>
      </c>
    </row>
    <row r="2036" spans="12:13" x14ac:dyDescent="0.25">
      <c r="L2036" s="65">
        <v>451100</v>
      </c>
      <c r="M2036" t="s">
        <v>1690</v>
      </c>
    </row>
    <row r="2037" spans="12:13" x14ac:dyDescent="0.25">
      <c r="L2037" s="65">
        <v>451110</v>
      </c>
      <c r="M2037" t="s">
        <v>1691</v>
      </c>
    </row>
    <row r="2038" spans="12:13" x14ac:dyDescent="0.25">
      <c r="L2038" s="65">
        <v>451111</v>
      </c>
      <c r="M2038" t="s">
        <v>1691</v>
      </c>
    </row>
    <row r="2039" spans="12:13" x14ac:dyDescent="0.25">
      <c r="L2039" s="65">
        <v>451120</v>
      </c>
      <c r="M2039" t="s">
        <v>1692</v>
      </c>
    </row>
    <row r="2040" spans="12:13" x14ac:dyDescent="0.25">
      <c r="L2040" s="65">
        <v>451121</v>
      </c>
      <c r="M2040" t="s">
        <v>1693</v>
      </c>
    </row>
    <row r="2041" spans="12:13" x14ac:dyDescent="0.25">
      <c r="L2041" s="65">
        <v>451122</v>
      </c>
      <c r="M2041" t="s">
        <v>1694</v>
      </c>
    </row>
    <row r="2042" spans="12:13" x14ac:dyDescent="0.25">
      <c r="L2042" s="65">
        <v>451129</v>
      </c>
      <c r="M2042" t="s">
        <v>1695</v>
      </c>
    </row>
    <row r="2043" spans="12:13" x14ac:dyDescent="0.25">
      <c r="L2043" s="65">
        <v>451130</v>
      </c>
      <c r="M2043" t="s">
        <v>1696</v>
      </c>
    </row>
    <row r="2044" spans="12:13" x14ac:dyDescent="0.25">
      <c r="L2044" s="65">
        <v>451131</v>
      </c>
      <c r="M2044" t="s">
        <v>1696</v>
      </c>
    </row>
    <row r="2045" spans="12:13" x14ac:dyDescent="0.25">
      <c r="L2045" s="65">
        <v>451140</v>
      </c>
      <c r="M2045" t="s">
        <v>1697</v>
      </c>
    </row>
    <row r="2046" spans="12:13" x14ac:dyDescent="0.25">
      <c r="L2046" s="65">
        <v>451141</v>
      </c>
      <c r="M2046" t="s">
        <v>1697</v>
      </c>
    </row>
    <row r="2047" spans="12:13" x14ac:dyDescent="0.25">
      <c r="L2047" s="65">
        <v>451190</v>
      </c>
      <c r="M2047" t="s">
        <v>1698</v>
      </c>
    </row>
    <row r="2048" spans="12:13" x14ac:dyDescent="0.25">
      <c r="L2048" s="65">
        <v>451191</v>
      </c>
      <c r="M2048" t="s">
        <v>1698</v>
      </c>
    </row>
    <row r="2049" spans="12:13" x14ac:dyDescent="0.25">
      <c r="L2049" s="65">
        <v>451200</v>
      </c>
      <c r="M2049" t="s">
        <v>1699</v>
      </c>
    </row>
    <row r="2050" spans="12:13" x14ac:dyDescent="0.25">
      <c r="L2050" s="65">
        <v>451210</v>
      </c>
      <c r="M2050" t="s">
        <v>1700</v>
      </c>
    </row>
    <row r="2051" spans="12:13" x14ac:dyDescent="0.25">
      <c r="L2051" s="65">
        <v>451211</v>
      </c>
      <c r="M2051" t="s">
        <v>1700</v>
      </c>
    </row>
    <row r="2052" spans="12:13" x14ac:dyDescent="0.25">
      <c r="L2052" s="65">
        <v>451220</v>
      </c>
      <c r="M2052" t="s">
        <v>1701</v>
      </c>
    </row>
    <row r="2053" spans="12:13" x14ac:dyDescent="0.25">
      <c r="L2053" s="65">
        <v>451221</v>
      </c>
      <c r="M2053" t="s">
        <v>1702</v>
      </c>
    </row>
    <row r="2054" spans="12:13" x14ac:dyDescent="0.25">
      <c r="L2054" s="65">
        <v>451230</v>
      </c>
      <c r="M2054" t="s">
        <v>1703</v>
      </c>
    </row>
    <row r="2055" spans="12:13" x14ac:dyDescent="0.25">
      <c r="L2055" s="65">
        <v>451231</v>
      </c>
      <c r="M2055" t="s">
        <v>1703</v>
      </c>
    </row>
    <row r="2056" spans="12:13" x14ac:dyDescent="0.25">
      <c r="L2056" s="65">
        <v>451240</v>
      </c>
      <c r="M2056" t="s">
        <v>1704</v>
      </c>
    </row>
    <row r="2057" spans="12:13" x14ac:dyDescent="0.25">
      <c r="L2057" s="65">
        <v>451241</v>
      </c>
      <c r="M2057" t="s">
        <v>1704</v>
      </c>
    </row>
    <row r="2058" spans="12:13" x14ac:dyDescent="0.25">
      <c r="L2058" s="65">
        <v>451290</v>
      </c>
      <c r="M2058" t="s">
        <v>1705</v>
      </c>
    </row>
    <row r="2059" spans="12:13" x14ac:dyDescent="0.25">
      <c r="L2059" s="65">
        <v>451291</v>
      </c>
      <c r="M2059" t="s">
        <v>1705</v>
      </c>
    </row>
    <row r="2060" spans="12:13" x14ac:dyDescent="0.25">
      <c r="L2060" s="65">
        <v>452000</v>
      </c>
      <c r="M2060" t="s">
        <v>1706</v>
      </c>
    </row>
    <row r="2061" spans="12:13" x14ac:dyDescent="0.25">
      <c r="L2061" s="65">
        <v>452100</v>
      </c>
      <c r="M2061" t="s">
        <v>1707</v>
      </c>
    </row>
    <row r="2062" spans="12:13" x14ac:dyDescent="0.25">
      <c r="L2062" s="65">
        <v>452110</v>
      </c>
      <c r="M2062" t="s">
        <v>1708</v>
      </c>
    </row>
    <row r="2063" spans="12:13" x14ac:dyDescent="0.25">
      <c r="L2063" s="65">
        <v>452111</v>
      </c>
      <c r="M2063" t="s">
        <v>1708</v>
      </c>
    </row>
    <row r="2064" spans="12:13" x14ac:dyDescent="0.25">
      <c r="L2064" s="65">
        <v>452190</v>
      </c>
      <c r="M2064" t="s">
        <v>1709</v>
      </c>
    </row>
    <row r="2065" spans="12:13" x14ac:dyDescent="0.25">
      <c r="L2065" s="65">
        <v>452191</v>
      </c>
      <c r="M2065" t="s">
        <v>1709</v>
      </c>
    </row>
    <row r="2066" spans="12:13" x14ac:dyDescent="0.25">
      <c r="L2066" s="65">
        <v>452200</v>
      </c>
      <c r="M2066" t="s">
        <v>1710</v>
      </c>
    </row>
    <row r="2067" spans="12:13" x14ac:dyDescent="0.25">
      <c r="L2067" s="65">
        <v>452210</v>
      </c>
      <c r="M2067" t="s">
        <v>1711</v>
      </c>
    </row>
    <row r="2068" spans="12:13" x14ac:dyDescent="0.25">
      <c r="L2068" s="65">
        <v>452211</v>
      </c>
      <c r="M2068" t="s">
        <v>1711</v>
      </c>
    </row>
    <row r="2069" spans="12:13" x14ac:dyDescent="0.25">
      <c r="L2069" s="65">
        <v>452290</v>
      </c>
      <c r="M2069" t="s">
        <v>1712</v>
      </c>
    </row>
    <row r="2070" spans="12:13" x14ac:dyDescent="0.25">
      <c r="L2070" s="65">
        <v>452291</v>
      </c>
      <c r="M2070" t="s">
        <v>1712</v>
      </c>
    </row>
    <row r="2071" spans="12:13" x14ac:dyDescent="0.25">
      <c r="L2071" s="65">
        <v>453000</v>
      </c>
      <c r="M2071" t="s">
        <v>1713</v>
      </c>
    </row>
    <row r="2072" spans="12:13" x14ac:dyDescent="0.25">
      <c r="L2072" s="65">
        <v>453100</v>
      </c>
      <c r="M2072" t="s">
        <v>1714</v>
      </c>
    </row>
    <row r="2073" spans="12:13" x14ac:dyDescent="0.25">
      <c r="L2073" s="65">
        <v>453110</v>
      </c>
      <c r="M2073" t="s">
        <v>1715</v>
      </c>
    </row>
    <row r="2074" spans="12:13" x14ac:dyDescent="0.25">
      <c r="L2074" s="65">
        <v>453111</v>
      </c>
      <c r="M2074" t="s">
        <v>1716</v>
      </c>
    </row>
    <row r="2075" spans="12:13" x14ac:dyDescent="0.25">
      <c r="L2075" s="65">
        <v>453190</v>
      </c>
      <c r="M2075" t="s">
        <v>1717</v>
      </c>
    </row>
    <row r="2076" spans="12:13" x14ac:dyDescent="0.25">
      <c r="L2076" s="65">
        <v>453191</v>
      </c>
      <c r="M2076" t="s">
        <v>1717</v>
      </c>
    </row>
    <row r="2077" spans="12:13" x14ac:dyDescent="0.25">
      <c r="L2077" s="65">
        <v>453200</v>
      </c>
      <c r="M2077" t="s">
        <v>1718</v>
      </c>
    </row>
    <row r="2078" spans="12:13" x14ac:dyDescent="0.25">
      <c r="L2078" s="65">
        <v>453210</v>
      </c>
      <c r="M2078" t="s">
        <v>1719</v>
      </c>
    </row>
    <row r="2079" spans="12:13" x14ac:dyDescent="0.25">
      <c r="L2079" s="65">
        <v>453211</v>
      </c>
      <c r="M2079" t="s">
        <v>1719</v>
      </c>
    </row>
    <row r="2080" spans="12:13" x14ac:dyDescent="0.25">
      <c r="L2080" s="65">
        <v>453290</v>
      </c>
      <c r="M2080" t="s">
        <v>1720</v>
      </c>
    </row>
    <row r="2081" spans="12:13" x14ac:dyDescent="0.25">
      <c r="L2081" s="65">
        <v>453291</v>
      </c>
      <c r="M2081" t="s">
        <v>1720</v>
      </c>
    </row>
    <row r="2082" spans="12:13" x14ac:dyDescent="0.25">
      <c r="L2082" s="65">
        <v>454000</v>
      </c>
      <c r="M2082" t="s">
        <v>1721</v>
      </c>
    </row>
    <row r="2083" spans="12:13" x14ac:dyDescent="0.25">
      <c r="L2083" s="65">
        <v>454100</v>
      </c>
      <c r="M2083" t="s">
        <v>1722</v>
      </c>
    </row>
    <row r="2084" spans="12:13" x14ac:dyDescent="0.25">
      <c r="L2084" s="65">
        <v>454110</v>
      </c>
      <c r="M2084" t="s">
        <v>1722</v>
      </c>
    </row>
    <row r="2085" spans="12:13" x14ac:dyDescent="0.25">
      <c r="L2085" s="65">
        <v>454111</v>
      </c>
      <c r="M2085" t="s">
        <v>1722</v>
      </c>
    </row>
    <row r="2086" spans="12:13" x14ac:dyDescent="0.25">
      <c r="L2086" s="65">
        <v>454200</v>
      </c>
      <c r="M2086" t="s">
        <v>1723</v>
      </c>
    </row>
    <row r="2087" spans="12:13" x14ac:dyDescent="0.25">
      <c r="L2087" s="65">
        <v>454210</v>
      </c>
      <c r="M2087" t="s">
        <v>1723</v>
      </c>
    </row>
    <row r="2088" spans="12:13" x14ac:dyDescent="0.25">
      <c r="L2088" s="65">
        <v>454211</v>
      </c>
      <c r="M2088" t="s">
        <v>1723</v>
      </c>
    </row>
    <row r="2089" spans="12:13" x14ac:dyDescent="0.25">
      <c r="L2089" s="65">
        <v>460000</v>
      </c>
      <c r="M2089" t="s">
        <v>1724</v>
      </c>
    </row>
    <row r="2090" spans="12:13" x14ac:dyDescent="0.25">
      <c r="L2090" s="65">
        <v>461000</v>
      </c>
      <c r="M2090" t="s">
        <v>1725</v>
      </c>
    </row>
    <row r="2091" spans="12:13" x14ac:dyDescent="0.25">
      <c r="L2091" s="65">
        <v>461100</v>
      </c>
      <c r="M2091" t="s">
        <v>1726</v>
      </c>
    </row>
    <row r="2092" spans="12:13" x14ac:dyDescent="0.25">
      <c r="L2092" s="65">
        <v>461110</v>
      </c>
      <c r="M2092" t="s">
        <v>1726</v>
      </c>
    </row>
    <row r="2093" spans="12:13" x14ac:dyDescent="0.25">
      <c r="L2093" s="65">
        <v>461111</v>
      </c>
      <c r="M2093" t="s">
        <v>1726</v>
      </c>
    </row>
    <row r="2094" spans="12:13" x14ac:dyDescent="0.25">
      <c r="L2094" s="65">
        <v>461200</v>
      </c>
      <c r="M2094" t="s">
        <v>1727</v>
      </c>
    </row>
    <row r="2095" spans="12:13" x14ac:dyDescent="0.25">
      <c r="L2095" s="65">
        <v>461210</v>
      </c>
      <c r="M2095" t="s">
        <v>1727</v>
      </c>
    </row>
    <row r="2096" spans="12:13" x14ac:dyDescent="0.25">
      <c r="L2096" s="65">
        <v>461211</v>
      </c>
      <c r="M2096" t="s">
        <v>1727</v>
      </c>
    </row>
    <row r="2097" spans="12:13" x14ac:dyDescent="0.25">
      <c r="L2097" s="65">
        <v>462000</v>
      </c>
      <c r="M2097" t="s">
        <v>1728</v>
      </c>
    </row>
    <row r="2098" spans="12:13" x14ac:dyDescent="0.25">
      <c r="L2098" s="65">
        <v>462100</v>
      </c>
      <c r="M2098" t="s">
        <v>1729</v>
      </c>
    </row>
    <row r="2099" spans="12:13" x14ac:dyDescent="0.25">
      <c r="L2099" s="65">
        <v>462110</v>
      </c>
      <c r="M2099" t="s">
        <v>1730</v>
      </c>
    </row>
    <row r="2100" spans="12:13" x14ac:dyDescent="0.25">
      <c r="L2100" s="65">
        <v>462111</v>
      </c>
      <c r="M2100" t="s">
        <v>1730</v>
      </c>
    </row>
    <row r="2101" spans="12:13" x14ac:dyDescent="0.25">
      <c r="L2101" s="65">
        <v>462120</v>
      </c>
      <c r="M2101" t="s">
        <v>1731</v>
      </c>
    </row>
    <row r="2102" spans="12:13" x14ac:dyDescent="0.25">
      <c r="L2102" s="65">
        <v>462121</v>
      </c>
      <c r="M2102" t="s">
        <v>1731</v>
      </c>
    </row>
    <row r="2103" spans="12:13" x14ac:dyDescent="0.25">
      <c r="L2103" s="65">
        <v>462190</v>
      </c>
      <c r="M2103" t="s">
        <v>1732</v>
      </c>
    </row>
    <row r="2104" spans="12:13" x14ac:dyDescent="0.25">
      <c r="L2104" s="65">
        <v>462191</v>
      </c>
      <c r="M2104" t="s">
        <v>1733</v>
      </c>
    </row>
    <row r="2105" spans="12:13" x14ac:dyDescent="0.25">
      <c r="L2105" s="65">
        <v>462200</v>
      </c>
      <c r="M2105" t="s">
        <v>1734</v>
      </c>
    </row>
    <row r="2106" spans="12:13" x14ac:dyDescent="0.25">
      <c r="L2106" s="65">
        <v>462210</v>
      </c>
      <c r="M2106" t="s">
        <v>1735</v>
      </c>
    </row>
    <row r="2107" spans="12:13" x14ac:dyDescent="0.25">
      <c r="L2107" s="65">
        <v>462211</v>
      </c>
      <c r="M2107" t="s">
        <v>1735</v>
      </c>
    </row>
    <row r="2108" spans="12:13" x14ac:dyDescent="0.25">
      <c r="L2108" s="65">
        <v>462290</v>
      </c>
      <c r="M2108" t="s">
        <v>1736</v>
      </c>
    </row>
    <row r="2109" spans="12:13" x14ac:dyDescent="0.25">
      <c r="L2109" s="65">
        <v>462291</v>
      </c>
      <c r="M2109" t="s">
        <v>1736</v>
      </c>
    </row>
    <row r="2110" spans="12:13" x14ac:dyDescent="0.25">
      <c r="L2110" s="65">
        <v>463000</v>
      </c>
      <c r="M2110" t="s">
        <v>1737</v>
      </c>
    </row>
    <row r="2111" spans="12:13" x14ac:dyDescent="0.25">
      <c r="L2111" s="65">
        <v>463100</v>
      </c>
      <c r="M2111" t="s">
        <v>1738</v>
      </c>
    </row>
    <row r="2112" spans="12:13" x14ac:dyDescent="0.25">
      <c r="L2112" s="65">
        <v>463110</v>
      </c>
      <c r="M2112" t="s">
        <v>1739</v>
      </c>
    </row>
    <row r="2113" spans="12:13" x14ac:dyDescent="0.25">
      <c r="L2113" s="65">
        <v>463111</v>
      </c>
      <c r="M2113" t="s">
        <v>1739</v>
      </c>
    </row>
    <row r="2114" spans="12:13" x14ac:dyDescent="0.25">
      <c r="L2114" s="65">
        <v>463120</v>
      </c>
      <c r="M2114" t="s">
        <v>1740</v>
      </c>
    </row>
    <row r="2115" spans="12:13" x14ac:dyDescent="0.25">
      <c r="L2115" s="65">
        <v>463121</v>
      </c>
      <c r="M2115" t="s">
        <v>1741</v>
      </c>
    </row>
    <row r="2116" spans="12:13" x14ac:dyDescent="0.25">
      <c r="L2116" s="65">
        <v>463122</v>
      </c>
      <c r="M2116" t="s">
        <v>1742</v>
      </c>
    </row>
    <row r="2117" spans="12:13" x14ac:dyDescent="0.25">
      <c r="L2117" s="65">
        <v>463130</v>
      </c>
      <c r="M2117" t="s">
        <v>1743</v>
      </c>
    </row>
    <row r="2118" spans="12:13" x14ac:dyDescent="0.25">
      <c r="L2118" s="65">
        <v>463131</v>
      </c>
      <c r="M2118" t="s">
        <v>1743</v>
      </c>
    </row>
    <row r="2119" spans="12:13" x14ac:dyDescent="0.25">
      <c r="L2119" s="65">
        <v>463132</v>
      </c>
      <c r="M2119" t="s">
        <v>1744</v>
      </c>
    </row>
    <row r="2120" spans="12:13" x14ac:dyDescent="0.25">
      <c r="L2120" s="65">
        <v>463133</v>
      </c>
      <c r="M2120" t="s">
        <v>1745</v>
      </c>
    </row>
    <row r="2121" spans="12:13" x14ac:dyDescent="0.25">
      <c r="L2121" s="65">
        <v>463140</v>
      </c>
      <c r="M2121" t="s">
        <v>1746</v>
      </c>
    </row>
    <row r="2122" spans="12:13" x14ac:dyDescent="0.25">
      <c r="L2122" s="65">
        <v>463141</v>
      </c>
      <c r="M2122" t="s">
        <v>1746</v>
      </c>
    </row>
    <row r="2123" spans="12:13" x14ac:dyDescent="0.25">
      <c r="L2123" s="65">
        <v>463142</v>
      </c>
      <c r="M2123" t="s">
        <v>1747</v>
      </c>
    </row>
    <row r="2124" spans="12:13" x14ac:dyDescent="0.25">
      <c r="L2124" s="65">
        <v>463143</v>
      </c>
      <c r="M2124" t="s">
        <v>1748</v>
      </c>
    </row>
    <row r="2125" spans="12:13" x14ac:dyDescent="0.25">
      <c r="L2125" s="65">
        <v>463200</v>
      </c>
      <c r="M2125" t="s">
        <v>1749</v>
      </c>
    </row>
    <row r="2126" spans="12:13" x14ac:dyDescent="0.25">
      <c r="L2126" s="65">
        <v>463210</v>
      </c>
      <c r="M2126" t="s">
        <v>1750</v>
      </c>
    </row>
    <row r="2127" spans="12:13" x14ac:dyDescent="0.25">
      <c r="L2127" s="65">
        <v>463211</v>
      </c>
      <c r="M2127" t="s">
        <v>1750</v>
      </c>
    </row>
    <row r="2128" spans="12:13" x14ac:dyDescent="0.25">
      <c r="L2128" s="65">
        <v>463220</v>
      </c>
      <c r="M2128" t="s">
        <v>1751</v>
      </c>
    </row>
    <row r="2129" spans="12:13" x14ac:dyDescent="0.25">
      <c r="L2129" s="65">
        <v>463221</v>
      </c>
      <c r="M2129" t="s">
        <v>1752</v>
      </c>
    </row>
    <row r="2130" spans="12:13" x14ac:dyDescent="0.25">
      <c r="L2130" s="65">
        <v>463222</v>
      </c>
      <c r="M2130" t="s">
        <v>1753</v>
      </c>
    </row>
    <row r="2131" spans="12:13" x14ac:dyDescent="0.25">
      <c r="L2131" s="65">
        <v>463230</v>
      </c>
      <c r="M2131" t="s">
        <v>1754</v>
      </c>
    </row>
    <row r="2132" spans="12:13" x14ac:dyDescent="0.25">
      <c r="L2132" s="65">
        <v>463231</v>
      </c>
      <c r="M2132" t="s">
        <v>1754</v>
      </c>
    </row>
    <row r="2133" spans="12:13" x14ac:dyDescent="0.25">
      <c r="L2133" s="65">
        <v>463240</v>
      </c>
      <c r="M2133" t="s">
        <v>1755</v>
      </c>
    </row>
    <row r="2134" spans="12:13" x14ac:dyDescent="0.25">
      <c r="L2134" s="65">
        <v>463241</v>
      </c>
      <c r="M2134" t="s">
        <v>1755</v>
      </c>
    </row>
    <row r="2135" spans="12:13" x14ac:dyDescent="0.25">
      <c r="L2135" s="65">
        <v>464000</v>
      </c>
      <c r="M2135" t="s">
        <v>1756</v>
      </c>
    </row>
    <row r="2136" spans="12:13" x14ac:dyDescent="0.25">
      <c r="L2136" s="65">
        <v>464100</v>
      </c>
      <c r="M2136" t="s">
        <v>1757</v>
      </c>
    </row>
    <row r="2137" spans="12:13" x14ac:dyDescent="0.25">
      <c r="L2137" s="65">
        <v>464110</v>
      </c>
      <c r="M2137" t="s">
        <v>1758</v>
      </c>
    </row>
    <row r="2138" spans="12:13" x14ac:dyDescent="0.25">
      <c r="L2138" s="65">
        <v>464111</v>
      </c>
      <c r="M2138" t="s">
        <v>1758</v>
      </c>
    </row>
    <row r="2139" spans="12:13" x14ac:dyDescent="0.25">
      <c r="L2139" s="65">
        <v>464112</v>
      </c>
      <c r="M2139" t="s">
        <v>1759</v>
      </c>
    </row>
    <row r="2140" spans="12:13" x14ac:dyDescent="0.25">
      <c r="L2140" s="65">
        <v>464113</v>
      </c>
      <c r="M2140" t="s">
        <v>1760</v>
      </c>
    </row>
    <row r="2141" spans="12:13" x14ac:dyDescent="0.25">
      <c r="L2141" s="65">
        <v>464120</v>
      </c>
      <c r="M2141" t="s">
        <v>1761</v>
      </c>
    </row>
    <row r="2142" spans="12:13" x14ac:dyDescent="0.25">
      <c r="L2142" s="65">
        <v>464121</v>
      </c>
      <c r="M2142" t="s">
        <v>1762</v>
      </c>
    </row>
    <row r="2143" spans="12:13" x14ac:dyDescent="0.25">
      <c r="L2143" s="65">
        <v>464130</v>
      </c>
      <c r="M2143" t="s">
        <v>1763</v>
      </c>
    </row>
    <row r="2144" spans="12:13" x14ac:dyDescent="0.25">
      <c r="L2144" s="65">
        <v>464131</v>
      </c>
      <c r="M2144" t="s">
        <v>1764</v>
      </c>
    </row>
    <row r="2145" spans="12:13" x14ac:dyDescent="0.25">
      <c r="L2145" s="65">
        <v>464140</v>
      </c>
      <c r="M2145" t="s">
        <v>1765</v>
      </c>
    </row>
    <row r="2146" spans="12:13" x14ac:dyDescent="0.25">
      <c r="L2146" s="65">
        <v>464141</v>
      </c>
      <c r="M2146" t="s">
        <v>1766</v>
      </c>
    </row>
    <row r="2147" spans="12:13" x14ac:dyDescent="0.25">
      <c r="L2147" s="65">
        <v>464150</v>
      </c>
      <c r="M2147" t="s">
        <v>1767</v>
      </c>
    </row>
    <row r="2148" spans="12:13" x14ac:dyDescent="0.25">
      <c r="L2148" s="65">
        <v>464151</v>
      </c>
      <c r="M2148" t="s">
        <v>1767</v>
      </c>
    </row>
    <row r="2149" spans="12:13" x14ac:dyDescent="0.25">
      <c r="L2149" s="65">
        <v>464200</v>
      </c>
      <c r="M2149" t="s">
        <v>1768</v>
      </c>
    </row>
    <row r="2150" spans="12:13" x14ac:dyDescent="0.25">
      <c r="L2150" s="65">
        <v>464210</v>
      </c>
      <c r="M2150" t="s">
        <v>1769</v>
      </c>
    </row>
    <row r="2151" spans="12:13" x14ac:dyDescent="0.25">
      <c r="L2151" s="65">
        <v>464211</v>
      </c>
      <c r="M2151" t="s">
        <v>1769</v>
      </c>
    </row>
    <row r="2152" spans="12:13" x14ac:dyDescent="0.25">
      <c r="L2152" s="65">
        <v>464212</v>
      </c>
      <c r="M2152" t="s">
        <v>1770</v>
      </c>
    </row>
    <row r="2153" spans="12:13" x14ac:dyDescent="0.25">
      <c r="L2153" s="65">
        <v>464213</v>
      </c>
      <c r="M2153" t="s">
        <v>1771</v>
      </c>
    </row>
    <row r="2154" spans="12:13" x14ac:dyDescent="0.25">
      <c r="L2154" s="65">
        <v>464220</v>
      </c>
      <c r="M2154" t="s">
        <v>1772</v>
      </c>
    </row>
    <row r="2155" spans="12:13" x14ac:dyDescent="0.25">
      <c r="L2155" s="65">
        <v>464221</v>
      </c>
      <c r="M2155" t="s">
        <v>1772</v>
      </c>
    </row>
    <row r="2156" spans="12:13" x14ac:dyDescent="0.25">
      <c r="L2156" s="65">
        <v>464250</v>
      </c>
      <c r="M2156" t="s">
        <v>1773</v>
      </c>
    </row>
    <row r="2157" spans="12:13" x14ac:dyDescent="0.25">
      <c r="L2157" s="65">
        <v>464251</v>
      </c>
      <c r="M2157" t="s">
        <v>1773</v>
      </c>
    </row>
    <row r="2158" spans="12:13" x14ac:dyDescent="0.25">
      <c r="L2158" s="65">
        <v>465000</v>
      </c>
      <c r="M2158" t="s">
        <v>1774</v>
      </c>
    </row>
    <row r="2159" spans="12:13" x14ac:dyDescent="0.25">
      <c r="L2159" s="65">
        <v>465100</v>
      </c>
      <c r="M2159" t="s">
        <v>1775</v>
      </c>
    </row>
    <row r="2160" spans="12:13" x14ac:dyDescent="0.25">
      <c r="L2160" s="65">
        <v>465110</v>
      </c>
      <c r="M2160" t="s">
        <v>1775</v>
      </c>
    </row>
    <row r="2161" spans="12:13" x14ac:dyDescent="0.25">
      <c r="L2161" s="65">
        <v>465111</v>
      </c>
      <c r="M2161" t="s">
        <v>1775</v>
      </c>
    </row>
    <row r="2162" spans="12:13" x14ac:dyDescent="0.25">
      <c r="L2162" s="65">
        <v>465112</v>
      </c>
      <c r="M2162" t="s">
        <v>1776</v>
      </c>
    </row>
    <row r="2163" spans="12:13" x14ac:dyDescent="0.25">
      <c r="L2163" s="65">
        <v>465200</v>
      </c>
      <c r="M2163" t="s">
        <v>1777</v>
      </c>
    </row>
    <row r="2164" spans="12:13" x14ac:dyDescent="0.25">
      <c r="L2164" s="65">
        <v>465210</v>
      </c>
      <c r="M2164" t="s">
        <v>1777</v>
      </c>
    </row>
    <row r="2165" spans="12:13" x14ac:dyDescent="0.25">
      <c r="L2165" s="65">
        <v>465211</v>
      </c>
      <c r="M2165" t="s">
        <v>1777</v>
      </c>
    </row>
    <row r="2166" spans="12:13" x14ac:dyDescent="0.25">
      <c r="L2166" s="65">
        <v>470000</v>
      </c>
      <c r="M2166" t="s">
        <v>1778</v>
      </c>
    </row>
    <row r="2167" spans="12:13" x14ac:dyDescent="0.25">
      <c r="L2167" s="65">
        <v>471000</v>
      </c>
      <c r="M2167" t="s">
        <v>1779</v>
      </c>
    </row>
    <row r="2168" spans="12:13" x14ac:dyDescent="0.25">
      <c r="L2168" s="65">
        <v>471100</v>
      </c>
      <c r="M2168" t="s">
        <v>1780</v>
      </c>
    </row>
    <row r="2169" spans="12:13" x14ac:dyDescent="0.25">
      <c r="L2169" s="65">
        <v>471110</v>
      </c>
      <c r="M2169" t="s">
        <v>1781</v>
      </c>
    </row>
    <row r="2170" spans="12:13" x14ac:dyDescent="0.25">
      <c r="L2170" s="65">
        <v>471111</v>
      </c>
      <c r="M2170" t="s">
        <v>1782</v>
      </c>
    </row>
    <row r="2171" spans="12:13" x14ac:dyDescent="0.25">
      <c r="L2171" s="65">
        <v>471112</v>
      </c>
      <c r="M2171" t="s">
        <v>1783</v>
      </c>
    </row>
    <row r="2172" spans="12:13" x14ac:dyDescent="0.25">
      <c r="L2172" s="65">
        <v>471113</v>
      </c>
      <c r="M2172" t="s">
        <v>1784</v>
      </c>
    </row>
    <row r="2173" spans="12:13" x14ac:dyDescent="0.25">
      <c r="L2173" s="65">
        <v>471114</v>
      </c>
      <c r="M2173" t="s">
        <v>1785</v>
      </c>
    </row>
    <row r="2174" spans="12:13" x14ac:dyDescent="0.25">
      <c r="L2174" s="65">
        <v>471120</v>
      </c>
      <c r="M2174" t="s">
        <v>1786</v>
      </c>
    </row>
    <row r="2175" spans="12:13" x14ac:dyDescent="0.25">
      <c r="L2175" s="65">
        <v>471121</v>
      </c>
      <c r="M2175" t="s">
        <v>1787</v>
      </c>
    </row>
    <row r="2176" spans="12:13" x14ac:dyDescent="0.25">
      <c r="L2176" s="65">
        <v>471122</v>
      </c>
      <c r="M2176" t="s">
        <v>1788</v>
      </c>
    </row>
    <row r="2177" spans="12:13" x14ac:dyDescent="0.25">
      <c r="L2177" s="65">
        <v>471123</v>
      </c>
      <c r="M2177" t="s">
        <v>1789</v>
      </c>
    </row>
    <row r="2178" spans="12:13" x14ac:dyDescent="0.25">
      <c r="L2178" s="65">
        <v>471124</v>
      </c>
      <c r="M2178" t="s">
        <v>1790</v>
      </c>
    </row>
    <row r="2179" spans="12:13" x14ac:dyDescent="0.25">
      <c r="L2179" s="65">
        <v>471125</v>
      </c>
      <c r="M2179" t="s">
        <v>1791</v>
      </c>
    </row>
    <row r="2180" spans="12:13" x14ac:dyDescent="0.25">
      <c r="L2180" s="65">
        <v>471129</v>
      </c>
      <c r="M2180" t="s">
        <v>1792</v>
      </c>
    </row>
    <row r="2181" spans="12:13" x14ac:dyDescent="0.25">
      <c r="L2181" s="65">
        <v>471130</v>
      </c>
      <c r="M2181" t="s">
        <v>1793</v>
      </c>
    </row>
    <row r="2182" spans="12:13" x14ac:dyDescent="0.25">
      <c r="L2182" s="65">
        <v>471131</v>
      </c>
      <c r="M2182" t="s">
        <v>1794</v>
      </c>
    </row>
    <row r="2183" spans="12:13" x14ac:dyDescent="0.25">
      <c r="L2183" s="65">
        <v>471132</v>
      </c>
      <c r="M2183" t="s">
        <v>1795</v>
      </c>
    </row>
    <row r="2184" spans="12:13" x14ac:dyDescent="0.25">
      <c r="L2184" s="65">
        <v>471133</v>
      </c>
      <c r="M2184" t="s">
        <v>1796</v>
      </c>
    </row>
    <row r="2185" spans="12:13" x14ac:dyDescent="0.25">
      <c r="L2185" s="65">
        <v>471134</v>
      </c>
      <c r="M2185" t="s">
        <v>1797</v>
      </c>
    </row>
    <row r="2186" spans="12:13" x14ac:dyDescent="0.25">
      <c r="L2186" s="65">
        <v>471135</v>
      </c>
      <c r="M2186" t="s">
        <v>1798</v>
      </c>
    </row>
    <row r="2187" spans="12:13" x14ac:dyDescent="0.25">
      <c r="L2187" s="65">
        <v>471136</v>
      </c>
      <c r="M2187" t="s">
        <v>1799</v>
      </c>
    </row>
    <row r="2188" spans="12:13" x14ac:dyDescent="0.25">
      <c r="L2188" s="65">
        <v>471137</v>
      </c>
      <c r="M2188" t="s">
        <v>1800</v>
      </c>
    </row>
    <row r="2189" spans="12:13" x14ac:dyDescent="0.25">
      <c r="L2189" s="65">
        <v>471139</v>
      </c>
      <c r="M2189" t="s">
        <v>1801</v>
      </c>
    </row>
    <row r="2190" spans="12:13" x14ac:dyDescent="0.25">
      <c r="L2190" s="65">
        <v>471140</v>
      </c>
      <c r="M2190" t="s">
        <v>1802</v>
      </c>
    </row>
    <row r="2191" spans="12:13" x14ac:dyDescent="0.25">
      <c r="L2191" s="65">
        <v>471141</v>
      </c>
      <c r="M2191" t="s">
        <v>1803</v>
      </c>
    </row>
    <row r="2192" spans="12:13" x14ac:dyDescent="0.25">
      <c r="L2192" s="65">
        <v>471142</v>
      </c>
      <c r="M2192" t="s">
        <v>1804</v>
      </c>
    </row>
    <row r="2193" spans="12:13" x14ac:dyDescent="0.25">
      <c r="L2193" s="65">
        <v>471143</v>
      </c>
      <c r="M2193" t="s">
        <v>1805</v>
      </c>
    </row>
    <row r="2194" spans="12:13" x14ac:dyDescent="0.25">
      <c r="L2194" s="65">
        <v>471144</v>
      </c>
      <c r="M2194" t="s">
        <v>1806</v>
      </c>
    </row>
    <row r="2195" spans="12:13" x14ac:dyDescent="0.25">
      <c r="L2195" s="65">
        <v>471149</v>
      </c>
      <c r="M2195" t="s">
        <v>1807</v>
      </c>
    </row>
    <row r="2196" spans="12:13" x14ac:dyDescent="0.25">
      <c r="L2196" s="65">
        <v>471190</v>
      </c>
      <c r="M2196" t="s">
        <v>1808</v>
      </c>
    </row>
    <row r="2197" spans="12:13" x14ac:dyDescent="0.25">
      <c r="L2197" s="65">
        <v>471191</v>
      </c>
      <c r="M2197" t="s">
        <v>1809</v>
      </c>
    </row>
    <row r="2198" spans="12:13" x14ac:dyDescent="0.25">
      <c r="L2198" s="65">
        <v>471192</v>
      </c>
      <c r="M2198" t="s">
        <v>1810</v>
      </c>
    </row>
    <row r="2199" spans="12:13" x14ac:dyDescent="0.25">
      <c r="L2199" s="65">
        <v>471193</v>
      </c>
      <c r="M2199" t="s">
        <v>1811</v>
      </c>
    </row>
    <row r="2200" spans="12:13" x14ac:dyDescent="0.25">
      <c r="L2200" s="65">
        <v>471194</v>
      </c>
      <c r="M2200" t="s">
        <v>1812</v>
      </c>
    </row>
    <row r="2201" spans="12:13" x14ac:dyDescent="0.25">
      <c r="L2201" s="65">
        <v>471195</v>
      </c>
      <c r="M2201" t="s">
        <v>1813</v>
      </c>
    </row>
    <row r="2202" spans="12:13" x14ac:dyDescent="0.25">
      <c r="L2202" s="65">
        <v>471199</v>
      </c>
      <c r="M2202" t="s">
        <v>1814</v>
      </c>
    </row>
    <row r="2203" spans="12:13" x14ac:dyDescent="0.25">
      <c r="L2203" s="65">
        <v>471200</v>
      </c>
      <c r="M2203" t="s">
        <v>1815</v>
      </c>
    </row>
    <row r="2204" spans="12:13" x14ac:dyDescent="0.25">
      <c r="L2204" s="65">
        <v>471210</v>
      </c>
      <c r="M2204" t="s">
        <v>1816</v>
      </c>
    </row>
    <row r="2205" spans="12:13" x14ac:dyDescent="0.25">
      <c r="L2205" s="65">
        <v>471211</v>
      </c>
      <c r="M2205" t="s">
        <v>1817</v>
      </c>
    </row>
    <row r="2206" spans="12:13" x14ac:dyDescent="0.25">
      <c r="L2206" s="65">
        <v>471212</v>
      </c>
      <c r="M2206" t="s">
        <v>1818</v>
      </c>
    </row>
    <row r="2207" spans="12:13" x14ac:dyDescent="0.25">
      <c r="L2207" s="65">
        <v>471213</v>
      </c>
      <c r="M2207" t="s">
        <v>1819</v>
      </c>
    </row>
    <row r="2208" spans="12:13" x14ac:dyDescent="0.25">
      <c r="L2208" s="65">
        <v>471214</v>
      </c>
      <c r="M2208" t="s">
        <v>1820</v>
      </c>
    </row>
    <row r="2209" spans="12:13" x14ac:dyDescent="0.25">
      <c r="L2209" s="65">
        <v>471215</v>
      </c>
      <c r="M2209" t="s">
        <v>1821</v>
      </c>
    </row>
    <row r="2210" spans="12:13" x14ac:dyDescent="0.25">
      <c r="L2210" s="65">
        <v>471216</v>
      </c>
      <c r="M2210" t="s">
        <v>1822</v>
      </c>
    </row>
    <row r="2211" spans="12:13" x14ac:dyDescent="0.25">
      <c r="L2211" s="65">
        <v>471217</v>
      </c>
      <c r="M2211" t="s">
        <v>1823</v>
      </c>
    </row>
    <row r="2212" spans="12:13" x14ac:dyDescent="0.25">
      <c r="L2212" s="65">
        <v>471219</v>
      </c>
      <c r="M2212" t="s">
        <v>1824</v>
      </c>
    </row>
    <row r="2213" spans="12:13" x14ac:dyDescent="0.25">
      <c r="L2213" s="65">
        <v>471220</v>
      </c>
      <c r="M2213" t="s">
        <v>1825</v>
      </c>
    </row>
    <row r="2214" spans="12:13" x14ac:dyDescent="0.25">
      <c r="L2214" s="65">
        <v>471221</v>
      </c>
      <c r="M2214" t="s">
        <v>1506</v>
      </c>
    </row>
    <row r="2215" spans="12:13" x14ac:dyDescent="0.25">
      <c r="L2215" s="65">
        <v>471222</v>
      </c>
      <c r="M2215" t="s">
        <v>1826</v>
      </c>
    </row>
    <row r="2216" spans="12:13" x14ac:dyDescent="0.25">
      <c r="L2216" s="65">
        <v>471223</v>
      </c>
      <c r="M2216" t="s">
        <v>1827</v>
      </c>
    </row>
    <row r="2217" spans="12:13" x14ac:dyDescent="0.25">
      <c r="L2217" s="65">
        <v>471224</v>
      </c>
      <c r="M2217" t="s">
        <v>1828</v>
      </c>
    </row>
    <row r="2218" spans="12:13" x14ac:dyDescent="0.25">
      <c r="L2218" s="65">
        <v>471229</v>
      </c>
      <c r="M2218" t="s">
        <v>1829</v>
      </c>
    </row>
    <row r="2219" spans="12:13" x14ac:dyDescent="0.25">
      <c r="L2219" s="65">
        <v>471230</v>
      </c>
      <c r="M2219" t="s">
        <v>1830</v>
      </c>
    </row>
    <row r="2220" spans="12:13" x14ac:dyDescent="0.25">
      <c r="L2220" s="65">
        <v>471231</v>
      </c>
      <c r="M2220" t="s">
        <v>1831</v>
      </c>
    </row>
    <row r="2221" spans="12:13" x14ac:dyDescent="0.25">
      <c r="L2221" s="65">
        <v>471232</v>
      </c>
      <c r="M2221" t="s">
        <v>1832</v>
      </c>
    </row>
    <row r="2222" spans="12:13" x14ac:dyDescent="0.25">
      <c r="L2222" s="65">
        <v>471240</v>
      </c>
      <c r="M2222" t="s">
        <v>1833</v>
      </c>
    </row>
    <row r="2223" spans="12:13" x14ac:dyDescent="0.25">
      <c r="L2223" s="65">
        <v>471241</v>
      </c>
      <c r="M2223" t="s">
        <v>1834</v>
      </c>
    </row>
    <row r="2224" spans="12:13" x14ac:dyDescent="0.25">
      <c r="L2224" s="65">
        <v>471242</v>
      </c>
      <c r="M2224" t="s">
        <v>1835</v>
      </c>
    </row>
    <row r="2225" spans="12:13" x14ac:dyDescent="0.25">
      <c r="L2225" s="65">
        <v>471243</v>
      </c>
      <c r="M2225" t="s">
        <v>1836</v>
      </c>
    </row>
    <row r="2226" spans="12:13" x14ac:dyDescent="0.25">
      <c r="L2226" s="65">
        <v>471250</v>
      </c>
      <c r="M2226" t="s">
        <v>1837</v>
      </c>
    </row>
    <row r="2227" spans="12:13" x14ac:dyDescent="0.25">
      <c r="L2227" s="65">
        <v>471251</v>
      </c>
      <c r="M2227" t="s">
        <v>1838</v>
      </c>
    </row>
    <row r="2228" spans="12:13" x14ac:dyDescent="0.25">
      <c r="L2228" s="65">
        <v>471252</v>
      </c>
      <c r="M2228" t="s">
        <v>1839</v>
      </c>
    </row>
    <row r="2229" spans="12:13" x14ac:dyDescent="0.25">
      <c r="L2229" s="65">
        <v>471253</v>
      </c>
      <c r="M2229" t="s">
        <v>1840</v>
      </c>
    </row>
    <row r="2230" spans="12:13" x14ac:dyDescent="0.25">
      <c r="L2230" s="65">
        <v>471260</v>
      </c>
      <c r="M2230" t="s">
        <v>1841</v>
      </c>
    </row>
    <row r="2231" spans="12:13" x14ac:dyDescent="0.25">
      <c r="L2231" s="65">
        <v>471261</v>
      </c>
      <c r="M2231" t="s">
        <v>1842</v>
      </c>
    </row>
    <row r="2232" spans="12:13" x14ac:dyDescent="0.25">
      <c r="L2232" s="65">
        <v>471262</v>
      </c>
      <c r="M2232" t="s">
        <v>1843</v>
      </c>
    </row>
    <row r="2233" spans="12:13" x14ac:dyDescent="0.25">
      <c r="L2233" s="65">
        <v>471263</v>
      </c>
      <c r="M2233" t="s">
        <v>1844</v>
      </c>
    </row>
    <row r="2234" spans="12:13" x14ac:dyDescent="0.25">
      <c r="L2234" s="65">
        <v>471290</v>
      </c>
      <c r="M2234" t="s">
        <v>1845</v>
      </c>
    </row>
    <row r="2235" spans="12:13" x14ac:dyDescent="0.25">
      <c r="L2235" s="65">
        <v>471291</v>
      </c>
      <c r="M2235" t="s">
        <v>1846</v>
      </c>
    </row>
    <row r="2236" spans="12:13" x14ac:dyDescent="0.25">
      <c r="L2236" s="65">
        <v>471292</v>
      </c>
      <c r="M2236" t="s">
        <v>1813</v>
      </c>
    </row>
    <row r="2237" spans="12:13" x14ac:dyDescent="0.25">
      <c r="L2237" s="65">
        <v>471299</v>
      </c>
      <c r="M2237" t="s">
        <v>1847</v>
      </c>
    </row>
    <row r="2238" spans="12:13" x14ac:dyDescent="0.25">
      <c r="L2238" s="65">
        <v>471900</v>
      </c>
      <c r="M2238" t="s">
        <v>1848</v>
      </c>
    </row>
    <row r="2239" spans="12:13" x14ac:dyDescent="0.25">
      <c r="L2239" s="65">
        <v>471910</v>
      </c>
      <c r="M2239" t="s">
        <v>1849</v>
      </c>
    </row>
    <row r="2240" spans="12:13" x14ac:dyDescent="0.25">
      <c r="L2240" s="65">
        <v>471911</v>
      </c>
      <c r="M2240" t="s">
        <v>1849</v>
      </c>
    </row>
    <row r="2241" spans="12:13" x14ac:dyDescent="0.25">
      <c r="L2241" s="65">
        <v>471912</v>
      </c>
      <c r="M2241" t="s">
        <v>1850</v>
      </c>
    </row>
    <row r="2242" spans="12:13" x14ac:dyDescent="0.25">
      <c r="L2242" s="65">
        <v>471913</v>
      </c>
      <c r="M2242" t="s">
        <v>1851</v>
      </c>
    </row>
    <row r="2243" spans="12:13" x14ac:dyDescent="0.25">
      <c r="L2243" s="65">
        <v>471914</v>
      </c>
      <c r="M2243" t="s">
        <v>1852</v>
      </c>
    </row>
    <row r="2244" spans="12:13" x14ac:dyDescent="0.25">
      <c r="L2244" s="65">
        <v>471915</v>
      </c>
      <c r="M2244" t="s">
        <v>1853</v>
      </c>
    </row>
    <row r="2245" spans="12:13" x14ac:dyDescent="0.25">
      <c r="L2245" s="65">
        <v>471920</v>
      </c>
      <c r="M2245" t="s">
        <v>1854</v>
      </c>
    </row>
    <row r="2246" spans="12:13" x14ac:dyDescent="0.25">
      <c r="L2246" s="65">
        <v>471921</v>
      </c>
      <c r="M2246" t="s">
        <v>1854</v>
      </c>
    </row>
    <row r="2247" spans="12:13" x14ac:dyDescent="0.25">
      <c r="L2247" s="65">
        <v>471922</v>
      </c>
      <c r="M2247" t="s">
        <v>1855</v>
      </c>
    </row>
    <row r="2248" spans="12:13" x14ac:dyDescent="0.25">
      <c r="L2248" s="65">
        <v>471923</v>
      </c>
      <c r="M2248" t="s">
        <v>1856</v>
      </c>
    </row>
    <row r="2249" spans="12:13" x14ac:dyDescent="0.25">
      <c r="L2249" s="65">
        <v>471930</v>
      </c>
      <c r="M2249" t="s">
        <v>1857</v>
      </c>
    </row>
    <row r="2250" spans="12:13" x14ac:dyDescent="0.25">
      <c r="L2250" s="65">
        <v>471931</v>
      </c>
      <c r="M2250" t="s">
        <v>1858</v>
      </c>
    </row>
    <row r="2251" spans="12:13" x14ac:dyDescent="0.25">
      <c r="L2251" s="65">
        <v>471940</v>
      </c>
      <c r="M2251" t="s">
        <v>1859</v>
      </c>
    </row>
    <row r="2252" spans="12:13" x14ac:dyDescent="0.25">
      <c r="L2252" s="65">
        <v>471941</v>
      </c>
      <c r="M2252" t="s">
        <v>1860</v>
      </c>
    </row>
    <row r="2253" spans="12:13" x14ac:dyDescent="0.25">
      <c r="L2253" s="65">
        <v>471942</v>
      </c>
      <c r="M2253" t="s">
        <v>1861</v>
      </c>
    </row>
    <row r="2254" spans="12:13" x14ac:dyDescent="0.25">
      <c r="L2254" s="65">
        <v>471943</v>
      </c>
      <c r="M2254" t="s">
        <v>1862</v>
      </c>
    </row>
    <row r="2255" spans="12:13" x14ac:dyDescent="0.25">
      <c r="L2255" s="65">
        <v>471950</v>
      </c>
      <c r="M2255" t="s">
        <v>1863</v>
      </c>
    </row>
    <row r="2256" spans="12:13" x14ac:dyDescent="0.25">
      <c r="L2256" s="65">
        <v>471951</v>
      </c>
      <c r="M2256" t="s">
        <v>1863</v>
      </c>
    </row>
    <row r="2257" spans="12:13" x14ac:dyDescent="0.25">
      <c r="L2257" s="65">
        <v>472000</v>
      </c>
      <c r="M2257" t="s">
        <v>1864</v>
      </c>
    </row>
    <row r="2258" spans="12:13" x14ac:dyDescent="0.25">
      <c r="L2258" s="65">
        <v>472100</v>
      </c>
      <c r="M2258" t="s">
        <v>1865</v>
      </c>
    </row>
    <row r="2259" spans="12:13" x14ac:dyDescent="0.25">
      <c r="L2259" s="65">
        <v>472110</v>
      </c>
      <c r="M2259" t="s">
        <v>1866</v>
      </c>
    </row>
    <row r="2260" spans="12:13" x14ac:dyDescent="0.25">
      <c r="L2260" s="65">
        <v>472111</v>
      </c>
      <c r="M2260" t="s">
        <v>1866</v>
      </c>
    </row>
    <row r="2261" spans="12:13" x14ac:dyDescent="0.25">
      <c r="L2261" s="65">
        <v>472120</v>
      </c>
      <c r="M2261" t="s">
        <v>1867</v>
      </c>
    </row>
    <row r="2262" spans="12:13" x14ac:dyDescent="0.25">
      <c r="L2262" s="65">
        <v>472121</v>
      </c>
      <c r="M2262" t="s">
        <v>1867</v>
      </c>
    </row>
    <row r="2263" spans="12:13" x14ac:dyDescent="0.25">
      <c r="L2263" s="65">
        <v>472130</v>
      </c>
      <c r="M2263" t="s">
        <v>1868</v>
      </c>
    </row>
    <row r="2264" spans="12:13" x14ac:dyDescent="0.25">
      <c r="L2264" s="65">
        <v>472131</v>
      </c>
      <c r="M2264" t="s">
        <v>1869</v>
      </c>
    </row>
    <row r="2265" spans="12:13" x14ac:dyDescent="0.25">
      <c r="L2265" s="65">
        <v>472132</v>
      </c>
      <c r="M2265" t="s">
        <v>1870</v>
      </c>
    </row>
    <row r="2266" spans="12:13" x14ac:dyDescent="0.25">
      <c r="L2266" s="65">
        <v>472200</v>
      </c>
      <c r="M2266" t="s">
        <v>1871</v>
      </c>
    </row>
    <row r="2267" spans="12:13" x14ac:dyDescent="0.25">
      <c r="L2267" s="65">
        <v>472210</v>
      </c>
      <c r="M2267" t="s">
        <v>1871</v>
      </c>
    </row>
    <row r="2268" spans="12:13" x14ac:dyDescent="0.25">
      <c r="L2268" s="65">
        <v>472211</v>
      </c>
      <c r="M2268" t="s">
        <v>1871</v>
      </c>
    </row>
    <row r="2269" spans="12:13" x14ac:dyDescent="0.25">
      <c r="L2269" s="65">
        <v>472300</v>
      </c>
      <c r="M2269" t="s">
        <v>1872</v>
      </c>
    </row>
    <row r="2270" spans="12:13" x14ac:dyDescent="0.25">
      <c r="L2270" s="65">
        <v>472310</v>
      </c>
      <c r="M2270" t="s">
        <v>1872</v>
      </c>
    </row>
    <row r="2271" spans="12:13" x14ac:dyDescent="0.25">
      <c r="L2271" s="65">
        <v>472311</v>
      </c>
      <c r="M2271" t="s">
        <v>1872</v>
      </c>
    </row>
    <row r="2272" spans="12:13" x14ac:dyDescent="0.25">
      <c r="L2272" s="65">
        <v>472400</v>
      </c>
      <c r="M2272" t="s">
        <v>1873</v>
      </c>
    </row>
    <row r="2273" spans="12:13" x14ac:dyDescent="0.25">
      <c r="L2273" s="65">
        <v>472410</v>
      </c>
      <c r="M2273" t="s">
        <v>1873</v>
      </c>
    </row>
    <row r="2274" spans="12:13" x14ac:dyDescent="0.25">
      <c r="L2274" s="65">
        <v>472411</v>
      </c>
      <c r="M2274" t="s">
        <v>1873</v>
      </c>
    </row>
    <row r="2275" spans="12:13" x14ac:dyDescent="0.25">
      <c r="L2275" s="65">
        <v>472500</v>
      </c>
      <c r="M2275" t="s">
        <v>1874</v>
      </c>
    </row>
    <row r="2276" spans="12:13" x14ac:dyDescent="0.25">
      <c r="L2276" s="65">
        <v>472510</v>
      </c>
      <c r="M2276" t="s">
        <v>1875</v>
      </c>
    </row>
    <row r="2277" spans="12:13" x14ac:dyDescent="0.25">
      <c r="L2277" s="65">
        <v>472511</v>
      </c>
      <c r="M2277" t="s">
        <v>1875</v>
      </c>
    </row>
    <row r="2278" spans="12:13" x14ac:dyDescent="0.25">
      <c r="L2278" s="65">
        <v>472520</v>
      </c>
      <c r="M2278" t="s">
        <v>1876</v>
      </c>
    </row>
    <row r="2279" spans="12:13" x14ac:dyDescent="0.25">
      <c r="L2279" s="65">
        <v>472521</v>
      </c>
      <c r="M2279" t="s">
        <v>1876</v>
      </c>
    </row>
    <row r="2280" spans="12:13" x14ac:dyDescent="0.25">
      <c r="L2280" s="65">
        <v>472600</v>
      </c>
      <c r="M2280" t="s">
        <v>1877</v>
      </c>
    </row>
    <row r="2281" spans="12:13" x14ac:dyDescent="0.25">
      <c r="L2281" s="65">
        <v>472610</v>
      </c>
      <c r="M2281" t="s">
        <v>1877</v>
      </c>
    </row>
    <row r="2282" spans="12:13" x14ac:dyDescent="0.25">
      <c r="L2282" s="65">
        <v>472611</v>
      </c>
      <c r="M2282" t="s">
        <v>1877</v>
      </c>
    </row>
    <row r="2283" spans="12:13" x14ac:dyDescent="0.25">
      <c r="L2283" s="65">
        <v>472700</v>
      </c>
      <c r="M2283" t="s">
        <v>1878</v>
      </c>
    </row>
    <row r="2284" spans="12:13" x14ac:dyDescent="0.25">
      <c r="L2284" s="65">
        <v>472710</v>
      </c>
      <c r="M2284" t="s">
        <v>1879</v>
      </c>
    </row>
    <row r="2285" spans="12:13" x14ac:dyDescent="0.25">
      <c r="L2285" s="65">
        <v>472711</v>
      </c>
      <c r="M2285" t="s">
        <v>1880</v>
      </c>
    </row>
    <row r="2286" spans="12:13" x14ac:dyDescent="0.25">
      <c r="L2286" s="65">
        <v>472712</v>
      </c>
      <c r="M2286" t="s">
        <v>1881</v>
      </c>
    </row>
    <row r="2287" spans="12:13" x14ac:dyDescent="0.25">
      <c r="L2287" s="65">
        <v>472713</v>
      </c>
      <c r="M2287" t="s">
        <v>1882</v>
      </c>
    </row>
    <row r="2288" spans="12:13" x14ac:dyDescent="0.25">
      <c r="L2288" s="65">
        <v>472714</v>
      </c>
      <c r="M2288" t="s">
        <v>1883</v>
      </c>
    </row>
    <row r="2289" spans="12:13" x14ac:dyDescent="0.25">
      <c r="L2289" s="65">
        <v>472715</v>
      </c>
      <c r="M2289" t="s">
        <v>1884</v>
      </c>
    </row>
    <row r="2290" spans="12:13" x14ac:dyDescent="0.25">
      <c r="L2290" s="65">
        <v>472716</v>
      </c>
      <c r="M2290" t="s">
        <v>1885</v>
      </c>
    </row>
    <row r="2291" spans="12:13" x14ac:dyDescent="0.25">
      <c r="L2291" s="65">
        <v>472717</v>
      </c>
      <c r="M2291" t="s">
        <v>1886</v>
      </c>
    </row>
    <row r="2292" spans="12:13" x14ac:dyDescent="0.25">
      <c r="L2292" s="65">
        <v>472718</v>
      </c>
      <c r="M2292" t="s">
        <v>1431</v>
      </c>
    </row>
    <row r="2293" spans="12:13" x14ac:dyDescent="0.25">
      <c r="L2293" s="65">
        <v>472719</v>
      </c>
      <c r="M2293" t="s">
        <v>1887</v>
      </c>
    </row>
    <row r="2294" spans="12:13" x14ac:dyDescent="0.25">
      <c r="L2294" s="65">
        <v>472720</v>
      </c>
      <c r="M2294" t="s">
        <v>1888</v>
      </c>
    </row>
    <row r="2295" spans="12:13" x14ac:dyDescent="0.25">
      <c r="L2295" s="65">
        <v>472721</v>
      </c>
      <c r="M2295" t="s">
        <v>1888</v>
      </c>
    </row>
    <row r="2296" spans="12:13" x14ac:dyDescent="0.25">
      <c r="L2296" s="65">
        <v>472730</v>
      </c>
      <c r="M2296" t="s">
        <v>1889</v>
      </c>
    </row>
    <row r="2297" spans="12:13" x14ac:dyDescent="0.25">
      <c r="L2297" s="65">
        <v>472731</v>
      </c>
      <c r="M2297" t="s">
        <v>1890</v>
      </c>
    </row>
    <row r="2298" spans="12:13" x14ac:dyDescent="0.25">
      <c r="L2298" s="65">
        <v>472732</v>
      </c>
      <c r="M2298" t="s">
        <v>1891</v>
      </c>
    </row>
    <row r="2299" spans="12:13" x14ac:dyDescent="0.25">
      <c r="L2299" s="65">
        <v>472740</v>
      </c>
      <c r="M2299" t="s">
        <v>1892</v>
      </c>
    </row>
    <row r="2300" spans="12:13" x14ac:dyDescent="0.25">
      <c r="L2300" s="65">
        <v>472741</v>
      </c>
      <c r="M2300" t="s">
        <v>1892</v>
      </c>
    </row>
    <row r="2301" spans="12:13" x14ac:dyDescent="0.25">
      <c r="L2301" s="65">
        <v>472742</v>
      </c>
      <c r="M2301" t="s">
        <v>1893</v>
      </c>
    </row>
    <row r="2302" spans="12:13" x14ac:dyDescent="0.25">
      <c r="L2302" s="65">
        <v>472800</v>
      </c>
      <c r="M2302" t="s">
        <v>1894</v>
      </c>
    </row>
    <row r="2303" spans="12:13" x14ac:dyDescent="0.25">
      <c r="L2303" s="65">
        <v>472810</v>
      </c>
      <c r="M2303" t="s">
        <v>1894</v>
      </c>
    </row>
    <row r="2304" spans="12:13" x14ac:dyDescent="0.25">
      <c r="L2304" s="65">
        <v>472811</v>
      </c>
      <c r="M2304" t="s">
        <v>1894</v>
      </c>
    </row>
    <row r="2305" spans="12:13" x14ac:dyDescent="0.25">
      <c r="L2305" s="65">
        <v>472900</v>
      </c>
      <c r="M2305" t="s">
        <v>1895</v>
      </c>
    </row>
    <row r="2306" spans="12:13" x14ac:dyDescent="0.25">
      <c r="L2306" s="65">
        <v>472910</v>
      </c>
      <c r="M2306" t="s">
        <v>1896</v>
      </c>
    </row>
    <row r="2307" spans="12:13" x14ac:dyDescent="0.25">
      <c r="L2307" s="65">
        <v>472911</v>
      </c>
      <c r="M2307" t="s">
        <v>1896</v>
      </c>
    </row>
    <row r="2308" spans="12:13" x14ac:dyDescent="0.25">
      <c r="L2308" s="65">
        <v>472920</v>
      </c>
      <c r="M2308" t="s">
        <v>1897</v>
      </c>
    </row>
    <row r="2309" spans="12:13" x14ac:dyDescent="0.25">
      <c r="L2309" s="65">
        <v>472921</v>
      </c>
      <c r="M2309" t="s">
        <v>1898</v>
      </c>
    </row>
    <row r="2310" spans="12:13" x14ac:dyDescent="0.25">
      <c r="L2310" s="65">
        <v>472922</v>
      </c>
      <c r="M2310" t="s">
        <v>1899</v>
      </c>
    </row>
    <row r="2311" spans="12:13" x14ac:dyDescent="0.25">
      <c r="L2311" s="65">
        <v>472930</v>
      </c>
      <c r="M2311" t="s">
        <v>1806</v>
      </c>
    </row>
    <row r="2312" spans="12:13" x14ac:dyDescent="0.25">
      <c r="L2312" s="65">
        <v>472931</v>
      </c>
      <c r="M2312" t="s">
        <v>1806</v>
      </c>
    </row>
    <row r="2313" spans="12:13" x14ac:dyDescent="0.25">
      <c r="L2313" s="65">
        <v>480000</v>
      </c>
      <c r="M2313" t="s">
        <v>1900</v>
      </c>
    </row>
    <row r="2314" spans="12:13" x14ac:dyDescent="0.25">
      <c r="L2314" s="65">
        <v>481000</v>
      </c>
      <c r="M2314" t="s">
        <v>1901</v>
      </c>
    </row>
    <row r="2315" spans="12:13" x14ac:dyDescent="0.25">
      <c r="L2315" s="65">
        <v>481100</v>
      </c>
      <c r="M2315" t="s">
        <v>1902</v>
      </c>
    </row>
    <row r="2316" spans="12:13" x14ac:dyDescent="0.25">
      <c r="L2316" s="65">
        <v>481110</v>
      </c>
      <c r="M2316" t="s">
        <v>1902</v>
      </c>
    </row>
    <row r="2317" spans="12:13" x14ac:dyDescent="0.25">
      <c r="L2317" s="65">
        <v>481111</v>
      </c>
      <c r="M2317" t="s">
        <v>1903</v>
      </c>
    </row>
    <row r="2318" spans="12:13" x14ac:dyDescent="0.25">
      <c r="L2318" s="65">
        <v>481112</v>
      </c>
      <c r="M2318" t="s">
        <v>1904</v>
      </c>
    </row>
    <row r="2319" spans="12:13" x14ac:dyDescent="0.25">
      <c r="L2319" s="65">
        <v>481113</v>
      </c>
      <c r="M2319" t="s">
        <v>1905</v>
      </c>
    </row>
    <row r="2320" spans="12:13" x14ac:dyDescent="0.25">
      <c r="L2320" s="65">
        <v>481120</v>
      </c>
      <c r="M2320" t="s">
        <v>1906</v>
      </c>
    </row>
    <row r="2321" spans="12:13" x14ac:dyDescent="0.25">
      <c r="L2321" s="65">
        <v>481121</v>
      </c>
      <c r="M2321" t="s">
        <v>1907</v>
      </c>
    </row>
    <row r="2322" spans="12:13" x14ac:dyDescent="0.25">
      <c r="L2322" s="65">
        <v>481130</v>
      </c>
      <c r="M2322" t="s">
        <v>1908</v>
      </c>
    </row>
    <row r="2323" spans="12:13" x14ac:dyDescent="0.25">
      <c r="L2323" s="65">
        <v>481131</v>
      </c>
      <c r="M2323" t="s">
        <v>1908</v>
      </c>
    </row>
    <row r="2324" spans="12:13" x14ac:dyDescent="0.25">
      <c r="L2324" s="65">
        <v>481900</v>
      </c>
      <c r="M2324" t="s">
        <v>1909</v>
      </c>
    </row>
    <row r="2325" spans="12:13" x14ac:dyDescent="0.25">
      <c r="L2325" s="65">
        <v>481910</v>
      </c>
      <c r="M2325" t="s">
        <v>1910</v>
      </c>
    </row>
    <row r="2326" spans="12:13" x14ac:dyDescent="0.25">
      <c r="L2326" s="65">
        <v>481911</v>
      </c>
      <c r="M2326" t="s">
        <v>1910</v>
      </c>
    </row>
    <row r="2327" spans="12:13" x14ac:dyDescent="0.25">
      <c r="L2327" s="65">
        <v>481920</v>
      </c>
      <c r="M2327" t="s">
        <v>1911</v>
      </c>
    </row>
    <row r="2328" spans="12:13" x14ac:dyDescent="0.25">
      <c r="L2328" s="65">
        <v>481921</v>
      </c>
      <c r="M2328" t="s">
        <v>1911</v>
      </c>
    </row>
    <row r="2329" spans="12:13" x14ac:dyDescent="0.25">
      <c r="L2329" s="65">
        <v>481930</v>
      </c>
      <c r="M2329" t="s">
        <v>1912</v>
      </c>
    </row>
    <row r="2330" spans="12:13" x14ac:dyDescent="0.25">
      <c r="L2330" s="65">
        <v>481931</v>
      </c>
      <c r="M2330" t="s">
        <v>1912</v>
      </c>
    </row>
    <row r="2331" spans="12:13" x14ac:dyDescent="0.25">
      <c r="L2331" s="65">
        <v>481940</v>
      </c>
      <c r="M2331" t="s">
        <v>1913</v>
      </c>
    </row>
    <row r="2332" spans="12:13" x14ac:dyDescent="0.25">
      <c r="L2332" s="65">
        <v>481941</v>
      </c>
      <c r="M2332" t="s">
        <v>1914</v>
      </c>
    </row>
    <row r="2333" spans="12:13" x14ac:dyDescent="0.25">
      <c r="L2333" s="65">
        <v>481942</v>
      </c>
      <c r="M2333" t="s">
        <v>1915</v>
      </c>
    </row>
    <row r="2334" spans="12:13" x14ac:dyDescent="0.25">
      <c r="L2334" s="65">
        <v>481950</v>
      </c>
      <c r="M2334" t="s">
        <v>1916</v>
      </c>
    </row>
    <row r="2335" spans="12:13" x14ac:dyDescent="0.25">
      <c r="L2335" s="65">
        <v>481951</v>
      </c>
      <c r="M2335" t="s">
        <v>1916</v>
      </c>
    </row>
    <row r="2336" spans="12:13" x14ac:dyDescent="0.25">
      <c r="L2336" s="65">
        <v>481960</v>
      </c>
      <c r="M2336" t="s">
        <v>1917</v>
      </c>
    </row>
    <row r="2337" spans="12:13" x14ac:dyDescent="0.25">
      <c r="L2337" s="65">
        <v>481961</v>
      </c>
      <c r="M2337" t="s">
        <v>1918</v>
      </c>
    </row>
    <row r="2338" spans="12:13" x14ac:dyDescent="0.25">
      <c r="L2338" s="65">
        <v>481962</v>
      </c>
      <c r="M2338" t="s">
        <v>1919</v>
      </c>
    </row>
    <row r="2339" spans="12:13" x14ac:dyDescent="0.25">
      <c r="L2339" s="65">
        <v>481969</v>
      </c>
      <c r="M2339" t="s">
        <v>1920</v>
      </c>
    </row>
    <row r="2340" spans="12:13" x14ac:dyDescent="0.25">
      <c r="L2340" s="65">
        <v>481990</v>
      </c>
      <c r="M2340" t="s">
        <v>1909</v>
      </c>
    </row>
    <row r="2341" spans="12:13" x14ac:dyDescent="0.25">
      <c r="L2341" s="65">
        <v>481991</v>
      </c>
      <c r="M2341" t="s">
        <v>1909</v>
      </c>
    </row>
    <row r="2342" spans="12:13" x14ac:dyDescent="0.25">
      <c r="L2342" s="65">
        <v>482000</v>
      </c>
      <c r="M2342" t="s">
        <v>1921</v>
      </c>
    </row>
    <row r="2343" spans="12:13" x14ac:dyDescent="0.25">
      <c r="L2343" s="65">
        <v>482100</v>
      </c>
      <c r="M2343" t="s">
        <v>1922</v>
      </c>
    </row>
    <row r="2344" spans="12:13" x14ac:dyDescent="0.25">
      <c r="L2344" s="65">
        <v>482110</v>
      </c>
      <c r="M2344" t="s">
        <v>1923</v>
      </c>
    </row>
    <row r="2345" spans="12:13" x14ac:dyDescent="0.25">
      <c r="L2345" s="65">
        <v>482111</v>
      </c>
      <c r="M2345" t="s">
        <v>1924</v>
      </c>
    </row>
    <row r="2346" spans="12:13" x14ac:dyDescent="0.25">
      <c r="L2346" s="65">
        <v>482112</v>
      </c>
      <c r="M2346" t="s">
        <v>1925</v>
      </c>
    </row>
    <row r="2347" spans="12:13" x14ac:dyDescent="0.25">
      <c r="L2347" s="65">
        <v>482120</v>
      </c>
      <c r="M2347" t="s">
        <v>1926</v>
      </c>
    </row>
    <row r="2348" spans="12:13" x14ac:dyDescent="0.25">
      <c r="L2348" s="65">
        <v>482121</v>
      </c>
      <c r="M2348" t="s">
        <v>1927</v>
      </c>
    </row>
    <row r="2349" spans="12:13" x14ac:dyDescent="0.25">
      <c r="L2349" s="65">
        <v>482122</v>
      </c>
      <c r="M2349" t="s">
        <v>1928</v>
      </c>
    </row>
    <row r="2350" spans="12:13" x14ac:dyDescent="0.25">
      <c r="L2350" s="65">
        <v>482123</v>
      </c>
      <c r="M2350" t="s">
        <v>1929</v>
      </c>
    </row>
    <row r="2351" spans="12:13" x14ac:dyDescent="0.25">
      <c r="L2351" s="65">
        <v>482130</v>
      </c>
      <c r="M2351" t="s">
        <v>1930</v>
      </c>
    </row>
    <row r="2352" spans="12:13" x14ac:dyDescent="0.25">
      <c r="L2352" s="65">
        <v>482131</v>
      </c>
      <c r="M2352" t="s">
        <v>1931</v>
      </c>
    </row>
    <row r="2353" spans="12:13" x14ac:dyDescent="0.25">
      <c r="L2353" s="65">
        <v>482132</v>
      </c>
      <c r="M2353" t="s">
        <v>1932</v>
      </c>
    </row>
    <row r="2354" spans="12:13" x14ac:dyDescent="0.25">
      <c r="L2354" s="65">
        <v>482140</v>
      </c>
      <c r="M2354" t="s">
        <v>1933</v>
      </c>
    </row>
    <row r="2355" spans="12:13" x14ac:dyDescent="0.25">
      <c r="L2355" s="65">
        <v>482141</v>
      </c>
      <c r="M2355" t="s">
        <v>1934</v>
      </c>
    </row>
    <row r="2356" spans="12:13" x14ac:dyDescent="0.25">
      <c r="L2356" s="65">
        <v>482190</v>
      </c>
      <c r="M2356" t="s">
        <v>1922</v>
      </c>
    </row>
    <row r="2357" spans="12:13" x14ac:dyDescent="0.25">
      <c r="L2357" s="65">
        <v>482191</v>
      </c>
      <c r="M2357" t="s">
        <v>1922</v>
      </c>
    </row>
    <row r="2358" spans="12:13" x14ac:dyDescent="0.25">
      <c r="L2358" s="65">
        <v>482200</v>
      </c>
      <c r="M2358" t="s">
        <v>1935</v>
      </c>
    </row>
    <row r="2359" spans="12:13" x14ac:dyDescent="0.25">
      <c r="L2359" s="65">
        <v>482210</v>
      </c>
      <c r="M2359" t="s">
        <v>1129</v>
      </c>
    </row>
    <row r="2360" spans="12:13" x14ac:dyDescent="0.25">
      <c r="L2360" s="65">
        <v>482211</v>
      </c>
      <c r="M2360" t="s">
        <v>1129</v>
      </c>
    </row>
    <row r="2361" spans="12:13" x14ac:dyDescent="0.25">
      <c r="L2361" s="65">
        <v>482220</v>
      </c>
      <c r="M2361" t="s">
        <v>1130</v>
      </c>
    </row>
    <row r="2362" spans="12:13" x14ac:dyDescent="0.25">
      <c r="L2362" s="65">
        <v>482221</v>
      </c>
      <c r="M2362" t="s">
        <v>1130</v>
      </c>
    </row>
    <row r="2363" spans="12:13" x14ac:dyDescent="0.25">
      <c r="L2363" s="65">
        <v>482230</v>
      </c>
      <c r="M2363" t="s">
        <v>1131</v>
      </c>
    </row>
    <row r="2364" spans="12:13" x14ac:dyDescent="0.25">
      <c r="L2364" s="65">
        <v>482231</v>
      </c>
      <c r="M2364" t="s">
        <v>1131</v>
      </c>
    </row>
    <row r="2365" spans="12:13" x14ac:dyDescent="0.25">
      <c r="L2365" s="65">
        <v>482240</v>
      </c>
      <c r="M2365" t="s">
        <v>1132</v>
      </c>
    </row>
    <row r="2366" spans="12:13" x14ac:dyDescent="0.25">
      <c r="L2366" s="65">
        <v>482241</v>
      </c>
      <c r="M2366" t="s">
        <v>1132</v>
      </c>
    </row>
    <row r="2367" spans="12:13" x14ac:dyDescent="0.25">
      <c r="L2367" s="65">
        <v>482250</v>
      </c>
      <c r="M2367" t="s">
        <v>1133</v>
      </c>
    </row>
    <row r="2368" spans="12:13" x14ac:dyDescent="0.25">
      <c r="L2368" s="65">
        <v>482251</v>
      </c>
      <c r="M2368" t="s">
        <v>1133</v>
      </c>
    </row>
    <row r="2369" spans="12:13" x14ac:dyDescent="0.25">
      <c r="L2369" s="65">
        <v>482300</v>
      </c>
      <c r="M2369" t="s">
        <v>1936</v>
      </c>
    </row>
    <row r="2370" spans="12:13" x14ac:dyDescent="0.25">
      <c r="L2370" s="65">
        <v>482310</v>
      </c>
      <c r="M2370" t="s">
        <v>1937</v>
      </c>
    </row>
    <row r="2371" spans="12:13" x14ac:dyDescent="0.25">
      <c r="L2371" s="65">
        <v>482311</v>
      </c>
      <c r="M2371" t="s">
        <v>1135</v>
      </c>
    </row>
    <row r="2372" spans="12:13" x14ac:dyDescent="0.25">
      <c r="L2372" s="65">
        <v>482312</v>
      </c>
      <c r="M2372" t="s">
        <v>1938</v>
      </c>
    </row>
    <row r="2373" spans="12:13" x14ac:dyDescent="0.25">
      <c r="L2373" s="65">
        <v>482320</v>
      </c>
      <c r="M2373" t="s">
        <v>1136</v>
      </c>
    </row>
    <row r="2374" spans="12:13" x14ac:dyDescent="0.25">
      <c r="L2374" s="65">
        <v>482321</v>
      </c>
      <c r="M2374" t="s">
        <v>1136</v>
      </c>
    </row>
    <row r="2375" spans="12:13" x14ac:dyDescent="0.25">
      <c r="L2375" s="65">
        <v>482330</v>
      </c>
      <c r="M2375" t="s">
        <v>1137</v>
      </c>
    </row>
    <row r="2376" spans="12:13" x14ac:dyDescent="0.25">
      <c r="L2376" s="65">
        <v>482331</v>
      </c>
      <c r="M2376" t="s">
        <v>1137</v>
      </c>
    </row>
    <row r="2377" spans="12:13" x14ac:dyDescent="0.25">
      <c r="L2377" s="65">
        <v>482340</v>
      </c>
      <c r="M2377" t="s">
        <v>1138</v>
      </c>
    </row>
    <row r="2378" spans="12:13" x14ac:dyDescent="0.25">
      <c r="L2378" s="65">
        <v>482341</v>
      </c>
      <c r="M2378" t="s">
        <v>1138</v>
      </c>
    </row>
    <row r="2379" spans="12:13" x14ac:dyDescent="0.25">
      <c r="L2379" s="65">
        <v>483000</v>
      </c>
      <c r="M2379" t="s">
        <v>1939</v>
      </c>
    </row>
    <row r="2380" spans="12:13" x14ac:dyDescent="0.25">
      <c r="L2380" s="65">
        <v>483100</v>
      </c>
      <c r="M2380" t="s">
        <v>1939</v>
      </c>
    </row>
    <row r="2381" spans="12:13" x14ac:dyDescent="0.25">
      <c r="L2381" s="65">
        <v>483110</v>
      </c>
      <c r="M2381" t="s">
        <v>1939</v>
      </c>
    </row>
    <row r="2382" spans="12:13" x14ac:dyDescent="0.25">
      <c r="L2382" s="65">
        <v>483111</v>
      </c>
      <c r="M2382" t="s">
        <v>1939</v>
      </c>
    </row>
    <row r="2383" spans="12:13" x14ac:dyDescent="0.25">
      <c r="L2383" s="65">
        <v>484000</v>
      </c>
      <c r="M2383" t="s">
        <v>1940</v>
      </c>
    </row>
    <row r="2384" spans="12:13" x14ac:dyDescent="0.25">
      <c r="L2384" s="65">
        <v>484100</v>
      </c>
      <c r="M2384" t="s">
        <v>1941</v>
      </c>
    </row>
    <row r="2385" spans="12:13" x14ac:dyDescent="0.25">
      <c r="L2385" s="65">
        <v>484110</v>
      </c>
      <c r="M2385" t="s">
        <v>1941</v>
      </c>
    </row>
    <row r="2386" spans="12:13" x14ac:dyDescent="0.25">
      <c r="L2386" s="65">
        <v>484111</v>
      </c>
      <c r="M2386" t="s">
        <v>1941</v>
      </c>
    </row>
    <row r="2387" spans="12:13" x14ac:dyDescent="0.25">
      <c r="L2387" s="65">
        <v>484200</v>
      </c>
      <c r="M2387" t="s">
        <v>1942</v>
      </c>
    </row>
    <row r="2388" spans="12:13" x14ac:dyDescent="0.25">
      <c r="L2388" s="65">
        <v>484210</v>
      </c>
      <c r="M2388" t="s">
        <v>1942</v>
      </c>
    </row>
    <row r="2389" spans="12:13" x14ac:dyDescent="0.25">
      <c r="L2389" s="65">
        <v>484211</v>
      </c>
      <c r="M2389" t="s">
        <v>1942</v>
      </c>
    </row>
    <row r="2390" spans="12:13" x14ac:dyDescent="0.25">
      <c r="L2390" s="65">
        <v>485000</v>
      </c>
      <c r="M2390" t="s">
        <v>1943</v>
      </c>
    </row>
    <row r="2391" spans="12:13" x14ac:dyDescent="0.25">
      <c r="L2391" s="65">
        <v>485100</v>
      </c>
      <c r="M2391" t="s">
        <v>1943</v>
      </c>
    </row>
    <row r="2392" spans="12:13" x14ac:dyDescent="0.25">
      <c r="L2392" s="65">
        <v>485110</v>
      </c>
      <c r="M2392" t="s">
        <v>1943</v>
      </c>
    </row>
    <row r="2393" spans="12:13" x14ac:dyDescent="0.25">
      <c r="L2393" s="65">
        <v>485111</v>
      </c>
      <c r="M2393" t="s">
        <v>1944</v>
      </c>
    </row>
    <row r="2394" spans="12:13" x14ac:dyDescent="0.25">
      <c r="L2394" s="65">
        <v>485119</v>
      </c>
      <c r="M2394" t="s">
        <v>1945</v>
      </c>
    </row>
    <row r="2395" spans="12:13" x14ac:dyDescent="0.25">
      <c r="L2395" s="65">
        <v>489000</v>
      </c>
      <c r="M2395" t="s">
        <v>1946</v>
      </c>
    </row>
    <row r="2396" spans="12:13" x14ac:dyDescent="0.25">
      <c r="L2396" s="65">
        <v>489100</v>
      </c>
      <c r="M2396" t="s">
        <v>1946</v>
      </c>
    </row>
    <row r="2397" spans="12:13" x14ac:dyDescent="0.25">
      <c r="L2397" s="65">
        <v>489110</v>
      </c>
      <c r="M2397" t="s">
        <v>1946</v>
      </c>
    </row>
    <row r="2398" spans="12:13" x14ac:dyDescent="0.25">
      <c r="L2398" s="65">
        <v>489111</v>
      </c>
      <c r="M2398" t="s">
        <v>1946</v>
      </c>
    </row>
    <row r="2399" spans="12:13" x14ac:dyDescent="0.25">
      <c r="L2399" s="65">
        <v>490000</v>
      </c>
      <c r="M2399" t="s">
        <v>1947</v>
      </c>
    </row>
    <row r="2400" spans="12:13" x14ac:dyDescent="0.25">
      <c r="L2400" s="65">
        <v>494000</v>
      </c>
      <c r="M2400" t="s">
        <v>1265</v>
      </c>
    </row>
    <row r="2401" spans="12:13" x14ac:dyDescent="0.25">
      <c r="L2401" s="65">
        <v>494100</v>
      </c>
      <c r="M2401" t="s">
        <v>1266</v>
      </c>
    </row>
    <row r="2402" spans="12:13" x14ac:dyDescent="0.25">
      <c r="L2402" s="65">
        <v>494110</v>
      </c>
      <c r="M2402" t="s">
        <v>1268</v>
      </c>
    </row>
    <row r="2403" spans="12:13" x14ac:dyDescent="0.25">
      <c r="L2403" s="65">
        <v>494111</v>
      </c>
      <c r="M2403" t="s">
        <v>1268</v>
      </c>
    </row>
    <row r="2404" spans="12:13" x14ac:dyDescent="0.25">
      <c r="L2404" s="65">
        <v>494120</v>
      </c>
      <c r="M2404" t="s">
        <v>1287</v>
      </c>
    </row>
    <row r="2405" spans="12:13" x14ac:dyDescent="0.25">
      <c r="L2405" s="65">
        <v>494121</v>
      </c>
      <c r="M2405" t="s">
        <v>1288</v>
      </c>
    </row>
    <row r="2406" spans="12:13" x14ac:dyDescent="0.25">
      <c r="L2406" s="65">
        <v>494122</v>
      </c>
      <c r="M2406" t="s">
        <v>1291</v>
      </c>
    </row>
    <row r="2407" spans="12:13" x14ac:dyDescent="0.25">
      <c r="L2407" s="65">
        <v>494123</v>
      </c>
      <c r="M2407" t="s">
        <v>1948</v>
      </c>
    </row>
    <row r="2408" spans="12:13" x14ac:dyDescent="0.25">
      <c r="L2408" s="65">
        <v>494130</v>
      </c>
      <c r="M2408" t="s">
        <v>1294</v>
      </c>
    </row>
    <row r="2409" spans="12:13" x14ac:dyDescent="0.25">
      <c r="L2409" s="65">
        <v>494131</v>
      </c>
      <c r="M2409" t="s">
        <v>1294</v>
      </c>
    </row>
    <row r="2410" spans="12:13" x14ac:dyDescent="0.25">
      <c r="L2410" s="65">
        <v>494140</v>
      </c>
      <c r="M2410" t="s">
        <v>1309</v>
      </c>
    </row>
    <row r="2411" spans="12:13" x14ac:dyDescent="0.25">
      <c r="L2411" s="65">
        <v>494141</v>
      </c>
      <c r="M2411" t="s">
        <v>1949</v>
      </c>
    </row>
    <row r="2412" spans="12:13" x14ac:dyDescent="0.25">
      <c r="L2412" s="65">
        <v>494142</v>
      </c>
      <c r="M2412" t="s">
        <v>1314</v>
      </c>
    </row>
    <row r="2413" spans="12:13" x14ac:dyDescent="0.25">
      <c r="L2413" s="65">
        <v>494143</v>
      </c>
      <c r="M2413" t="s">
        <v>1315</v>
      </c>
    </row>
    <row r="2414" spans="12:13" x14ac:dyDescent="0.25">
      <c r="L2414" s="65">
        <v>494144</v>
      </c>
      <c r="M2414" t="s">
        <v>1319</v>
      </c>
    </row>
    <row r="2415" spans="12:13" x14ac:dyDescent="0.25">
      <c r="L2415" s="65">
        <v>494150</v>
      </c>
      <c r="M2415" t="s">
        <v>1323</v>
      </c>
    </row>
    <row r="2416" spans="12:13" x14ac:dyDescent="0.25">
      <c r="L2416" s="65">
        <v>494151</v>
      </c>
      <c r="M2416" t="s">
        <v>1323</v>
      </c>
    </row>
    <row r="2417" spans="12:13" x14ac:dyDescent="0.25">
      <c r="L2417" s="65">
        <v>494160</v>
      </c>
      <c r="M2417" t="s">
        <v>1329</v>
      </c>
    </row>
    <row r="2418" spans="12:13" x14ac:dyDescent="0.25">
      <c r="L2418" s="65">
        <v>494161</v>
      </c>
      <c r="M2418" t="s">
        <v>1329</v>
      </c>
    </row>
    <row r="2419" spans="12:13" x14ac:dyDescent="0.25">
      <c r="L2419" s="65">
        <v>494170</v>
      </c>
      <c r="M2419" t="s">
        <v>1339</v>
      </c>
    </row>
    <row r="2420" spans="12:13" x14ac:dyDescent="0.25">
      <c r="L2420" s="65">
        <v>494171</v>
      </c>
      <c r="M2420" t="s">
        <v>1339</v>
      </c>
    </row>
    <row r="2421" spans="12:13" x14ac:dyDescent="0.25">
      <c r="L2421" s="65">
        <v>494180</v>
      </c>
      <c r="M2421" t="s">
        <v>1340</v>
      </c>
    </row>
    <row r="2422" spans="12:13" x14ac:dyDescent="0.25">
      <c r="L2422" s="65">
        <v>494181</v>
      </c>
      <c r="M2422" t="s">
        <v>1340</v>
      </c>
    </row>
    <row r="2423" spans="12:13" x14ac:dyDescent="0.25">
      <c r="L2423" s="65">
        <v>494200</v>
      </c>
      <c r="M2423" t="s">
        <v>1341</v>
      </c>
    </row>
    <row r="2424" spans="12:13" x14ac:dyDescent="0.25">
      <c r="L2424" s="65">
        <v>494210</v>
      </c>
      <c r="M2424" t="s">
        <v>1342</v>
      </c>
    </row>
    <row r="2425" spans="12:13" x14ac:dyDescent="0.25">
      <c r="L2425" s="65">
        <v>494211</v>
      </c>
      <c r="M2425" t="s">
        <v>1343</v>
      </c>
    </row>
    <row r="2426" spans="12:13" x14ac:dyDescent="0.25">
      <c r="L2426" s="65">
        <v>494212</v>
      </c>
      <c r="M2426" t="s">
        <v>1346</v>
      </c>
    </row>
    <row r="2427" spans="12:13" x14ac:dyDescent="0.25">
      <c r="L2427" s="65">
        <v>494213</v>
      </c>
      <c r="M2427" t="s">
        <v>1354</v>
      </c>
    </row>
    <row r="2428" spans="12:13" x14ac:dyDescent="0.25">
      <c r="L2428" s="65">
        <v>494214</v>
      </c>
      <c r="M2428" t="s">
        <v>1365</v>
      </c>
    </row>
    <row r="2429" spans="12:13" x14ac:dyDescent="0.25">
      <c r="L2429" s="65">
        <v>494215</v>
      </c>
      <c r="M2429" t="s">
        <v>1376</v>
      </c>
    </row>
    <row r="2430" spans="12:13" x14ac:dyDescent="0.25">
      <c r="L2430" s="65">
        <v>494216</v>
      </c>
      <c r="M2430" t="s">
        <v>1386</v>
      </c>
    </row>
    <row r="2431" spans="12:13" x14ac:dyDescent="0.25">
      <c r="L2431" s="65">
        <v>494219</v>
      </c>
      <c r="M2431" t="s">
        <v>1401</v>
      </c>
    </row>
    <row r="2432" spans="12:13" x14ac:dyDescent="0.25">
      <c r="L2432" s="65">
        <v>494220</v>
      </c>
      <c r="M2432" t="s">
        <v>1404</v>
      </c>
    </row>
    <row r="2433" spans="12:13" x14ac:dyDescent="0.25">
      <c r="L2433" s="65">
        <v>494221</v>
      </c>
      <c r="M2433" t="s">
        <v>1405</v>
      </c>
    </row>
    <row r="2434" spans="12:13" x14ac:dyDescent="0.25">
      <c r="L2434" s="65">
        <v>494222</v>
      </c>
      <c r="M2434" t="s">
        <v>1415</v>
      </c>
    </row>
    <row r="2435" spans="12:13" x14ac:dyDescent="0.25">
      <c r="L2435" s="65">
        <v>494223</v>
      </c>
      <c r="M2435" t="s">
        <v>1421</v>
      </c>
    </row>
    <row r="2436" spans="12:13" x14ac:dyDescent="0.25">
      <c r="L2436" s="65">
        <v>494224</v>
      </c>
      <c r="M2436" t="s">
        <v>1430</v>
      </c>
    </row>
    <row r="2437" spans="12:13" x14ac:dyDescent="0.25">
      <c r="L2437" s="65">
        <v>494229</v>
      </c>
      <c r="M2437" t="s">
        <v>1433</v>
      </c>
    </row>
    <row r="2438" spans="12:13" x14ac:dyDescent="0.25">
      <c r="L2438" s="65">
        <v>494230</v>
      </c>
      <c r="M2438" t="s">
        <v>1435</v>
      </c>
    </row>
    <row r="2439" spans="12:13" x14ac:dyDescent="0.25">
      <c r="L2439" s="65">
        <v>494231</v>
      </c>
      <c r="M2439" t="s">
        <v>1436</v>
      </c>
    </row>
    <row r="2440" spans="12:13" x14ac:dyDescent="0.25">
      <c r="L2440" s="65">
        <v>494232</v>
      </c>
      <c r="M2440" t="s">
        <v>1441</v>
      </c>
    </row>
    <row r="2441" spans="12:13" x14ac:dyDescent="0.25">
      <c r="L2441" s="65">
        <v>494233</v>
      </c>
      <c r="M2441" t="s">
        <v>1447</v>
      </c>
    </row>
    <row r="2442" spans="12:13" x14ac:dyDescent="0.25">
      <c r="L2442" s="65">
        <v>494234</v>
      </c>
      <c r="M2442" t="s">
        <v>1455</v>
      </c>
    </row>
    <row r="2443" spans="12:13" x14ac:dyDescent="0.25">
      <c r="L2443" s="65">
        <v>494235</v>
      </c>
      <c r="M2443" t="s">
        <v>1470</v>
      </c>
    </row>
    <row r="2444" spans="12:13" x14ac:dyDescent="0.25">
      <c r="L2444" s="65">
        <v>494236</v>
      </c>
      <c r="M2444" t="s">
        <v>1483</v>
      </c>
    </row>
    <row r="2445" spans="12:13" x14ac:dyDescent="0.25">
      <c r="L2445" s="65">
        <v>494237</v>
      </c>
      <c r="M2445" t="s">
        <v>1488</v>
      </c>
    </row>
    <row r="2446" spans="12:13" x14ac:dyDescent="0.25">
      <c r="L2446" s="65">
        <v>494239</v>
      </c>
      <c r="M2446" t="s">
        <v>1490</v>
      </c>
    </row>
    <row r="2447" spans="12:13" x14ac:dyDescent="0.25">
      <c r="L2447" s="65">
        <v>494240</v>
      </c>
      <c r="M2447" t="s">
        <v>1491</v>
      </c>
    </row>
    <row r="2448" spans="12:13" x14ac:dyDescent="0.25">
      <c r="L2448" s="65">
        <v>494241</v>
      </c>
      <c r="M2448" t="s">
        <v>1492</v>
      </c>
    </row>
    <row r="2449" spans="12:13" x14ac:dyDescent="0.25">
      <c r="L2449" s="65">
        <v>494242</v>
      </c>
      <c r="M2449" t="s">
        <v>1498</v>
      </c>
    </row>
    <row r="2450" spans="12:13" x14ac:dyDescent="0.25">
      <c r="L2450" s="65">
        <v>494243</v>
      </c>
      <c r="M2450" t="s">
        <v>1504</v>
      </c>
    </row>
    <row r="2451" spans="12:13" x14ac:dyDescent="0.25">
      <c r="L2451" s="65">
        <v>494244</v>
      </c>
      <c r="M2451" t="s">
        <v>1510</v>
      </c>
    </row>
    <row r="2452" spans="12:13" x14ac:dyDescent="0.25">
      <c r="L2452" s="65">
        <v>494245</v>
      </c>
      <c r="M2452" t="s">
        <v>1511</v>
      </c>
    </row>
    <row r="2453" spans="12:13" x14ac:dyDescent="0.25">
      <c r="L2453" s="65">
        <v>494246</v>
      </c>
      <c r="M2453" t="s">
        <v>1512</v>
      </c>
    </row>
    <row r="2454" spans="12:13" x14ac:dyDescent="0.25">
      <c r="L2454" s="65">
        <v>494249</v>
      </c>
      <c r="M2454" t="s">
        <v>1516</v>
      </c>
    </row>
    <row r="2455" spans="12:13" x14ac:dyDescent="0.25">
      <c r="L2455" s="65">
        <v>494250</v>
      </c>
      <c r="M2455" t="s">
        <v>1517</v>
      </c>
    </row>
    <row r="2456" spans="12:13" x14ac:dyDescent="0.25">
      <c r="L2456" s="65">
        <v>494251</v>
      </c>
      <c r="M2456" t="s">
        <v>1518</v>
      </c>
    </row>
    <row r="2457" spans="12:13" x14ac:dyDescent="0.25">
      <c r="L2457" s="65">
        <v>494252</v>
      </c>
      <c r="M2457" t="s">
        <v>1529</v>
      </c>
    </row>
    <row r="2458" spans="12:13" x14ac:dyDescent="0.25">
      <c r="L2458" s="65">
        <v>494260</v>
      </c>
      <c r="M2458" t="s">
        <v>1556</v>
      </c>
    </row>
    <row r="2459" spans="12:13" x14ac:dyDescent="0.25">
      <c r="L2459" s="65">
        <v>494261</v>
      </c>
      <c r="M2459" t="s">
        <v>1557</v>
      </c>
    </row>
    <row r="2460" spans="12:13" x14ac:dyDescent="0.25">
      <c r="L2460" s="65">
        <v>494262</v>
      </c>
      <c r="M2460" t="s">
        <v>1950</v>
      </c>
    </row>
    <row r="2461" spans="12:13" x14ac:dyDescent="0.25">
      <c r="L2461" s="65">
        <v>494263</v>
      </c>
      <c r="M2461" t="s">
        <v>1951</v>
      </c>
    </row>
    <row r="2462" spans="12:13" x14ac:dyDescent="0.25">
      <c r="L2462" s="65">
        <v>494264</v>
      </c>
      <c r="M2462" t="s">
        <v>1952</v>
      </c>
    </row>
    <row r="2463" spans="12:13" x14ac:dyDescent="0.25">
      <c r="L2463" s="65">
        <v>494265</v>
      </c>
      <c r="M2463" t="s">
        <v>1953</v>
      </c>
    </row>
    <row r="2464" spans="12:13" x14ac:dyDescent="0.25">
      <c r="L2464" s="65">
        <v>494266</v>
      </c>
      <c r="M2464" t="s">
        <v>1954</v>
      </c>
    </row>
    <row r="2465" spans="12:13" x14ac:dyDescent="0.25">
      <c r="L2465" s="65">
        <v>494267</v>
      </c>
      <c r="M2465" t="s">
        <v>1596</v>
      </c>
    </row>
    <row r="2466" spans="12:13" x14ac:dyDescent="0.25">
      <c r="L2466" s="65">
        <v>494268</v>
      </c>
      <c r="M2466" t="s">
        <v>1955</v>
      </c>
    </row>
    <row r="2467" spans="12:13" x14ac:dyDescent="0.25">
      <c r="L2467" s="65">
        <v>494269</v>
      </c>
      <c r="M2467" t="s">
        <v>1956</v>
      </c>
    </row>
    <row r="2468" spans="12:13" x14ac:dyDescent="0.25">
      <c r="L2468" s="65">
        <v>494300</v>
      </c>
      <c r="M2468" t="s">
        <v>1620</v>
      </c>
    </row>
    <row r="2469" spans="12:13" x14ac:dyDescent="0.25">
      <c r="L2469" s="65">
        <v>494310</v>
      </c>
      <c r="M2469" t="s">
        <v>1621</v>
      </c>
    </row>
    <row r="2470" spans="12:13" x14ac:dyDescent="0.25">
      <c r="L2470" s="65">
        <v>494311</v>
      </c>
      <c r="M2470" t="s">
        <v>1622</v>
      </c>
    </row>
    <row r="2471" spans="12:13" x14ac:dyDescent="0.25">
      <c r="L2471" s="65">
        <v>494312</v>
      </c>
      <c r="M2471" t="s">
        <v>1623</v>
      </c>
    </row>
    <row r="2472" spans="12:13" x14ac:dyDescent="0.25">
      <c r="L2472" s="65">
        <v>494313</v>
      </c>
      <c r="M2472" t="s">
        <v>1624</v>
      </c>
    </row>
    <row r="2473" spans="12:13" x14ac:dyDescent="0.25">
      <c r="L2473" s="65">
        <v>494320</v>
      </c>
      <c r="M2473" t="s">
        <v>1625</v>
      </c>
    </row>
    <row r="2474" spans="12:13" x14ac:dyDescent="0.25">
      <c r="L2474" s="65">
        <v>494321</v>
      </c>
      <c r="M2474" t="s">
        <v>1625</v>
      </c>
    </row>
    <row r="2475" spans="12:13" x14ac:dyDescent="0.25">
      <c r="L2475" s="65">
        <v>494330</v>
      </c>
      <c r="M2475" t="s">
        <v>1627</v>
      </c>
    </row>
    <row r="2476" spans="12:13" x14ac:dyDescent="0.25">
      <c r="L2476" s="65">
        <v>494331</v>
      </c>
      <c r="M2476" t="s">
        <v>1628</v>
      </c>
    </row>
    <row r="2477" spans="12:13" x14ac:dyDescent="0.25">
      <c r="L2477" s="65">
        <v>494340</v>
      </c>
      <c r="M2477" t="s">
        <v>1629</v>
      </c>
    </row>
    <row r="2478" spans="12:13" x14ac:dyDescent="0.25">
      <c r="L2478" s="65">
        <v>494341</v>
      </c>
      <c r="M2478" t="s">
        <v>1630</v>
      </c>
    </row>
    <row r="2479" spans="12:13" x14ac:dyDescent="0.25">
      <c r="L2479" s="65">
        <v>494342</v>
      </c>
      <c r="M2479" t="s">
        <v>1631</v>
      </c>
    </row>
    <row r="2480" spans="12:13" x14ac:dyDescent="0.25">
      <c r="L2480" s="65">
        <v>494343</v>
      </c>
      <c r="M2480" t="s">
        <v>1632</v>
      </c>
    </row>
    <row r="2481" spans="12:13" x14ac:dyDescent="0.25">
      <c r="L2481" s="65">
        <v>494350</v>
      </c>
      <c r="M2481" t="s">
        <v>1635</v>
      </c>
    </row>
    <row r="2482" spans="12:13" x14ac:dyDescent="0.25">
      <c r="L2482" s="65">
        <v>494351</v>
      </c>
      <c r="M2482" t="s">
        <v>1635</v>
      </c>
    </row>
    <row r="2483" spans="12:13" x14ac:dyDescent="0.25">
      <c r="L2483" s="65">
        <v>494400</v>
      </c>
      <c r="M2483" t="s">
        <v>1636</v>
      </c>
    </row>
    <row r="2484" spans="12:13" x14ac:dyDescent="0.25">
      <c r="L2484" s="65">
        <v>494410</v>
      </c>
      <c r="M2484" t="s">
        <v>1957</v>
      </c>
    </row>
    <row r="2485" spans="12:13" x14ac:dyDescent="0.25">
      <c r="L2485" s="65">
        <v>494411</v>
      </c>
      <c r="M2485" t="s">
        <v>1638</v>
      </c>
    </row>
    <row r="2486" spans="12:13" x14ac:dyDescent="0.25">
      <c r="L2486" s="65">
        <v>494412</v>
      </c>
      <c r="M2486" t="s">
        <v>1641</v>
      </c>
    </row>
    <row r="2487" spans="12:13" x14ac:dyDescent="0.25">
      <c r="L2487" s="65">
        <v>494413</v>
      </c>
      <c r="M2487" t="s">
        <v>1650</v>
      </c>
    </row>
    <row r="2488" spans="12:13" x14ac:dyDescent="0.25">
      <c r="L2488" s="65">
        <v>494414</v>
      </c>
      <c r="M2488" t="s">
        <v>1958</v>
      </c>
    </row>
    <row r="2489" spans="12:13" x14ac:dyDescent="0.25">
      <c r="L2489" s="65">
        <v>494415</v>
      </c>
      <c r="M2489" t="s">
        <v>1959</v>
      </c>
    </row>
    <row r="2490" spans="12:13" x14ac:dyDescent="0.25">
      <c r="L2490" s="65">
        <v>494416</v>
      </c>
      <c r="M2490" t="s">
        <v>1960</v>
      </c>
    </row>
    <row r="2491" spans="12:13" x14ac:dyDescent="0.25">
      <c r="L2491" s="65">
        <v>494417</v>
      </c>
      <c r="M2491" t="s">
        <v>1656</v>
      </c>
    </row>
    <row r="2492" spans="12:13" x14ac:dyDescent="0.25">
      <c r="L2492" s="65">
        <v>494418</v>
      </c>
      <c r="M2492" t="s">
        <v>1961</v>
      </c>
    </row>
    <row r="2493" spans="12:13" x14ac:dyDescent="0.25">
      <c r="L2493" s="65">
        <v>494420</v>
      </c>
      <c r="M2493" t="s">
        <v>1660</v>
      </c>
    </row>
    <row r="2494" spans="12:13" x14ac:dyDescent="0.25">
      <c r="L2494" s="65">
        <v>494421</v>
      </c>
      <c r="M2494" t="s">
        <v>1661</v>
      </c>
    </row>
    <row r="2495" spans="12:13" x14ac:dyDescent="0.25">
      <c r="L2495" s="65">
        <v>494422</v>
      </c>
      <c r="M2495" t="s">
        <v>1665</v>
      </c>
    </row>
    <row r="2496" spans="12:13" x14ac:dyDescent="0.25">
      <c r="L2496" s="65">
        <v>494423</v>
      </c>
      <c r="M2496" t="s">
        <v>1669</v>
      </c>
    </row>
    <row r="2497" spans="12:13" x14ac:dyDescent="0.25">
      <c r="L2497" s="65">
        <v>494424</v>
      </c>
      <c r="M2497" t="s">
        <v>1676</v>
      </c>
    </row>
    <row r="2498" spans="12:13" x14ac:dyDescent="0.25">
      <c r="L2498" s="65">
        <v>494425</v>
      </c>
      <c r="M2498" t="s">
        <v>1679</v>
      </c>
    </row>
    <row r="2499" spans="12:13" x14ac:dyDescent="0.25">
      <c r="L2499" s="65">
        <v>494426</v>
      </c>
      <c r="M2499" t="s">
        <v>1680</v>
      </c>
    </row>
    <row r="2500" spans="12:13" x14ac:dyDescent="0.25">
      <c r="L2500" s="65">
        <v>494430</v>
      </c>
      <c r="M2500" t="s">
        <v>1681</v>
      </c>
    </row>
    <row r="2501" spans="12:13" x14ac:dyDescent="0.25">
      <c r="L2501" s="65">
        <v>494431</v>
      </c>
      <c r="M2501" t="s">
        <v>1681</v>
      </c>
    </row>
    <row r="2502" spans="12:13" x14ac:dyDescent="0.25">
      <c r="L2502" s="65">
        <v>494440</v>
      </c>
      <c r="M2502" t="s">
        <v>1682</v>
      </c>
    </row>
    <row r="2503" spans="12:13" x14ac:dyDescent="0.25">
      <c r="L2503" s="65">
        <v>494441</v>
      </c>
      <c r="M2503" t="s">
        <v>1683</v>
      </c>
    </row>
    <row r="2504" spans="12:13" x14ac:dyDescent="0.25">
      <c r="L2504" s="65">
        <v>494442</v>
      </c>
      <c r="M2504" t="s">
        <v>1684</v>
      </c>
    </row>
    <row r="2505" spans="12:13" x14ac:dyDescent="0.25">
      <c r="L2505" s="65">
        <v>494443</v>
      </c>
      <c r="M2505" t="s">
        <v>1687</v>
      </c>
    </row>
    <row r="2506" spans="12:13" x14ac:dyDescent="0.25">
      <c r="L2506" s="65">
        <v>494500</v>
      </c>
      <c r="M2506" t="s">
        <v>1688</v>
      </c>
    </row>
    <row r="2507" spans="12:13" x14ac:dyDescent="0.25">
      <c r="L2507" s="65">
        <v>494510</v>
      </c>
      <c r="M2507" t="s">
        <v>1689</v>
      </c>
    </row>
    <row r="2508" spans="12:13" x14ac:dyDescent="0.25">
      <c r="L2508" s="65">
        <v>494511</v>
      </c>
      <c r="M2508" t="s">
        <v>1690</v>
      </c>
    </row>
    <row r="2509" spans="12:13" x14ac:dyDescent="0.25">
      <c r="L2509" s="65">
        <v>494512</v>
      </c>
      <c r="M2509" t="s">
        <v>1699</v>
      </c>
    </row>
    <row r="2510" spans="12:13" x14ac:dyDescent="0.25">
      <c r="L2510" s="65">
        <v>494520</v>
      </c>
      <c r="M2510" t="s">
        <v>1706</v>
      </c>
    </row>
    <row r="2511" spans="12:13" x14ac:dyDescent="0.25">
      <c r="L2511" s="65">
        <v>494521</v>
      </c>
      <c r="M2511" t="s">
        <v>1707</v>
      </c>
    </row>
    <row r="2512" spans="12:13" x14ac:dyDescent="0.25">
      <c r="L2512" s="65">
        <v>494522</v>
      </c>
      <c r="M2512" t="s">
        <v>1710</v>
      </c>
    </row>
    <row r="2513" spans="12:13" x14ac:dyDescent="0.25">
      <c r="L2513" s="65">
        <v>494530</v>
      </c>
      <c r="M2513" t="s">
        <v>1713</v>
      </c>
    </row>
    <row r="2514" spans="12:13" x14ac:dyDescent="0.25">
      <c r="L2514" s="65">
        <v>494531</v>
      </c>
      <c r="M2514" t="s">
        <v>1714</v>
      </c>
    </row>
    <row r="2515" spans="12:13" x14ac:dyDescent="0.25">
      <c r="L2515" s="65">
        <v>494532</v>
      </c>
      <c r="M2515" t="s">
        <v>1718</v>
      </c>
    </row>
    <row r="2516" spans="12:13" x14ac:dyDescent="0.25">
      <c r="L2516" s="65">
        <v>494540</v>
      </c>
      <c r="M2516" t="s">
        <v>1721</v>
      </c>
    </row>
    <row r="2517" spans="12:13" x14ac:dyDescent="0.25">
      <c r="L2517" s="65">
        <v>494541</v>
      </c>
      <c r="M2517" t="s">
        <v>1722</v>
      </c>
    </row>
    <row r="2518" spans="12:13" x14ac:dyDescent="0.25">
      <c r="L2518" s="65">
        <v>494542</v>
      </c>
      <c r="M2518" t="s">
        <v>1723</v>
      </c>
    </row>
    <row r="2519" spans="12:13" x14ac:dyDescent="0.25">
      <c r="L2519" s="65">
        <v>494700</v>
      </c>
      <c r="M2519" t="s">
        <v>1962</v>
      </c>
    </row>
    <row r="2520" spans="12:13" x14ac:dyDescent="0.25">
      <c r="L2520" s="65">
        <v>494710</v>
      </c>
      <c r="M2520" t="s">
        <v>1779</v>
      </c>
    </row>
    <row r="2521" spans="12:13" x14ac:dyDescent="0.25">
      <c r="L2521" s="65">
        <v>494711</v>
      </c>
      <c r="M2521" t="s">
        <v>1780</v>
      </c>
    </row>
    <row r="2522" spans="12:13" x14ac:dyDescent="0.25">
      <c r="L2522" s="65">
        <v>494712</v>
      </c>
      <c r="M2522" t="s">
        <v>1815</v>
      </c>
    </row>
    <row r="2523" spans="12:13" x14ac:dyDescent="0.25">
      <c r="L2523" s="65">
        <v>494719</v>
      </c>
      <c r="M2523" t="s">
        <v>1848</v>
      </c>
    </row>
    <row r="2524" spans="12:13" x14ac:dyDescent="0.25">
      <c r="L2524" s="65">
        <v>494720</v>
      </c>
      <c r="M2524" t="s">
        <v>1864</v>
      </c>
    </row>
    <row r="2525" spans="12:13" x14ac:dyDescent="0.25">
      <c r="L2525" s="65">
        <v>494721</v>
      </c>
      <c r="M2525" t="s">
        <v>1865</v>
      </c>
    </row>
    <row r="2526" spans="12:13" x14ac:dyDescent="0.25">
      <c r="L2526" s="65">
        <v>494722</v>
      </c>
      <c r="M2526" t="s">
        <v>1871</v>
      </c>
    </row>
    <row r="2527" spans="12:13" x14ac:dyDescent="0.25">
      <c r="L2527" s="65">
        <v>494723</v>
      </c>
      <c r="M2527" t="s">
        <v>1872</v>
      </c>
    </row>
    <row r="2528" spans="12:13" x14ac:dyDescent="0.25">
      <c r="L2528" s="65">
        <v>494724</v>
      </c>
      <c r="M2528" t="s">
        <v>1963</v>
      </c>
    </row>
    <row r="2529" spans="12:13" x14ac:dyDescent="0.25">
      <c r="L2529" s="65">
        <v>494725</v>
      </c>
      <c r="M2529" t="s">
        <v>1874</v>
      </c>
    </row>
    <row r="2530" spans="12:13" x14ac:dyDescent="0.25">
      <c r="L2530" s="65">
        <v>494726</v>
      </c>
      <c r="M2530" t="s">
        <v>1877</v>
      </c>
    </row>
    <row r="2531" spans="12:13" x14ac:dyDescent="0.25">
      <c r="L2531" s="65">
        <v>494727</v>
      </c>
      <c r="M2531" t="s">
        <v>1878</v>
      </c>
    </row>
    <row r="2532" spans="12:13" x14ac:dyDescent="0.25">
      <c r="L2532" s="65">
        <v>494728</v>
      </c>
      <c r="M2532" t="s">
        <v>1894</v>
      </c>
    </row>
    <row r="2533" spans="12:13" x14ac:dyDescent="0.25">
      <c r="L2533" s="65">
        <v>494729</v>
      </c>
      <c r="M2533" t="s">
        <v>1964</v>
      </c>
    </row>
    <row r="2534" spans="12:13" x14ac:dyDescent="0.25">
      <c r="L2534" s="65">
        <v>494800</v>
      </c>
      <c r="M2534" t="s">
        <v>1900</v>
      </c>
    </row>
    <row r="2535" spans="12:13" x14ac:dyDescent="0.25">
      <c r="L2535" s="65">
        <v>494810</v>
      </c>
      <c r="M2535" t="s">
        <v>1901</v>
      </c>
    </row>
    <row r="2536" spans="12:13" x14ac:dyDescent="0.25">
      <c r="L2536" s="65">
        <v>494811</v>
      </c>
      <c r="M2536" t="s">
        <v>1902</v>
      </c>
    </row>
    <row r="2537" spans="12:13" x14ac:dyDescent="0.25">
      <c r="L2537" s="65">
        <v>494819</v>
      </c>
      <c r="M2537" t="s">
        <v>1909</v>
      </c>
    </row>
    <row r="2538" spans="12:13" x14ac:dyDescent="0.25">
      <c r="L2538" s="65">
        <v>494820</v>
      </c>
      <c r="M2538" t="s">
        <v>1965</v>
      </c>
    </row>
    <row r="2539" spans="12:13" x14ac:dyDescent="0.25">
      <c r="L2539" s="65">
        <v>494821</v>
      </c>
      <c r="M2539" t="s">
        <v>1922</v>
      </c>
    </row>
    <row r="2540" spans="12:13" x14ac:dyDescent="0.25">
      <c r="L2540" s="65">
        <v>494822</v>
      </c>
      <c r="M2540" t="s">
        <v>1935</v>
      </c>
    </row>
    <row r="2541" spans="12:13" x14ac:dyDescent="0.25">
      <c r="L2541" s="65">
        <v>494823</v>
      </c>
      <c r="M2541" t="s">
        <v>1936</v>
      </c>
    </row>
    <row r="2542" spans="12:13" x14ac:dyDescent="0.25">
      <c r="L2542" s="65">
        <v>494830</v>
      </c>
      <c r="M2542" t="s">
        <v>1939</v>
      </c>
    </row>
    <row r="2543" spans="12:13" x14ac:dyDescent="0.25">
      <c r="L2543" s="65">
        <v>494831</v>
      </c>
      <c r="M2543" t="s">
        <v>1939</v>
      </c>
    </row>
    <row r="2544" spans="12:13" x14ac:dyDescent="0.25">
      <c r="L2544" s="65">
        <v>494840</v>
      </c>
      <c r="M2544" t="s">
        <v>1940</v>
      </c>
    </row>
    <row r="2545" spans="12:13" x14ac:dyDescent="0.25">
      <c r="L2545" s="65">
        <v>494841</v>
      </c>
      <c r="M2545" t="s">
        <v>1941</v>
      </c>
    </row>
    <row r="2546" spans="12:13" x14ac:dyDescent="0.25">
      <c r="L2546" s="65">
        <v>494842</v>
      </c>
      <c r="M2546" t="s">
        <v>1942</v>
      </c>
    </row>
    <row r="2547" spans="12:13" x14ac:dyDescent="0.25">
      <c r="L2547" s="65">
        <v>494850</v>
      </c>
      <c r="M2547" t="s">
        <v>1943</v>
      </c>
    </row>
    <row r="2548" spans="12:13" x14ac:dyDescent="0.25">
      <c r="L2548" s="65">
        <v>494851</v>
      </c>
      <c r="M2548" t="s">
        <v>1943</v>
      </c>
    </row>
    <row r="2549" spans="12:13" x14ac:dyDescent="0.25">
      <c r="L2549" s="65">
        <v>495000</v>
      </c>
      <c r="M2549" t="s">
        <v>1966</v>
      </c>
    </row>
    <row r="2550" spans="12:13" x14ac:dyDescent="0.25">
      <c r="L2550" s="65">
        <v>495100</v>
      </c>
      <c r="M2550" t="s">
        <v>1200</v>
      </c>
    </row>
    <row r="2551" spans="12:13" x14ac:dyDescent="0.25">
      <c r="L2551" s="65">
        <v>495110</v>
      </c>
      <c r="M2551" t="s">
        <v>268</v>
      </c>
    </row>
    <row r="2552" spans="12:13" x14ac:dyDescent="0.25">
      <c r="L2552" s="65">
        <v>495111</v>
      </c>
      <c r="M2552" t="s">
        <v>1967</v>
      </c>
    </row>
    <row r="2553" spans="12:13" x14ac:dyDescent="0.25">
      <c r="L2553" s="65">
        <v>495112</v>
      </c>
      <c r="M2553" t="s">
        <v>1968</v>
      </c>
    </row>
    <row r="2554" spans="12:13" x14ac:dyDescent="0.25">
      <c r="L2554" s="65">
        <v>495113</v>
      </c>
      <c r="M2554" t="s">
        <v>1969</v>
      </c>
    </row>
    <row r="2555" spans="12:13" x14ac:dyDescent="0.25">
      <c r="L2555" s="65">
        <v>495114</v>
      </c>
      <c r="M2555" t="s">
        <v>1970</v>
      </c>
    </row>
    <row r="2556" spans="12:13" x14ac:dyDescent="0.25">
      <c r="L2556" s="65">
        <v>495120</v>
      </c>
      <c r="M2556" t="s">
        <v>1971</v>
      </c>
    </row>
    <row r="2557" spans="12:13" x14ac:dyDescent="0.25">
      <c r="L2557" s="65">
        <v>495121</v>
      </c>
      <c r="M2557" t="s">
        <v>325</v>
      </c>
    </row>
    <row r="2558" spans="12:13" x14ac:dyDescent="0.25">
      <c r="L2558" s="65">
        <v>495122</v>
      </c>
      <c r="M2558" t="s">
        <v>334</v>
      </c>
    </row>
    <row r="2559" spans="12:13" x14ac:dyDescent="0.25">
      <c r="L2559" s="65">
        <v>495123</v>
      </c>
      <c r="M2559" t="s">
        <v>344</v>
      </c>
    </row>
    <row r="2560" spans="12:13" x14ac:dyDescent="0.25">
      <c r="L2560" s="65">
        <v>495124</v>
      </c>
      <c r="M2560" t="s">
        <v>349</v>
      </c>
    </row>
    <row r="2561" spans="12:13" x14ac:dyDescent="0.25">
      <c r="L2561" s="65">
        <v>495125</v>
      </c>
      <c r="M2561" t="s">
        <v>354</v>
      </c>
    </row>
    <row r="2562" spans="12:13" x14ac:dyDescent="0.25">
      <c r="L2562" s="65">
        <v>495126</v>
      </c>
      <c r="M2562" t="s">
        <v>363</v>
      </c>
    </row>
    <row r="2563" spans="12:13" x14ac:dyDescent="0.25">
      <c r="L2563" s="65">
        <v>495127</v>
      </c>
      <c r="M2563" t="s">
        <v>372</v>
      </c>
    </row>
    <row r="2564" spans="12:13" x14ac:dyDescent="0.25">
      <c r="L2564" s="65">
        <v>495128</v>
      </c>
      <c r="M2564" t="s">
        <v>377</v>
      </c>
    </row>
    <row r="2565" spans="12:13" x14ac:dyDescent="0.25">
      <c r="L2565" s="65">
        <v>495129</v>
      </c>
      <c r="M2565" t="s">
        <v>382</v>
      </c>
    </row>
    <row r="2566" spans="12:13" x14ac:dyDescent="0.25">
      <c r="L2566" s="65">
        <v>495130</v>
      </c>
      <c r="M2566" t="s">
        <v>391</v>
      </c>
    </row>
    <row r="2567" spans="12:13" x14ac:dyDescent="0.25">
      <c r="L2567" s="65">
        <v>495131</v>
      </c>
      <c r="M2567" t="s">
        <v>391</v>
      </c>
    </row>
    <row r="2568" spans="12:13" x14ac:dyDescent="0.25">
      <c r="L2568" s="65">
        <v>495140</v>
      </c>
      <c r="M2568" t="s">
        <v>396</v>
      </c>
    </row>
    <row r="2569" spans="12:13" x14ac:dyDescent="0.25">
      <c r="L2569" s="65">
        <v>495141</v>
      </c>
      <c r="M2569" t="s">
        <v>396</v>
      </c>
    </row>
    <row r="2570" spans="12:13" x14ac:dyDescent="0.25">
      <c r="L2570" s="65">
        <v>495150</v>
      </c>
      <c r="M2570" t="s">
        <v>488</v>
      </c>
    </row>
    <row r="2571" spans="12:13" x14ac:dyDescent="0.25">
      <c r="L2571" s="65">
        <v>495151</v>
      </c>
      <c r="M2571" t="s">
        <v>488</v>
      </c>
    </row>
    <row r="2572" spans="12:13" x14ac:dyDescent="0.25">
      <c r="L2572" s="65">
        <v>495200</v>
      </c>
      <c r="M2572" t="s">
        <v>520</v>
      </c>
    </row>
    <row r="2573" spans="12:13" x14ac:dyDescent="0.25">
      <c r="L2573" s="65">
        <v>495210</v>
      </c>
      <c r="M2573" t="s">
        <v>521</v>
      </c>
    </row>
    <row r="2574" spans="12:13" x14ac:dyDescent="0.25">
      <c r="L2574" s="65">
        <v>495211</v>
      </c>
      <c r="M2574" t="s">
        <v>521</v>
      </c>
    </row>
    <row r="2575" spans="12:13" x14ac:dyDescent="0.25">
      <c r="L2575" s="65">
        <v>495220</v>
      </c>
      <c r="M2575" t="s">
        <v>525</v>
      </c>
    </row>
    <row r="2576" spans="12:13" x14ac:dyDescent="0.25">
      <c r="L2576" s="65">
        <v>495221</v>
      </c>
      <c r="M2576" t="s">
        <v>1972</v>
      </c>
    </row>
    <row r="2577" spans="12:13" x14ac:dyDescent="0.25">
      <c r="L2577" s="65">
        <v>495222</v>
      </c>
      <c r="M2577" t="s">
        <v>1204</v>
      </c>
    </row>
    <row r="2578" spans="12:13" x14ac:dyDescent="0.25">
      <c r="L2578" s="65">
        <v>495223</v>
      </c>
      <c r="M2578" t="s">
        <v>1205</v>
      </c>
    </row>
    <row r="2579" spans="12:13" x14ac:dyDescent="0.25">
      <c r="L2579" s="65">
        <v>495230</v>
      </c>
      <c r="M2579" t="s">
        <v>1206</v>
      </c>
    </row>
    <row r="2580" spans="12:13" x14ac:dyDescent="0.25">
      <c r="L2580" s="65">
        <v>495231</v>
      </c>
      <c r="M2580" t="s">
        <v>1206</v>
      </c>
    </row>
    <row r="2581" spans="12:13" x14ac:dyDescent="0.25">
      <c r="L2581" s="65">
        <v>495300</v>
      </c>
      <c r="M2581" t="s">
        <v>402</v>
      </c>
    </row>
    <row r="2582" spans="12:13" x14ac:dyDescent="0.25">
      <c r="L2582" s="65">
        <v>495310</v>
      </c>
      <c r="M2582" t="s">
        <v>402</v>
      </c>
    </row>
    <row r="2583" spans="12:13" x14ac:dyDescent="0.25">
      <c r="L2583" s="65">
        <v>495311</v>
      </c>
      <c r="M2583" t="s">
        <v>402</v>
      </c>
    </row>
    <row r="2584" spans="12:13" x14ac:dyDescent="0.25">
      <c r="L2584" s="65">
        <v>495400</v>
      </c>
      <c r="M2584" t="s">
        <v>411</v>
      </c>
    </row>
    <row r="2585" spans="12:13" x14ac:dyDescent="0.25">
      <c r="L2585" s="65">
        <v>495410</v>
      </c>
      <c r="M2585" t="s">
        <v>412</v>
      </c>
    </row>
    <row r="2586" spans="12:13" x14ac:dyDescent="0.25">
      <c r="L2586" s="65">
        <v>495411</v>
      </c>
      <c r="M2586" t="s">
        <v>412</v>
      </c>
    </row>
    <row r="2587" spans="12:13" x14ac:dyDescent="0.25">
      <c r="L2587" s="65">
        <v>495420</v>
      </c>
      <c r="M2587" t="s">
        <v>1973</v>
      </c>
    </row>
    <row r="2588" spans="12:13" x14ac:dyDescent="0.25">
      <c r="L2588" s="65">
        <v>495421</v>
      </c>
      <c r="M2588" t="s">
        <v>422</v>
      </c>
    </row>
    <row r="2589" spans="12:13" x14ac:dyDescent="0.25">
      <c r="L2589" s="65">
        <v>495430</v>
      </c>
      <c r="M2589" t="s">
        <v>428</v>
      </c>
    </row>
    <row r="2590" spans="12:13" x14ac:dyDescent="0.25">
      <c r="L2590" s="65">
        <v>495431</v>
      </c>
      <c r="M2590" t="s">
        <v>429</v>
      </c>
    </row>
    <row r="2591" spans="12:13" x14ac:dyDescent="0.25">
      <c r="L2591" s="65">
        <v>495432</v>
      </c>
      <c r="M2591" t="s">
        <v>433</v>
      </c>
    </row>
    <row r="2592" spans="12:13" x14ac:dyDescent="0.25">
      <c r="L2592" s="65">
        <v>496000</v>
      </c>
      <c r="M2592" t="s">
        <v>1974</v>
      </c>
    </row>
    <row r="2593" spans="12:13" x14ac:dyDescent="0.25">
      <c r="L2593" s="65">
        <v>496100</v>
      </c>
      <c r="M2593" t="s">
        <v>1975</v>
      </c>
    </row>
    <row r="2594" spans="12:13" x14ac:dyDescent="0.25">
      <c r="L2594" s="65">
        <v>496110</v>
      </c>
      <c r="M2594" t="s">
        <v>1976</v>
      </c>
    </row>
    <row r="2595" spans="12:13" x14ac:dyDescent="0.25">
      <c r="L2595" s="65">
        <v>496111</v>
      </c>
      <c r="M2595" t="s">
        <v>1977</v>
      </c>
    </row>
    <row r="2596" spans="12:13" x14ac:dyDescent="0.25">
      <c r="L2596" s="65">
        <v>496112</v>
      </c>
      <c r="M2596" t="s">
        <v>1978</v>
      </c>
    </row>
    <row r="2597" spans="12:13" x14ac:dyDescent="0.25">
      <c r="L2597" s="65">
        <v>496113</v>
      </c>
      <c r="M2597" t="s">
        <v>1979</v>
      </c>
    </row>
    <row r="2598" spans="12:13" x14ac:dyDescent="0.25">
      <c r="L2598" s="65">
        <v>496114</v>
      </c>
      <c r="M2598" t="s">
        <v>1980</v>
      </c>
    </row>
    <row r="2599" spans="12:13" x14ac:dyDescent="0.25">
      <c r="L2599" s="65">
        <v>496115</v>
      </c>
      <c r="M2599" t="s">
        <v>1981</v>
      </c>
    </row>
    <row r="2600" spans="12:13" x14ac:dyDescent="0.25">
      <c r="L2600" s="65">
        <v>496116</v>
      </c>
      <c r="M2600" t="s">
        <v>1982</v>
      </c>
    </row>
    <row r="2601" spans="12:13" x14ac:dyDescent="0.25">
      <c r="L2601" s="65">
        <v>496117</v>
      </c>
      <c r="M2601" t="s">
        <v>1983</v>
      </c>
    </row>
    <row r="2602" spans="12:13" x14ac:dyDescent="0.25">
      <c r="L2602" s="65">
        <v>496118</v>
      </c>
      <c r="M2602" t="s">
        <v>1984</v>
      </c>
    </row>
    <row r="2603" spans="12:13" x14ac:dyDescent="0.25">
      <c r="L2603" s="65">
        <v>496119</v>
      </c>
      <c r="M2603" t="s">
        <v>1985</v>
      </c>
    </row>
    <row r="2604" spans="12:13" x14ac:dyDescent="0.25">
      <c r="L2604" s="65">
        <v>496120</v>
      </c>
      <c r="M2604" t="s">
        <v>1986</v>
      </c>
    </row>
    <row r="2605" spans="12:13" x14ac:dyDescent="0.25">
      <c r="L2605" s="65">
        <v>496121</v>
      </c>
      <c r="M2605" t="s">
        <v>1987</v>
      </c>
    </row>
    <row r="2606" spans="12:13" x14ac:dyDescent="0.25">
      <c r="L2606" s="65">
        <v>496122</v>
      </c>
      <c r="M2606" t="s">
        <v>1988</v>
      </c>
    </row>
    <row r="2607" spans="12:13" x14ac:dyDescent="0.25">
      <c r="L2607" s="65">
        <v>496123</v>
      </c>
      <c r="M2607" t="s">
        <v>1989</v>
      </c>
    </row>
    <row r="2608" spans="12:13" x14ac:dyDescent="0.25">
      <c r="L2608" s="65">
        <v>496124</v>
      </c>
      <c r="M2608" t="s">
        <v>1990</v>
      </c>
    </row>
    <row r="2609" spans="12:13" x14ac:dyDescent="0.25">
      <c r="L2609" s="65">
        <v>496125</v>
      </c>
      <c r="M2609" t="s">
        <v>1991</v>
      </c>
    </row>
    <row r="2610" spans="12:13" x14ac:dyDescent="0.25">
      <c r="L2610" s="65">
        <v>496126</v>
      </c>
      <c r="M2610" t="s">
        <v>1992</v>
      </c>
    </row>
    <row r="2611" spans="12:13" x14ac:dyDescent="0.25">
      <c r="L2611" s="65">
        <v>496129</v>
      </c>
      <c r="M2611" t="s">
        <v>1993</v>
      </c>
    </row>
    <row r="2612" spans="12:13" x14ac:dyDescent="0.25">
      <c r="L2612" s="65">
        <v>496130</v>
      </c>
      <c r="M2612" t="s">
        <v>1994</v>
      </c>
    </row>
    <row r="2613" spans="12:13" x14ac:dyDescent="0.25">
      <c r="L2613" s="65">
        <v>496131</v>
      </c>
      <c r="M2613" t="s">
        <v>1994</v>
      </c>
    </row>
    <row r="2614" spans="12:13" x14ac:dyDescent="0.25">
      <c r="L2614" s="65">
        <v>496140</v>
      </c>
      <c r="M2614" t="s">
        <v>1995</v>
      </c>
    </row>
    <row r="2615" spans="12:13" x14ac:dyDescent="0.25">
      <c r="L2615" s="65">
        <v>496141</v>
      </c>
      <c r="M2615" t="s">
        <v>1995</v>
      </c>
    </row>
    <row r="2616" spans="12:13" x14ac:dyDescent="0.25">
      <c r="L2616" s="65">
        <v>496200</v>
      </c>
      <c r="M2616" t="s">
        <v>1996</v>
      </c>
    </row>
    <row r="2617" spans="12:13" x14ac:dyDescent="0.25">
      <c r="L2617" s="65">
        <v>496210</v>
      </c>
      <c r="M2617" t="s">
        <v>1997</v>
      </c>
    </row>
    <row r="2618" spans="12:13" x14ac:dyDescent="0.25">
      <c r="L2618" s="65">
        <v>496211</v>
      </c>
      <c r="M2618" t="s">
        <v>1998</v>
      </c>
    </row>
    <row r="2619" spans="12:13" x14ac:dyDescent="0.25">
      <c r="L2619" s="65">
        <v>496212</v>
      </c>
      <c r="M2619" t="s">
        <v>565</v>
      </c>
    </row>
    <row r="2620" spans="12:13" x14ac:dyDescent="0.25">
      <c r="L2620" s="65">
        <v>496213</v>
      </c>
      <c r="M2620" t="s">
        <v>580</v>
      </c>
    </row>
    <row r="2621" spans="12:13" x14ac:dyDescent="0.25">
      <c r="L2621" s="65">
        <v>496214</v>
      </c>
      <c r="M2621" t="s">
        <v>587</v>
      </c>
    </row>
    <row r="2622" spans="12:13" x14ac:dyDescent="0.25">
      <c r="L2622" s="65">
        <v>496215</v>
      </c>
      <c r="M2622" t="s">
        <v>589</v>
      </c>
    </row>
    <row r="2623" spans="12:13" x14ac:dyDescent="0.25">
      <c r="L2623" s="65">
        <v>496216</v>
      </c>
      <c r="M2623" t="s">
        <v>591</v>
      </c>
    </row>
    <row r="2624" spans="12:13" x14ac:dyDescent="0.25">
      <c r="L2624" s="65">
        <v>496217</v>
      </c>
      <c r="M2624" t="s">
        <v>1999</v>
      </c>
    </row>
    <row r="2625" spans="12:13" x14ac:dyDescent="0.25">
      <c r="L2625" s="65">
        <v>496218</v>
      </c>
      <c r="M2625" t="s">
        <v>600</v>
      </c>
    </row>
    <row r="2626" spans="12:13" x14ac:dyDescent="0.25">
      <c r="L2626" s="65">
        <v>496219</v>
      </c>
      <c r="M2626" t="s">
        <v>2000</v>
      </c>
    </row>
    <row r="2627" spans="12:13" x14ac:dyDescent="0.25">
      <c r="L2627" s="65">
        <v>496220</v>
      </c>
      <c r="M2627" t="s">
        <v>2001</v>
      </c>
    </row>
    <row r="2628" spans="12:13" x14ac:dyDescent="0.25">
      <c r="L2628" s="65">
        <v>496221</v>
      </c>
      <c r="M2628" t="s">
        <v>2002</v>
      </c>
    </row>
    <row r="2629" spans="12:13" x14ac:dyDescent="0.25">
      <c r="L2629" s="65">
        <v>496222</v>
      </c>
      <c r="M2629" t="s">
        <v>617</v>
      </c>
    </row>
    <row r="2630" spans="12:13" x14ac:dyDescent="0.25">
      <c r="L2630" s="65">
        <v>496223</v>
      </c>
      <c r="M2630" t="s">
        <v>619</v>
      </c>
    </row>
    <row r="2631" spans="12:13" x14ac:dyDescent="0.25">
      <c r="L2631" s="65">
        <v>496224</v>
      </c>
      <c r="M2631" t="s">
        <v>621</v>
      </c>
    </row>
    <row r="2632" spans="12:13" x14ac:dyDescent="0.25">
      <c r="L2632" s="65">
        <v>496225</v>
      </c>
      <c r="M2632" t="s">
        <v>623</v>
      </c>
    </row>
    <row r="2633" spans="12:13" x14ac:dyDescent="0.25">
      <c r="L2633" s="65">
        <v>496226</v>
      </c>
      <c r="M2633" t="s">
        <v>625</v>
      </c>
    </row>
    <row r="2634" spans="12:13" x14ac:dyDescent="0.25">
      <c r="L2634" s="65">
        <v>496227</v>
      </c>
      <c r="M2634" t="s">
        <v>2003</v>
      </c>
    </row>
    <row r="2635" spans="12:13" x14ac:dyDescent="0.25">
      <c r="L2635" s="65">
        <v>496228</v>
      </c>
      <c r="M2635" t="s">
        <v>2004</v>
      </c>
    </row>
    <row r="2636" spans="12:13" x14ac:dyDescent="0.25">
      <c r="L2636" s="65">
        <v>499000</v>
      </c>
      <c r="M2636" t="s">
        <v>2005</v>
      </c>
    </row>
    <row r="2637" spans="12:13" x14ac:dyDescent="0.25">
      <c r="L2637" s="65">
        <v>499100</v>
      </c>
      <c r="M2637" t="s">
        <v>2005</v>
      </c>
    </row>
    <row r="2638" spans="12:13" x14ac:dyDescent="0.25">
      <c r="L2638" s="65">
        <v>499110</v>
      </c>
      <c r="M2638" t="s">
        <v>2006</v>
      </c>
    </row>
    <row r="2639" spans="12:13" x14ac:dyDescent="0.25">
      <c r="L2639" s="65">
        <v>499111</v>
      </c>
      <c r="M2639" t="s">
        <v>2006</v>
      </c>
    </row>
    <row r="2640" spans="12:13" x14ac:dyDescent="0.25">
      <c r="L2640" s="65">
        <v>499120</v>
      </c>
      <c r="M2640" t="s">
        <v>2007</v>
      </c>
    </row>
    <row r="2641" spans="12:13" x14ac:dyDescent="0.25">
      <c r="L2641" s="65">
        <v>499121</v>
      </c>
      <c r="M2641" t="s">
        <v>2007</v>
      </c>
    </row>
    <row r="2642" spans="12:13" x14ac:dyDescent="0.25">
      <c r="L2642" s="65">
        <v>500000</v>
      </c>
      <c r="M2642" t="s">
        <v>1966</v>
      </c>
    </row>
    <row r="2643" spans="12:13" x14ac:dyDescent="0.25">
      <c r="L2643" s="65">
        <v>510000</v>
      </c>
      <c r="M2643" t="s">
        <v>1200</v>
      </c>
    </row>
    <row r="2644" spans="12:13" x14ac:dyDescent="0.25">
      <c r="L2644" s="65">
        <v>511000</v>
      </c>
      <c r="M2644" t="s">
        <v>268</v>
      </c>
    </row>
    <row r="2645" spans="12:13" x14ac:dyDescent="0.25">
      <c r="L2645" s="65">
        <v>511100</v>
      </c>
      <c r="M2645" t="s">
        <v>1967</v>
      </c>
    </row>
    <row r="2646" spans="12:13" x14ac:dyDescent="0.25">
      <c r="L2646" s="65">
        <v>511110</v>
      </c>
      <c r="M2646" t="s">
        <v>2008</v>
      </c>
    </row>
    <row r="2647" spans="12:13" x14ac:dyDescent="0.25">
      <c r="L2647" s="65">
        <v>511111</v>
      </c>
      <c r="M2647" t="s">
        <v>2009</v>
      </c>
    </row>
    <row r="2648" spans="12:13" x14ac:dyDescent="0.25">
      <c r="L2648" s="65">
        <v>511112</v>
      </c>
      <c r="M2648" t="s">
        <v>2010</v>
      </c>
    </row>
    <row r="2649" spans="12:13" x14ac:dyDescent="0.25">
      <c r="L2649" s="65">
        <v>511113</v>
      </c>
      <c r="M2649" t="s">
        <v>2011</v>
      </c>
    </row>
    <row r="2650" spans="12:13" x14ac:dyDescent="0.25">
      <c r="L2650" s="65">
        <v>511118</v>
      </c>
      <c r="M2650" t="s">
        <v>2012</v>
      </c>
    </row>
    <row r="2651" spans="12:13" x14ac:dyDescent="0.25">
      <c r="L2651" s="65">
        <v>511119</v>
      </c>
      <c r="M2651" t="s">
        <v>2013</v>
      </c>
    </row>
    <row r="2652" spans="12:13" x14ac:dyDescent="0.25">
      <c r="L2652" s="65">
        <v>511120</v>
      </c>
      <c r="M2652" t="s">
        <v>2014</v>
      </c>
    </row>
    <row r="2653" spans="12:13" x14ac:dyDescent="0.25">
      <c r="L2653" s="65">
        <v>511121</v>
      </c>
      <c r="M2653" t="s">
        <v>2015</v>
      </c>
    </row>
    <row r="2654" spans="12:13" x14ac:dyDescent="0.25">
      <c r="L2654" s="65">
        <v>511122</v>
      </c>
      <c r="M2654" t="s">
        <v>2016</v>
      </c>
    </row>
    <row r="2655" spans="12:13" x14ac:dyDescent="0.25">
      <c r="L2655" s="65">
        <v>511123</v>
      </c>
      <c r="M2655" t="s">
        <v>2017</v>
      </c>
    </row>
    <row r="2656" spans="12:13" x14ac:dyDescent="0.25">
      <c r="L2656" s="65">
        <v>511124</v>
      </c>
      <c r="M2656" t="s">
        <v>2018</v>
      </c>
    </row>
    <row r="2657" spans="12:13" x14ac:dyDescent="0.25">
      <c r="L2657" s="65">
        <v>511125</v>
      </c>
      <c r="M2657" t="s">
        <v>2019</v>
      </c>
    </row>
    <row r="2658" spans="12:13" x14ac:dyDescent="0.25">
      <c r="L2658" s="65">
        <v>511126</v>
      </c>
      <c r="M2658" t="s">
        <v>2020</v>
      </c>
    </row>
    <row r="2659" spans="12:13" x14ac:dyDescent="0.25">
      <c r="L2659" s="65">
        <v>511127</v>
      </c>
      <c r="M2659" t="s">
        <v>2021</v>
      </c>
    </row>
    <row r="2660" spans="12:13" x14ac:dyDescent="0.25">
      <c r="L2660" s="65">
        <v>511129</v>
      </c>
      <c r="M2660" t="s">
        <v>2022</v>
      </c>
    </row>
    <row r="2661" spans="12:13" x14ac:dyDescent="0.25">
      <c r="L2661" s="65">
        <v>511190</v>
      </c>
      <c r="M2661" t="s">
        <v>2023</v>
      </c>
    </row>
    <row r="2662" spans="12:13" x14ac:dyDescent="0.25">
      <c r="L2662" s="65">
        <v>511191</v>
      </c>
      <c r="M2662" t="s">
        <v>2024</v>
      </c>
    </row>
    <row r="2663" spans="12:13" x14ac:dyDescent="0.25">
      <c r="L2663" s="65">
        <v>511192</v>
      </c>
      <c r="M2663" t="s">
        <v>2025</v>
      </c>
    </row>
    <row r="2664" spans="12:13" x14ac:dyDescent="0.25">
      <c r="L2664" s="65">
        <v>511193</v>
      </c>
      <c r="M2664" t="s">
        <v>2026</v>
      </c>
    </row>
    <row r="2665" spans="12:13" x14ac:dyDescent="0.25">
      <c r="L2665" s="65">
        <v>511199</v>
      </c>
      <c r="M2665" t="s">
        <v>320</v>
      </c>
    </row>
    <row r="2666" spans="12:13" x14ac:dyDescent="0.25">
      <c r="L2666" s="65">
        <v>511200</v>
      </c>
      <c r="M2666" t="s">
        <v>1968</v>
      </c>
    </row>
    <row r="2667" spans="12:13" x14ac:dyDescent="0.25">
      <c r="L2667" s="65">
        <v>511210</v>
      </c>
      <c r="M2667" t="s">
        <v>2027</v>
      </c>
    </row>
    <row r="2668" spans="12:13" x14ac:dyDescent="0.25">
      <c r="L2668" s="65">
        <v>511211</v>
      </c>
      <c r="M2668" t="s">
        <v>2028</v>
      </c>
    </row>
    <row r="2669" spans="12:13" x14ac:dyDescent="0.25">
      <c r="L2669" s="65">
        <v>511212</v>
      </c>
      <c r="M2669" t="s">
        <v>2029</v>
      </c>
    </row>
    <row r="2670" spans="12:13" x14ac:dyDescent="0.25">
      <c r="L2670" s="65">
        <v>511213</v>
      </c>
      <c r="M2670" t="s">
        <v>2030</v>
      </c>
    </row>
    <row r="2671" spans="12:13" x14ac:dyDescent="0.25">
      <c r="L2671" s="65">
        <v>511219</v>
      </c>
      <c r="M2671" t="s">
        <v>2031</v>
      </c>
    </row>
    <row r="2672" spans="12:13" x14ac:dyDescent="0.25">
      <c r="L2672" s="65">
        <v>511220</v>
      </c>
      <c r="M2672" t="s">
        <v>2032</v>
      </c>
    </row>
    <row r="2673" spans="12:13" x14ac:dyDescent="0.25">
      <c r="L2673" s="65">
        <v>511221</v>
      </c>
      <c r="M2673" t="s">
        <v>2033</v>
      </c>
    </row>
    <row r="2674" spans="12:13" x14ac:dyDescent="0.25">
      <c r="L2674" s="65">
        <v>511222</v>
      </c>
      <c r="M2674" t="s">
        <v>279</v>
      </c>
    </row>
    <row r="2675" spans="12:13" x14ac:dyDescent="0.25">
      <c r="L2675" s="65">
        <v>511223</v>
      </c>
      <c r="M2675" t="s">
        <v>286</v>
      </c>
    </row>
    <row r="2676" spans="12:13" x14ac:dyDescent="0.25">
      <c r="L2676" s="65">
        <v>511224</v>
      </c>
      <c r="M2676" t="s">
        <v>2034</v>
      </c>
    </row>
    <row r="2677" spans="12:13" x14ac:dyDescent="0.25">
      <c r="L2677" s="65">
        <v>511225</v>
      </c>
      <c r="M2677" t="s">
        <v>2035</v>
      </c>
    </row>
    <row r="2678" spans="12:13" x14ac:dyDescent="0.25">
      <c r="L2678" s="65">
        <v>511226</v>
      </c>
      <c r="M2678" t="s">
        <v>2036</v>
      </c>
    </row>
    <row r="2679" spans="12:13" x14ac:dyDescent="0.25">
      <c r="L2679" s="65">
        <v>511227</v>
      </c>
      <c r="M2679" t="s">
        <v>289</v>
      </c>
    </row>
    <row r="2680" spans="12:13" x14ac:dyDescent="0.25">
      <c r="L2680" s="65">
        <v>511228</v>
      </c>
      <c r="M2680" t="s">
        <v>290</v>
      </c>
    </row>
    <row r="2681" spans="12:13" x14ac:dyDescent="0.25">
      <c r="L2681" s="65">
        <v>511230</v>
      </c>
      <c r="M2681" t="s">
        <v>2037</v>
      </c>
    </row>
    <row r="2682" spans="12:13" x14ac:dyDescent="0.25">
      <c r="L2682" s="65">
        <v>511231</v>
      </c>
      <c r="M2682" t="s">
        <v>2038</v>
      </c>
    </row>
    <row r="2683" spans="12:13" x14ac:dyDescent="0.25">
      <c r="L2683" s="65">
        <v>511232</v>
      </c>
      <c r="M2683" t="s">
        <v>297</v>
      </c>
    </row>
    <row r="2684" spans="12:13" x14ac:dyDescent="0.25">
      <c r="L2684" s="65">
        <v>511233</v>
      </c>
      <c r="M2684" t="s">
        <v>298</v>
      </c>
    </row>
    <row r="2685" spans="12:13" x14ac:dyDescent="0.25">
      <c r="L2685" s="65">
        <v>511240</v>
      </c>
      <c r="M2685" t="s">
        <v>2039</v>
      </c>
    </row>
    <row r="2686" spans="12:13" x14ac:dyDescent="0.25">
      <c r="L2686" s="65">
        <v>511241</v>
      </c>
      <c r="M2686" t="s">
        <v>305</v>
      </c>
    </row>
    <row r="2687" spans="12:13" x14ac:dyDescent="0.25">
      <c r="L2687" s="65">
        <v>511242</v>
      </c>
      <c r="M2687" t="s">
        <v>306</v>
      </c>
    </row>
    <row r="2688" spans="12:13" x14ac:dyDescent="0.25">
      <c r="L2688" s="65">
        <v>511243</v>
      </c>
      <c r="M2688" t="s">
        <v>307</v>
      </c>
    </row>
    <row r="2689" spans="12:13" x14ac:dyDescent="0.25">
      <c r="L2689" s="65">
        <v>511244</v>
      </c>
      <c r="M2689" t="s">
        <v>308</v>
      </c>
    </row>
    <row r="2690" spans="12:13" x14ac:dyDescent="0.25">
      <c r="L2690" s="65">
        <v>511290</v>
      </c>
      <c r="M2690" t="s">
        <v>2040</v>
      </c>
    </row>
    <row r="2691" spans="12:13" x14ac:dyDescent="0.25">
      <c r="L2691" s="65">
        <v>511291</v>
      </c>
      <c r="M2691" t="s">
        <v>2041</v>
      </c>
    </row>
    <row r="2692" spans="12:13" x14ac:dyDescent="0.25">
      <c r="L2692" s="65">
        <v>511292</v>
      </c>
      <c r="M2692" t="s">
        <v>316</v>
      </c>
    </row>
    <row r="2693" spans="12:13" x14ac:dyDescent="0.25">
      <c r="L2693" s="65">
        <v>511293</v>
      </c>
      <c r="M2693" t="s">
        <v>2042</v>
      </c>
    </row>
    <row r="2694" spans="12:13" x14ac:dyDescent="0.25">
      <c r="L2694" s="65">
        <v>511294</v>
      </c>
      <c r="M2694" t="s">
        <v>318</v>
      </c>
    </row>
    <row r="2695" spans="12:13" x14ac:dyDescent="0.25">
      <c r="L2695" s="65">
        <v>511295</v>
      </c>
      <c r="M2695" t="s">
        <v>319</v>
      </c>
    </row>
    <row r="2696" spans="12:13" x14ac:dyDescent="0.25">
      <c r="L2696" s="65">
        <v>511296</v>
      </c>
      <c r="M2696" t="s">
        <v>2043</v>
      </c>
    </row>
    <row r="2697" spans="12:13" x14ac:dyDescent="0.25">
      <c r="L2697" s="65">
        <v>511299</v>
      </c>
      <c r="M2697" t="s">
        <v>2040</v>
      </c>
    </row>
    <row r="2698" spans="12:13" x14ac:dyDescent="0.25">
      <c r="L2698" s="65">
        <v>511300</v>
      </c>
      <c r="M2698" t="s">
        <v>1969</v>
      </c>
    </row>
    <row r="2699" spans="12:13" x14ac:dyDescent="0.25">
      <c r="L2699" s="65">
        <v>511310</v>
      </c>
      <c r="M2699" t="s">
        <v>2044</v>
      </c>
    </row>
    <row r="2700" spans="12:13" x14ac:dyDescent="0.25">
      <c r="L2700" s="65">
        <v>511311</v>
      </c>
      <c r="M2700" t="s">
        <v>2045</v>
      </c>
    </row>
    <row r="2701" spans="12:13" x14ac:dyDescent="0.25">
      <c r="L2701" s="65">
        <v>511312</v>
      </c>
      <c r="M2701" t="s">
        <v>2046</v>
      </c>
    </row>
    <row r="2702" spans="12:13" x14ac:dyDescent="0.25">
      <c r="L2702" s="65">
        <v>511313</v>
      </c>
      <c r="M2702" t="s">
        <v>2047</v>
      </c>
    </row>
    <row r="2703" spans="12:13" x14ac:dyDescent="0.25">
      <c r="L2703" s="65">
        <v>511319</v>
      </c>
      <c r="M2703" t="s">
        <v>2048</v>
      </c>
    </row>
    <row r="2704" spans="12:13" x14ac:dyDescent="0.25">
      <c r="L2704" s="65">
        <v>511320</v>
      </c>
      <c r="M2704" t="s">
        <v>2049</v>
      </c>
    </row>
    <row r="2705" spans="12:13" x14ac:dyDescent="0.25">
      <c r="L2705" s="65">
        <v>511321</v>
      </c>
      <c r="M2705" t="s">
        <v>2049</v>
      </c>
    </row>
    <row r="2706" spans="12:13" x14ac:dyDescent="0.25">
      <c r="L2706" s="65">
        <v>511322</v>
      </c>
      <c r="M2706" t="s">
        <v>2050</v>
      </c>
    </row>
    <row r="2707" spans="12:13" x14ac:dyDescent="0.25">
      <c r="L2707" s="65">
        <v>511323</v>
      </c>
      <c r="M2707" t="s">
        <v>2051</v>
      </c>
    </row>
    <row r="2708" spans="12:13" x14ac:dyDescent="0.25">
      <c r="L2708" s="65">
        <v>511324</v>
      </c>
      <c r="M2708" t="s">
        <v>2052</v>
      </c>
    </row>
    <row r="2709" spans="12:13" x14ac:dyDescent="0.25">
      <c r="L2709" s="65">
        <v>511325</v>
      </c>
      <c r="M2709" t="s">
        <v>2053</v>
      </c>
    </row>
    <row r="2710" spans="12:13" x14ac:dyDescent="0.25">
      <c r="L2710" s="65">
        <v>511326</v>
      </c>
      <c r="M2710" t="s">
        <v>2054</v>
      </c>
    </row>
    <row r="2711" spans="12:13" x14ac:dyDescent="0.25">
      <c r="L2711" s="65">
        <v>511327</v>
      </c>
      <c r="M2711" t="s">
        <v>2055</v>
      </c>
    </row>
    <row r="2712" spans="12:13" x14ac:dyDescent="0.25">
      <c r="L2712" s="65">
        <v>511328</v>
      </c>
      <c r="M2712" t="s">
        <v>2056</v>
      </c>
    </row>
    <row r="2713" spans="12:13" x14ac:dyDescent="0.25">
      <c r="L2713" s="65">
        <v>511330</v>
      </c>
      <c r="M2713" t="s">
        <v>2057</v>
      </c>
    </row>
    <row r="2714" spans="12:13" x14ac:dyDescent="0.25">
      <c r="L2714" s="65">
        <v>511331</v>
      </c>
      <c r="M2714" t="s">
        <v>2058</v>
      </c>
    </row>
    <row r="2715" spans="12:13" x14ac:dyDescent="0.25">
      <c r="L2715" s="65">
        <v>511332</v>
      </c>
      <c r="M2715" t="s">
        <v>2059</v>
      </c>
    </row>
    <row r="2716" spans="12:13" x14ac:dyDescent="0.25">
      <c r="L2716" s="65">
        <v>511333</v>
      </c>
      <c r="M2716" t="s">
        <v>2060</v>
      </c>
    </row>
    <row r="2717" spans="12:13" x14ac:dyDescent="0.25">
      <c r="L2717" s="65">
        <v>511340</v>
      </c>
      <c r="M2717" t="s">
        <v>2061</v>
      </c>
    </row>
    <row r="2718" spans="12:13" x14ac:dyDescent="0.25">
      <c r="L2718" s="65">
        <v>511341</v>
      </c>
      <c r="M2718" t="s">
        <v>2062</v>
      </c>
    </row>
    <row r="2719" spans="12:13" x14ac:dyDescent="0.25">
      <c r="L2719" s="65">
        <v>511342</v>
      </c>
      <c r="M2719" t="s">
        <v>2063</v>
      </c>
    </row>
    <row r="2720" spans="12:13" x14ac:dyDescent="0.25">
      <c r="L2720" s="65">
        <v>511343</v>
      </c>
      <c r="M2720" t="s">
        <v>2064</v>
      </c>
    </row>
    <row r="2721" spans="12:13" x14ac:dyDescent="0.25">
      <c r="L2721" s="65">
        <v>511344</v>
      </c>
      <c r="M2721" t="s">
        <v>2065</v>
      </c>
    </row>
    <row r="2722" spans="12:13" x14ac:dyDescent="0.25">
      <c r="L2722" s="65">
        <v>511390</v>
      </c>
      <c r="M2722" t="s">
        <v>2066</v>
      </c>
    </row>
    <row r="2723" spans="12:13" x14ac:dyDescent="0.25">
      <c r="L2723" s="65">
        <v>511391</v>
      </c>
      <c r="M2723" t="s">
        <v>2067</v>
      </c>
    </row>
    <row r="2724" spans="12:13" x14ac:dyDescent="0.25">
      <c r="L2724" s="65">
        <v>511392</v>
      </c>
      <c r="M2724" t="s">
        <v>2068</v>
      </c>
    </row>
    <row r="2725" spans="12:13" x14ac:dyDescent="0.25">
      <c r="L2725" s="65">
        <v>511393</v>
      </c>
      <c r="M2725" t="s">
        <v>2069</v>
      </c>
    </row>
    <row r="2726" spans="12:13" x14ac:dyDescent="0.25">
      <c r="L2726" s="65">
        <v>511394</v>
      </c>
      <c r="M2726" t="s">
        <v>2070</v>
      </c>
    </row>
    <row r="2727" spans="12:13" x14ac:dyDescent="0.25">
      <c r="L2727" s="65">
        <v>511395</v>
      </c>
      <c r="M2727" t="s">
        <v>2071</v>
      </c>
    </row>
    <row r="2728" spans="12:13" x14ac:dyDescent="0.25">
      <c r="L2728" s="65">
        <v>511396</v>
      </c>
      <c r="M2728" t="s">
        <v>2072</v>
      </c>
    </row>
    <row r="2729" spans="12:13" x14ac:dyDescent="0.25">
      <c r="L2729" s="65">
        <v>511399</v>
      </c>
      <c r="M2729" t="s">
        <v>2066</v>
      </c>
    </row>
    <row r="2730" spans="12:13" x14ac:dyDescent="0.25">
      <c r="L2730" s="65">
        <v>511400</v>
      </c>
      <c r="M2730" t="s">
        <v>1970</v>
      </c>
    </row>
    <row r="2731" spans="12:13" x14ac:dyDescent="0.25">
      <c r="L2731" s="65">
        <v>511410</v>
      </c>
      <c r="M2731" t="s">
        <v>2073</v>
      </c>
    </row>
    <row r="2732" spans="12:13" x14ac:dyDescent="0.25">
      <c r="L2732" s="65">
        <v>511411</v>
      </c>
      <c r="M2732" t="s">
        <v>2073</v>
      </c>
    </row>
    <row r="2733" spans="12:13" x14ac:dyDescent="0.25">
      <c r="L2733" s="65">
        <v>511420</v>
      </c>
      <c r="M2733" t="s">
        <v>2074</v>
      </c>
    </row>
    <row r="2734" spans="12:13" x14ac:dyDescent="0.25">
      <c r="L2734" s="65">
        <v>511421</v>
      </c>
      <c r="M2734" t="s">
        <v>2074</v>
      </c>
    </row>
    <row r="2735" spans="12:13" x14ac:dyDescent="0.25">
      <c r="L2735" s="65">
        <v>511430</v>
      </c>
      <c r="M2735" t="s">
        <v>2075</v>
      </c>
    </row>
    <row r="2736" spans="12:13" x14ac:dyDescent="0.25">
      <c r="L2736" s="65">
        <v>511431</v>
      </c>
      <c r="M2736" t="s">
        <v>2075</v>
      </c>
    </row>
    <row r="2737" spans="12:13" x14ac:dyDescent="0.25">
      <c r="L2737" s="65">
        <v>511440</v>
      </c>
      <c r="M2737" t="s">
        <v>2076</v>
      </c>
    </row>
    <row r="2738" spans="12:13" x14ac:dyDescent="0.25">
      <c r="L2738" s="65">
        <v>511441</v>
      </c>
      <c r="M2738" t="s">
        <v>2076</v>
      </c>
    </row>
    <row r="2739" spans="12:13" x14ac:dyDescent="0.25">
      <c r="L2739" s="65">
        <v>511450</v>
      </c>
      <c r="M2739" t="s">
        <v>2077</v>
      </c>
    </row>
    <row r="2740" spans="12:13" x14ac:dyDescent="0.25">
      <c r="L2740" s="65">
        <v>511451</v>
      </c>
      <c r="M2740" t="s">
        <v>2077</v>
      </c>
    </row>
    <row r="2741" spans="12:13" x14ac:dyDescent="0.25">
      <c r="L2741" s="65">
        <v>512000</v>
      </c>
      <c r="M2741" t="s">
        <v>1971</v>
      </c>
    </row>
    <row r="2742" spans="12:13" x14ac:dyDescent="0.25">
      <c r="L2742" s="65">
        <v>512100</v>
      </c>
      <c r="M2742" t="s">
        <v>325</v>
      </c>
    </row>
    <row r="2743" spans="12:13" x14ac:dyDescent="0.25">
      <c r="L2743" s="65">
        <v>512110</v>
      </c>
      <c r="M2743" t="s">
        <v>326</v>
      </c>
    </row>
    <row r="2744" spans="12:13" x14ac:dyDescent="0.25">
      <c r="L2744" s="65">
        <v>512111</v>
      </c>
      <c r="M2744" t="s">
        <v>2078</v>
      </c>
    </row>
    <row r="2745" spans="12:13" x14ac:dyDescent="0.25">
      <c r="L2745" s="65">
        <v>512112</v>
      </c>
      <c r="M2745" t="s">
        <v>2079</v>
      </c>
    </row>
    <row r="2746" spans="12:13" x14ac:dyDescent="0.25">
      <c r="L2746" s="65">
        <v>512113</v>
      </c>
      <c r="M2746" t="s">
        <v>2080</v>
      </c>
    </row>
    <row r="2747" spans="12:13" x14ac:dyDescent="0.25">
      <c r="L2747" s="65">
        <v>512114</v>
      </c>
      <c r="M2747" t="s">
        <v>2081</v>
      </c>
    </row>
    <row r="2748" spans="12:13" x14ac:dyDescent="0.25">
      <c r="L2748" s="65">
        <v>512115</v>
      </c>
      <c r="M2748" t="s">
        <v>2082</v>
      </c>
    </row>
    <row r="2749" spans="12:13" x14ac:dyDescent="0.25">
      <c r="L2749" s="65">
        <v>512116</v>
      </c>
      <c r="M2749" t="s">
        <v>2083</v>
      </c>
    </row>
    <row r="2750" spans="12:13" x14ac:dyDescent="0.25">
      <c r="L2750" s="65">
        <v>512117</v>
      </c>
      <c r="M2750" t="s">
        <v>2084</v>
      </c>
    </row>
    <row r="2751" spans="12:13" x14ac:dyDescent="0.25">
      <c r="L2751" s="65">
        <v>512120</v>
      </c>
      <c r="M2751" t="s">
        <v>327</v>
      </c>
    </row>
    <row r="2752" spans="12:13" x14ac:dyDescent="0.25">
      <c r="L2752" s="65">
        <v>512121</v>
      </c>
      <c r="M2752" t="s">
        <v>2085</v>
      </c>
    </row>
    <row r="2753" spans="12:13" x14ac:dyDescent="0.25">
      <c r="L2753" s="65">
        <v>512122</v>
      </c>
      <c r="M2753" t="s">
        <v>2086</v>
      </c>
    </row>
    <row r="2754" spans="12:13" x14ac:dyDescent="0.25">
      <c r="L2754" s="65">
        <v>512130</v>
      </c>
      <c r="M2754" t="s">
        <v>328</v>
      </c>
    </row>
    <row r="2755" spans="12:13" x14ac:dyDescent="0.25">
      <c r="L2755" s="65">
        <v>512131</v>
      </c>
      <c r="M2755" t="s">
        <v>2087</v>
      </c>
    </row>
    <row r="2756" spans="12:13" x14ac:dyDescent="0.25">
      <c r="L2756" s="65">
        <v>512132</v>
      </c>
      <c r="M2756" t="s">
        <v>2088</v>
      </c>
    </row>
    <row r="2757" spans="12:13" x14ac:dyDescent="0.25">
      <c r="L2757" s="65">
        <v>512140</v>
      </c>
      <c r="M2757" t="s">
        <v>330</v>
      </c>
    </row>
    <row r="2758" spans="12:13" x14ac:dyDescent="0.25">
      <c r="L2758" s="65">
        <v>512141</v>
      </c>
      <c r="M2758" t="s">
        <v>330</v>
      </c>
    </row>
    <row r="2759" spans="12:13" x14ac:dyDescent="0.25">
      <c r="L2759" s="65">
        <v>512200</v>
      </c>
      <c r="M2759" t="s">
        <v>334</v>
      </c>
    </row>
    <row r="2760" spans="12:13" x14ac:dyDescent="0.25">
      <c r="L2760" s="65">
        <v>512210</v>
      </c>
      <c r="M2760" t="s">
        <v>335</v>
      </c>
    </row>
    <row r="2761" spans="12:13" x14ac:dyDescent="0.25">
      <c r="L2761" s="65">
        <v>512211</v>
      </c>
      <c r="M2761" t="s">
        <v>1536</v>
      </c>
    </row>
    <row r="2762" spans="12:13" x14ac:dyDescent="0.25">
      <c r="L2762" s="65">
        <v>512212</v>
      </c>
      <c r="M2762" t="s">
        <v>1539</v>
      </c>
    </row>
    <row r="2763" spans="12:13" x14ac:dyDescent="0.25">
      <c r="L2763" s="65">
        <v>512213</v>
      </c>
      <c r="M2763" t="s">
        <v>2089</v>
      </c>
    </row>
    <row r="2764" spans="12:13" x14ac:dyDescent="0.25">
      <c r="L2764" s="65">
        <v>512220</v>
      </c>
      <c r="M2764" t="s">
        <v>336</v>
      </c>
    </row>
    <row r="2765" spans="12:13" x14ac:dyDescent="0.25">
      <c r="L2765" s="65">
        <v>512221</v>
      </c>
      <c r="M2765" t="s">
        <v>336</v>
      </c>
    </row>
    <row r="2766" spans="12:13" x14ac:dyDescent="0.25">
      <c r="L2766" s="65">
        <v>512222</v>
      </c>
      <c r="M2766" t="s">
        <v>2090</v>
      </c>
    </row>
    <row r="2767" spans="12:13" x14ac:dyDescent="0.25">
      <c r="L2767" s="65">
        <v>512223</v>
      </c>
      <c r="M2767" t="s">
        <v>2091</v>
      </c>
    </row>
    <row r="2768" spans="12:13" x14ac:dyDescent="0.25">
      <c r="L2768" s="65">
        <v>512230</v>
      </c>
      <c r="M2768" t="s">
        <v>337</v>
      </c>
    </row>
    <row r="2769" spans="12:13" x14ac:dyDescent="0.25">
      <c r="L2769" s="65">
        <v>512231</v>
      </c>
      <c r="M2769" t="s">
        <v>2092</v>
      </c>
    </row>
    <row r="2770" spans="12:13" x14ac:dyDescent="0.25">
      <c r="L2770" s="65">
        <v>512232</v>
      </c>
      <c r="M2770" t="s">
        <v>1366</v>
      </c>
    </row>
    <row r="2771" spans="12:13" x14ac:dyDescent="0.25">
      <c r="L2771" s="65">
        <v>512233</v>
      </c>
      <c r="M2771" t="s">
        <v>2093</v>
      </c>
    </row>
    <row r="2772" spans="12:13" x14ac:dyDescent="0.25">
      <c r="L2772" s="65">
        <v>512240</v>
      </c>
      <c r="M2772" t="s">
        <v>338</v>
      </c>
    </row>
    <row r="2773" spans="12:13" x14ac:dyDescent="0.25">
      <c r="L2773" s="65">
        <v>512241</v>
      </c>
      <c r="M2773" t="s">
        <v>2094</v>
      </c>
    </row>
    <row r="2774" spans="12:13" x14ac:dyDescent="0.25">
      <c r="L2774" s="65">
        <v>512242</v>
      </c>
      <c r="M2774" t="s">
        <v>2095</v>
      </c>
    </row>
    <row r="2775" spans="12:13" x14ac:dyDescent="0.25">
      <c r="L2775" s="65">
        <v>512250</v>
      </c>
      <c r="M2775" t="s">
        <v>339</v>
      </c>
    </row>
    <row r="2776" spans="12:13" x14ac:dyDescent="0.25">
      <c r="L2776" s="65">
        <v>512251</v>
      </c>
      <c r="M2776" t="s">
        <v>2096</v>
      </c>
    </row>
    <row r="2777" spans="12:13" x14ac:dyDescent="0.25">
      <c r="L2777" s="65">
        <v>512252</v>
      </c>
      <c r="M2777" t="s">
        <v>2097</v>
      </c>
    </row>
    <row r="2778" spans="12:13" x14ac:dyDescent="0.25">
      <c r="L2778" s="65">
        <v>512260</v>
      </c>
      <c r="M2778" t="s">
        <v>340</v>
      </c>
    </row>
    <row r="2779" spans="12:13" x14ac:dyDescent="0.25">
      <c r="L2779" s="65">
        <v>512261</v>
      </c>
      <c r="M2779" t="s">
        <v>340</v>
      </c>
    </row>
    <row r="2780" spans="12:13" x14ac:dyDescent="0.25">
      <c r="L2780" s="65">
        <v>512300</v>
      </c>
      <c r="M2780" t="s">
        <v>344</v>
      </c>
    </row>
    <row r="2781" spans="12:13" x14ac:dyDescent="0.25">
      <c r="L2781" s="65">
        <v>512310</v>
      </c>
      <c r="M2781" t="s">
        <v>2098</v>
      </c>
    </row>
    <row r="2782" spans="12:13" x14ac:dyDescent="0.25">
      <c r="L2782" s="65">
        <v>512311</v>
      </c>
      <c r="M2782" t="s">
        <v>2098</v>
      </c>
    </row>
    <row r="2783" spans="12:13" x14ac:dyDescent="0.25">
      <c r="L2783" s="65">
        <v>512320</v>
      </c>
      <c r="M2783" t="s">
        <v>2099</v>
      </c>
    </row>
    <row r="2784" spans="12:13" x14ac:dyDescent="0.25">
      <c r="L2784" s="65">
        <v>512321</v>
      </c>
      <c r="M2784" t="s">
        <v>2099</v>
      </c>
    </row>
    <row r="2785" spans="12:13" x14ac:dyDescent="0.25">
      <c r="L2785" s="65">
        <v>512400</v>
      </c>
      <c r="M2785" t="s">
        <v>349</v>
      </c>
    </row>
    <row r="2786" spans="12:13" x14ac:dyDescent="0.25">
      <c r="L2786" s="65">
        <v>512410</v>
      </c>
      <c r="M2786" t="s">
        <v>349</v>
      </c>
    </row>
    <row r="2787" spans="12:13" x14ac:dyDescent="0.25">
      <c r="L2787" s="65">
        <v>512411</v>
      </c>
      <c r="M2787" t="s">
        <v>349</v>
      </c>
    </row>
    <row r="2788" spans="12:13" x14ac:dyDescent="0.25">
      <c r="L2788" s="65">
        <v>512420</v>
      </c>
      <c r="M2788" t="s">
        <v>350</v>
      </c>
    </row>
    <row r="2789" spans="12:13" x14ac:dyDescent="0.25">
      <c r="L2789" s="65">
        <v>512421</v>
      </c>
      <c r="M2789" t="s">
        <v>350</v>
      </c>
    </row>
    <row r="2790" spans="12:13" x14ac:dyDescent="0.25">
      <c r="L2790" s="65">
        <v>512500</v>
      </c>
      <c r="M2790" t="s">
        <v>354</v>
      </c>
    </row>
    <row r="2791" spans="12:13" x14ac:dyDescent="0.25">
      <c r="L2791" s="65">
        <v>512510</v>
      </c>
      <c r="M2791" t="s">
        <v>355</v>
      </c>
    </row>
    <row r="2792" spans="12:13" x14ac:dyDescent="0.25">
      <c r="L2792" s="65">
        <v>512511</v>
      </c>
      <c r="M2792" t="s">
        <v>355</v>
      </c>
    </row>
    <row r="2793" spans="12:13" x14ac:dyDescent="0.25">
      <c r="L2793" s="65">
        <v>512520</v>
      </c>
      <c r="M2793" t="s">
        <v>356</v>
      </c>
    </row>
    <row r="2794" spans="12:13" x14ac:dyDescent="0.25">
      <c r="L2794" s="65">
        <v>512521</v>
      </c>
      <c r="M2794" t="s">
        <v>356</v>
      </c>
    </row>
    <row r="2795" spans="12:13" x14ac:dyDescent="0.25">
      <c r="L2795" s="65">
        <v>512530</v>
      </c>
      <c r="M2795" t="s">
        <v>357</v>
      </c>
    </row>
    <row r="2796" spans="12:13" x14ac:dyDescent="0.25">
      <c r="L2796" s="65">
        <v>512531</v>
      </c>
      <c r="M2796" t="s">
        <v>357</v>
      </c>
    </row>
    <row r="2797" spans="12:13" x14ac:dyDescent="0.25">
      <c r="L2797" s="65">
        <v>512540</v>
      </c>
      <c r="M2797" t="s">
        <v>359</v>
      </c>
    </row>
    <row r="2798" spans="12:13" x14ac:dyDescent="0.25">
      <c r="L2798" s="65">
        <v>512541</v>
      </c>
      <c r="M2798" t="s">
        <v>359</v>
      </c>
    </row>
    <row r="2799" spans="12:13" x14ac:dyDescent="0.25">
      <c r="L2799" s="65">
        <v>512600</v>
      </c>
      <c r="M2799" t="s">
        <v>363</v>
      </c>
    </row>
    <row r="2800" spans="12:13" x14ac:dyDescent="0.25">
      <c r="L2800" s="65">
        <v>512610</v>
      </c>
      <c r="M2800" t="s">
        <v>364</v>
      </c>
    </row>
    <row r="2801" spans="12:13" x14ac:dyDescent="0.25">
      <c r="L2801" s="65">
        <v>512611</v>
      </c>
      <c r="M2801" t="s">
        <v>364</v>
      </c>
    </row>
    <row r="2802" spans="12:13" x14ac:dyDescent="0.25">
      <c r="L2802" s="65">
        <v>512620</v>
      </c>
      <c r="M2802" t="s">
        <v>365</v>
      </c>
    </row>
    <row r="2803" spans="12:13" x14ac:dyDescent="0.25">
      <c r="L2803" s="65">
        <v>512621</v>
      </c>
      <c r="M2803" t="s">
        <v>365</v>
      </c>
    </row>
    <row r="2804" spans="12:13" x14ac:dyDescent="0.25">
      <c r="L2804" s="65">
        <v>512630</v>
      </c>
      <c r="M2804" t="s">
        <v>366</v>
      </c>
    </row>
    <row r="2805" spans="12:13" x14ac:dyDescent="0.25">
      <c r="L2805" s="65">
        <v>512631</v>
      </c>
      <c r="M2805" t="s">
        <v>366</v>
      </c>
    </row>
    <row r="2806" spans="12:13" x14ac:dyDescent="0.25">
      <c r="L2806" s="65">
        <v>512640</v>
      </c>
      <c r="M2806" t="s">
        <v>367</v>
      </c>
    </row>
    <row r="2807" spans="12:13" x14ac:dyDescent="0.25">
      <c r="L2807" s="65">
        <v>512641</v>
      </c>
      <c r="M2807" t="s">
        <v>367</v>
      </c>
    </row>
    <row r="2808" spans="12:13" x14ac:dyDescent="0.25">
      <c r="L2808" s="65">
        <v>512650</v>
      </c>
      <c r="M2808" t="s">
        <v>368</v>
      </c>
    </row>
    <row r="2809" spans="12:13" x14ac:dyDescent="0.25">
      <c r="L2809" s="65">
        <v>512651</v>
      </c>
      <c r="M2809" t="s">
        <v>368</v>
      </c>
    </row>
    <row r="2810" spans="12:13" x14ac:dyDescent="0.25">
      <c r="L2810" s="65">
        <v>512700</v>
      </c>
      <c r="M2810" t="s">
        <v>372</v>
      </c>
    </row>
    <row r="2811" spans="12:13" x14ac:dyDescent="0.25">
      <c r="L2811" s="65">
        <v>512710</v>
      </c>
      <c r="M2811" t="s">
        <v>372</v>
      </c>
    </row>
    <row r="2812" spans="12:13" x14ac:dyDescent="0.25">
      <c r="L2812" s="65">
        <v>512711</v>
      </c>
      <c r="M2812" t="s">
        <v>372</v>
      </c>
    </row>
    <row r="2813" spans="12:13" x14ac:dyDescent="0.25">
      <c r="L2813" s="65">
        <v>512720</v>
      </c>
      <c r="M2813" t="s">
        <v>2100</v>
      </c>
    </row>
    <row r="2814" spans="12:13" x14ac:dyDescent="0.25">
      <c r="L2814" s="65">
        <v>512721</v>
      </c>
      <c r="M2814" t="s">
        <v>2100</v>
      </c>
    </row>
    <row r="2815" spans="12:13" x14ac:dyDescent="0.25">
      <c r="L2815" s="65">
        <v>512800</v>
      </c>
      <c r="M2815" t="s">
        <v>377</v>
      </c>
    </row>
    <row r="2816" spans="12:13" x14ac:dyDescent="0.25">
      <c r="L2816" s="65">
        <v>512810</v>
      </c>
      <c r="M2816" t="s">
        <v>377</v>
      </c>
    </row>
    <row r="2817" spans="12:13" x14ac:dyDescent="0.25">
      <c r="L2817" s="65">
        <v>512811</v>
      </c>
      <c r="M2817" t="s">
        <v>377</v>
      </c>
    </row>
    <row r="2818" spans="12:13" x14ac:dyDescent="0.25">
      <c r="L2818" s="65">
        <v>512820</v>
      </c>
      <c r="M2818" t="s">
        <v>2101</v>
      </c>
    </row>
    <row r="2819" spans="12:13" x14ac:dyDescent="0.25">
      <c r="L2819" s="65">
        <v>512821</v>
      </c>
      <c r="M2819" t="s">
        <v>2101</v>
      </c>
    </row>
    <row r="2820" spans="12:13" x14ac:dyDescent="0.25">
      <c r="L2820" s="65">
        <v>512900</v>
      </c>
      <c r="M2820" t="s">
        <v>382</v>
      </c>
    </row>
    <row r="2821" spans="12:13" x14ac:dyDescent="0.25">
      <c r="L2821" s="65">
        <v>512910</v>
      </c>
      <c r="M2821" t="s">
        <v>2102</v>
      </c>
    </row>
    <row r="2822" spans="12:13" x14ac:dyDescent="0.25">
      <c r="L2822" s="65">
        <v>512911</v>
      </c>
      <c r="M2822" t="s">
        <v>2102</v>
      </c>
    </row>
    <row r="2823" spans="12:13" x14ac:dyDescent="0.25">
      <c r="L2823" s="65">
        <v>512920</v>
      </c>
      <c r="M2823" t="s">
        <v>384</v>
      </c>
    </row>
    <row r="2824" spans="12:13" x14ac:dyDescent="0.25">
      <c r="L2824" s="65">
        <v>512921</v>
      </c>
      <c r="M2824" t="s">
        <v>384</v>
      </c>
    </row>
    <row r="2825" spans="12:13" x14ac:dyDescent="0.25">
      <c r="L2825" s="65">
        <v>512930</v>
      </c>
      <c r="M2825" t="s">
        <v>385</v>
      </c>
    </row>
    <row r="2826" spans="12:13" x14ac:dyDescent="0.25">
      <c r="L2826" s="65">
        <v>512931</v>
      </c>
      <c r="M2826" t="s">
        <v>2103</v>
      </c>
    </row>
    <row r="2827" spans="12:13" x14ac:dyDescent="0.25">
      <c r="L2827" s="65">
        <v>512932</v>
      </c>
      <c r="M2827" t="s">
        <v>2104</v>
      </c>
    </row>
    <row r="2828" spans="12:13" x14ac:dyDescent="0.25">
      <c r="L2828" s="65">
        <v>512933</v>
      </c>
      <c r="M2828" t="s">
        <v>2105</v>
      </c>
    </row>
    <row r="2829" spans="12:13" x14ac:dyDescent="0.25">
      <c r="L2829" s="65">
        <v>512940</v>
      </c>
      <c r="M2829" t="s">
        <v>2106</v>
      </c>
    </row>
    <row r="2830" spans="12:13" x14ac:dyDescent="0.25">
      <c r="L2830" s="65">
        <v>512941</v>
      </c>
      <c r="M2830" t="s">
        <v>2106</v>
      </c>
    </row>
    <row r="2831" spans="12:13" x14ac:dyDescent="0.25">
      <c r="L2831" s="65">
        <v>512950</v>
      </c>
      <c r="M2831" t="s">
        <v>2107</v>
      </c>
    </row>
    <row r="2832" spans="12:13" x14ac:dyDescent="0.25">
      <c r="L2832" s="65">
        <v>512951</v>
      </c>
      <c r="M2832" t="s">
        <v>2107</v>
      </c>
    </row>
    <row r="2833" spans="12:13" x14ac:dyDescent="0.25">
      <c r="L2833" s="65">
        <v>513000</v>
      </c>
      <c r="M2833" t="s">
        <v>391</v>
      </c>
    </row>
    <row r="2834" spans="12:13" x14ac:dyDescent="0.25">
      <c r="L2834" s="65">
        <v>513100</v>
      </c>
      <c r="M2834" t="s">
        <v>391</v>
      </c>
    </row>
    <row r="2835" spans="12:13" x14ac:dyDescent="0.25">
      <c r="L2835" s="65">
        <v>513110</v>
      </c>
      <c r="M2835" t="s">
        <v>391</v>
      </c>
    </row>
    <row r="2836" spans="12:13" x14ac:dyDescent="0.25">
      <c r="L2836" s="65">
        <v>513111</v>
      </c>
      <c r="M2836" t="s">
        <v>391</v>
      </c>
    </row>
    <row r="2837" spans="12:13" x14ac:dyDescent="0.25">
      <c r="L2837" s="65">
        <v>513119</v>
      </c>
      <c r="M2837" t="s">
        <v>2108</v>
      </c>
    </row>
    <row r="2838" spans="12:13" x14ac:dyDescent="0.25">
      <c r="L2838" s="65">
        <v>514000</v>
      </c>
      <c r="M2838" t="s">
        <v>396</v>
      </c>
    </row>
    <row r="2839" spans="12:13" x14ac:dyDescent="0.25">
      <c r="L2839" s="65">
        <v>514100</v>
      </c>
      <c r="M2839" t="s">
        <v>396</v>
      </c>
    </row>
    <row r="2840" spans="12:13" x14ac:dyDescent="0.25">
      <c r="L2840" s="65">
        <v>514110</v>
      </c>
      <c r="M2840" t="s">
        <v>2109</v>
      </c>
    </row>
    <row r="2841" spans="12:13" x14ac:dyDescent="0.25">
      <c r="L2841" s="65">
        <v>514111</v>
      </c>
      <c r="M2841" t="s">
        <v>2110</v>
      </c>
    </row>
    <row r="2842" spans="12:13" x14ac:dyDescent="0.25">
      <c r="L2842" s="65">
        <v>514112</v>
      </c>
      <c r="M2842" t="s">
        <v>2111</v>
      </c>
    </row>
    <row r="2843" spans="12:13" x14ac:dyDescent="0.25">
      <c r="L2843" s="65">
        <v>514113</v>
      </c>
      <c r="M2843" t="s">
        <v>2112</v>
      </c>
    </row>
    <row r="2844" spans="12:13" x14ac:dyDescent="0.25">
      <c r="L2844" s="65">
        <v>514114</v>
      </c>
      <c r="M2844" t="s">
        <v>2113</v>
      </c>
    </row>
    <row r="2845" spans="12:13" x14ac:dyDescent="0.25">
      <c r="L2845" s="65">
        <v>514115</v>
      </c>
      <c r="M2845" t="s">
        <v>2114</v>
      </c>
    </row>
    <row r="2846" spans="12:13" x14ac:dyDescent="0.25">
      <c r="L2846" s="65">
        <v>514116</v>
      </c>
      <c r="M2846" t="s">
        <v>2115</v>
      </c>
    </row>
    <row r="2847" spans="12:13" x14ac:dyDescent="0.25">
      <c r="L2847" s="65">
        <v>514117</v>
      </c>
      <c r="M2847" t="s">
        <v>2116</v>
      </c>
    </row>
    <row r="2848" spans="12:13" x14ac:dyDescent="0.25">
      <c r="L2848" s="65">
        <v>514118</v>
      </c>
      <c r="M2848" t="s">
        <v>2117</v>
      </c>
    </row>
    <row r="2849" spans="12:13" x14ac:dyDescent="0.25">
      <c r="L2849" s="65">
        <v>514119</v>
      </c>
      <c r="M2849" t="s">
        <v>2118</v>
      </c>
    </row>
    <row r="2850" spans="12:13" x14ac:dyDescent="0.25">
      <c r="L2850" s="65">
        <v>514120</v>
      </c>
      <c r="M2850" t="s">
        <v>398</v>
      </c>
    </row>
    <row r="2851" spans="12:13" x14ac:dyDescent="0.25">
      <c r="L2851" s="65">
        <v>514121</v>
      </c>
      <c r="M2851" t="s">
        <v>398</v>
      </c>
    </row>
    <row r="2852" spans="12:13" x14ac:dyDescent="0.25">
      <c r="L2852" s="65">
        <v>515000</v>
      </c>
      <c r="M2852" t="s">
        <v>488</v>
      </c>
    </row>
    <row r="2853" spans="12:13" x14ac:dyDescent="0.25">
      <c r="L2853" s="65">
        <v>515100</v>
      </c>
      <c r="M2853" t="s">
        <v>488</v>
      </c>
    </row>
    <row r="2854" spans="12:13" x14ac:dyDescent="0.25">
      <c r="L2854" s="65">
        <v>515110</v>
      </c>
      <c r="M2854" t="s">
        <v>489</v>
      </c>
    </row>
    <row r="2855" spans="12:13" x14ac:dyDescent="0.25">
      <c r="L2855" s="65">
        <v>515111</v>
      </c>
      <c r="M2855" t="s">
        <v>489</v>
      </c>
    </row>
    <row r="2856" spans="12:13" x14ac:dyDescent="0.25">
      <c r="L2856" s="65">
        <v>515120</v>
      </c>
      <c r="M2856" t="s">
        <v>493</v>
      </c>
    </row>
    <row r="2857" spans="12:13" x14ac:dyDescent="0.25">
      <c r="L2857" s="65">
        <v>515121</v>
      </c>
      <c r="M2857" t="s">
        <v>2119</v>
      </c>
    </row>
    <row r="2858" spans="12:13" x14ac:dyDescent="0.25">
      <c r="L2858" s="65">
        <v>515122</v>
      </c>
      <c r="M2858" t="s">
        <v>2120</v>
      </c>
    </row>
    <row r="2859" spans="12:13" x14ac:dyDescent="0.25">
      <c r="L2859" s="65">
        <v>515123</v>
      </c>
      <c r="M2859" t="s">
        <v>2121</v>
      </c>
    </row>
    <row r="2860" spans="12:13" x14ac:dyDescent="0.25">
      <c r="L2860" s="65">
        <v>515124</v>
      </c>
      <c r="M2860" t="s">
        <v>2122</v>
      </c>
    </row>
    <row r="2861" spans="12:13" x14ac:dyDescent="0.25">
      <c r="L2861" s="65">
        <v>515125</v>
      </c>
      <c r="M2861" t="s">
        <v>2123</v>
      </c>
    </row>
    <row r="2862" spans="12:13" x14ac:dyDescent="0.25">
      <c r="L2862" s="65">
        <v>515126</v>
      </c>
      <c r="M2862" t="s">
        <v>2124</v>
      </c>
    </row>
    <row r="2863" spans="12:13" x14ac:dyDescent="0.25">
      <c r="L2863" s="65">
        <v>515129</v>
      </c>
      <c r="M2863" t="s">
        <v>2125</v>
      </c>
    </row>
    <row r="2864" spans="12:13" x14ac:dyDescent="0.25">
      <c r="L2864" s="65">
        <v>515190</v>
      </c>
      <c r="M2864" t="s">
        <v>509</v>
      </c>
    </row>
    <row r="2865" spans="12:13" x14ac:dyDescent="0.25">
      <c r="L2865" s="65">
        <v>515191</v>
      </c>
      <c r="M2865" t="s">
        <v>2126</v>
      </c>
    </row>
    <row r="2866" spans="12:13" x14ac:dyDescent="0.25">
      <c r="L2866" s="65">
        <v>515192</v>
      </c>
      <c r="M2866" t="s">
        <v>2127</v>
      </c>
    </row>
    <row r="2867" spans="12:13" x14ac:dyDescent="0.25">
      <c r="L2867" s="65">
        <v>515193</v>
      </c>
      <c r="M2867" t="s">
        <v>2128</v>
      </c>
    </row>
    <row r="2868" spans="12:13" x14ac:dyDescent="0.25">
      <c r="L2868" s="65">
        <v>515194</v>
      </c>
      <c r="M2868" t="s">
        <v>2129</v>
      </c>
    </row>
    <row r="2869" spans="12:13" x14ac:dyDescent="0.25">
      <c r="L2869" s="65">
        <v>515195</v>
      </c>
      <c r="M2869" t="s">
        <v>2130</v>
      </c>
    </row>
    <row r="2870" spans="12:13" x14ac:dyDescent="0.25">
      <c r="L2870" s="65">
        <v>515196</v>
      </c>
      <c r="M2870" t="s">
        <v>2131</v>
      </c>
    </row>
    <row r="2871" spans="12:13" x14ac:dyDescent="0.25">
      <c r="L2871" s="65">
        <v>515197</v>
      </c>
      <c r="M2871" t="s">
        <v>2132</v>
      </c>
    </row>
    <row r="2872" spans="12:13" x14ac:dyDescent="0.25">
      <c r="L2872" s="65">
        <v>515199</v>
      </c>
      <c r="M2872" t="s">
        <v>509</v>
      </c>
    </row>
    <row r="2873" spans="12:13" x14ac:dyDescent="0.25">
      <c r="L2873" s="65">
        <v>520000</v>
      </c>
      <c r="M2873" t="s">
        <v>520</v>
      </c>
    </row>
    <row r="2874" spans="12:13" x14ac:dyDescent="0.25">
      <c r="L2874" s="65">
        <v>521000</v>
      </c>
      <c r="M2874" t="s">
        <v>521</v>
      </c>
    </row>
    <row r="2875" spans="12:13" x14ac:dyDescent="0.25">
      <c r="L2875" s="65">
        <v>521100</v>
      </c>
      <c r="M2875" t="s">
        <v>521</v>
      </c>
    </row>
    <row r="2876" spans="12:13" x14ac:dyDescent="0.25">
      <c r="L2876" s="65">
        <v>521110</v>
      </c>
      <c r="M2876" t="s">
        <v>521</v>
      </c>
    </row>
    <row r="2877" spans="12:13" x14ac:dyDescent="0.25">
      <c r="L2877" s="65">
        <v>521111</v>
      </c>
      <c r="M2877" t="s">
        <v>521</v>
      </c>
    </row>
    <row r="2878" spans="12:13" x14ac:dyDescent="0.25">
      <c r="L2878" s="65">
        <v>522000</v>
      </c>
      <c r="M2878" t="s">
        <v>525</v>
      </c>
    </row>
    <row r="2879" spans="12:13" x14ac:dyDescent="0.25">
      <c r="L2879" s="65">
        <v>522100</v>
      </c>
      <c r="M2879" t="s">
        <v>1972</v>
      </c>
    </row>
    <row r="2880" spans="12:13" x14ac:dyDescent="0.25">
      <c r="L2880" s="65">
        <v>522110</v>
      </c>
      <c r="M2880" t="s">
        <v>1972</v>
      </c>
    </row>
    <row r="2881" spans="12:13" x14ac:dyDescent="0.25">
      <c r="L2881" s="65">
        <v>522111</v>
      </c>
      <c r="M2881" t="s">
        <v>1972</v>
      </c>
    </row>
    <row r="2882" spans="12:13" x14ac:dyDescent="0.25">
      <c r="L2882" s="65">
        <v>522200</v>
      </c>
      <c r="M2882" t="s">
        <v>1204</v>
      </c>
    </row>
    <row r="2883" spans="12:13" x14ac:dyDescent="0.25">
      <c r="L2883" s="65">
        <v>522210</v>
      </c>
      <c r="M2883" t="s">
        <v>1204</v>
      </c>
    </row>
    <row r="2884" spans="12:13" x14ac:dyDescent="0.25">
      <c r="L2884" s="65">
        <v>522211</v>
      </c>
      <c r="M2884" t="s">
        <v>1204</v>
      </c>
    </row>
    <row r="2885" spans="12:13" x14ac:dyDescent="0.25">
      <c r="L2885" s="65">
        <v>522300</v>
      </c>
      <c r="M2885" t="s">
        <v>1205</v>
      </c>
    </row>
    <row r="2886" spans="12:13" x14ac:dyDescent="0.25">
      <c r="L2886" s="65">
        <v>522310</v>
      </c>
      <c r="M2886" t="s">
        <v>1205</v>
      </c>
    </row>
    <row r="2887" spans="12:13" x14ac:dyDescent="0.25">
      <c r="L2887" s="65">
        <v>522311</v>
      </c>
      <c r="M2887" t="s">
        <v>1205</v>
      </c>
    </row>
    <row r="2888" spans="12:13" x14ac:dyDescent="0.25">
      <c r="L2888" s="65">
        <v>523000</v>
      </c>
      <c r="M2888" t="s">
        <v>1206</v>
      </c>
    </row>
    <row r="2889" spans="12:13" x14ac:dyDescent="0.25">
      <c r="L2889" s="65">
        <v>523100</v>
      </c>
      <c r="M2889" t="s">
        <v>1206</v>
      </c>
    </row>
    <row r="2890" spans="12:13" x14ac:dyDescent="0.25">
      <c r="L2890" s="65">
        <v>523110</v>
      </c>
      <c r="M2890" t="s">
        <v>1206</v>
      </c>
    </row>
    <row r="2891" spans="12:13" x14ac:dyDescent="0.25">
      <c r="L2891" s="65">
        <v>523111</v>
      </c>
      <c r="M2891" t="s">
        <v>1206</v>
      </c>
    </row>
    <row r="2892" spans="12:13" x14ac:dyDescent="0.25">
      <c r="L2892" s="65">
        <v>530000</v>
      </c>
      <c r="M2892" t="s">
        <v>402</v>
      </c>
    </row>
    <row r="2893" spans="12:13" x14ac:dyDescent="0.25">
      <c r="L2893" s="65">
        <v>531000</v>
      </c>
      <c r="M2893" t="s">
        <v>402</v>
      </c>
    </row>
    <row r="2894" spans="12:13" x14ac:dyDescent="0.25">
      <c r="L2894" s="65">
        <v>531100</v>
      </c>
      <c r="M2894" t="s">
        <v>402</v>
      </c>
    </row>
    <row r="2895" spans="12:13" x14ac:dyDescent="0.25">
      <c r="L2895" s="65">
        <v>531110</v>
      </c>
      <c r="M2895" t="s">
        <v>402</v>
      </c>
    </row>
    <row r="2896" spans="12:13" x14ac:dyDescent="0.25">
      <c r="L2896" s="65">
        <v>531111</v>
      </c>
      <c r="M2896" t="s">
        <v>402</v>
      </c>
    </row>
    <row r="2897" spans="12:13" x14ac:dyDescent="0.25">
      <c r="L2897" s="65">
        <v>540000</v>
      </c>
      <c r="M2897" t="s">
        <v>411</v>
      </c>
    </row>
    <row r="2898" spans="12:13" x14ac:dyDescent="0.25">
      <c r="L2898" s="65">
        <v>541000</v>
      </c>
      <c r="M2898" t="s">
        <v>412</v>
      </c>
    </row>
    <row r="2899" spans="12:13" x14ac:dyDescent="0.25">
      <c r="L2899" s="65">
        <v>541100</v>
      </c>
      <c r="M2899" t="s">
        <v>412</v>
      </c>
    </row>
    <row r="2900" spans="12:13" x14ac:dyDescent="0.25">
      <c r="L2900" s="65">
        <v>541110</v>
      </c>
      <c r="M2900" t="s">
        <v>2133</v>
      </c>
    </row>
    <row r="2901" spans="12:13" x14ac:dyDescent="0.25">
      <c r="L2901" s="65">
        <v>541111</v>
      </c>
      <c r="M2901" t="s">
        <v>2134</v>
      </c>
    </row>
    <row r="2902" spans="12:13" x14ac:dyDescent="0.25">
      <c r="L2902" s="65">
        <v>541112</v>
      </c>
      <c r="M2902" t="s">
        <v>2135</v>
      </c>
    </row>
    <row r="2903" spans="12:13" x14ac:dyDescent="0.25">
      <c r="L2903" s="65">
        <v>541113</v>
      </c>
      <c r="M2903" t="s">
        <v>2136</v>
      </c>
    </row>
    <row r="2904" spans="12:13" x14ac:dyDescent="0.25">
      <c r="L2904" s="65">
        <v>541114</v>
      </c>
      <c r="M2904" t="s">
        <v>2137</v>
      </c>
    </row>
    <row r="2905" spans="12:13" x14ac:dyDescent="0.25">
      <c r="L2905" s="65">
        <v>541115</v>
      </c>
      <c r="M2905" t="s">
        <v>2138</v>
      </c>
    </row>
    <row r="2906" spans="12:13" x14ac:dyDescent="0.25">
      <c r="L2906" s="65">
        <v>541120</v>
      </c>
      <c r="M2906" t="s">
        <v>2139</v>
      </c>
    </row>
    <row r="2907" spans="12:13" x14ac:dyDescent="0.25">
      <c r="L2907" s="65">
        <v>541121</v>
      </c>
      <c r="M2907" t="s">
        <v>2140</v>
      </c>
    </row>
    <row r="2908" spans="12:13" x14ac:dyDescent="0.25">
      <c r="L2908" s="65">
        <v>541122</v>
      </c>
      <c r="M2908" t="s">
        <v>2141</v>
      </c>
    </row>
    <row r="2909" spans="12:13" x14ac:dyDescent="0.25">
      <c r="L2909" s="65">
        <v>541123</v>
      </c>
      <c r="M2909" t="s">
        <v>2142</v>
      </c>
    </row>
    <row r="2910" spans="12:13" x14ac:dyDescent="0.25">
      <c r="L2910" s="65">
        <v>541124</v>
      </c>
      <c r="M2910" t="s">
        <v>2143</v>
      </c>
    </row>
    <row r="2911" spans="12:13" x14ac:dyDescent="0.25">
      <c r="L2911" s="65">
        <v>541125</v>
      </c>
      <c r="M2911" t="s">
        <v>2144</v>
      </c>
    </row>
    <row r="2912" spans="12:13" x14ac:dyDescent="0.25">
      <c r="L2912" s="65">
        <v>542000</v>
      </c>
      <c r="M2912" t="s">
        <v>1973</v>
      </c>
    </row>
    <row r="2913" spans="12:13" x14ac:dyDescent="0.25">
      <c r="L2913" s="65">
        <v>542100</v>
      </c>
      <c r="M2913" t="s">
        <v>422</v>
      </c>
    </row>
    <row r="2914" spans="12:13" x14ac:dyDescent="0.25">
      <c r="L2914" s="65">
        <v>542110</v>
      </c>
      <c r="M2914" t="s">
        <v>422</v>
      </c>
    </row>
    <row r="2915" spans="12:13" x14ac:dyDescent="0.25">
      <c r="L2915" s="65">
        <v>542111</v>
      </c>
      <c r="M2915" t="s">
        <v>422</v>
      </c>
    </row>
    <row r="2916" spans="12:13" x14ac:dyDescent="0.25">
      <c r="L2916" s="65">
        <v>542112</v>
      </c>
      <c r="M2916" t="s">
        <v>2145</v>
      </c>
    </row>
    <row r="2917" spans="12:13" x14ac:dyDescent="0.25">
      <c r="L2917" s="65">
        <v>542113</v>
      </c>
      <c r="M2917" t="s">
        <v>2146</v>
      </c>
    </row>
    <row r="2918" spans="12:13" x14ac:dyDescent="0.25">
      <c r="L2918" s="65">
        <v>542120</v>
      </c>
      <c r="M2918" t="s">
        <v>2147</v>
      </c>
    </row>
    <row r="2919" spans="12:13" x14ac:dyDescent="0.25">
      <c r="L2919" s="65">
        <v>542121</v>
      </c>
      <c r="M2919" t="s">
        <v>2148</v>
      </c>
    </row>
    <row r="2920" spans="12:13" x14ac:dyDescent="0.25">
      <c r="L2920" s="65">
        <v>542122</v>
      </c>
      <c r="M2920" t="s">
        <v>2149</v>
      </c>
    </row>
    <row r="2921" spans="12:13" x14ac:dyDescent="0.25">
      <c r="L2921" s="65">
        <v>542123</v>
      </c>
      <c r="M2921" t="s">
        <v>2150</v>
      </c>
    </row>
    <row r="2922" spans="12:13" x14ac:dyDescent="0.25">
      <c r="L2922" s="65">
        <v>543000</v>
      </c>
      <c r="M2922" t="s">
        <v>428</v>
      </c>
    </row>
    <row r="2923" spans="12:13" x14ac:dyDescent="0.25">
      <c r="L2923" s="65">
        <v>543100</v>
      </c>
      <c r="M2923" t="s">
        <v>429</v>
      </c>
    </row>
    <row r="2924" spans="12:13" x14ac:dyDescent="0.25">
      <c r="L2924" s="65">
        <v>543110</v>
      </c>
      <c r="M2924" t="s">
        <v>429</v>
      </c>
    </row>
    <row r="2925" spans="12:13" x14ac:dyDescent="0.25">
      <c r="L2925" s="65">
        <v>543111</v>
      </c>
      <c r="M2925" t="s">
        <v>2151</v>
      </c>
    </row>
    <row r="2926" spans="12:13" x14ac:dyDescent="0.25">
      <c r="L2926" s="65">
        <v>543120</v>
      </c>
      <c r="M2926" t="s">
        <v>2152</v>
      </c>
    </row>
    <row r="2927" spans="12:13" x14ac:dyDescent="0.25">
      <c r="L2927" s="65">
        <v>543121</v>
      </c>
      <c r="M2927" t="s">
        <v>2153</v>
      </c>
    </row>
    <row r="2928" spans="12:13" x14ac:dyDescent="0.25">
      <c r="L2928" s="65">
        <v>543200</v>
      </c>
      <c r="M2928" t="s">
        <v>433</v>
      </c>
    </row>
    <row r="2929" spans="12:13" x14ac:dyDescent="0.25">
      <c r="L2929" s="65">
        <v>543210</v>
      </c>
      <c r="M2929" t="s">
        <v>433</v>
      </c>
    </row>
    <row r="2930" spans="12:13" x14ac:dyDescent="0.25">
      <c r="L2930" s="65">
        <v>543211</v>
      </c>
      <c r="M2930" t="s">
        <v>2154</v>
      </c>
    </row>
    <row r="2931" spans="12:13" x14ac:dyDescent="0.25">
      <c r="L2931" s="65">
        <v>543220</v>
      </c>
      <c r="M2931" t="s">
        <v>2155</v>
      </c>
    </row>
    <row r="2932" spans="12:13" x14ac:dyDescent="0.25">
      <c r="L2932" s="65">
        <v>543221</v>
      </c>
      <c r="M2932" t="s">
        <v>2155</v>
      </c>
    </row>
    <row r="2933" spans="12:13" x14ac:dyDescent="0.25">
      <c r="L2933" s="65">
        <v>550000</v>
      </c>
      <c r="M2933" t="s">
        <v>2156</v>
      </c>
    </row>
    <row r="2934" spans="12:13" x14ac:dyDescent="0.25">
      <c r="L2934" s="65">
        <v>551000</v>
      </c>
      <c r="M2934" t="s">
        <v>2156</v>
      </c>
    </row>
    <row r="2935" spans="12:13" x14ac:dyDescent="0.25">
      <c r="L2935" s="65">
        <v>551100</v>
      </c>
      <c r="M2935" t="s">
        <v>2156</v>
      </c>
    </row>
    <row r="2936" spans="12:13" x14ac:dyDescent="0.25">
      <c r="L2936" s="65">
        <v>551110</v>
      </c>
      <c r="M2936" t="s">
        <v>2156</v>
      </c>
    </row>
    <row r="2937" spans="12:13" x14ac:dyDescent="0.25">
      <c r="L2937" s="65">
        <v>551111</v>
      </c>
      <c r="M2937" t="s">
        <v>2156</v>
      </c>
    </row>
    <row r="2938" spans="12:13" x14ac:dyDescent="0.25">
      <c r="L2938" s="65">
        <v>551120</v>
      </c>
      <c r="M2938" t="s">
        <v>2157</v>
      </c>
    </row>
    <row r="2939" spans="12:13" x14ac:dyDescent="0.25">
      <c r="L2939" s="65">
        <v>551121</v>
      </c>
      <c r="M2939" t="s">
        <v>2157</v>
      </c>
    </row>
    <row r="2940" spans="12:13" x14ac:dyDescent="0.25">
      <c r="L2940" s="65">
        <v>600000</v>
      </c>
      <c r="M2940" t="s">
        <v>1974</v>
      </c>
    </row>
    <row r="2941" spans="12:13" x14ac:dyDescent="0.25">
      <c r="L2941" s="65">
        <v>610000</v>
      </c>
      <c r="M2941" t="s">
        <v>1975</v>
      </c>
    </row>
    <row r="2942" spans="12:13" x14ac:dyDescent="0.25">
      <c r="L2942" s="65">
        <v>611000</v>
      </c>
      <c r="M2942" t="s">
        <v>2158</v>
      </c>
    </row>
    <row r="2943" spans="12:13" x14ac:dyDescent="0.25">
      <c r="L2943" s="65">
        <v>611100</v>
      </c>
      <c r="M2943" t="s">
        <v>1977</v>
      </c>
    </row>
    <row r="2944" spans="12:13" x14ac:dyDescent="0.25">
      <c r="L2944" s="65">
        <v>611110</v>
      </c>
      <c r="M2944" t="s">
        <v>2159</v>
      </c>
    </row>
    <row r="2945" spans="12:13" x14ac:dyDescent="0.25">
      <c r="L2945" s="65">
        <v>611111</v>
      </c>
      <c r="M2945" t="s">
        <v>2159</v>
      </c>
    </row>
    <row r="2946" spans="12:13" x14ac:dyDescent="0.25">
      <c r="L2946" s="65">
        <v>611120</v>
      </c>
      <c r="M2946" t="s">
        <v>2160</v>
      </c>
    </row>
    <row r="2947" spans="12:13" x14ac:dyDescent="0.25">
      <c r="L2947" s="65">
        <v>611121</v>
      </c>
      <c r="M2947" t="s">
        <v>2160</v>
      </c>
    </row>
    <row r="2948" spans="12:13" x14ac:dyDescent="0.25">
      <c r="L2948" s="65">
        <v>611122</v>
      </c>
      <c r="M2948" t="s">
        <v>2161</v>
      </c>
    </row>
    <row r="2949" spans="12:13" x14ac:dyDescent="0.25">
      <c r="L2949" s="65">
        <v>611200</v>
      </c>
      <c r="M2949" t="s">
        <v>1978</v>
      </c>
    </row>
    <row r="2950" spans="12:13" x14ac:dyDescent="0.25">
      <c r="L2950" s="65">
        <v>611210</v>
      </c>
      <c r="M2950" t="s">
        <v>2162</v>
      </c>
    </row>
    <row r="2951" spans="12:13" x14ac:dyDescent="0.25">
      <c r="L2951" s="65">
        <v>611211</v>
      </c>
      <c r="M2951" t="s">
        <v>2162</v>
      </c>
    </row>
    <row r="2952" spans="12:13" x14ac:dyDescent="0.25">
      <c r="L2952" s="65">
        <v>611220</v>
      </c>
      <c r="M2952" t="s">
        <v>2163</v>
      </c>
    </row>
    <row r="2953" spans="12:13" x14ac:dyDescent="0.25">
      <c r="L2953" s="65">
        <v>611221</v>
      </c>
      <c r="M2953" t="s">
        <v>2163</v>
      </c>
    </row>
    <row r="2954" spans="12:13" x14ac:dyDescent="0.25">
      <c r="L2954" s="65">
        <v>611230</v>
      </c>
      <c r="M2954" t="s">
        <v>2164</v>
      </c>
    </row>
    <row r="2955" spans="12:13" x14ac:dyDescent="0.25">
      <c r="L2955" s="65">
        <v>611231</v>
      </c>
      <c r="M2955" t="s">
        <v>2164</v>
      </c>
    </row>
    <row r="2956" spans="12:13" x14ac:dyDescent="0.25">
      <c r="L2956" s="65">
        <v>611240</v>
      </c>
      <c r="M2956" t="s">
        <v>2165</v>
      </c>
    </row>
    <row r="2957" spans="12:13" x14ac:dyDescent="0.25">
      <c r="L2957" s="65">
        <v>611241</v>
      </c>
      <c r="M2957" t="s">
        <v>2165</v>
      </c>
    </row>
    <row r="2958" spans="12:13" x14ac:dyDescent="0.25">
      <c r="L2958" s="65">
        <v>611250</v>
      </c>
      <c r="M2958" t="s">
        <v>2166</v>
      </c>
    </row>
    <row r="2959" spans="12:13" x14ac:dyDescent="0.25">
      <c r="L2959" s="65">
        <v>611251</v>
      </c>
      <c r="M2959" t="s">
        <v>2167</v>
      </c>
    </row>
    <row r="2960" spans="12:13" x14ac:dyDescent="0.25">
      <c r="L2960" s="65">
        <v>611252</v>
      </c>
      <c r="M2960" t="s">
        <v>2168</v>
      </c>
    </row>
    <row r="2961" spans="12:13" x14ac:dyDescent="0.25">
      <c r="L2961" s="65">
        <v>611255</v>
      </c>
      <c r="M2961" t="s">
        <v>2169</v>
      </c>
    </row>
    <row r="2962" spans="12:13" x14ac:dyDescent="0.25">
      <c r="L2962" s="65">
        <v>611300</v>
      </c>
      <c r="M2962" t="s">
        <v>1979</v>
      </c>
    </row>
    <row r="2963" spans="12:13" x14ac:dyDescent="0.25">
      <c r="L2963" s="65">
        <v>611310</v>
      </c>
      <c r="M2963" t="s">
        <v>2170</v>
      </c>
    </row>
    <row r="2964" spans="12:13" x14ac:dyDescent="0.25">
      <c r="L2964" s="65">
        <v>611311</v>
      </c>
      <c r="M2964" t="s">
        <v>2170</v>
      </c>
    </row>
    <row r="2965" spans="12:13" x14ac:dyDescent="0.25">
      <c r="L2965" s="65">
        <v>611390</v>
      </c>
      <c r="M2965" t="s">
        <v>2171</v>
      </c>
    </row>
    <row r="2966" spans="12:13" x14ac:dyDescent="0.25">
      <c r="L2966" s="65">
        <v>611391</v>
      </c>
      <c r="M2966" t="s">
        <v>2171</v>
      </c>
    </row>
    <row r="2967" spans="12:13" x14ac:dyDescent="0.25">
      <c r="L2967" s="65">
        <v>611400</v>
      </c>
      <c r="M2967" t="s">
        <v>1980</v>
      </c>
    </row>
    <row r="2968" spans="12:13" x14ac:dyDescent="0.25">
      <c r="L2968" s="65">
        <v>611410</v>
      </c>
      <c r="M2968" t="s">
        <v>1980</v>
      </c>
    </row>
    <row r="2969" spans="12:13" x14ac:dyDescent="0.25">
      <c r="L2969" s="65">
        <v>611411</v>
      </c>
      <c r="M2969" t="s">
        <v>1980</v>
      </c>
    </row>
    <row r="2970" spans="12:13" x14ac:dyDescent="0.25">
      <c r="L2970" s="65">
        <v>611500</v>
      </c>
      <c r="M2970" t="s">
        <v>1981</v>
      </c>
    </row>
    <row r="2971" spans="12:13" x14ac:dyDescent="0.25">
      <c r="L2971" s="65">
        <v>611510</v>
      </c>
      <c r="M2971" t="s">
        <v>1981</v>
      </c>
    </row>
    <row r="2972" spans="12:13" x14ac:dyDescent="0.25">
      <c r="L2972" s="65">
        <v>611511</v>
      </c>
      <c r="M2972" t="s">
        <v>1981</v>
      </c>
    </row>
    <row r="2973" spans="12:13" x14ac:dyDescent="0.25">
      <c r="L2973" s="65">
        <v>611600</v>
      </c>
      <c r="M2973" t="s">
        <v>1982</v>
      </c>
    </row>
    <row r="2974" spans="12:13" x14ac:dyDescent="0.25">
      <c r="L2974" s="65">
        <v>611610</v>
      </c>
      <c r="M2974" t="s">
        <v>1982</v>
      </c>
    </row>
    <row r="2975" spans="12:13" x14ac:dyDescent="0.25">
      <c r="L2975" s="65">
        <v>611611</v>
      </c>
      <c r="M2975" t="s">
        <v>1982</v>
      </c>
    </row>
    <row r="2976" spans="12:13" x14ac:dyDescent="0.25">
      <c r="L2976" s="65">
        <v>611700</v>
      </c>
      <c r="M2976" t="s">
        <v>1983</v>
      </c>
    </row>
    <row r="2977" spans="12:13" x14ac:dyDescent="0.25">
      <c r="L2977" s="65">
        <v>611710</v>
      </c>
      <c r="M2977" t="s">
        <v>1983</v>
      </c>
    </row>
    <row r="2978" spans="12:13" x14ac:dyDescent="0.25">
      <c r="L2978" s="65">
        <v>611711</v>
      </c>
      <c r="M2978" t="s">
        <v>1983</v>
      </c>
    </row>
    <row r="2979" spans="12:13" x14ac:dyDescent="0.25">
      <c r="L2979" s="65">
        <v>611800</v>
      </c>
      <c r="M2979" t="s">
        <v>1984</v>
      </c>
    </row>
    <row r="2980" spans="12:13" x14ac:dyDescent="0.25">
      <c r="L2980" s="65">
        <v>611810</v>
      </c>
      <c r="M2980" t="s">
        <v>1984</v>
      </c>
    </row>
    <row r="2981" spans="12:13" x14ac:dyDescent="0.25">
      <c r="L2981" s="65">
        <v>611811</v>
      </c>
      <c r="M2981" t="s">
        <v>1984</v>
      </c>
    </row>
    <row r="2982" spans="12:13" x14ac:dyDescent="0.25">
      <c r="L2982" s="65">
        <v>611900</v>
      </c>
      <c r="M2982" t="s">
        <v>1985</v>
      </c>
    </row>
    <row r="2983" spans="12:13" x14ac:dyDescent="0.25">
      <c r="L2983" s="65">
        <v>611910</v>
      </c>
      <c r="M2983" t="s">
        <v>2172</v>
      </c>
    </row>
    <row r="2984" spans="12:13" x14ac:dyDescent="0.25">
      <c r="L2984" s="65">
        <v>611911</v>
      </c>
      <c r="M2984" t="s">
        <v>2172</v>
      </c>
    </row>
    <row r="2985" spans="12:13" x14ac:dyDescent="0.25">
      <c r="L2985" s="65">
        <v>611920</v>
      </c>
      <c r="M2985" t="s">
        <v>2173</v>
      </c>
    </row>
    <row r="2986" spans="12:13" x14ac:dyDescent="0.25">
      <c r="L2986" s="65">
        <v>611921</v>
      </c>
      <c r="M2986" t="s">
        <v>2173</v>
      </c>
    </row>
    <row r="2987" spans="12:13" x14ac:dyDescent="0.25">
      <c r="L2987" s="65">
        <v>612000</v>
      </c>
      <c r="M2987" t="s">
        <v>1986</v>
      </c>
    </row>
    <row r="2988" spans="12:13" x14ac:dyDescent="0.25">
      <c r="L2988" s="65">
        <v>612100</v>
      </c>
      <c r="M2988" t="s">
        <v>1987</v>
      </c>
    </row>
    <row r="2989" spans="12:13" x14ac:dyDescent="0.25">
      <c r="L2989" s="65">
        <v>612110</v>
      </c>
      <c r="M2989" t="s">
        <v>2174</v>
      </c>
    </row>
    <row r="2990" spans="12:13" x14ac:dyDescent="0.25">
      <c r="L2990" s="65">
        <v>612111</v>
      </c>
      <c r="M2990" t="s">
        <v>2174</v>
      </c>
    </row>
    <row r="2991" spans="12:13" x14ac:dyDescent="0.25">
      <c r="L2991" s="65">
        <v>612120</v>
      </c>
      <c r="M2991" t="s">
        <v>2175</v>
      </c>
    </row>
    <row r="2992" spans="12:13" x14ac:dyDescent="0.25">
      <c r="L2992" s="65">
        <v>612121</v>
      </c>
      <c r="M2992" t="s">
        <v>2176</v>
      </c>
    </row>
    <row r="2993" spans="12:13" x14ac:dyDescent="0.25">
      <c r="L2993" s="65">
        <v>612122</v>
      </c>
      <c r="M2993" t="s">
        <v>2177</v>
      </c>
    </row>
    <row r="2994" spans="12:13" x14ac:dyDescent="0.25">
      <c r="L2994" s="65">
        <v>612200</v>
      </c>
      <c r="M2994" t="s">
        <v>1988</v>
      </c>
    </row>
    <row r="2995" spans="12:13" x14ac:dyDescent="0.25">
      <c r="L2995" s="65">
        <v>612210</v>
      </c>
      <c r="M2995" t="s">
        <v>2178</v>
      </c>
    </row>
    <row r="2996" spans="12:13" x14ac:dyDescent="0.25">
      <c r="L2996" s="65">
        <v>612211</v>
      </c>
      <c r="M2996" t="s">
        <v>2178</v>
      </c>
    </row>
    <row r="2997" spans="12:13" x14ac:dyDescent="0.25">
      <c r="L2997" s="65">
        <v>612220</v>
      </c>
      <c r="M2997" t="s">
        <v>2179</v>
      </c>
    </row>
    <row r="2998" spans="12:13" x14ac:dyDescent="0.25">
      <c r="L2998" s="65">
        <v>612221</v>
      </c>
      <c r="M2998" t="s">
        <v>2179</v>
      </c>
    </row>
    <row r="2999" spans="12:13" x14ac:dyDescent="0.25">
      <c r="L2999" s="65">
        <v>612290</v>
      </c>
      <c r="M2999" t="s">
        <v>2180</v>
      </c>
    </row>
    <row r="3000" spans="12:13" x14ac:dyDescent="0.25">
      <c r="L3000" s="65">
        <v>612291</v>
      </c>
      <c r="M3000" t="s">
        <v>2180</v>
      </c>
    </row>
    <row r="3001" spans="12:13" x14ac:dyDescent="0.25">
      <c r="L3001" s="65">
        <v>612300</v>
      </c>
      <c r="M3001" t="s">
        <v>1989</v>
      </c>
    </row>
    <row r="3002" spans="12:13" x14ac:dyDescent="0.25">
      <c r="L3002" s="65">
        <v>612310</v>
      </c>
      <c r="M3002" t="s">
        <v>2181</v>
      </c>
    </row>
    <row r="3003" spans="12:13" x14ac:dyDescent="0.25">
      <c r="L3003" s="65">
        <v>612311</v>
      </c>
      <c r="M3003" t="s">
        <v>2181</v>
      </c>
    </row>
    <row r="3004" spans="12:13" x14ac:dyDescent="0.25">
      <c r="L3004" s="65">
        <v>612320</v>
      </c>
      <c r="M3004" t="s">
        <v>2182</v>
      </c>
    </row>
    <row r="3005" spans="12:13" x14ac:dyDescent="0.25">
      <c r="L3005" s="65">
        <v>612321</v>
      </c>
      <c r="M3005" t="s">
        <v>2182</v>
      </c>
    </row>
    <row r="3006" spans="12:13" x14ac:dyDescent="0.25">
      <c r="L3006" s="65">
        <v>612330</v>
      </c>
      <c r="M3006" t="s">
        <v>2183</v>
      </c>
    </row>
    <row r="3007" spans="12:13" x14ac:dyDescent="0.25">
      <c r="L3007" s="65">
        <v>612331</v>
      </c>
      <c r="M3007" t="s">
        <v>2183</v>
      </c>
    </row>
    <row r="3008" spans="12:13" x14ac:dyDescent="0.25">
      <c r="L3008" s="65">
        <v>612340</v>
      </c>
      <c r="M3008" t="s">
        <v>2184</v>
      </c>
    </row>
    <row r="3009" spans="12:13" x14ac:dyDescent="0.25">
      <c r="L3009" s="65">
        <v>612341</v>
      </c>
      <c r="M3009" t="s">
        <v>2184</v>
      </c>
    </row>
    <row r="3010" spans="12:13" x14ac:dyDescent="0.25">
      <c r="L3010" s="65">
        <v>612350</v>
      </c>
      <c r="M3010" t="s">
        <v>2185</v>
      </c>
    </row>
    <row r="3011" spans="12:13" x14ac:dyDescent="0.25">
      <c r="L3011" s="65">
        <v>612351</v>
      </c>
      <c r="M3011" t="s">
        <v>2185</v>
      </c>
    </row>
    <row r="3012" spans="12:13" x14ac:dyDescent="0.25">
      <c r="L3012" s="65">
        <v>612390</v>
      </c>
      <c r="M3012" t="s">
        <v>2186</v>
      </c>
    </row>
    <row r="3013" spans="12:13" x14ac:dyDescent="0.25">
      <c r="L3013" s="65">
        <v>612391</v>
      </c>
      <c r="M3013" t="s">
        <v>2186</v>
      </c>
    </row>
    <row r="3014" spans="12:13" x14ac:dyDescent="0.25">
      <c r="L3014" s="65">
        <v>612400</v>
      </c>
      <c r="M3014" t="s">
        <v>2187</v>
      </c>
    </row>
    <row r="3015" spans="12:13" x14ac:dyDescent="0.25">
      <c r="L3015" s="65">
        <v>612410</v>
      </c>
      <c r="M3015" t="s">
        <v>2188</v>
      </c>
    </row>
    <row r="3016" spans="12:13" x14ac:dyDescent="0.25">
      <c r="L3016" s="65">
        <v>612411</v>
      </c>
      <c r="M3016" t="s">
        <v>2188</v>
      </c>
    </row>
    <row r="3017" spans="12:13" x14ac:dyDescent="0.25">
      <c r="L3017" s="65">
        <v>612490</v>
      </c>
      <c r="M3017" t="s">
        <v>2189</v>
      </c>
    </row>
    <row r="3018" spans="12:13" x14ac:dyDescent="0.25">
      <c r="L3018" s="65">
        <v>612491</v>
      </c>
      <c r="M3018" t="s">
        <v>2189</v>
      </c>
    </row>
    <row r="3019" spans="12:13" x14ac:dyDescent="0.25">
      <c r="L3019" s="65">
        <v>612500</v>
      </c>
      <c r="M3019" t="s">
        <v>2190</v>
      </c>
    </row>
    <row r="3020" spans="12:13" x14ac:dyDescent="0.25">
      <c r="L3020" s="65">
        <v>612510</v>
      </c>
      <c r="M3020" t="s">
        <v>2190</v>
      </c>
    </row>
    <row r="3021" spans="12:13" x14ac:dyDescent="0.25">
      <c r="L3021" s="65">
        <v>612511</v>
      </c>
      <c r="M3021" t="s">
        <v>2190</v>
      </c>
    </row>
    <row r="3022" spans="12:13" x14ac:dyDescent="0.25">
      <c r="L3022" s="65">
        <v>612600</v>
      </c>
      <c r="M3022" t="s">
        <v>1992</v>
      </c>
    </row>
    <row r="3023" spans="12:13" x14ac:dyDescent="0.25">
      <c r="L3023" s="65">
        <v>612610</v>
      </c>
      <c r="M3023" t="s">
        <v>1992</v>
      </c>
    </row>
    <row r="3024" spans="12:13" x14ac:dyDescent="0.25">
      <c r="L3024" s="65">
        <v>612611</v>
      </c>
      <c r="M3024" t="s">
        <v>1992</v>
      </c>
    </row>
    <row r="3025" spans="12:13" x14ac:dyDescent="0.25">
      <c r="L3025" s="65">
        <v>612900</v>
      </c>
      <c r="M3025" t="s">
        <v>1993</v>
      </c>
    </row>
    <row r="3026" spans="12:13" x14ac:dyDescent="0.25">
      <c r="L3026" s="65">
        <v>612910</v>
      </c>
      <c r="M3026" t="s">
        <v>2191</v>
      </c>
    </row>
    <row r="3027" spans="12:13" x14ac:dyDescent="0.25">
      <c r="L3027" s="65">
        <v>612911</v>
      </c>
      <c r="M3027" t="s">
        <v>2191</v>
      </c>
    </row>
    <row r="3028" spans="12:13" x14ac:dyDescent="0.25">
      <c r="L3028" s="65">
        <v>613000</v>
      </c>
      <c r="M3028" t="s">
        <v>1994</v>
      </c>
    </row>
    <row r="3029" spans="12:13" x14ac:dyDescent="0.25">
      <c r="L3029" s="65">
        <v>613100</v>
      </c>
      <c r="M3029" t="s">
        <v>1994</v>
      </c>
    </row>
    <row r="3030" spans="12:13" x14ac:dyDescent="0.25">
      <c r="L3030" s="65">
        <v>613110</v>
      </c>
      <c r="M3030" t="s">
        <v>1994</v>
      </c>
    </row>
    <row r="3031" spans="12:13" x14ac:dyDescent="0.25">
      <c r="L3031" s="65">
        <v>613111</v>
      </c>
      <c r="M3031" t="s">
        <v>1994</v>
      </c>
    </row>
    <row r="3032" spans="12:13" x14ac:dyDescent="0.25">
      <c r="L3032" s="65">
        <v>614000</v>
      </c>
      <c r="M3032" t="s">
        <v>1995</v>
      </c>
    </row>
    <row r="3033" spans="12:13" x14ac:dyDescent="0.25">
      <c r="L3033" s="65">
        <v>614100</v>
      </c>
      <c r="M3033" t="s">
        <v>1995</v>
      </c>
    </row>
    <row r="3034" spans="12:13" x14ac:dyDescent="0.25">
      <c r="L3034" s="65">
        <v>614110</v>
      </c>
      <c r="M3034" t="s">
        <v>1995</v>
      </c>
    </row>
    <row r="3035" spans="12:13" x14ac:dyDescent="0.25">
      <c r="L3035" s="65">
        <v>614111</v>
      </c>
      <c r="M3035" t="s">
        <v>2192</v>
      </c>
    </row>
    <row r="3036" spans="12:13" x14ac:dyDescent="0.25">
      <c r="L3036" s="65">
        <v>620000</v>
      </c>
      <c r="M3036" t="s">
        <v>1996</v>
      </c>
    </row>
    <row r="3037" spans="12:13" x14ac:dyDescent="0.25">
      <c r="L3037" s="65">
        <v>621000</v>
      </c>
      <c r="M3037" t="s">
        <v>1997</v>
      </c>
    </row>
    <row r="3038" spans="12:13" x14ac:dyDescent="0.25">
      <c r="L3038" s="65">
        <v>621100</v>
      </c>
      <c r="M3038" t="s">
        <v>1998</v>
      </c>
    </row>
    <row r="3039" spans="12:13" x14ac:dyDescent="0.25">
      <c r="L3039" s="65">
        <v>621110</v>
      </c>
      <c r="M3039" t="s">
        <v>2193</v>
      </c>
    </row>
    <row r="3040" spans="12:13" x14ac:dyDescent="0.25">
      <c r="L3040" s="65">
        <v>621111</v>
      </c>
      <c r="M3040" t="s">
        <v>2193</v>
      </c>
    </row>
    <row r="3041" spans="12:13" x14ac:dyDescent="0.25">
      <c r="L3041" s="65">
        <v>621120</v>
      </c>
      <c r="M3041" t="s">
        <v>563</v>
      </c>
    </row>
    <row r="3042" spans="12:13" x14ac:dyDescent="0.25">
      <c r="L3042" s="65">
        <v>621121</v>
      </c>
      <c r="M3042" t="s">
        <v>563</v>
      </c>
    </row>
    <row r="3043" spans="12:13" x14ac:dyDescent="0.25">
      <c r="L3043" s="65">
        <v>621200</v>
      </c>
      <c r="M3043" t="s">
        <v>565</v>
      </c>
    </row>
    <row r="3044" spans="12:13" x14ac:dyDescent="0.25">
      <c r="L3044" s="65">
        <v>621210</v>
      </c>
      <c r="M3044" t="s">
        <v>566</v>
      </c>
    </row>
    <row r="3045" spans="12:13" x14ac:dyDescent="0.25">
      <c r="L3045" s="65">
        <v>621211</v>
      </c>
      <c r="M3045" t="s">
        <v>566</v>
      </c>
    </row>
    <row r="3046" spans="12:13" x14ac:dyDescent="0.25">
      <c r="L3046" s="65">
        <v>621220</v>
      </c>
      <c r="M3046" t="s">
        <v>567</v>
      </c>
    </row>
    <row r="3047" spans="12:13" x14ac:dyDescent="0.25">
      <c r="L3047" s="65">
        <v>621221</v>
      </c>
      <c r="M3047" t="s">
        <v>567</v>
      </c>
    </row>
    <row r="3048" spans="12:13" x14ac:dyDescent="0.25">
      <c r="L3048" s="65">
        <v>621230</v>
      </c>
      <c r="M3048" t="s">
        <v>568</v>
      </c>
    </row>
    <row r="3049" spans="12:13" x14ac:dyDescent="0.25">
      <c r="L3049" s="65">
        <v>621231</v>
      </c>
      <c r="M3049" t="s">
        <v>568</v>
      </c>
    </row>
    <row r="3050" spans="12:13" x14ac:dyDescent="0.25">
      <c r="L3050" s="65">
        <v>621240</v>
      </c>
      <c r="M3050" t="s">
        <v>569</v>
      </c>
    </row>
    <row r="3051" spans="12:13" x14ac:dyDescent="0.25">
      <c r="L3051" s="65">
        <v>621241</v>
      </c>
      <c r="M3051" t="s">
        <v>569</v>
      </c>
    </row>
    <row r="3052" spans="12:13" x14ac:dyDescent="0.25">
      <c r="L3052" s="65">
        <v>621250</v>
      </c>
      <c r="M3052" t="s">
        <v>570</v>
      </c>
    </row>
    <row r="3053" spans="12:13" x14ac:dyDescent="0.25">
      <c r="L3053" s="65">
        <v>621251</v>
      </c>
      <c r="M3053" t="s">
        <v>571</v>
      </c>
    </row>
    <row r="3054" spans="12:13" x14ac:dyDescent="0.25">
      <c r="L3054" s="65">
        <v>621252</v>
      </c>
      <c r="M3054" t="s">
        <v>572</v>
      </c>
    </row>
    <row r="3055" spans="12:13" x14ac:dyDescent="0.25">
      <c r="L3055" s="65">
        <v>621255</v>
      </c>
      <c r="M3055" t="s">
        <v>573</v>
      </c>
    </row>
    <row r="3056" spans="12:13" x14ac:dyDescent="0.25">
      <c r="L3056" s="65">
        <v>621300</v>
      </c>
      <c r="M3056" t="s">
        <v>580</v>
      </c>
    </row>
    <row r="3057" spans="12:13" x14ac:dyDescent="0.25">
      <c r="L3057" s="65">
        <v>621310</v>
      </c>
      <c r="M3057" t="s">
        <v>581</v>
      </c>
    </row>
    <row r="3058" spans="12:13" x14ac:dyDescent="0.25">
      <c r="L3058" s="65">
        <v>621311</v>
      </c>
      <c r="M3058" t="s">
        <v>581</v>
      </c>
    </row>
    <row r="3059" spans="12:13" x14ac:dyDescent="0.25">
      <c r="L3059" s="65">
        <v>621390</v>
      </c>
      <c r="M3059" t="s">
        <v>582</v>
      </c>
    </row>
    <row r="3060" spans="12:13" x14ac:dyDescent="0.25">
      <c r="L3060" s="65">
        <v>621391</v>
      </c>
      <c r="M3060" t="s">
        <v>582</v>
      </c>
    </row>
    <row r="3061" spans="12:13" x14ac:dyDescent="0.25">
      <c r="L3061" s="65">
        <v>621400</v>
      </c>
      <c r="M3061" t="s">
        <v>587</v>
      </c>
    </row>
    <row r="3062" spans="12:13" x14ac:dyDescent="0.25">
      <c r="L3062" s="65">
        <v>621410</v>
      </c>
      <c r="M3062" t="s">
        <v>587</v>
      </c>
    </row>
    <row r="3063" spans="12:13" x14ac:dyDescent="0.25">
      <c r="L3063" s="65">
        <v>621411</v>
      </c>
      <c r="M3063" t="s">
        <v>587</v>
      </c>
    </row>
    <row r="3064" spans="12:13" x14ac:dyDescent="0.25">
      <c r="L3064" s="65">
        <v>621500</v>
      </c>
      <c r="M3064" t="s">
        <v>2194</v>
      </c>
    </row>
    <row r="3065" spans="12:13" x14ac:dyDescent="0.25">
      <c r="L3065" s="65">
        <v>621510</v>
      </c>
      <c r="M3065" t="s">
        <v>2194</v>
      </c>
    </row>
    <row r="3066" spans="12:13" x14ac:dyDescent="0.25">
      <c r="L3066" s="65">
        <v>621511</v>
      </c>
      <c r="M3066" t="s">
        <v>2194</v>
      </c>
    </row>
    <row r="3067" spans="12:13" x14ac:dyDescent="0.25">
      <c r="L3067" s="65">
        <v>621600</v>
      </c>
      <c r="M3067" t="s">
        <v>591</v>
      </c>
    </row>
    <row r="3068" spans="12:13" x14ac:dyDescent="0.25">
      <c r="L3068" s="65">
        <v>621610</v>
      </c>
      <c r="M3068" t="s">
        <v>591</v>
      </c>
    </row>
    <row r="3069" spans="12:13" x14ac:dyDescent="0.25">
      <c r="L3069" s="65">
        <v>621611</v>
      </c>
      <c r="M3069" t="s">
        <v>2195</v>
      </c>
    </row>
    <row r="3070" spans="12:13" x14ac:dyDescent="0.25">
      <c r="L3070" s="65">
        <v>621612</v>
      </c>
      <c r="M3070" t="s">
        <v>2196</v>
      </c>
    </row>
    <row r="3071" spans="12:13" x14ac:dyDescent="0.25">
      <c r="L3071" s="65">
        <v>621613</v>
      </c>
      <c r="M3071" t="s">
        <v>594</v>
      </c>
    </row>
    <row r="3072" spans="12:13" x14ac:dyDescent="0.25">
      <c r="L3072" s="65">
        <v>621700</v>
      </c>
      <c r="M3072" t="s">
        <v>2197</v>
      </c>
    </row>
    <row r="3073" spans="12:13" x14ac:dyDescent="0.25">
      <c r="L3073" s="65">
        <v>621710</v>
      </c>
      <c r="M3073" t="s">
        <v>2197</v>
      </c>
    </row>
    <row r="3074" spans="12:13" x14ac:dyDescent="0.25">
      <c r="L3074" s="65">
        <v>621711</v>
      </c>
      <c r="M3074" t="s">
        <v>597</v>
      </c>
    </row>
    <row r="3075" spans="12:13" x14ac:dyDescent="0.25">
      <c r="L3075" s="65">
        <v>621712</v>
      </c>
      <c r="M3075" t="s">
        <v>598</v>
      </c>
    </row>
    <row r="3076" spans="12:13" x14ac:dyDescent="0.25">
      <c r="L3076" s="65">
        <v>621800</v>
      </c>
      <c r="M3076" t="s">
        <v>600</v>
      </c>
    </row>
    <row r="3077" spans="12:13" x14ac:dyDescent="0.25">
      <c r="L3077" s="65">
        <v>621810</v>
      </c>
      <c r="M3077" t="s">
        <v>600</v>
      </c>
    </row>
    <row r="3078" spans="12:13" x14ac:dyDescent="0.25">
      <c r="L3078" s="65">
        <v>621811</v>
      </c>
      <c r="M3078" t="s">
        <v>600</v>
      </c>
    </row>
    <row r="3079" spans="12:13" x14ac:dyDescent="0.25">
      <c r="L3079" s="65">
        <v>621900</v>
      </c>
      <c r="M3079" t="s">
        <v>2000</v>
      </c>
    </row>
    <row r="3080" spans="12:13" x14ac:dyDescent="0.25">
      <c r="L3080" s="65">
        <v>621910</v>
      </c>
      <c r="M3080" t="s">
        <v>2198</v>
      </c>
    </row>
    <row r="3081" spans="12:13" x14ac:dyDescent="0.25">
      <c r="L3081" s="65">
        <v>621911</v>
      </c>
      <c r="M3081" t="s">
        <v>2198</v>
      </c>
    </row>
    <row r="3082" spans="12:13" x14ac:dyDescent="0.25">
      <c r="L3082" s="65">
        <v>621920</v>
      </c>
      <c r="M3082" t="s">
        <v>604</v>
      </c>
    </row>
    <row r="3083" spans="12:13" x14ac:dyDescent="0.25">
      <c r="L3083" s="65">
        <v>621921</v>
      </c>
      <c r="M3083" t="s">
        <v>605</v>
      </c>
    </row>
    <row r="3084" spans="12:13" x14ac:dyDescent="0.25">
      <c r="L3084" s="65">
        <v>621922</v>
      </c>
      <c r="M3084" t="s">
        <v>2199</v>
      </c>
    </row>
    <row r="3085" spans="12:13" x14ac:dyDescent="0.25">
      <c r="L3085" s="65">
        <v>621930</v>
      </c>
      <c r="M3085" t="s">
        <v>607</v>
      </c>
    </row>
    <row r="3086" spans="12:13" x14ac:dyDescent="0.25">
      <c r="L3086" s="65">
        <v>621931</v>
      </c>
      <c r="M3086" t="s">
        <v>607</v>
      </c>
    </row>
    <row r="3087" spans="12:13" x14ac:dyDescent="0.25">
      <c r="L3087" s="65">
        <v>621940</v>
      </c>
      <c r="M3087" t="s">
        <v>608</v>
      </c>
    </row>
    <row r="3088" spans="12:13" x14ac:dyDescent="0.25">
      <c r="L3088" s="65">
        <v>621941</v>
      </c>
      <c r="M3088" t="s">
        <v>608</v>
      </c>
    </row>
    <row r="3089" spans="12:13" x14ac:dyDescent="0.25">
      <c r="L3089" s="65">
        <v>622000</v>
      </c>
      <c r="M3089" t="s">
        <v>2001</v>
      </c>
    </row>
    <row r="3090" spans="12:13" x14ac:dyDescent="0.25">
      <c r="L3090" s="65">
        <v>622100</v>
      </c>
      <c r="M3090" t="s">
        <v>2002</v>
      </c>
    </row>
    <row r="3091" spans="12:13" x14ac:dyDescent="0.25">
      <c r="L3091" s="65">
        <v>622110</v>
      </c>
      <c r="M3091" t="s">
        <v>2200</v>
      </c>
    </row>
    <row r="3092" spans="12:13" x14ac:dyDescent="0.25">
      <c r="L3092" s="65">
        <v>622111</v>
      </c>
      <c r="M3092" t="s">
        <v>2200</v>
      </c>
    </row>
    <row r="3093" spans="12:13" x14ac:dyDescent="0.25">
      <c r="L3093" s="65">
        <v>622120</v>
      </c>
      <c r="M3093" t="s">
        <v>2201</v>
      </c>
    </row>
    <row r="3094" spans="12:13" x14ac:dyDescent="0.25">
      <c r="L3094" s="65">
        <v>622121</v>
      </c>
      <c r="M3094" t="s">
        <v>2201</v>
      </c>
    </row>
    <row r="3095" spans="12:13" x14ac:dyDescent="0.25">
      <c r="L3095" s="65">
        <v>622200</v>
      </c>
      <c r="M3095" t="s">
        <v>617</v>
      </c>
    </row>
    <row r="3096" spans="12:13" x14ac:dyDescent="0.25">
      <c r="L3096" s="65">
        <v>622210</v>
      </c>
      <c r="M3096" t="s">
        <v>617</v>
      </c>
    </row>
    <row r="3097" spans="12:13" x14ac:dyDescent="0.25">
      <c r="L3097" s="65">
        <v>622211</v>
      </c>
      <c r="M3097" t="s">
        <v>617</v>
      </c>
    </row>
    <row r="3098" spans="12:13" x14ac:dyDescent="0.25">
      <c r="L3098" s="65">
        <v>622300</v>
      </c>
      <c r="M3098" t="s">
        <v>619</v>
      </c>
    </row>
    <row r="3099" spans="12:13" x14ac:dyDescent="0.25">
      <c r="L3099" s="65">
        <v>622310</v>
      </c>
      <c r="M3099" t="s">
        <v>619</v>
      </c>
    </row>
    <row r="3100" spans="12:13" x14ac:dyDescent="0.25">
      <c r="L3100" s="65">
        <v>622311</v>
      </c>
      <c r="M3100" t="s">
        <v>619</v>
      </c>
    </row>
    <row r="3101" spans="12:13" x14ac:dyDescent="0.25">
      <c r="L3101" s="65">
        <v>622400</v>
      </c>
      <c r="M3101" t="s">
        <v>621</v>
      </c>
    </row>
    <row r="3102" spans="12:13" x14ac:dyDescent="0.25">
      <c r="L3102" s="65">
        <v>622410</v>
      </c>
      <c r="M3102" t="s">
        <v>621</v>
      </c>
    </row>
    <row r="3103" spans="12:13" x14ac:dyDescent="0.25">
      <c r="L3103" s="65">
        <v>622411</v>
      </c>
      <c r="M3103" t="s">
        <v>621</v>
      </c>
    </row>
    <row r="3104" spans="12:13" x14ac:dyDescent="0.25">
      <c r="L3104" s="65">
        <v>622500</v>
      </c>
      <c r="M3104" t="s">
        <v>623</v>
      </c>
    </row>
    <row r="3105" spans="12:13" x14ac:dyDescent="0.25">
      <c r="L3105" s="65">
        <v>622510</v>
      </c>
      <c r="M3105" t="s">
        <v>623</v>
      </c>
    </row>
    <row r="3106" spans="12:13" x14ac:dyDescent="0.25">
      <c r="L3106" s="65">
        <v>622511</v>
      </c>
      <c r="M3106" t="s">
        <v>623</v>
      </c>
    </row>
    <row r="3107" spans="12:13" x14ac:dyDescent="0.25">
      <c r="L3107" s="65">
        <v>622600</v>
      </c>
      <c r="M3107" t="s">
        <v>625</v>
      </c>
    </row>
    <row r="3108" spans="12:13" x14ac:dyDescent="0.25">
      <c r="L3108" s="65">
        <v>622610</v>
      </c>
      <c r="M3108" t="s">
        <v>625</v>
      </c>
    </row>
    <row r="3109" spans="12:13" x14ac:dyDescent="0.25">
      <c r="L3109" s="65">
        <v>622611</v>
      </c>
      <c r="M3109" t="s">
        <v>626</v>
      </c>
    </row>
    <row r="3110" spans="12:13" x14ac:dyDescent="0.25">
      <c r="L3110" s="65">
        <v>622612</v>
      </c>
      <c r="M3110" t="s">
        <v>627</v>
      </c>
    </row>
    <row r="3111" spans="12:13" x14ac:dyDescent="0.25">
      <c r="L3111" s="65">
        <v>622700</v>
      </c>
      <c r="M3111" t="s">
        <v>2003</v>
      </c>
    </row>
    <row r="3112" spans="12:13" x14ac:dyDescent="0.25">
      <c r="L3112" s="65">
        <v>622710</v>
      </c>
      <c r="M3112" t="s">
        <v>630</v>
      </c>
    </row>
    <row r="3113" spans="12:13" x14ac:dyDescent="0.25">
      <c r="L3113" s="65">
        <v>622711</v>
      </c>
      <c r="M3113" t="s">
        <v>630</v>
      </c>
    </row>
    <row r="3114" spans="12:13" x14ac:dyDescent="0.25">
      <c r="L3114" s="65">
        <v>622720</v>
      </c>
      <c r="M3114" t="s">
        <v>631</v>
      </c>
    </row>
    <row r="3115" spans="12:13" x14ac:dyDescent="0.25">
      <c r="L3115" s="65">
        <v>622721</v>
      </c>
      <c r="M3115" t="s">
        <v>631</v>
      </c>
    </row>
    <row r="3116" spans="12:13" x14ac:dyDescent="0.25">
      <c r="L3116" s="65">
        <v>622800</v>
      </c>
      <c r="M3116" t="s">
        <v>2004</v>
      </c>
    </row>
    <row r="3117" spans="12:13" x14ac:dyDescent="0.25">
      <c r="L3117" s="65">
        <v>622810</v>
      </c>
      <c r="M3117" t="s">
        <v>2004</v>
      </c>
    </row>
    <row r="3118" spans="12:13" x14ac:dyDescent="0.25">
      <c r="L3118" s="65">
        <v>622811</v>
      </c>
      <c r="M3118" t="s">
        <v>2004</v>
      </c>
    </row>
    <row r="3119" spans="12:13" x14ac:dyDescent="0.25">
      <c r="L3119" s="65">
        <v>623000</v>
      </c>
      <c r="M3119" t="s">
        <v>2202</v>
      </c>
    </row>
    <row r="3120" spans="12:13" x14ac:dyDescent="0.25">
      <c r="L3120" s="65">
        <v>623100</v>
      </c>
      <c r="M3120" t="s">
        <v>2203</v>
      </c>
    </row>
    <row r="3121" spans="12:13" x14ac:dyDescent="0.25">
      <c r="L3121" s="65">
        <v>623110</v>
      </c>
      <c r="M3121" t="s">
        <v>2203</v>
      </c>
    </row>
    <row r="3122" spans="12:13" x14ac:dyDescent="0.25">
      <c r="L3122" s="65">
        <v>623111</v>
      </c>
      <c r="M3122" t="s">
        <v>2203</v>
      </c>
    </row>
    <row r="3123" spans="12:13" x14ac:dyDescent="0.25">
      <c r="L3123" s="65">
        <v>690000</v>
      </c>
      <c r="M3123" t="s">
        <v>2204</v>
      </c>
    </row>
    <row r="3124" spans="12:13" x14ac:dyDescent="0.25">
      <c r="L3124" s="65">
        <v>699000</v>
      </c>
      <c r="M3124" t="s">
        <v>2204</v>
      </c>
    </row>
    <row r="3125" spans="12:13" x14ac:dyDescent="0.25">
      <c r="L3125" s="65">
        <v>699900</v>
      </c>
      <c r="M3125" t="s">
        <v>2204</v>
      </c>
    </row>
    <row r="3126" spans="12:13" x14ac:dyDescent="0.25">
      <c r="L3126" s="65">
        <v>699990</v>
      </c>
      <c r="M3126" t="s">
        <v>2204</v>
      </c>
    </row>
    <row r="3127" spans="12:13" x14ac:dyDescent="0.25">
      <c r="L3127" s="65">
        <v>699999</v>
      </c>
      <c r="M3127" t="s">
        <v>2204</v>
      </c>
    </row>
    <row r="3128" spans="12:13" x14ac:dyDescent="0.25">
      <c r="L3128" s="65">
        <v>700000</v>
      </c>
      <c r="M3128" t="s">
        <v>2206</v>
      </c>
    </row>
    <row r="3129" spans="12:13" x14ac:dyDescent="0.25">
      <c r="L3129" s="65">
        <v>710000</v>
      </c>
      <c r="M3129" t="s">
        <v>2207</v>
      </c>
    </row>
    <row r="3130" spans="12:13" x14ac:dyDescent="0.25">
      <c r="L3130" s="65">
        <v>711000</v>
      </c>
      <c r="M3130" t="s">
        <v>2208</v>
      </c>
    </row>
    <row r="3131" spans="12:13" x14ac:dyDescent="0.25">
      <c r="L3131" s="65">
        <v>711100</v>
      </c>
      <c r="M3131" t="s">
        <v>2209</v>
      </c>
    </row>
    <row r="3132" spans="12:13" x14ac:dyDescent="0.25">
      <c r="L3132" s="65">
        <v>711110</v>
      </c>
      <c r="M3132" t="s">
        <v>2210</v>
      </c>
    </row>
    <row r="3133" spans="12:13" x14ac:dyDescent="0.25">
      <c r="L3133" s="65">
        <v>711111</v>
      </c>
      <c r="M3133" t="s">
        <v>2210</v>
      </c>
    </row>
    <row r="3134" spans="12:13" x14ac:dyDescent="0.25">
      <c r="L3134" s="65">
        <v>711120</v>
      </c>
      <c r="M3134" t="s">
        <v>2211</v>
      </c>
    </row>
    <row r="3135" spans="12:13" x14ac:dyDescent="0.25">
      <c r="L3135" s="65">
        <v>711121</v>
      </c>
      <c r="M3135" t="s">
        <v>2212</v>
      </c>
    </row>
    <row r="3136" spans="12:13" x14ac:dyDescent="0.25">
      <c r="L3136" s="65">
        <v>711122</v>
      </c>
      <c r="M3136" t="s">
        <v>2213</v>
      </c>
    </row>
    <row r="3137" spans="12:13" x14ac:dyDescent="0.25">
      <c r="L3137" s="65">
        <v>711130</v>
      </c>
      <c r="M3137" t="s">
        <v>2214</v>
      </c>
    </row>
    <row r="3138" spans="12:13" x14ac:dyDescent="0.25">
      <c r="L3138" s="65">
        <v>711131</v>
      </c>
      <c r="M3138" t="s">
        <v>2215</v>
      </c>
    </row>
    <row r="3139" spans="12:13" x14ac:dyDescent="0.25">
      <c r="L3139" s="65">
        <v>711140</v>
      </c>
      <c r="M3139" t="s">
        <v>2216</v>
      </c>
    </row>
    <row r="3140" spans="12:13" x14ac:dyDescent="0.25">
      <c r="L3140" s="65">
        <v>711141</v>
      </c>
      <c r="M3140" t="s">
        <v>2217</v>
      </c>
    </row>
    <row r="3141" spans="12:13" x14ac:dyDescent="0.25">
      <c r="L3141" s="65">
        <v>711142</v>
      </c>
      <c r="M3141" t="s">
        <v>2218</v>
      </c>
    </row>
    <row r="3142" spans="12:13" x14ac:dyDescent="0.25">
      <c r="L3142" s="65">
        <v>711143</v>
      </c>
      <c r="M3142" t="s">
        <v>2219</v>
      </c>
    </row>
    <row r="3143" spans="12:13" x14ac:dyDescent="0.25">
      <c r="L3143" s="65">
        <v>711144</v>
      </c>
      <c r="M3143" t="s">
        <v>2220</v>
      </c>
    </row>
    <row r="3144" spans="12:13" x14ac:dyDescent="0.25">
      <c r="L3144" s="65">
        <v>711145</v>
      </c>
      <c r="M3144" t="s">
        <v>2221</v>
      </c>
    </row>
    <row r="3145" spans="12:13" x14ac:dyDescent="0.25">
      <c r="L3145" s="65">
        <v>711146</v>
      </c>
      <c r="M3145" t="s">
        <v>2222</v>
      </c>
    </row>
    <row r="3146" spans="12:13" x14ac:dyDescent="0.25">
      <c r="L3146" s="65">
        <v>711147</v>
      </c>
      <c r="M3146" t="s">
        <v>2223</v>
      </c>
    </row>
    <row r="3147" spans="12:13" x14ac:dyDescent="0.25">
      <c r="L3147" s="65">
        <v>711148</v>
      </c>
      <c r="M3147" t="s">
        <v>2224</v>
      </c>
    </row>
    <row r="3148" spans="12:13" x14ac:dyDescent="0.25">
      <c r="L3148" s="65">
        <v>711149</v>
      </c>
      <c r="M3148" t="s">
        <v>2225</v>
      </c>
    </row>
    <row r="3149" spans="12:13" x14ac:dyDescent="0.25">
      <c r="L3149" s="65">
        <v>711150</v>
      </c>
      <c r="M3149" t="s">
        <v>2226</v>
      </c>
    </row>
    <row r="3150" spans="12:13" x14ac:dyDescent="0.25">
      <c r="L3150" s="65">
        <v>711151</v>
      </c>
      <c r="M3150" t="s">
        <v>2226</v>
      </c>
    </row>
    <row r="3151" spans="12:13" x14ac:dyDescent="0.25">
      <c r="L3151" s="65">
        <v>711160</v>
      </c>
      <c r="M3151" t="s">
        <v>2227</v>
      </c>
    </row>
    <row r="3152" spans="12:13" x14ac:dyDescent="0.25">
      <c r="L3152" s="65">
        <v>711161</v>
      </c>
      <c r="M3152" t="s">
        <v>2227</v>
      </c>
    </row>
    <row r="3153" spans="12:13" x14ac:dyDescent="0.25">
      <c r="L3153" s="65">
        <v>711170</v>
      </c>
      <c r="M3153" t="s">
        <v>2228</v>
      </c>
    </row>
    <row r="3154" spans="12:13" x14ac:dyDescent="0.25">
      <c r="L3154" s="65">
        <v>711171</v>
      </c>
      <c r="M3154" t="s">
        <v>2228</v>
      </c>
    </row>
    <row r="3155" spans="12:13" x14ac:dyDescent="0.25">
      <c r="L3155" s="65">
        <v>711180</v>
      </c>
      <c r="M3155" t="s">
        <v>2229</v>
      </c>
    </row>
    <row r="3156" spans="12:13" x14ac:dyDescent="0.25">
      <c r="L3156" s="65">
        <v>711181</v>
      </c>
      <c r="M3156" t="s">
        <v>2230</v>
      </c>
    </row>
    <row r="3157" spans="12:13" x14ac:dyDescent="0.25">
      <c r="L3157" s="65">
        <v>711182</v>
      </c>
      <c r="M3157" t="s">
        <v>2231</v>
      </c>
    </row>
    <row r="3158" spans="12:13" x14ac:dyDescent="0.25">
      <c r="L3158" s="65">
        <v>711183</v>
      </c>
      <c r="M3158" t="s">
        <v>2232</v>
      </c>
    </row>
    <row r="3159" spans="12:13" x14ac:dyDescent="0.25">
      <c r="L3159" s="65">
        <v>711184</v>
      </c>
      <c r="M3159" t="s">
        <v>2233</v>
      </c>
    </row>
    <row r="3160" spans="12:13" x14ac:dyDescent="0.25">
      <c r="L3160" s="65">
        <v>711185</v>
      </c>
      <c r="M3160" t="s">
        <v>2234</v>
      </c>
    </row>
    <row r="3161" spans="12:13" x14ac:dyDescent="0.25">
      <c r="L3161" s="65">
        <v>711190</v>
      </c>
      <c r="M3161" t="s">
        <v>2235</v>
      </c>
    </row>
    <row r="3162" spans="12:13" x14ac:dyDescent="0.25">
      <c r="L3162" s="65">
        <v>711191</v>
      </c>
      <c r="M3162" t="s">
        <v>2236</v>
      </c>
    </row>
    <row r="3163" spans="12:13" x14ac:dyDescent="0.25">
      <c r="L3163" s="65">
        <v>711192</v>
      </c>
      <c r="M3163" t="s">
        <v>2237</v>
      </c>
    </row>
    <row r="3164" spans="12:13" x14ac:dyDescent="0.25">
      <c r="L3164" s="65">
        <v>711193</v>
      </c>
      <c r="M3164" t="s">
        <v>2238</v>
      </c>
    </row>
    <row r="3165" spans="12:13" x14ac:dyDescent="0.25">
      <c r="L3165" s="65">
        <v>711194</v>
      </c>
      <c r="M3165" t="s">
        <v>2239</v>
      </c>
    </row>
    <row r="3166" spans="12:13" x14ac:dyDescent="0.25">
      <c r="L3166" s="65">
        <v>711195</v>
      </c>
      <c r="M3166" t="s">
        <v>2240</v>
      </c>
    </row>
    <row r="3167" spans="12:13" x14ac:dyDescent="0.25">
      <c r="L3167" s="65">
        <v>711200</v>
      </c>
      <c r="M3167" t="s">
        <v>2241</v>
      </c>
    </row>
    <row r="3168" spans="12:13" x14ac:dyDescent="0.25">
      <c r="L3168" s="65">
        <v>711210</v>
      </c>
      <c r="M3168" t="s">
        <v>2242</v>
      </c>
    </row>
    <row r="3169" spans="12:13" x14ac:dyDescent="0.25">
      <c r="L3169" s="65">
        <v>711211</v>
      </c>
      <c r="M3169" t="s">
        <v>2243</v>
      </c>
    </row>
    <row r="3170" spans="12:13" x14ac:dyDescent="0.25">
      <c r="L3170" s="65">
        <v>711212</v>
      </c>
      <c r="M3170" t="s">
        <v>2244</v>
      </c>
    </row>
    <row r="3171" spans="12:13" x14ac:dyDescent="0.25">
      <c r="L3171" s="65">
        <v>711213</v>
      </c>
      <c r="M3171" t="s">
        <v>2245</v>
      </c>
    </row>
    <row r="3172" spans="12:13" x14ac:dyDescent="0.25">
      <c r="L3172" s="65">
        <v>711214</v>
      </c>
      <c r="M3172" t="s">
        <v>2246</v>
      </c>
    </row>
    <row r="3173" spans="12:13" x14ac:dyDescent="0.25">
      <c r="L3173" s="65">
        <v>711215</v>
      </c>
      <c r="M3173" t="s">
        <v>2247</v>
      </c>
    </row>
    <row r="3174" spans="12:13" x14ac:dyDescent="0.25">
      <c r="L3174" s="65">
        <v>711216</v>
      </c>
      <c r="M3174" t="s">
        <v>2248</v>
      </c>
    </row>
    <row r="3175" spans="12:13" x14ac:dyDescent="0.25">
      <c r="L3175" s="65">
        <v>711217</v>
      </c>
      <c r="M3175" t="s">
        <v>2249</v>
      </c>
    </row>
    <row r="3176" spans="12:13" x14ac:dyDescent="0.25">
      <c r="L3176" s="65">
        <v>711218</v>
      </c>
      <c r="M3176" t="s">
        <v>2250</v>
      </c>
    </row>
    <row r="3177" spans="12:13" x14ac:dyDescent="0.25">
      <c r="L3177" s="65">
        <v>711300</v>
      </c>
      <c r="M3177" t="s">
        <v>2251</v>
      </c>
    </row>
    <row r="3178" spans="12:13" x14ac:dyDescent="0.25">
      <c r="L3178">
        <v>711310</v>
      </c>
      <c r="M3178" t="s">
        <v>2251</v>
      </c>
    </row>
    <row r="3179" spans="12:13" x14ac:dyDescent="0.25">
      <c r="L3179" s="65">
        <v>711311</v>
      </c>
      <c r="M3179" t="s">
        <v>2251</v>
      </c>
    </row>
    <row r="3180" spans="12:13" x14ac:dyDescent="0.25">
      <c r="L3180" s="65">
        <v>712000</v>
      </c>
      <c r="M3180" t="s">
        <v>2252</v>
      </c>
    </row>
    <row r="3181" spans="12:13" x14ac:dyDescent="0.25">
      <c r="L3181" s="65">
        <v>712100</v>
      </c>
      <c r="M3181" t="s">
        <v>2252</v>
      </c>
    </row>
    <row r="3182" spans="12:13" x14ac:dyDescent="0.25">
      <c r="L3182" s="65">
        <v>712110</v>
      </c>
      <c r="M3182" t="s">
        <v>2252</v>
      </c>
    </row>
    <row r="3183" spans="12:13" x14ac:dyDescent="0.25">
      <c r="L3183" s="65">
        <v>712111</v>
      </c>
      <c r="M3183" t="s">
        <v>2253</v>
      </c>
    </row>
    <row r="3184" spans="12:13" x14ac:dyDescent="0.25">
      <c r="L3184" s="65">
        <v>712112</v>
      </c>
      <c r="M3184" t="s">
        <v>2254</v>
      </c>
    </row>
    <row r="3185" spans="12:13" x14ac:dyDescent="0.25">
      <c r="L3185" s="65">
        <v>712113</v>
      </c>
      <c r="M3185" t="s">
        <v>2255</v>
      </c>
    </row>
    <row r="3186" spans="12:13" x14ac:dyDescent="0.25">
      <c r="L3186" s="65">
        <v>713000</v>
      </c>
      <c r="M3186" t="s">
        <v>2256</v>
      </c>
    </row>
    <row r="3187" spans="12:13" x14ac:dyDescent="0.25">
      <c r="L3187" s="65">
        <v>713100</v>
      </c>
      <c r="M3187" t="s">
        <v>2257</v>
      </c>
    </row>
    <row r="3188" spans="12:13" x14ac:dyDescent="0.25">
      <c r="L3188" s="65">
        <v>713110</v>
      </c>
      <c r="M3188" t="s">
        <v>2258</v>
      </c>
    </row>
    <row r="3189" spans="12:13" x14ac:dyDescent="0.25">
      <c r="L3189" s="65">
        <v>713111</v>
      </c>
      <c r="M3189" t="s">
        <v>2259</v>
      </c>
    </row>
    <row r="3190" spans="12:13" x14ac:dyDescent="0.25">
      <c r="L3190" s="65">
        <v>713120</v>
      </c>
      <c r="M3190" t="s">
        <v>2256</v>
      </c>
    </row>
    <row r="3191" spans="12:13" x14ac:dyDescent="0.25">
      <c r="L3191" s="65">
        <v>713121</v>
      </c>
      <c r="M3191" t="s">
        <v>2260</v>
      </c>
    </row>
    <row r="3192" spans="12:13" x14ac:dyDescent="0.25">
      <c r="L3192" s="65">
        <v>713122</v>
      </c>
      <c r="M3192" t="s">
        <v>2261</v>
      </c>
    </row>
    <row r="3193" spans="12:13" x14ac:dyDescent="0.25">
      <c r="L3193" s="65">
        <v>713200</v>
      </c>
      <c r="M3193" t="s">
        <v>2262</v>
      </c>
    </row>
    <row r="3194" spans="12:13" x14ac:dyDescent="0.25">
      <c r="L3194" s="65">
        <v>713210</v>
      </c>
      <c r="M3194" t="s">
        <v>2262</v>
      </c>
    </row>
    <row r="3195" spans="12:13" x14ac:dyDescent="0.25">
      <c r="L3195" s="65">
        <v>713211</v>
      </c>
      <c r="M3195" t="s">
        <v>2262</v>
      </c>
    </row>
    <row r="3196" spans="12:13" x14ac:dyDescent="0.25">
      <c r="L3196" s="65">
        <v>713300</v>
      </c>
      <c r="M3196" t="s">
        <v>2263</v>
      </c>
    </row>
    <row r="3197" spans="12:13" x14ac:dyDescent="0.25">
      <c r="L3197" s="65">
        <v>713310</v>
      </c>
      <c r="M3197" t="s">
        <v>2264</v>
      </c>
    </row>
    <row r="3198" spans="12:13" x14ac:dyDescent="0.25">
      <c r="L3198" s="65">
        <v>713311</v>
      </c>
      <c r="M3198" t="s">
        <v>2265</v>
      </c>
    </row>
    <row r="3199" spans="12:13" x14ac:dyDescent="0.25">
      <c r="L3199" s="65">
        <v>713400</v>
      </c>
      <c r="M3199" t="s">
        <v>2266</v>
      </c>
    </row>
    <row r="3200" spans="12:13" x14ac:dyDescent="0.25">
      <c r="L3200" s="65">
        <v>713410</v>
      </c>
      <c r="M3200" t="s">
        <v>1925</v>
      </c>
    </row>
    <row r="3201" spans="12:13" x14ac:dyDescent="0.25">
      <c r="L3201" s="65">
        <v>713411</v>
      </c>
      <c r="M3201" t="s">
        <v>1925</v>
      </c>
    </row>
    <row r="3202" spans="12:13" x14ac:dyDescent="0.25">
      <c r="L3202" s="65">
        <v>713420</v>
      </c>
      <c r="M3202" t="s">
        <v>2267</v>
      </c>
    </row>
    <row r="3203" spans="12:13" x14ac:dyDescent="0.25">
      <c r="L3203" s="65">
        <v>713421</v>
      </c>
      <c r="M3203" t="s">
        <v>2268</v>
      </c>
    </row>
    <row r="3204" spans="12:13" x14ac:dyDescent="0.25">
      <c r="L3204" s="65">
        <v>713422</v>
      </c>
      <c r="M3204" t="s">
        <v>2269</v>
      </c>
    </row>
    <row r="3205" spans="12:13" x14ac:dyDescent="0.25">
      <c r="L3205" s="65">
        <v>713423</v>
      </c>
      <c r="M3205" t="s">
        <v>2270</v>
      </c>
    </row>
    <row r="3206" spans="12:13" x14ac:dyDescent="0.25">
      <c r="L3206" s="65">
        <v>713424</v>
      </c>
      <c r="M3206" t="s">
        <v>2271</v>
      </c>
    </row>
    <row r="3207" spans="12:13" x14ac:dyDescent="0.25">
      <c r="L3207" s="65">
        <v>713500</v>
      </c>
      <c r="M3207" t="s">
        <v>2272</v>
      </c>
    </row>
    <row r="3208" spans="12:13" x14ac:dyDescent="0.25">
      <c r="L3208" s="65">
        <v>713510</v>
      </c>
      <c r="M3208" t="s">
        <v>2272</v>
      </c>
    </row>
    <row r="3209" spans="12:13" x14ac:dyDescent="0.25">
      <c r="L3209" s="65">
        <v>713511</v>
      </c>
      <c r="M3209" t="s">
        <v>2272</v>
      </c>
    </row>
    <row r="3210" spans="12:13" x14ac:dyDescent="0.25">
      <c r="L3210" s="65">
        <v>713600</v>
      </c>
      <c r="M3210" t="s">
        <v>2273</v>
      </c>
    </row>
    <row r="3211" spans="12:13" x14ac:dyDescent="0.25">
      <c r="L3211" s="65">
        <v>713610</v>
      </c>
      <c r="M3211" t="s">
        <v>2274</v>
      </c>
    </row>
    <row r="3212" spans="12:13" x14ac:dyDescent="0.25">
      <c r="L3212" s="65">
        <v>713611</v>
      </c>
      <c r="M3212" t="s">
        <v>2274</v>
      </c>
    </row>
    <row r="3213" spans="12:13" x14ac:dyDescent="0.25">
      <c r="L3213" s="65">
        <v>714000</v>
      </c>
      <c r="M3213" t="s">
        <v>2275</v>
      </c>
    </row>
    <row r="3214" spans="12:13" x14ac:dyDescent="0.25">
      <c r="L3214" s="65">
        <v>714100</v>
      </c>
      <c r="M3214" t="s">
        <v>2276</v>
      </c>
    </row>
    <row r="3215" spans="12:13" x14ac:dyDescent="0.25">
      <c r="L3215" s="65">
        <v>714110</v>
      </c>
      <c r="M3215" t="s">
        <v>2277</v>
      </c>
    </row>
    <row r="3216" spans="12:13" x14ac:dyDescent="0.25">
      <c r="L3216" s="65">
        <v>714111</v>
      </c>
      <c r="M3216" t="s">
        <v>2278</v>
      </c>
    </row>
    <row r="3217" spans="12:13" x14ac:dyDescent="0.25">
      <c r="L3217" s="65">
        <v>714112</v>
      </c>
      <c r="M3217" t="s">
        <v>787</v>
      </c>
    </row>
    <row r="3218" spans="12:13" x14ac:dyDescent="0.25">
      <c r="L3218" s="65">
        <v>714113</v>
      </c>
      <c r="M3218" t="s">
        <v>2279</v>
      </c>
    </row>
    <row r="3219" spans="12:13" x14ac:dyDescent="0.25">
      <c r="L3219" s="65">
        <v>714114</v>
      </c>
      <c r="M3219" t="s">
        <v>2280</v>
      </c>
    </row>
    <row r="3220" spans="12:13" x14ac:dyDescent="0.25">
      <c r="L3220" s="65">
        <v>714120</v>
      </c>
      <c r="M3220" t="s">
        <v>2281</v>
      </c>
    </row>
    <row r="3221" spans="12:13" x14ac:dyDescent="0.25">
      <c r="L3221" s="65">
        <v>714121</v>
      </c>
      <c r="M3221" t="s">
        <v>2282</v>
      </c>
    </row>
    <row r="3222" spans="12:13" x14ac:dyDescent="0.25">
      <c r="L3222" s="65">
        <v>714122</v>
      </c>
      <c r="M3222" t="s">
        <v>2283</v>
      </c>
    </row>
    <row r="3223" spans="12:13" x14ac:dyDescent="0.25">
      <c r="L3223" s="65">
        <v>714123</v>
      </c>
      <c r="M3223" t="s">
        <v>2284</v>
      </c>
    </row>
    <row r="3224" spans="12:13" x14ac:dyDescent="0.25">
      <c r="L3224" s="65">
        <v>714124</v>
      </c>
      <c r="M3224" t="s">
        <v>2285</v>
      </c>
    </row>
    <row r="3225" spans="12:13" x14ac:dyDescent="0.25">
      <c r="L3225" s="65">
        <v>714125</v>
      </c>
      <c r="M3225" t="s">
        <v>2286</v>
      </c>
    </row>
    <row r="3226" spans="12:13" x14ac:dyDescent="0.25">
      <c r="L3226" s="65">
        <v>714126</v>
      </c>
      <c r="M3226" t="s">
        <v>2287</v>
      </c>
    </row>
    <row r="3227" spans="12:13" x14ac:dyDescent="0.25">
      <c r="L3227" s="65">
        <v>714127</v>
      </c>
      <c r="M3227" t="s">
        <v>2288</v>
      </c>
    </row>
    <row r="3228" spans="12:13" x14ac:dyDescent="0.25">
      <c r="L3228" s="65">
        <v>714128</v>
      </c>
      <c r="M3228" t="s">
        <v>2289</v>
      </c>
    </row>
    <row r="3229" spans="12:13" x14ac:dyDescent="0.25">
      <c r="L3229" s="65">
        <v>714129</v>
      </c>
      <c r="M3229" t="s">
        <v>2290</v>
      </c>
    </row>
    <row r="3230" spans="12:13" x14ac:dyDescent="0.25">
      <c r="L3230" s="65">
        <v>714130</v>
      </c>
      <c r="M3230" t="s">
        <v>2291</v>
      </c>
    </row>
    <row r="3231" spans="12:13" x14ac:dyDescent="0.25">
      <c r="L3231" s="65">
        <v>714131</v>
      </c>
      <c r="M3231" t="s">
        <v>2292</v>
      </c>
    </row>
    <row r="3232" spans="12:13" x14ac:dyDescent="0.25">
      <c r="L3232" s="65">
        <v>714132</v>
      </c>
      <c r="M3232" t="s">
        <v>2293</v>
      </c>
    </row>
    <row r="3233" spans="12:13" x14ac:dyDescent="0.25">
      <c r="L3233" s="65">
        <v>714133</v>
      </c>
      <c r="M3233" t="s">
        <v>2294</v>
      </c>
    </row>
    <row r="3234" spans="12:13" x14ac:dyDescent="0.25">
      <c r="L3234" s="65">
        <v>714134</v>
      </c>
      <c r="M3234" t="s">
        <v>2295</v>
      </c>
    </row>
    <row r="3235" spans="12:13" x14ac:dyDescent="0.25">
      <c r="L3235" s="65">
        <v>714135</v>
      </c>
      <c r="M3235" t="s">
        <v>2296</v>
      </c>
    </row>
    <row r="3236" spans="12:13" x14ac:dyDescent="0.25">
      <c r="L3236" s="65">
        <v>714136</v>
      </c>
      <c r="M3236" t="s">
        <v>2297</v>
      </c>
    </row>
    <row r="3237" spans="12:13" x14ac:dyDescent="0.25">
      <c r="L3237" s="65">
        <v>714137</v>
      </c>
      <c r="M3237" t="s">
        <v>2298</v>
      </c>
    </row>
    <row r="3238" spans="12:13" x14ac:dyDescent="0.25">
      <c r="L3238" s="65">
        <v>714138</v>
      </c>
      <c r="M3238" t="s">
        <v>2299</v>
      </c>
    </row>
    <row r="3239" spans="12:13" x14ac:dyDescent="0.25">
      <c r="L3239" s="65">
        <v>714139</v>
      </c>
      <c r="M3239" t="s">
        <v>2300</v>
      </c>
    </row>
    <row r="3240" spans="12:13" x14ac:dyDescent="0.25">
      <c r="L3240" s="65">
        <v>714140</v>
      </c>
      <c r="M3240" t="s">
        <v>2301</v>
      </c>
    </row>
    <row r="3241" spans="12:13" x14ac:dyDescent="0.25">
      <c r="L3241" s="65">
        <v>714141</v>
      </c>
      <c r="M3241" t="s">
        <v>2301</v>
      </c>
    </row>
    <row r="3242" spans="12:13" x14ac:dyDescent="0.25">
      <c r="L3242" s="65">
        <v>714300</v>
      </c>
      <c r="M3242" t="s">
        <v>2302</v>
      </c>
    </row>
    <row r="3243" spans="12:13" x14ac:dyDescent="0.25">
      <c r="L3243" s="65">
        <v>714310</v>
      </c>
      <c r="M3243" t="s">
        <v>2302</v>
      </c>
    </row>
    <row r="3244" spans="12:13" x14ac:dyDescent="0.25">
      <c r="L3244" s="65">
        <v>714311</v>
      </c>
      <c r="M3244" t="s">
        <v>2302</v>
      </c>
    </row>
    <row r="3245" spans="12:13" x14ac:dyDescent="0.25">
      <c r="L3245" s="65">
        <v>714400</v>
      </c>
      <c r="M3245" t="s">
        <v>2303</v>
      </c>
    </row>
    <row r="3246" spans="12:13" x14ac:dyDescent="0.25">
      <c r="L3246" s="65">
        <v>714420</v>
      </c>
      <c r="M3246" t="s">
        <v>2304</v>
      </c>
    </row>
    <row r="3247" spans="12:13" x14ac:dyDescent="0.25">
      <c r="L3247" s="65">
        <v>714421</v>
      </c>
      <c r="M3247" t="s">
        <v>2305</v>
      </c>
    </row>
    <row r="3248" spans="12:13" x14ac:dyDescent="0.25">
      <c r="L3248" s="65">
        <v>714430</v>
      </c>
      <c r="M3248" t="s">
        <v>2306</v>
      </c>
    </row>
    <row r="3249" spans="12:13" x14ac:dyDescent="0.25">
      <c r="L3249" s="65">
        <v>714431</v>
      </c>
      <c r="M3249" t="s">
        <v>2306</v>
      </c>
    </row>
    <row r="3250" spans="12:13" x14ac:dyDescent="0.25">
      <c r="L3250" s="65">
        <v>714440</v>
      </c>
      <c r="M3250" t="s">
        <v>2307</v>
      </c>
    </row>
    <row r="3251" spans="12:13" x14ac:dyDescent="0.25">
      <c r="L3251" s="65">
        <v>714442</v>
      </c>
      <c r="M3251" t="s">
        <v>2308</v>
      </c>
    </row>
    <row r="3252" spans="12:13" x14ac:dyDescent="0.25">
      <c r="L3252" s="65">
        <v>714443</v>
      </c>
      <c r="M3252" t="s">
        <v>2309</v>
      </c>
    </row>
    <row r="3253" spans="12:13" x14ac:dyDescent="0.25">
      <c r="L3253" s="65">
        <v>714444</v>
      </c>
      <c r="M3253" t="s">
        <v>2310</v>
      </c>
    </row>
    <row r="3254" spans="12:13" x14ac:dyDescent="0.25">
      <c r="L3254" s="65">
        <v>714445</v>
      </c>
      <c r="M3254" t="s">
        <v>2311</v>
      </c>
    </row>
    <row r="3255" spans="12:13" x14ac:dyDescent="0.25">
      <c r="L3255" s="65">
        <v>714446</v>
      </c>
      <c r="M3255" t="s">
        <v>2312</v>
      </c>
    </row>
    <row r="3256" spans="12:13" x14ac:dyDescent="0.25">
      <c r="L3256" s="65">
        <v>714447</v>
      </c>
      <c r="M3256" t="s">
        <v>2313</v>
      </c>
    </row>
    <row r="3257" spans="12:13" x14ac:dyDescent="0.25">
      <c r="L3257" s="65">
        <v>714500</v>
      </c>
      <c r="M3257" t="s">
        <v>2314</v>
      </c>
    </row>
    <row r="3258" spans="12:13" x14ac:dyDescent="0.25">
      <c r="L3258" s="65">
        <v>714510</v>
      </c>
      <c r="M3258" t="s">
        <v>2315</v>
      </c>
    </row>
    <row r="3259" spans="12:13" x14ac:dyDescent="0.25">
      <c r="L3259" s="65">
        <v>714511</v>
      </c>
      <c r="M3259" t="s">
        <v>2316</v>
      </c>
    </row>
    <row r="3260" spans="12:13" x14ac:dyDescent="0.25">
      <c r="L3260" s="65">
        <v>714512</v>
      </c>
      <c r="M3260" t="s">
        <v>2317</v>
      </c>
    </row>
    <row r="3261" spans="12:13" x14ac:dyDescent="0.25">
      <c r="L3261" s="65">
        <v>714513</v>
      </c>
      <c r="M3261" t="s">
        <v>2318</v>
      </c>
    </row>
    <row r="3262" spans="12:13" x14ac:dyDescent="0.25">
      <c r="L3262" s="65">
        <v>714514</v>
      </c>
      <c r="M3262" t="s">
        <v>2319</v>
      </c>
    </row>
    <row r="3263" spans="12:13" x14ac:dyDescent="0.25">
      <c r="L3263" s="65">
        <v>714516</v>
      </c>
      <c r="M3263" t="s">
        <v>2320</v>
      </c>
    </row>
    <row r="3264" spans="12:13" x14ac:dyDescent="0.25">
      <c r="L3264" s="65">
        <v>714517</v>
      </c>
      <c r="M3264" t="s">
        <v>2321</v>
      </c>
    </row>
    <row r="3265" spans="12:13" x14ac:dyDescent="0.25">
      <c r="L3265" s="65">
        <v>714520</v>
      </c>
      <c r="M3265" t="s">
        <v>2322</v>
      </c>
    </row>
    <row r="3266" spans="12:13" x14ac:dyDescent="0.25">
      <c r="L3266" s="65">
        <v>714521</v>
      </c>
      <c r="M3266" t="s">
        <v>2323</v>
      </c>
    </row>
    <row r="3267" spans="12:13" x14ac:dyDescent="0.25">
      <c r="L3267" s="65">
        <v>714522</v>
      </c>
      <c r="M3267" t="s">
        <v>2324</v>
      </c>
    </row>
    <row r="3268" spans="12:13" x14ac:dyDescent="0.25">
      <c r="L3268" s="65">
        <v>714523</v>
      </c>
      <c r="M3268" t="s">
        <v>2325</v>
      </c>
    </row>
    <row r="3269" spans="12:13" x14ac:dyDescent="0.25">
      <c r="L3269" s="65">
        <v>714524</v>
      </c>
      <c r="M3269" t="s">
        <v>2326</v>
      </c>
    </row>
    <row r="3270" spans="12:13" x14ac:dyDescent="0.25">
      <c r="L3270" s="65">
        <v>714525</v>
      </c>
      <c r="M3270" t="s">
        <v>2327</v>
      </c>
    </row>
    <row r="3271" spans="12:13" x14ac:dyDescent="0.25">
      <c r="L3271" s="65">
        <v>714530</v>
      </c>
      <c r="M3271" t="s">
        <v>2328</v>
      </c>
    </row>
    <row r="3272" spans="12:13" x14ac:dyDescent="0.25">
      <c r="L3272" s="65">
        <v>714531</v>
      </c>
      <c r="M3272" t="s">
        <v>2329</v>
      </c>
    </row>
    <row r="3273" spans="12:13" x14ac:dyDescent="0.25">
      <c r="L3273" s="65">
        <v>714532</v>
      </c>
      <c r="M3273" t="s">
        <v>2330</v>
      </c>
    </row>
    <row r="3274" spans="12:13" x14ac:dyDescent="0.25">
      <c r="L3274" s="65">
        <v>714533</v>
      </c>
      <c r="M3274" t="s">
        <v>2331</v>
      </c>
    </row>
    <row r="3275" spans="12:13" x14ac:dyDescent="0.25">
      <c r="L3275" s="65">
        <v>714536</v>
      </c>
      <c r="M3275" t="s">
        <v>2332</v>
      </c>
    </row>
    <row r="3276" spans="12:13" x14ac:dyDescent="0.25">
      <c r="L3276" s="65">
        <v>714540</v>
      </c>
      <c r="M3276" t="s">
        <v>2333</v>
      </c>
    </row>
    <row r="3277" spans="12:13" x14ac:dyDescent="0.25">
      <c r="L3277" s="65">
        <v>714541</v>
      </c>
      <c r="M3277" t="s">
        <v>2334</v>
      </c>
    </row>
    <row r="3278" spans="12:13" x14ac:dyDescent="0.25">
      <c r="L3278" s="65">
        <v>714542</v>
      </c>
      <c r="M3278" t="s">
        <v>2335</v>
      </c>
    </row>
    <row r="3279" spans="12:13" x14ac:dyDescent="0.25">
      <c r="L3279" s="65">
        <v>714543</v>
      </c>
      <c r="M3279" t="s">
        <v>2336</v>
      </c>
    </row>
    <row r="3280" spans="12:13" x14ac:dyDescent="0.25">
      <c r="L3280" s="65">
        <v>714544</v>
      </c>
      <c r="M3280" t="s">
        <v>2337</v>
      </c>
    </row>
    <row r="3281" spans="12:13" x14ac:dyDescent="0.25">
      <c r="L3281" s="65">
        <v>714545</v>
      </c>
      <c r="M3281" t="s">
        <v>2338</v>
      </c>
    </row>
    <row r="3282" spans="12:13" x14ac:dyDescent="0.25">
      <c r="L3282" s="65">
        <v>714546</v>
      </c>
      <c r="M3282" t="s">
        <v>2339</v>
      </c>
    </row>
    <row r="3283" spans="12:13" x14ac:dyDescent="0.25">
      <c r="L3283" s="65">
        <v>714547</v>
      </c>
      <c r="M3283" t="s">
        <v>2340</v>
      </c>
    </row>
    <row r="3284" spans="12:13" x14ac:dyDescent="0.25">
      <c r="L3284" s="65">
        <v>714548</v>
      </c>
      <c r="M3284" t="s">
        <v>2341</v>
      </c>
    </row>
    <row r="3285" spans="12:13" x14ac:dyDescent="0.25">
      <c r="L3285" s="65">
        <v>714549</v>
      </c>
      <c r="M3285" t="s">
        <v>2342</v>
      </c>
    </row>
    <row r="3286" spans="12:13" x14ac:dyDescent="0.25">
      <c r="L3286" s="65">
        <v>714550</v>
      </c>
      <c r="M3286" t="s">
        <v>2343</v>
      </c>
    </row>
    <row r="3287" spans="12:13" x14ac:dyDescent="0.25">
      <c r="L3287" s="65">
        <v>714551</v>
      </c>
      <c r="M3287" t="s">
        <v>2344</v>
      </c>
    </row>
    <row r="3288" spans="12:13" x14ac:dyDescent="0.25">
      <c r="L3288" s="65">
        <v>714552</v>
      </c>
      <c r="M3288" t="s">
        <v>2345</v>
      </c>
    </row>
    <row r="3289" spans="12:13" x14ac:dyDescent="0.25">
      <c r="L3289" s="65">
        <v>714560</v>
      </c>
      <c r="M3289" t="s">
        <v>2346</v>
      </c>
    </row>
    <row r="3290" spans="12:13" x14ac:dyDescent="0.25">
      <c r="L3290" s="65">
        <v>714562</v>
      </c>
      <c r="M3290" t="s">
        <v>2347</v>
      </c>
    </row>
    <row r="3291" spans="12:13" x14ac:dyDescent="0.25">
      <c r="L3291" s="65">
        <v>714563</v>
      </c>
      <c r="M3291" t="s">
        <v>2348</v>
      </c>
    </row>
    <row r="3292" spans="12:13" x14ac:dyDescent="0.25">
      <c r="L3292" s="65">
        <v>714564</v>
      </c>
      <c r="M3292" t="s">
        <v>2349</v>
      </c>
    </row>
    <row r="3293" spans="12:13" x14ac:dyDescent="0.25">
      <c r="L3293" s="65">
        <v>714570</v>
      </c>
      <c r="M3293" t="s">
        <v>2350</v>
      </c>
    </row>
    <row r="3294" spans="12:13" x14ac:dyDescent="0.25">
      <c r="L3294" s="65">
        <v>714571</v>
      </c>
      <c r="M3294" t="s">
        <v>2351</v>
      </c>
    </row>
    <row r="3295" spans="12:13" x14ac:dyDescent="0.25">
      <c r="L3295" s="65">
        <v>714572</v>
      </c>
      <c r="M3295" t="s">
        <v>2352</v>
      </c>
    </row>
    <row r="3296" spans="12:13" x14ac:dyDescent="0.25">
      <c r="L3296" s="65">
        <v>714573</v>
      </c>
      <c r="M3296" t="s">
        <v>2353</v>
      </c>
    </row>
    <row r="3297" spans="12:13" x14ac:dyDescent="0.25">
      <c r="L3297" s="65">
        <v>714574</v>
      </c>
      <c r="M3297" t="s">
        <v>2354</v>
      </c>
    </row>
    <row r="3298" spans="12:13" x14ac:dyDescent="0.25">
      <c r="L3298" s="65">
        <v>714575</v>
      </c>
      <c r="M3298" t="s">
        <v>2355</v>
      </c>
    </row>
    <row r="3299" spans="12:13" x14ac:dyDescent="0.25">
      <c r="L3299" s="65">
        <v>714576</v>
      </c>
      <c r="M3299" t="s">
        <v>2356</v>
      </c>
    </row>
    <row r="3300" spans="12:13" x14ac:dyDescent="0.25">
      <c r="L3300" s="65">
        <v>714580</v>
      </c>
      <c r="M3300" t="s">
        <v>2357</v>
      </c>
    </row>
    <row r="3301" spans="12:13" x14ac:dyDescent="0.25">
      <c r="L3301" s="65">
        <v>714581</v>
      </c>
      <c r="M3301" t="s">
        <v>2358</v>
      </c>
    </row>
    <row r="3302" spans="12:13" x14ac:dyDescent="0.25">
      <c r="L3302" s="65">
        <v>714582</v>
      </c>
      <c r="M3302" t="s">
        <v>2359</v>
      </c>
    </row>
    <row r="3303" spans="12:13" x14ac:dyDescent="0.25">
      <c r="L3303" s="65">
        <v>714583</v>
      </c>
      <c r="M3303" t="s">
        <v>2360</v>
      </c>
    </row>
    <row r="3304" spans="12:13" x14ac:dyDescent="0.25">
      <c r="L3304" s="65">
        <v>714584</v>
      </c>
      <c r="M3304" t="s">
        <v>2361</v>
      </c>
    </row>
    <row r="3305" spans="12:13" x14ac:dyDescent="0.25">
      <c r="L3305" s="65">
        <v>714585</v>
      </c>
      <c r="M3305" t="s">
        <v>2362</v>
      </c>
    </row>
    <row r="3306" spans="12:13" x14ac:dyDescent="0.25">
      <c r="L3306" s="65">
        <v>714586</v>
      </c>
      <c r="M3306" t="s">
        <v>2363</v>
      </c>
    </row>
    <row r="3307" spans="12:13" x14ac:dyDescent="0.25">
      <c r="L3307" s="65">
        <v>714587</v>
      </c>
      <c r="M3307" t="s">
        <v>2364</v>
      </c>
    </row>
    <row r="3308" spans="12:13" x14ac:dyDescent="0.25">
      <c r="L3308" s="65">
        <v>714590</v>
      </c>
      <c r="M3308" t="s">
        <v>2365</v>
      </c>
    </row>
    <row r="3309" spans="12:13" x14ac:dyDescent="0.25">
      <c r="L3309" s="65">
        <v>714591</v>
      </c>
      <c r="M3309" t="s">
        <v>2366</v>
      </c>
    </row>
    <row r="3310" spans="12:13" x14ac:dyDescent="0.25">
      <c r="L3310" s="65">
        <v>714592</v>
      </c>
      <c r="M3310" t="s">
        <v>2367</v>
      </c>
    </row>
    <row r="3311" spans="12:13" x14ac:dyDescent="0.25">
      <c r="L3311" s="65">
        <v>714593</v>
      </c>
      <c r="M3311" t="s">
        <v>2368</v>
      </c>
    </row>
    <row r="3312" spans="12:13" x14ac:dyDescent="0.25">
      <c r="L3312" s="65">
        <v>714594</v>
      </c>
      <c r="M3312" t="s">
        <v>2369</v>
      </c>
    </row>
    <row r="3313" spans="12:13" x14ac:dyDescent="0.25">
      <c r="L3313" s="65">
        <v>714595</v>
      </c>
      <c r="M3313" t="s">
        <v>2370</v>
      </c>
    </row>
    <row r="3314" spans="12:13" x14ac:dyDescent="0.25">
      <c r="L3314" s="65">
        <v>714596</v>
      </c>
      <c r="M3314" t="s">
        <v>2371</v>
      </c>
    </row>
    <row r="3315" spans="12:13" x14ac:dyDescent="0.25">
      <c r="L3315" s="65">
        <v>714597</v>
      </c>
      <c r="M3315" t="s">
        <v>2372</v>
      </c>
    </row>
    <row r="3316" spans="12:13" x14ac:dyDescent="0.25">
      <c r="L3316" s="65">
        <v>714598</v>
      </c>
      <c r="M3316" t="s">
        <v>2373</v>
      </c>
    </row>
    <row r="3317" spans="12:13" x14ac:dyDescent="0.25">
      <c r="L3317" s="65">
        <v>714599</v>
      </c>
      <c r="M3317" t="s">
        <v>2374</v>
      </c>
    </row>
    <row r="3318" spans="12:13" x14ac:dyDescent="0.25">
      <c r="L3318" s="65">
        <v>714600</v>
      </c>
      <c r="M3318" t="s">
        <v>2375</v>
      </c>
    </row>
    <row r="3319" spans="12:13" x14ac:dyDescent="0.25">
      <c r="L3319" s="65">
        <v>714610</v>
      </c>
      <c r="M3319" t="s">
        <v>2375</v>
      </c>
    </row>
    <row r="3320" spans="12:13" x14ac:dyDescent="0.25">
      <c r="L3320" s="65">
        <v>714611</v>
      </c>
      <c r="M3320" t="s">
        <v>2375</v>
      </c>
    </row>
    <row r="3321" spans="12:13" x14ac:dyDescent="0.25">
      <c r="L3321" s="65">
        <v>715000</v>
      </c>
      <c r="M3321" t="s">
        <v>2376</v>
      </c>
    </row>
    <row r="3322" spans="12:13" x14ac:dyDescent="0.25">
      <c r="L3322" s="65">
        <v>715100</v>
      </c>
      <c r="M3322" t="s">
        <v>2377</v>
      </c>
    </row>
    <row r="3323" spans="12:13" x14ac:dyDescent="0.25">
      <c r="L3323" s="65">
        <v>715110</v>
      </c>
      <c r="M3323" t="s">
        <v>2378</v>
      </c>
    </row>
    <row r="3324" spans="12:13" x14ac:dyDescent="0.25">
      <c r="L3324" s="65">
        <v>715111</v>
      </c>
      <c r="M3324" t="s">
        <v>2378</v>
      </c>
    </row>
    <row r="3325" spans="12:13" x14ac:dyDescent="0.25">
      <c r="L3325" s="65">
        <v>715120</v>
      </c>
      <c r="M3325" t="s">
        <v>2379</v>
      </c>
    </row>
    <row r="3326" spans="12:13" x14ac:dyDescent="0.25">
      <c r="L3326" s="65">
        <v>715121</v>
      </c>
      <c r="M3326" t="s">
        <v>2379</v>
      </c>
    </row>
    <row r="3327" spans="12:13" x14ac:dyDescent="0.25">
      <c r="L3327" s="65">
        <v>715190</v>
      </c>
      <c r="M3327" t="s">
        <v>2380</v>
      </c>
    </row>
    <row r="3328" spans="12:13" x14ac:dyDescent="0.25">
      <c r="L3328" s="65">
        <v>715191</v>
      </c>
      <c r="M3328" t="s">
        <v>2381</v>
      </c>
    </row>
    <row r="3329" spans="12:13" x14ac:dyDescent="0.25">
      <c r="L3329" s="65">
        <v>715192</v>
      </c>
      <c r="M3329" t="s">
        <v>2382</v>
      </c>
    </row>
    <row r="3330" spans="12:13" x14ac:dyDescent="0.25">
      <c r="L3330" s="65">
        <v>715193</v>
      </c>
      <c r="M3330" t="s">
        <v>2383</v>
      </c>
    </row>
    <row r="3331" spans="12:13" x14ac:dyDescent="0.25">
      <c r="L3331" s="65">
        <v>715200</v>
      </c>
      <c r="M3331" t="s">
        <v>2384</v>
      </c>
    </row>
    <row r="3332" spans="12:13" x14ac:dyDescent="0.25">
      <c r="L3332" s="65">
        <v>715210</v>
      </c>
      <c r="M3332" t="s">
        <v>2384</v>
      </c>
    </row>
    <row r="3333" spans="12:13" x14ac:dyDescent="0.25">
      <c r="L3333" s="65">
        <v>715211</v>
      </c>
      <c r="M3333" t="s">
        <v>2384</v>
      </c>
    </row>
    <row r="3334" spans="12:13" x14ac:dyDescent="0.25">
      <c r="L3334" s="65">
        <v>715300</v>
      </c>
      <c r="M3334" t="s">
        <v>2385</v>
      </c>
    </row>
    <row r="3335" spans="12:13" x14ac:dyDescent="0.25">
      <c r="L3335" s="65">
        <v>715310</v>
      </c>
      <c r="M3335" t="s">
        <v>2385</v>
      </c>
    </row>
    <row r="3336" spans="12:13" x14ac:dyDescent="0.25">
      <c r="L3336" s="65">
        <v>715311</v>
      </c>
      <c r="M3336" t="s">
        <v>2385</v>
      </c>
    </row>
    <row r="3337" spans="12:13" x14ac:dyDescent="0.25">
      <c r="L3337" s="65">
        <v>715400</v>
      </c>
      <c r="M3337" t="s">
        <v>2386</v>
      </c>
    </row>
    <row r="3338" spans="12:13" x14ac:dyDescent="0.25">
      <c r="L3338" s="65">
        <v>715410</v>
      </c>
      <c r="M3338" t="s">
        <v>2386</v>
      </c>
    </row>
    <row r="3339" spans="12:13" x14ac:dyDescent="0.25">
      <c r="L3339" s="65">
        <v>715411</v>
      </c>
      <c r="M3339" t="s">
        <v>2386</v>
      </c>
    </row>
    <row r="3340" spans="12:13" x14ac:dyDescent="0.25">
      <c r="L3340" s="65">
        <v>715500</v>
      </c>
      <c r="M3340" t="s">
        <v>2387</v>
      </c>
    </row>
    <row r="3341" spans="12:13" x14ac:dyDescent="0.25">
      <c r="L3341" s="65">
        <v>715510</v>
      </c>
      <c r="M3341" t="s">
        <v>2387</v>
      </c>
    </row>
    <row r="3342" spans="12:13" x14ac:dyDescent="0.25">
      <c r="L3342" s="65">
        <v>715511</v>
      </c>
      <c r="M3342" t="s">
        <v>2387</v>
      </c>
    </row>
    <row r="3343" spans="12:13" x14ac:dyDescent="0.25">
      <c r="L3343" s="65">
        <v>715600</v>
      </c>
      <c r="M3343" t="s">
        <v>2388</v>
      </c>
    </row>
    <row r="3344" spans="12:13" x14ac:dyDescent="0.25">
      <c r="L3344" s="65">
        <v>715610</v>
      </c>
      <c r="M3344" t="s">
        <v>2388</v>
      </c>
    </row>
    <row r="3345" spans="12:13" x14ac:dyDescent="0.25">
      <c r="L3345" s="65">
        <v>715611</v>
      </c>
      <c r="M3345" t="s">
        <v>2388</v>
      </c>
    </row>
    <row r="3346" spans="12:13" x14ac:dyDescent="0.25">
      <c r="L3346" s="65">
        <v>716000</v>
      </c>
      <c r="M3346" t="s">
        <v>2390</v>
      </c>
    </row>
    <row r="3347" spans="12:13" x14ac:dyDescent="0.25">
      <c r="L3347" s="65">
        <v>716100</v>
      </c>
      <c r="M3347" t="s">
        <v>2391</v>
      </c>
    </row>
    <row r="3348" spans="12:13" x14ac:dyDescent="0.25">
      <c r="L3348" s="65">
        <v>716110</v>
      </c>
      <c r="M3348" t="s">
        <v>2392</v>
      </c>
    </row>
    <row r="3349" spans="12:13" x14ac:dyDescent="0.25">
      <c r="L3349" s="65">
        <v>716111</v>
      </c>
      <c r="M3349" t="s">
        <v>2394</v>
      </c>
    </row>
    <row r="3350" spans="12:13" x14ac:dyDescent="0.25">
      <c r="L3350" s="65">
        <v>716112</v>
      </c>
      <c r="M3350" t="s">
        <v>2395</v>
      </c>
    </row>
    <row r="3351" spans="12:13" x14ac:dyDescent="0.25">
      <c r="L3351" s="65">
        <v>716200</v>
      </c>
      <c r="M3351" t="s">
        <v>2396</v>
      </c>
    </row>
    <row r="3352" spans="12:13" x14ac:dyDescent="0.25">
      <c r="L3352" s="65">
        <v>716210</v>
      </c>
      <c r="M3352" t="s">
        <v>2397</v>
      </c>
    </row>
    <row r="3353" spans="12:13" x14ac:dyDescent="0.25">
      <c r="L3353" s="65">
        <v>716211</v>
      </c>
      <c r="M3353" t="s">
        <v>2397</v>
      </c>
    </row>
    <row r="3354" spans="12:13" x14ac:dyDescent="0.25">
      <c r="L3354" s="65">
        <v>716220</v>
      </c>
      <c r="M3354" t="s">
        <v>2398</v>
      </c>
    </row>
    <row r="3355" spans="12:13" x14ac:dyDescent="0.25">
      <c r="L3355" s="65">
        <v>716221</v>
      </c>
      <c r="M3355" t="s">
        <v>2399</v>
      </c>
    </row>
    <row r="3356" spans="12:13" x14ac:dyDescent="0.25">
      <c r="L3356" s="65">
        <v>716222</v>
      </c>
      <c r="M3356" t="s">
        <v>2400</v>
      </c>
    </row>
    <row r="3357" spans="12:13" x14ac:dyDescent="0.25">
      <c r="L3357" s="65">
        <v>716223</v>
      </c>
      <c r="M3357" t="s">
        <v>2401</v>
      </c>
    </row>
    <row r="3358" spans="12:13" x14ac:dyDescent="0.25">
      <c r="L3358" s="65">
        <v>716224</v>
      </c>
      <c r="M3358" t="s">
        <v>2402</v>
      </c>
    </row>
    <row r="3359" spans="12:13" x14ac:dyDescent="0.25">
      <c r="L3359" s="65">
        <v>716225</v>
      </c>
      <c r="M3359" t="s">
        <v>2403</v>
      </c>
    </row>
    <row r="3360" spans="12:13" x14ac:dyDescent="0.25">
      <c r="L3360" s="65">
        <v>716226</v>
      </c>
      <c r="M3360" t="s">
        <v>2404</v>
      </c>
    </row>
    <row r="3361" spans="12:13" x14ac:dyDescent="0.25">
      <c r="L3361" s="65">
        <v>716227</v>
      </c>
      <c r="M3361" t="s">
        <v>2405</v>
      </c>
    </row>
    <row r="3362" spans="12:13" x14ac:dyDescent="0.25">
      <c r="L3362" s="65">
        <v>716228</v>
      </c>
      <c r="M3362" t="s">
        <v>2406</v>
      </c>
    </row>
    <row r="3363" spans="12:13" x14ac:dyDescent="0.25">
      <c r="L3363" s="65">
        <v>716229</v>
      </c>
      <c r="M3363" t="s">
        <v>2407</v>
      </c>
    </row>
    <row r="3364" spans="12:13" x14ac:dyDescent="0.25">
      <c r="L3364" s="65">
        <v>717000</v>
      </c>
      <c r="M3364" t="s">
        <v>2408</v>
      </c>
    </row>
    <row r="3365" spans="12:13" x14ac:dyDescent="0.25">
      <c r="L3365" s="65">
        <v>717100</v>
      </c>
      <c r="M3365" t="s">
        <v>2409</v>
      </c>
    </row>
    <row r="3366" spans="12:13" x14ac:dyDescent="0.25">
      <c r="L3366" s="65">
        <v>717110</v>
      </c>
      <c r="M3366" t="s">
        <v>2410</v>
      </c>
    </row>
    <row r="3367" spans="12:13" x14ac:dyDescent="0.25">
      <c r="L3367" s="65">
        <v>717111</v>
      </c>
      <c r="M3367" t="s">
        <v>2411</v>
      </c>
    </row>
    <row r="3368" spans="12:13" x14ac:dyDescent="0.25">
      <c r="L3368" s="65">
        <v>717112</v>
      </c>
      <c r="M3368" t="s">
        <v>2412</v>
      </c>
    </row>
    <row r="3369" spans="12:13" x14ac:dyDescent="0.25">
      <c r="L3369" s="65">
        <v>717113</v>
      </c>
      <c r="M3369" t="s">
        <v>2413</v>
      </c>
    </row>
    <row r="3370" spans="12:13" x14ac:dyDescent="0.25">
      <c r="L3370" s="65">
        <v>717114</v>
      </c>
      <c r="M3370" t="s">
        <v>2414</v>
      </c>
    </row>
    <row r="3371" spans="12:13" x14ac:dyDescent="0.25">
      <c r="L3371" s="65">
        <v>717115</v>
      </c>
      <c r="M3371" t="s">
        <v>2415</v>
      </c>
    </row>
    <row r="3372" spans="12:13" x14ac:dyDescent="0.25">
      <c r="L3372" s="65">
        <v>717116</v>
      </c>
      <c r="M3372" t="s">
        <v>2416</v>
      </c>
    </row>
    <row r="3373" spans="12:13" x14ac:dyDescent="0.25">
      <c r="L3373" s="65">
        <v>717117</v>
      </c>
      <c r="M3373" t="s">
        <v>2417</v>
      </c>
    </row>
    <row r="3374" spans="12:13" x14ac:dyDescent="0.25">
      <c r="L3374" s="65">
        <v>717118</v>
      </c>
      <c r="M3374" t="s">
        <v>2418</v>
      </c>
    </row>
    <row r="3375" spans="12:13" x14ac:dyDescent="0.25">
      <c r="L3375" s="65">
        <v>717119</v>
      </c>
      <c r="M3375" t="s">
        <v>2419</v>
      </c>
    </row>
    <row r="3376" spans="12:13" x14ac:dyDescent="0.25">
      <c r="L3376" s="65">
        <v>717120</v>
      </c>
      <c r="M3376" t="s">
        <v>2420</v>
      </c>
    </row>
    <row r="3377" spans="12:13" x14ac:dyDescent="0.25">
      <c r="L3377" s="65">
        <v>717121</v>
      </c>
      <c r="M3377" t="s">
        <v>2421</v>
      </c>
    </row>
    <row r="3378" spans="12:13" x14ac:dyDescent="0.25">
      <c r="L3378" s="65">
        <v>717122</v>
      </c>
      <c r="M3378" t="s">
        <v>2422</v>
      </c>
    </row>
    <row r="3379" spans="12:13" x14ac:dyDescent="0.25">
      <c r="L3379" s="65">
        <v>717123</v>
      </c>
      <c r="M3379" t="s">
        <v>2423</v>
      </c>
    </row>
    <row r="3380" spans="12:13" x14ac:dyDescent="0.25">
      <c r="L3380" s="65">
        <v>717124</v>
      </c>
      <c r="M3380" t="s">
        <v>2424</v>
      </c>
    </row>
    <row r="3381" spans="12:13" x14ac:dyDescent="0.25">
      <c r="L3381" s="65">
        <v>717125</v>
      </c>
      <c r="M3381" t="s">
        <v>2425</v>
      </c>
    </row>
    <row r="3382" spans="12:13" x14ac:dyDescent="0.25">
      <c r="L3382" s="65">
        <v>717126</v>
      </c>
      <c r="M3382" t="s">
        <v>2426</v>
      </c>
    </row>
    <row r="3383" spans="12:13" x14ac:dyDescent="0.25">
      <c r="L3383" s="65">
        <v>717127</v>
      </c>
      <c r="M3383" t="s">
        <v>2427</v>
      </c>
    </row>
    <row r="3384" spans="12:13" x14ac:dyDescent="0.25">
      <c r="L3384" s="65">
        <v>717128</v>
      </c>
      <c r="M3384" t="s">
        <v>2428</v>
      </c>
    </row>
    <row r="3385" spans="12:13" x14ac:dyDescent="0.25">
      <c r="L3385" s="65">
        <v>717129</v>
      </c>
      <c r="M3385" t="s">
        <v>2429</v>
      </c>
    </row>
    <row r="3386" spans="12:13" x14ac:dyDescent="0.25">
      <c r="L3386" s="65">
        <v>717130</v>
      </c>
      <c r="M3386" t="s">
        <v>2430</v>
      </c>
    </row>
    <row r="3387" spans="12:13" x14ac:dyDescent="0.25">
      <c r="L3387" s="65">
        <v>717131</v>
      </c>
      <c r="M3387" t="s">
        <v>2431</v>
      </c>
    </row>
    <row r="3388" spans="12:13" x14ac:dyDescent="0.25">
      <c r="L3388" s="65">
        <v>717132</v>
      </c>
      <c r="M3388" t="s">
        <v>2432</v>
      </c>
    </row>
    <row r="3389" spans="12:13" x14ac:dyDescent="0.25">
      <c r="L3389" s="65">
        <v>717133</v>
      </c>
      <c r="M3389" t="s">
        <v>2433</v>
      </c>
    </row>
    <row r="3390" spans="12:13" x14ac:dyDescent="0.25">
      <c r="L3390" s="65">
        <v>717134</v>
      </c>
      <c r="M3390" t="s">
        <v>2434</v>
      </c>
    </row>
    <row r="3391" spans="12:13" x14ac:dyDescent="0.25">
      <c r="L3391" s="65">
        <v>717140</v>
      </c>
      <c r="M3391" t="s">
        <v>2435</v>
      </c>
    </row>
    <row r="3392" spans="12:13" x14ac:dyDescent="0.25">
      <c r="L3392" s="65">
        <v>717141</v>
      </c>
      <c r="M3392" t="s">
        <v>2436</v>
      </c>
    </row>
    <row r="3393" spans="12:13" x14ac:dyDescent="0.25">
      <c r="L3393" s="65">
        <v>717142</v>
      </c>
      <c r="M3393" t="s">
        <v>2437</v>
      </c>
    </row>
    <row r="3394" spans="12:13" x14ac:dyDescent="0.25">
      <c r="L3394" s="65">
        <v>717143</v>
      </c>
      <c r="M3394" t="s">
        <v>2438</v>
      </c>
    </row>
    <row r="3395" spans="12:13" x14ac:dyDescent="0.25">
      <c r="L3395" s="65">
        <v>717144</v>
      </c>
      <c r="M3395" t="s">
        <v>2439</v>
      </c>
    </row>
    <row r="3396" spans="12:13" x14ac:dyDescent="0.25">
      <c r="L3396" s="65">
        <v>717150</v>
      </c>
      <c r="M3396" t="s">
        <v>2440</v>
      </c>
    </row>
    <row r="3397" spans="12:13" x14ac:dyDescent="0.25">
      <c r="L3397" s="65">
        <v>717151</v>
      </c>
      <c r="M3397" t="s">
        <v>2441</v>
      </c>
    </row>
    <row r="3398" spans="12:13" x14ac:dyDescent="0.25">
      <c r="L3398" s="65">
        <v>717152</v>
      </c>
      <c r="M3398" t="s">
        <v>2442</v>
      </c>
    </row>
    <row r="3399" spans="12:13" x14ac:dyDescent="0.25">
      <c r="L3399" s="65">
        <v>717200</v>
      </c>
      <c r="M3399" t="s">
        <v>2443</v>
      </c>
    </row>
    <row r="3400" spans="12:13" x14ac:dyDescent="0.25">
      <c r="L3400" s="65">
        <v>717210</v>
      </c>
      <c r="M3400" t="s">
        <v>2444</v>
      </c>
    </row>
    <row r="3401" spans="12:13" x14ac:dyDescent="0.25">
      <c r="L3401" s="65">
        <v>717211</v>
      </c>
      <c r="M3401" t="s">
        <v>2445</v>
      </c>
    </row>
    <row r="3402" spans="12:13" x14ac:dyDescent="0.25">
      <c r="L3402" s="65">
        <v>717212</v>
      </c>
      <c r="M3402" t="s">
        <v>2446</v>
      </c>
    </row>
    <row r="3403" spans="12:13" x14ac:dyDescent="0.25">
      <c r="L3403" s="65">
        <v>717213</v>
      </c>
      <c r="M3403" t="s">
        <v>2447</v>
      </c>
    </row>
    <row r="3404" spans="12:13" x14ac:dyDescent="0.25">
      <c r="L3404" s="65">
        <v>717214</v>
      </c>
      <c r="M3404" t="s">
        <v>2448</v>
      </c>
    </row>
    <row r="3405" spans="12:13" x14ac:dyDescent="0.25">
      <c r="L3405" s="65">
        <v>717215</v>
      </c>
      <c r="M3405" t="s">
        <v>2449</v>
      </c>
    </row>
    <row r="3406" spans="12:13" x14ac:dyDescent="0.25">
      <c r="L3406" s="65">
        <v>717220</v>
      </c>
      <c r="M3406" t="s">
        <v>2450</v>
      </c>
    </row>
    <row r="3407" spans="12:13" x14ac:dyDescent="0.25">
      <c r="L3407" s="65">
        <v>717221</v>
      </c>
      <c r="M3407" t="s">
        <v>2451</v>
      </c>
    </row>
    <row r="3408" spans="12:13" x14ac:dyDescent="0.25">
      <c r="L3408" s="65">
        <v>717222</v>
      </c>
      <c r="M3408" t="s">
        <v>2452</v>
      </c>
    </row>
    <row r="3409" spans="12:13" x14ac:dyDescent="0.25">
      <c r="L3409" s="65">
        <v>717223</v>
      </c>
      <c r="M3409" t="s">
        <v>2453</v>
      </c>
    </row>
    <row r="3410" spans="12:13" x14ac:dyDescent="0.25">
      <c r="L3410" s="65">
        <v>717300</v>
      </c>
      <c r="M3410" t="s">
        <v>2454</v>
      </c>
    </row>
    <row r="3411" spans="12:13" x14ac:dyDescent="0.25">
      <c r="L3411" s="65">
        <v>717310</v>
      </c>
      <c r="M3411" t="s">
        <v>2455</v>
      </c>
    </row>
    <row r="3412" spans="12:13" x14ac:dyDescent="0.25">
      <c r="L3412" s="65">
        <v>717311</v>
      </c>
      <c r="M3412" t="s">
        <v>2456</v>
      </c>
    </row>
    <row r="3413" spans="12:13" x14ac:dyDescent="0.25">
      <c r="L3413" s="65">
        <v>717312</v>
      </c>
      <c r="M3413" t="s">
        <v>2457</v>
      </c>
    </row>
    <row r="3414" spans="12:13" x14ac:dyDescent="0.25">
      <c r="L3414" s="65">
        <v>717313</v>
      </c>
      <c r="M3414" t="s">
        <v>2458</v>
      </c>
    </row>
    <row r="3415" spans="12:13" x14ac:dyDescent="0.25">
      <c r="L3415" s="65">
        <v>717314</v>
      </c>
      <c r="M3415" t="s">
        <v>2459</v>
      </c>
    </row>
    <row r="3416" spans="12:13" x14ac:dyDescent="0.25">
      <c r="L3416" s="65">
        <v>717315</v>
      </c>
      <c r="M3416" t="s">
        <v>2460</v>
      </c>
    </row>
    <row r="3417" spans="12:13" x14ac:dyDescent="0.25">
      <c r="L3417" s="65">
        <v>717316</v>
      </c>
      <c r="M3417" t="s">
        <v>2461</v>
      </c>
    </row>
    <row r="3418" spans="12:13" x14ac:dyDescent="0.25">
      <c r="L3418" s="65">
        <v>717317</v>
      </c>
      <c r="M3418" t="s">
        <v>2462</v>
      </c>
    </row>
    <row r="3419" spans="12:13" x14ac:dyDescent="0.25">
      <c r="L3419" s="65">
        <v>717320</v>
      </c>
      <c r="M3419" t="s">
        <v>2463</v>
      </c>
    </row>
    <row r="3420" spans="12:13" x14ac:dyDescent="0.25">
      <c r="L3420" s="65">
        <v>717321</v>
      </c>
      <c r="M3420" t="s">
        <v>2464</v>
      </c>
    </row>
    <row r="3421" spans="12:13" x14ac:dyDescent="0.25">
      <c r="L3421" s="65">
        <v>717322</v>
      </c>
      <c r="M3421" t="s">
        <v>2465</v>
      </c>
    </row>
    <row r="3422" spans="12:13" x14ac:dyDescent="0.25">
      <c r="L3422" s="65">
        <v>717323</v>
      </c>
      <c r="M3422" t="s">
        <v>2466</v>
      </c>
    </row>
    <row r="3423" spans="12:13" x14ac:dyDescent="0.25">
      <c r="L3423" s="65">
        <v>717324</v>
      </c>
      <c r="M3423" t="s">
        <v>2467</v>
      </c>
    </row>
    <row r="3424" spans="12:13" x14ac:dyDescent="0.25">
      <c r="L3424" s="65">
        <v>717325</v>
      </c>
      <c r="M3424" t="s">
        <v>2468</v>
      </c>
    </row>
    <row r="3425" spans="12:13" x14ac:dyDescent="0.25">
      <c r="L3425" s="65">
        <v>717326</v>
      </c>
      <c r="M3425" t="s">
        <v>2469</v>
      </c>
    </row>
    <row r="3426" spans="12:13" x14ac:dyDescent="0.25">
      <c r="L3426" s="65">
        <v>717327</v>
      </c>
      <c r="M3426" t="s">
        <v>2470</v>
      </c>
    </row>
    <row r="3427" spans="12:13" x14ac:dyDescent="0.25">
      <c r="L3427" s="65">
        <v>717400</v>
      </c>
      <c r="M3427" t="s">
        <v>2471</v>
      </c>
    </row>
    <row r="3428" spans="12:13" x14ac:dyDescent="0.25">
      <c r="L3428" s="65">
        <v>717410</v>
      </c>
      <c r="M3428" t="s">
        <v>2472</v>
      </c>
    </row>
    <row r="3429" spans="12:13" x14ac:dyDescent="0.25">
      <c r="L3429" s="65">
        <v>717411</v>
      </c>
      <c r="M3429" t="s">
        <v>2472</v>
      </c>
    </row>
    <row r="3430" spans="12:13" x14ac:dyDescent="0.25">
      <c r="L3430" s="65">
        <v>717500</v>
      </c>
      <c r="M3430" t="s">
        <v>2473</v>
      </c>
    </row>
    <row r="3431" spans="12:13" x14ac:dyDescent="0.25">
      <c r="L3431" s="65">
        <v>717510</v>
      </c>
      <c r="M3431" t="s">
        <v>2474</v>
      </c>
    </row>
    <row r="3432" spans="12:13" x14ac:dyDescent="0.25">
      <c r="L3432" s="65">
        <v>717511</v>
      </c>
      <c r="M3432" t="s">
        <v>2475</v>
      </c>
    </row>
    <row r="3433" spans="12:13" x14ac:dyDescent="0.25">
      <c r="L3433" s="65">
        <v>717512</v>
      </c>
      <c r="M3433" t="s">
        <v>2476</v>
      </c>
    </row>
    <row r="3434" spans="12:13" x14ac:dyDescent="0.25">
      <c r="L3434" s="65">
        <v>717513</v>
      </c>
      <c r="M3434" t="s">
        <v>2477</v>
      </c>
    </row>
    <row r="3435" spans="12:13" x14ac:dyDescent="0.25">
      <c r="L3435" s="65">
        <v>717514</v>
      </c>
      <c r="M3435" t="s">
        <v>2478</v>
      </c>
    </row>
    <row r="3436" spans="12:13" x14ac:dyDescent="0.25">
      <c r="L3436" s="65">
        <v>717515</v>
      </c>
      <c r="M3436" t="s">
        <v>2479</v>
      </c>
    </row>
    <row r="3437" spans="12:13" x14ac:dyDescent="0.25">
      <c r="L3437" s="65">
        <v>717516</v>
      </c>
      <c r="M3437" t="s">
        <v>2480</v>
      </c>
    </row>
    <row r="3438" spans="12:13" x14ac:dyDescent="0.25">
      <c r="L3438" s="65">
        <v>717600</v>
      </c>
      <c r="M3438" t="s">
        <v>2481</v>
      </c>
    </row>
    <row r="3439" spans="12:13" x14ac:dyDescent="0.25">
      <c r="L3439" s="65">
        <v>717610</v>
      </c>
      <c r="M3439" t="s">
        <v>2481</v>
      </c>
    </row>
    <row r="3440" spans="12:13" x14ac:dyDescent="0.25">
      <c r="L3440" s="65">
        <v>717611</v>
      </c>
      <c r="M3440" t="s">
        <v>2482</v>
      </c>
    </row>
    <row r="3441" spans="12:13" x14ac:dyDescent="0.25">
      <c r="L3441" s="65">
        <v>717612</v>
      </c>
      <c r="M3441" t="s">
        <v>2483</v>
      </c>
    </row>
    <row r="3442" spans="12:13" x14ac:dyDescent="0.25">
      <c r="L3442" s="65">
        <v>719000</v>
      </c>
      <c r="M3442" t="s">
        <v>2484</v>
      </c>
    </row>
    <row r="3443" spans="12:13" x14ac:dyDescent="0.25">
      <c r="L3443" s="65">
        <v>719100</v>
      </c>
      <c r="M3443" t="s">
        <v>2485</v>
      </c>
    </row>
    <row r="3444" spans="12:13" x14ac:dyDescent="0.25">
      <c r="L3444" s="65">
        <v>719110</v>
      </c>
      <c r="M3444" t="s">
        <v>2486</v>
      </c>
    </row>
    <row r="3445" spans="12:13" x14ac:dyDescent="0.25">
      <c r="L3445" s="65">
        <v>719111</v>
      </c>
      <c r="M3445" t="s">
        <v>2487</v>
      </c>
    </row>
    <row r="3446" spans="12:13" x14ac:dyDescent="0.25">
      <c r="L3446" s="65">
        <v>719200</v>
      </c>
      <c r="M3446" t="s">
        <v>2488</v>
      </c>
    </row>
    <row r="3447" spans="12:13" x14ac:dyDescent="0.25">
      <c r="L3447" s="65">
        <v>719210</v>
      </c>
      <c r="M3447" t="s">
        <v>2489</v>
      </c>
    </row>
    <row r="3448" spans="12:13" x14ac:dyDescent="0.25">
      <c r="L3448" s="65">
        <v>719211</v>
      </c>
      <c r="M3448" t="s">
        <v>2490</v>
      </c>
    </row>
    <row r="3449" spans="12:13" x14ac:dyDescent="0.25">
      <c r="L3449" s="65">
        <v>719220</v>
      </c>
      <c r="M3449" t="s">
        <v>2491</v>
      </c>
    </row>
    <row r="3450" spans="12:13" x14ac:dyDescent="0.25">
      <c r="L3450" s="65">
        <v>719221</v>
      </c>
      <c r="M3450" t="s">
        <v>2492</v>
      </c>
    </row>
    <row r="3451" spans="12:13" x14ac:dyDescent="0.25">
      <c r="L3451" s="65">
        <v>719230</v>
      </c>
      <c r="M3451" t="s">
        <v>2493</v>
      </c>
    </row>
    <row r="3452" spans="12:13" x14ac:dyDescent="0.25">
      <c r="L3452" s="65">
        <v>719231</v>
      </c>
      <c r="M3452" t="s">
        <v>2494</v>
      </c>
    </row>
    <row r="3453" spans="12:13" x14ac:dyDescent="0.25">
      <c r="L3453" s="65">
        <v>719240</v>
      </c>
      <c r="M3453" t="s">
        <v>2495</v>
      </c>
    </row>
    <row r="3454" spans="12:13" x14ac:dyDescent="0.25">
      <c r="L3454" s="65">
        <v>719241</v>
      </c>
      <c r="M3454" t="s">
        <v>2496</v>
      </c>
    </row>
    <row r="3455" spans="12:13" x14ac:dyDescent="0.25">
      <c r="L3455" s="65">
        <v>719250</v>
      </c>
      <c r="M3455" t="s">
        <v>2497</v>
      </c>
    </row>
    <row r="3456" spans="12:13" x14ac:dyDescent="0.25">
      <c r="L3456" s="65">
        <v>719251</v>
      </c>
      <c r="M3456" t="s">
        <v>2498</v>
      </c>
    </row>
    <row r="3457" spans="12:13" x14ac:dyDescent="0.25">
      <c r="L3457" s="65">
        <v>719260</v>
      </c>
      <c r="M3457" t="s">
        <v>2499</v>
      </c>
    </row>
    <row r="3458" spans="12:13" x14ac:dyDescent="0.25">
      <c r="L3458" s="65">
        <v>719261</v>
      </c>
      <c r="M3458" t="s">
        <v>2500</v>
      </c>
    </row>
    <row r="3459" spans="12:13" x14ac:dyDescent="0.25">
      <c r="L3459" s="65">
        <v>719262</v>
      </c>
      <c r="M3459" t="s">
        <v>2501</v>
      </c>
    </row>
    <row r="3460" spans="12:13" x14ac:dyDescent="0.25">
      <c r="L3460" s="65">
        <v>719263</v>
      </c>
      <c r="M3460" t="s">
        <v>2502</v>
      </c>
    </row>
    <row r="3461" spans="12:13" x14ac:dyDescent="0.25">
      <c r="L3461" s="65">
        <v>719264</v>
      </c>
      <c r="M3461" t="s">
        <v>2503</v>
      </c>
    </row>
    <row r="3462" spans="12:13" x14ac:dyDescent="0.25">
      <c r="L3462" s="65">
        <v>719265</v>
      </c>
      <c r="M3462" t="s">
        <v>2504</v>
      </c>
    </row>
    <row r="3463" spans="12:13" x14ac:dyDescent="0.25">
      <c r="L3463" s="65">
        <v>719300</v>
      </c>
      <c r="M3463" t="s">
        <v>2505</v>
      </c>
    </row>
    <row r="3464" spans="12:13" x14ac:dyDescent="0.25">
      <c r="L3464" s="65">
        <v>719310</v>
      </c>
      <c r="M3464" t="s">
        <v>2506</v>
      </c>
    </row>
    <row r="3465" spans="12:13" x14ac:dyDescent="0.25">
      <c r="L3465" s="65">
        <v>719311</v>
      </c>
      <c r="M3465" t="s">
        <v>2507</v>
      </c>
    </row>
    <row r="3466" spans="12:13" x14ac:dyDescent="0.25">
      <c r="L3466" s="65">
        <v>719320</v>
      </c>
      <c r="M3466" t="s">
        <v>2508</v>
      </c>
    </row>
    <row r="3467" spans="12:13" x14ac:dyDescent="0.25">
      <c r="L3467" s="65">
        <v>719321</v>
      </c>
      <c r="M3467" t="s">
        <v>2509</v>
      </c>
    </row>
    <row r="3468" spans="12:13" x14ac:dyDescent="0.25">
      <c r="L3468" s="65">
        <v>719330</v>
      </c>
      <c r="M3468" t="s">
        <v>2510</v>
      </c>
    </row>
    <row r="3469" spans="12:13" x14ac:dyDescent="0.25">
      <c r="L3469" s="65">
        <v>719331</v>
      </c>
      <c r="M3469" t="s">
        <v>2511</v>
      </c>
    </row>
    <row r="3470" spans="12:13" x14ac:dyDescent="0.25">
      <c r="L3470" s="65">
        <v>719400</v>
      </c>
      <c r="M3470" t="s">
        <v>2512</v>
      </c>
    </row>
    <row r="3471" spans="12:13" x14ac:dyDescent="0.25">
      <c r="L3471" s="65">
        <v>719410</v>
      </c>
      <c r="M3471" t="s">
        <v>2513</v>
      </c>
    </row>
    <row r="3472" spans="12:13" x14ac:dyDescent="0.25">
      <c r="L3472" s="65">
        <v>719411</v>
      </c>
      <c r="M3472" t="s">
        <v>2514</v>
      </c>
    </row>
    <row r="3473" spans="12:13" x14ac:dyDescent="0.25">
      <c r="L3473" s="65">
        <v>719412</v>
      </c>
      <c r="M3473" t="s">
        <v>2515</v>
      </c>
    </row>
    <row r="3474" spans="12:13" x14ac:dyDescent="0.25">
      <c r="L3474" s="65">
        <v>719413</v>
      </c>
      <c r="M3474" t="s">
        <v>2516</v>
      </c>
    </row>
    <row r="3475" spans="12:13" x14ac:dyDescent="0.25">
      <c r="L3475" s="65">
        <v>719414</v>
      </c>
      <c r="M3475" t="s">
        <v>2517</v>
      </c>
    </row>
    <row r="3476" spans="12:13" x14ac:dyDescent="0.25">
      <c r="L3476" s="65">
        <v>719415</v>
      </c>
      <c r="M3476" t="s">
        <v>2518</v>
      </c>
    </row>
    <row r="3477" spans="12:13" x14ac:dyDescent="0.25">
      <c r="L3477" s="65">
        <v>719500</v>
      </c>
      <c r="M3477" t="s">
        <v>2519</v>
      </c>
    </row>
    <row r="3478" spans="12:13" x14ac:dyDescent="0.25">
      <c r="L3478" s="65">
        <v>719510</v>
      </c>
      <c r="M3478" t="s">
        <v>2520</v>
      </c>
    </row>
    <row r="3479" spans="12:13" x14ac:dyDescent="0.25">
      <c r="L3479" s="65">
        <v>719511</v>
      </c>
      <c r="M3479" t="s">
        <v>2521</v>
      </c>
    </row>
    <row r="3480" spans="12:13" x14ac:dyDescent="0.25">
      <c r="L3480" s="65">
        <v>719600</v>
      </c>
      <c r="M3480" t="s">
        <v>2522</v>
      </c>
    </row>
    <row r="3481" spans="12:13" x14ac:dyDescent="0.25">
      <c r="L3481" s="65">
        <v>719610</v>
      </c>
      <c r="M3481" t="s">
        <v>2523</v>
      </c>
    </row>
    <row r="3482" spans="12:13" x14ac:dyDescent="0.25">
      <c r="L3482" s="65">
        <v>719611</v>
      </c>
      <c r="M3482" t="s">
        <v>2524</v>
      </c>
    </row>
    <row r="3483" spans="12:13" x14ac:dyDescent="0.25">
      <c r="L3483" s="65">
        <v>720000</v>
      </c>
      <c r="M3483" t="s">
        <v>2525</v>
      </c>
    </row>
    <row r="3484" spans="12:13" x14ac:dyDescent="0.25">
      <c r="L3484" s="65">
        <v>721000</v>
      </c>
      <c r="M3484" t="s">
        <v>2526</v>
      </c>
    </row>
    <row r="3485" spans="12:13" x14ac:dyDescent="0.25">
      <c r="L3485" s="65">
        <v>721100</v>
      </c>
      <c r="M3485" t="s">
        <v>2527</v>
      </c>
    </row>
    <row r="3486" spans="12:13" x14ac:dyDescent="0.25">
      <c r="L3486" s="65">
        <v>721110</v>
      </c>
      <c r="M3486" t="s">
        <v>2528</v>
      </c>
    </row>
    <row r="3487" spans="12:13" x14ac:dyDescent="0.25">
      <c r="L3487" s="65">
        <v>721111</v>
      </c>
      <c r="M3487" t="s">
        <v>2529</v>
      </c>
    </row>
    <row r="3488" spans="12:13" x14ac:dyDescent="0.25">
      <c r="L3488" s="65">
        <v>721112</v>
      </c>
      <c r="M3488" t="s">
        <v>2530</v>
      </c>
    </row>
    <row r="3489" spans="12:13" x14ac:dyDescent="0.25">
      <c r="L3489" s="65">
        <v>721113</v>
      </c>
      <c r="M3489" t="s">
        <v>2531</v>
      </c>
    </row>
    <row r="3490" spans="12:13" x14ac:dyDescent="0.25">
      <c r="L3490" s="65">
        <v>721114</v>
      </c>
      <c r="M3490" t="s">
        <v>2532</v>
      </c>
    </row>
    <row r="3491" spans="12:13" x14ac:dyDescent="0.25">
      <c r="L3491" s="65">
        <v>721115</v>
      </c>
      <c r="M3491" t="s">
        <v>2533</v>
      </c>
    </row>
    <row r="3492" spans="12:13" x14ac:dyDescent="0.25">
      <c r="L3492" s="65">
        <v>721116</v>
      </c>
      <c r="M3492" t="s">
        <v>2534</v>
      </c>
    </row>
    <row r="3493" spans="12:13" x14ac:dyDescent="0.25">
      <c r="L3493" s="65">
        <v>721117</v>
      </c>
      <c r="M3493" t="s">
        <v>2535</v>
      </c>
    </row>
    <row r="3494" spans="12:13" x14ac:dyDescent="0.25">
      <c r="L3494" s="65">
        <v>721118</v>
      </c>
      <c r="M3494" t="s">
        <v>2536</v>
      </c>
    </row>
    <row r="3495" spans="12:13" x14ac:dyDescent="0.25">
      <c r="L3495" s="65">
        <v>721119</v>
      </c>
      <c r="M3495" t="s">
        <v>2537</v>
      </c>
    </row>
    <row r="3496" spans="12:13" x14ac:dyDescent="0.25">
      <c r="L3496" s="65">
        <v>721120</v>
      </c>
      <c r="M3496" t="s">
        <v>2538</v>
      </c>
    </row>
    <row r="3497" spans="12:13" x14ac:dyDescent="0.25">
      <c r="L3497" s="65">
        <v>721121</v>
      </c>
      <c r="M3497" t="s">
        <v>2539</v>
      </c>
    </row>
    <row r="3498" spans="12:13" x14ac:dyDescent="0.25">
      <c r="L3498" s="65">
        <v>721122</v>
      </c>
      <c r="M3498" t="s">
        <v>2540</v>
      </c>
    </row>
    <row r="3499" spans="12:13" x14ac:dyDescent="0.25">
      <c r="L3499" s="65">
        <v>721130</v>
      </c>
      <c r="M3499" t="s">
        <v>2541</v>
      </c>
    </row>
    <row r="3500" spans="12:13" x14ac:dyDescent="0.25">
      <c r="L3500" s="65">
        <v>721131</v>
      </c>
      <c r="M3500" t="s">
        <v>2542</v>
      </c>
    </row>
    <row r="3501" spans="12:13" x14ac:dyDescent="0.25">
      <c r="L3501" s="65">
        <v>721200</v>
      </c>
      <c r="M3501" t="s">
        <v>2543</v>
      </c>
    </row>
    <row r="3502" spans="12:13" x14ac:dyDescent="0.25">
      <c r="L3502" s="65">
        <v>721210</v>
      </c>
      <c r="M3502" t="s">
        <v>2528</v>
      </c>
    </row>
    <row r="3503" spans="12:13" x14ac:dyDescent="0.25">
      <c r="L3503" s="65">
        <v>721211</v>
      </c>
      <c r="M3503" t="s">
        <v>2544</v>
      </c>
    </row>
    <row r="3504" spans="12:13" x14ac:dyDescent="0.25">
      <c r="L3504" s="65">
        <v>721212</v>
      </c>
      <c r="M3504" t="s">
        <v>2545</v>
      </c>
    </row>
    <row r="3505" spans="12:13" x14ac:dyDescent="0.25">
      <c r="L3505" s="65">
        <v>721213</v>
      </c>
      <c r="M3505" t="s">
        <v>2546</v>
      </c>
    </row>
    <row r="3506" spans="12:13" x14ac:dyDescent="0.25">
      <c r="L3506" s="65">
        <v>721214</v>
      </c>
      <c r="M3506" t="s">
        <v>2547</v>
      </c>
    </row>
    <row r="3507" spans="12:13" x14ac:dyDescent="0.25">
      <c r="L3507" s="65">
        <v>721215</v>
      </c>
      <c r="M3507" t="s">
        <v>2548</v>
      </c>
    </row>
    <row r="3508" spans="12:13" x14ac:dyDescent="0.25">
      <c r="L3508" s="65">
        <v>721216</v>
      </c>
      <c r="M3508" t="s">
        <v>2549</v>
      </c>
    </row>
    <row r="3509" spans="12:13" x14ac:dyDescent="0.25">
      <c r="L3509" s="65">
        <v>721217</v>
      </c>
      <c r="M3509" t="s">
        <v>2550</v>
      </c>
    </row>
    <row r="3510" spans="12:13" x14ac:dyDescent="0.25">
      <c r="L3510" s="65">
        <v>721218</v>
      </c>
      <c r="M3510" t="s">
        <v>2551</v>
      </c>
    </row>
    <row r="3511" spans="12:13" x14ac:dyDescent="0.25">
      <c r="L3511" s="65">
        <v>721219</v>
      </c>
      <c r="M3511" t="s">
        <v>2552</v>
      </c>
    </row>
    <row r="3512" spans="12:13" x14ac:dyDescent="0.25">
      <c r="L3512" s="65">
        <v>721220</v>
      </c>
      <c r="M3512" t="s">
        <v>2538</v>
      </c>
    </row>
    <row r="3513" spans="12:13" x14ac:dyDescent="0.25">
      <c r="L3513" s="65">
        <v>721221</v>
      </c>
      <c r="M3513" t="s">
        <v>2553</v>
      </c>
    </row>
    <row r="3514" spans="12:13" x14ac:dyDescent="0.25">
      <c r="L3514" s="65">
        <v>721222</v>
      </c>
      <c r="M3514" t="s">
        <v>2554</v>
      </c>
    </row>
    <row r="3515" spans="12:13" x14ac:dyDescent="0.25">
      <c r="L3515" s="65">
        <v>721223</v>
      </c>
      <c r="M3515" t="s">
        <v>2555</v>
      </c>
    </row>
    <row r="3516" spans="12:13" x14ac:dyDescent="0.25">
      <c r="L3516" s="65">
        <v>721224</v>
      </c>
      <c r="M3516" t="s">
        <v>2556</v>
      </c>
    </row>
    <row r="3517" spans="12:13" x14ac:dyDescent="0.25">
      <c r="L3517" s="65">
        <v>721225</v>
      </c>
      <c r="M3517" t="s">
        <v>2557</v>
      </c>
    </row>
    <row r="3518" spans="12:13" x14ac:dyDescent="0.25">
      <c r="L3518" s="65">
        <v>721226</v>
      </c>
      <c r="M3518" t="s">
        <v>2558</v>
      </c>
    </row>
    <row r="3519" spans="12:13" x14ac:dyDescent="0.25">
      <c r="L3519" s="65">
        <v>721230</v>
      </c>
      <c r="M3519" t="s">
        <v>2541</v>
      </c>
    </row>
    <row r="3520" spans="12:13" x14ac:dyDescent="0.25">
      <c r="L3520" s="65">
        <v>721231</v>
      </c>
      <c r="M3520" t="s">
        <v>2559</v>
      </c>
    </row>
    <row r="3521" spans="12:13" x14ac:dyDescent="0.25">
      <c r="L3521" s="65">
        <v>721232</v>
      </c>
      <c r="M3521" t="s">
        <v>2560</v>
      </c>
    </row>
    <row r="3522" spans="12:13" x14ac:dyDescent="0.25">
      <c r="L3522" s="65">
        <v>721233</v>
      </c>
      <c r="M3522" t="s">
        <v>2561</v>
      </c>
    </row>
    <row r="3523" spans="12:13" x14ac:dyDescent="0.25">
      <c r="L3523" s="65">
        <v>721300</v>
      </c>
      <c r="M3523" t="s">
        <v>2562</v>
      </c>
    </row>
    <row r="3524" spans="12:13" x14ac:dyDescent="0.25">
      <c r="L3524" s="65">
        <v>721310</v>
      </c>
      <c r="M3524" t="s">
        <v>2528</v>
      </c>
    </row>
    <row r="3525" spans="12:13" x14ac:dyDescent="0.25">
      <c r="L3525" s="65">
        <v>721311</v>
      </c>
      <c r="M3525" t="s">
        <v>2563</v>
      </c>
    </row>
    <row r="3526" spans="12:13" x14ac:dyDescent="0.25">
      <c r="L3526" s="65">
        <v>721312</v>
      </c>
      <c r="M3526" t="s">
        <v>2564</v>
      </c>
    </row>
    <row r="3527" spans="12:13" x14ac:dyDescent="0.25">
      <c r="L3527" s="65">
        <v>721313</v>
      </c>
      <c r="M3527" t="s">
        <v>2565</v>
      </c>
    </row>
    <row r="3528" spans="12:13" x14ac:dyDescent="0.25">
      <c r="L3528" s="65">
        <v>721314</v>
      </c>
      <c r="M3528" t="s">
        <v>2566</v>
      </c>
    </row>
    <row r="3529" spans="12:13" x14ac:dyDescent="0.25">
      <c r="L3529" s="65">
        <v>721315</v>
      </c>
      <c r="M3529" t="s">
        <v>2567</v>
      </c>
    </row>
    <row r="3530" spans="12:13" x14ac:dyDescent="0.25">
      <c r="L3530" s="65">
        <v>721316</v>
      </c>
      <c r="M3530" t="s">
        <v>2568</v>
      </c>
    </row>
    <row r="3531" spans="12:13" x14ac:dyDescent="0.25">
      <c r="L3531" s="65">
        <v>721317</v>
      </c>
      <c r="M3531" t="s">
        <v>2569</v>
      </c>
    </row>
    <row r="3532" spans="12:13" x14ac:dyDescent="0.25">
      <c r="L3532" s="65">
        <v>721318</v>
      </c>
      <c r="M3532" t="s">
        <v>2570</v>
      </c>
    </row>
    <row r="3533" spans="12:13" x14ac:dyDescent="0.25">
      <c r="L3533" s="65">
        <v>721319</v>
      </c>
      <c r="M3533" t="s">
        <v>2571</v>
      </c>
    </row>
    <row r="3534" spans="12:13" x14ac:dyDescent="0.25">
      <c r="L3534" s="65">
        <v>721320</v>
      </c>
      <c r="M3534" t="s">
        <v>2538</v>
      </c>
    </row>
    <row r="3535" spans="12:13" x14ac:dyDescent="0.25">
      <c r="L3535" s="65">
        <v>721321</v>
      </c>
      <c r="M3535" t="s">
        <v>2572</v>
      </c>
    </row>
    <row r="3536" spans="12:13" x14ac:dyDescent="0.25">
      <c r="L3536" s="65">
        <v>721322</v>
      </c>
      <c r="M3536" t="s">
        <v>2573</v>
      </c>
    </row>
    <row r="3537" spans="12:13" x14ac:dyDescent="0.25">
      <c r="L3537" s="65">
        <v>721323</v>
      </c>
      <c r="M3537" t="s">
        <v>2574</v>
      </c>
    </row>
    <row r="3538" spans="12:13" x14ac:dyDescent="0.25">
      <c r="L3538" s="65">
        <v>721324</v>
      </c>
      <c r="M3538" t="s">
        <v>2575</v>
      </c>
    </row>
    <row r="3539" spans="12:13" x14ac:dyDescent="0.25">
      <c r="L3539" s="65">
        <v>721325</v>
      </c>
      <c r="M3539" t="s">
        <v>2576</v>
      </c>
    </row>
    <row r="3540" spans="12:13" x14ac:dyDescent="0.25">
      <c r="L3540" s="65">
        <v>721330</v>
      </c>
      <c r="M3540" t="s">
        <v>2541</v>
      </c>
    </row>
    <row r="3541" spans="12:13" x14ac:dyDescent="0.25">
      <c r="L3541" s="65">
        <v>721331</v>
      </c>
      <c r="M3541" t="s">
        <v>2577</v>
      </c>
    </row>
    <row r="3542" spans="12:13" x14ac:dyDescent="0.25">
      <c r="L3542" s="65">
        <v>721332</v>
      </c>
      <c r="M3542" t="s">
        <v>2578</v>
      </c>
    </row>
    <row r="3543" spans="12:13" x14ac:dyDescent="0.25">
      <c r="L3543" s="65">
        <v>721400</v>
      </c>
      <c r="M3543" t="s">
        <v>2579</v>
      </c>
    </row>
    <row r="3544" spans="12:13" x14ac:dyDescent="0.25">
      <c r="L3544" s="65">
        <v>721410</v>
      </c>
      <c r="M3544" t="s">
        <v>2528</v>
      </c>
    </row>
    <row r="3545" spans="12:13" x14ac:dyDescent="0.25">
      <c r="L3545" s="65">
        <v>721411</v>
      </c>
      <c r="M3545" t="s">
        <v>2580</v>
      </c>
    </row>
    <row r="3546" spans="12:13" x14ac:dyDescent="0.25">
      <c r="L3546" s="65">
        <v>721412</v>
      </c>
      <c r="M3546" t="s">
        <v>2581</v>
      </c>
    </row>
    <row r="3547" spans="12:13" x14ac:dyDescent="0.25">
      <c r="L3547" s="65">
        <v>721413</v>
      </c>
      <c r="M3547" t="s">
        <v>2582</v>
      </c>
    </row>
    <row r="3548" spans="12:13" x14ac:dyDescent="0.25">
      <c r="L3548" s="65">
        <v>721414</v>
      </c>
      <c r="M3548" t="s">
        <v>2583</v>
      </c>
    </row>
    <row r="3549" spans="12:13" x14ac:dyDescent="0.25">
      <c r="L3549" s="65">
        <v>721415</v>
      </c>
      <c r="M3549" t="s">
        <v>2584</v>
      </c>
    </row>
    <row r="3550" spans="12:13" x14ac:dyDescent="0.25">
      <c r="L3550" s="65">
        <v>721416</v>
      </c>
      <c r="M3550" t="s">
        <v>2585</v>
      </c>
    </row>
    <row r="3551" spans="12:13" x14ac:dyDescent="0.25">
      <c r="L3551" s="65">
        <v>721417</v>
      </c>
      <c r="M3551" t="s">
        <v>2586</v>
      </c>
    </row>
    <row r="3552" spans="12:13" x14ac:dyDescent="0.25">
      <c r="L3552" s="65">
        <v>721418</v>
      </c>
      <c r="M3552" t="s">
        <v>2587</v>
      </c>
    </row>
    <row r="3553" spans="12:13" x14ac:dyDescent="0.25">
      <c r="L3553" s="65">
        <v>721419</v>
      </c>
      <c r="M3553" t="s">
        <v>2588</v>
      </c>
    </row>
    <row r="3554" spans="12:13" x14ac:dyDescent="0.25">
      <c r="L3554" s="65">
        <v>721420</v>
      </c>
      <c r="M3554" t="s">
        <v>2589</v>
      </c>
    </row>
    <row r="3555" spans="12:13" x14ac:dyDescent="0.25">
      <c r="L3555" s="65">
        <v>721421</v>
      </c>
      <c r="M3555" t="s">
        <v>2589</v>
      </c>
    </row>
    <row r="3556" spans="12:13" x14ac:dyDescent="0.25">
      <c r="L3556" s="65">
        <v>721430</v>
      </c>
      <c r="M3556" t="s">
        <v>2590</v>
      </c>
    </row>
    <row r="3557" spans="12:13" x14ac:dyDescent="0.25">
      <c r="L3557" s="65">
        <v>721431</v>
      </c>
      <c r="M3557" t="s">
        <v>2590</v>
      </c>
    </row>
    <row r="3558" spans="12:13" x14ac:dyDescent="0.25">
      <c r="L3558" s="65">
        <v>721432</v>
      </c>
      <c r="M3558" t="s">
        <v>2591</v>
      </c>
    </row>
    <row r="3559" spans="12:13" x14ac:dyDescent="0.25">
      <c r="L3559" s="65">
        <v>722000</v>
      </c>
      <c r="M3559" t="s">
        <v>2592</v>
      </c>
    </row>
    <row r="3560" spans="12:13" x14ac:dyDescent="0.25">
      <c r="L3560" s="65">
        <v>722100</v>
      </c>
      <c r="M3560" t="s">
        <v>2593</v>
      </c>
    </row>
    <row r="3561" spans="12:13" x14ac:dyDescent="0.25">
      <c r="L3561" s="65">
        <v>722110</v>
      </c>
      <c r="M3561" t="s">
        <v>2593</v>
      </c>
    </row>
    <row r="3562" spans="12:13" x14ac:dyDescent="0.25">
      <c r="L3562" s="65">
        <v>722111</v>
      </c>
      <c r="M3562" t="s">
        <v>2593</v>
      </c>
    </row>
    <row r="3563" spans="12:13" x14ac:dyDescent="0.25">
      <c r="L3563" s="65">
        <v>722200</v>
      </c>
      <c r="M3563" t="s">
        <v>2594</v>
      </c>
    </row>
    <row r="3564" spans="12:13" x14ac:dyDescent="0.25">
      <c r="L3564" s="65">
        <v>722210</v>
      </c>
      <c r="M3564" t="s">
        <v>2594</v>
      </c>
    </row>
    <row r="3565" spans="12:13" x14ac:dyDescent="0.25">
      <c r="L3565" s="65">
        <v>722211</v>
      </c>
      <c r="M3565" t="s">
        <v>2594</v>
      </c>
    </row>
    <row r="3566" spans="12:13" x14ac:dyDescent="0.25">
      <c r="L3566" s="65">
        <v>722300</v>
      </c>
      <c r="M3566" t="s">
        <v>2595</v>
      </c>
    </row>
    <row r="3567" spans="12:13" x14ac:dyDescent="0.25">
      <c r="L3567" s="65">
        <v>722310</v>
      </c>
      <c r="M3567" t="s">
        <v>2595</v>
      </c>
    </row>
    <row r="3568" spans="12:13" x14ac:dyDescent="0.25">
      <c r="L3568" s="65">
        <v>722311</v>
      </c>
      <c r="M3568" t="s">
        <v>2595</v>
      </c>
    </row>
    <row r="3569" spans="12:13" x14ac:dyDescent="0.25">
      <c r="L3569" s="65">
        <v>730000</v>
      </c>
      <c r="M3569" t="s">
        <v>2597</v>
      </c>
    </row>
    <row r="3570" spans="12:13" x14ac:dyDescent="0.25">
      <c r="L3570" s="65">
        <v>731000</v>
      </c>
      <c r="M3570" t="s">
        <v>2598</v>
      </c>
    </row>
    <row r="3571" spans="12:13" x14ac:dyDescent="0.25">
      <c r="L3571" s="65">
        <v>731100</v>
      </c>
      <c r="M3571" t="s">
        <v>2599</v>
      </c>
    </row>
    <row r="3572" spans="12:13" x14ac:dyDescent="0.25">
      <c r="L3572" s="65">
        <v>731120</v>
      </c>
      <c r="M3572" t="s">
        <v>2600</v>
      </c>
    </row>
    <row r="3573" spans="12:13" x14ac:dyDescent="0.25">
      <c r="L3573" s="65">
        <v>731121</v>
      </c>
      <c r="M3573" t="s">
        <v>2600</v>
      </c>
    </row>
    <row r="3574" spans="12:13" x14ac:dyDescent="0.25">
      <c r="L3574" s="65">
        <v>731130</v>
      </c>
      <c r="M3574" t="s">
        <v>2601</v>
      </c>
    </row>
    <row r="3575" spans="12:13" x14ac:dyDescent="0.25">
      <c r="L3575" s="65">
        <v>731131</v>
      </c>
      <c r="M3575" t="s">
        <v>2602</v>
      </c>
    </row>
    <row r="3576" spans="12:13" x14ac:dyDescent="0.25">
      <c r="L3576" s="65">
        <v>731132</v>
      </c>
      <c r="M3576" t="s">
        <v>2603</v>
      </c>
    </row>
    <row r="3577" spans="12:13" x14ac:dyDescent="0.25">
      <c r="L3577" s="65">
        <v>731140</v>
      </c>
      <c r="M3577" t="s">
        <v>2604</v>
      </c>
    </row>
    <row r="3578" spans="12:13" x14ac:dyDescent="0.25">
      <c r="L3578" s="65">
        <v>731141</v>
      </c>
      <c r="M3578" t="s">
        <v>2604</v>
      </c>
    </row>
    <row r="3579" spans="12:13" x14ac:dyDescent="0.25">
      <c r="L3579" s="65">
        <v>731150</v>
      </c>
      <c r="M3579" t="s">
        <v>2605</v>
      </c>
    </row>
    <row r="3580" spans="12:13" x14ac:dyDescent="0.25">
      <c r="L3580" s="65">
        <v>731151</v>
      </c>
      <c r="M3580" t="s">
        <v>2605</v>
      </c>
    </row>
    <row r="3581" spans="12:13" x14ac:dyDescent="0.25">
      <c r="L3581" s="65">
        <v>731160</v>
      </c>
      <c r="M3581" t="s">
        <v>2606</v>
      </c>
    </row>
    <row r="3582" spans="12:13" x14ac:dyDescent="0.25">
      <c r="L3582" s="65">
        <v>731161</v>
      </c>
      <c r="M3582" t="s">
        <v>2607</v>
      </c>
    </row>
    <row r="3583" spans="12:13" x14ac:dyDescent="0.25">
      <c r="L3583" s="65">
        <v>731162</v>
      </c>
      <c r="M3583" t="s">
        <v>2608</v>
      </c>
    </row>
    <row r="3584" spans="12:13" x14ac:dyDescent="0.25">
      <c r="L3584" s="65">
        <v>731165</v>
      </c>
      <c r="M3584" t="s">
        <v>2609</v>
      </c>
    </row>
    <row r="3585" spans="12:13" x14ac:dyDescent="0.25">
      <c r="L3585" s="65">
        <v>731200</v>
      </c>
      <c r="M3585" t="s">
        <v>2610</v>
      </c>
    </row>
    <row r="3586" spans="12:13" x14ac:dyDescent="0.25">
      <c r="L3586" s="65">
        <v>731220</v>
      </c>
      <c r="M3586" t="s">
        <v>2611</v>
      </c>
    </row>
    <row r="3587" spans="12:13" x14ac:dyDescent="0.25">
      <c r="L3587" s="65">
        <v>731221</v>
      </c>
      <c r="M3587" t="s">
        <v>2611</v>
      </c>
    </row>
    <row r="3588" spans="12:13" x14ac:dyDescent="0.25">
      <c r="L3588" s="65">
        <v>731230</v>
      </c>
      <c r="M3588" t="s">
        <v>2612</v>
      </c>
    </row>
    <row r="3589" spans="12:13" x14ac:dyDescent="0.25">
      <c r="L3589" s="65">
        <v>731231</v>
      </c>
      <c r="M3589" t="s">
        <v>2613</v>
      </c>
    </row>
    <row r="3590" spans="12:13" x14ac:dyDescent="0.25">
      <c r="L3590" s="65">
        <v>731232</v>
      </c>
      <c r="M3590" t="s">
        <v>2614</v>
      </c>
    </row>
    <row r="3591" spans="12:13" x14ac:dyDescent="0.25">
      <c r="L3591" s="65">
        <v>731240</v>
      </c>
      <c r="M3591" t="s">
        <v>2615</v>
      </c>
    </row>
    <row r="3592" spans="12:13" x14ac:dyDescent="0.25">
      <c r="L3592" s="65">
        <v>731241</v>
      </c>
      <c r="M3592" t="s">
        <v>2615</v>
      </c>
    </row>
    <row r="3593" spans="12:13" x14ac:dyDescent="0.25">
      <c r="L3593" s="65">
        <v>731250</v>
      </c>
      <c r="M3593" t="s">
        <v>2616</v>
      </c>
    </row>
    <row r="3594" spans="12:13" x14ac:dyDescent="0.25">
      <c r="L3594" s="65">
        <v>731251</v>
      </c>
      <c r="M3594" t="s">
        <v>2616</v>
      </c>
    </row>
    <row r="3595" spans="12:13" x14ac:dyDescent="0.25">
      <c r="L3595" s="65">
        <v>731260</v>
      </c>
      <c r="M3595" t="s">
        <v>2617</v>
      </c>
    </row>
    <row r="3596" spans="12:13" x14ac:dyDescent="0.25">
      <c r="L3596" s="65">
        <v>731261</v>
      </c>
      <c r="M3596" t="s">
        <v>2618</v>
      </c>
    </row>
    <row r="3597" spans="12:13" x14ac:dyDescent="0.25">
      <c r="L3597" s="65">
        <v>731262</v>
      </c>
      <c r="M3597" t="s">
        <v>2619</v>
      </c>
    </row>
    <row r="3598" spans="12:13" x14ac:dyDescent="0.25">
      <c r="L3598" s="65">
        <v>731265</v>
      </c>
      <c r="M3598" t="s">
        <v>2620</v>
      </c>
    </row>
    <row r="3599" spans="12:13" x14ac:dyDescent="0.25">
      <c r="L3599" s="65">
        <v>732000</v>
      </c>
      <c r="M3599" t="s">
        <v>2622</v>
      </c>
    </row>
    <row r="3600" spans="12:13" x14ac:dyDescent="0.25">
      <c r="L3600" s="65">
        <v>732100</v>
      </c>
      <c r="M3600" t="s">
        <v>2623</v>
      </c>
    </row>
    <row r="3601" spans="12:13" x14ac:dyDescent="0.25">
      <c r="L3601" s="65">
        <v>732120</v>
      </c>
      <c r="M3601" t="s">
        <v>2624</v>
      </c>
    </row>
    <row r="3602" spans="12:13" x14ac:dyDescent="0.25">
      <c r="L3602" s="65">
        <v>732121</v>
      </c>
      <c r="M3602" t="s">
        <v>2624</v>
      </c>
    </row>
    <row r="3603" spans="12:13" x14ac:dyDescent="0.25">
      <c r="L3603" s="65">
        <v>732130</v>
      </c>
      <c r="M3603" t="s">
        <v>2625</v>
      </c>
    </row>
    <row r="3604" spans="12:13" x14ac:dyDescent="0.25">
      <c r="L3604" s="65">
        <v>732131</v>
      </c>
      <c r="M3604" t="s">
        <v>2626</v>
      </c>
    </row>
    <row r="3605" spans="12:13" x14ac:dyDescent="0.25">
      <c r="L3605" s="65">
        <v>732132</v>
      </c>
      <c r="M3605" t="s">
        <v>2627</v>
      </c>
    </row>
    <row r="3606" spans="12:13" x14ac:dyDescent="0.25">
      <c r="L3606" s="65">
        <v>732140</v>
      </c>
      <c r="M3606" t="s">
        <v>2629</v>
      </c>
    </row>
    <row r="3607" spans="12:13" x14ac:dyDescent="0.25">
      <c r="L3607" s="65">
        <v>732141</v>
      </c>
      <c r="M3607" t="s">
        <v>2629</v>
      </c>
    </row>
    <row r="3608" spans="12:13" x14ac:dyDescent="0.25">
      <c r="L3608" s="65">
        <v>732150</v>
      </c>
      <c r="M3608" t="s">
        <v>2630</v>
      </c>
    </row>
    <row r="3609" spans="12:13" x14ac:dyDescent="0.25">
      <c r="L3609" s="65">
        <v>732151</v>
      </c>
      <c r="M3609" t="s">
        <v>2630</v>
      </c>
    </row>
    <row r="3610" spans="12:13" x14ac:dyDescent="0.25">
      <c r="L3610" s="65">
        <v>732160</v>
      </c>
      <c r="M3610" t="s">
        <v>2631</v>
      </c>
    </row>
    <row r="3611" spans="12:13" x14ac:dyDescent="0.25">
      <c r="L3611" s="65">
        <v>732161</v>
      </c>
      <c r="M3611" t="s">
        <v>2632</v>
      </c>
    </row>
    <row r="3612" spans="12:13" x14ac:dyDescent="0.25">
      <c r="L3612" s="65">
        <v>732162</v>
      </c>
      <c r="M3612" t="s">
        <v>2633</v>
      </c>
    </row>
    <row r="3613" spans="12:13" x14ac:dyDescent="0.25">
      <c r="L3613" s="65">
        <v>732165</v>
      </c>
      <c r="M3613" t="s">
        <v>2634</v>
      </c>
    </row>
    <row r="3614" spans="12:13" x14ac:dyDescent="0.25">
      <c r="L3614" s="65">
        <v>732200</v>
      </c>
      <c r="M3614" t="s">
        <v>2635</v>
      </c>
    </row>
    <row r="3615" spans="12:13" x14ac:dyDescent="0.25">
      <c r="L3615" s="65">
        <v>732220</v>
      </c>
      <c r="M3615" t="s">
        <v>2636</v>
      </c>
    </row>
    <row r="3616" spans="12:13" x14ac:dyDescent="0.25">
      <c r="L3616" s="65">
        <v>732221</v>
      </c>
      <c r="M3616" t="s">
        <v>2636</v>
      </c>
    </row>
    <row r="3617" spans="12:13" x14ac:dyDescent="0.25">
      <c r="L3617" s="65">
        <v>732230</v>
      </c>
      <c r="M3617" t="s">
        <v>2637</v>
      </c>
    </row>
    <row r="3618" spans="12:13" x14ac:dyDescent="0.25">
      <c r="L3618" s="65">
        <v>732231</v>
      </c>
      <c r="M3618" t="s">
        <v>2638</v>
      </c>
    </row>
    <row r="3619" spans="12:13" x14ac:dyDescent="0.25">
      <c r="L3619" s="65">
        <v>732232</v>
      </c>
      <c r="M3619" t="s">
        <v>2639</v>
      </c>
    </row>
    <row r="3620" spans="12:13" x14ac:dyDescent="0.25">
      <c r="L3620" s="65">
        <v>732240</v>
      </c>
      <c r="M3620" t="s">
        <v>2640</v>
      </c>
    </row>
    <row r="3621" spans="12:13" x14ac:dyDescent="0.25">
      <c r="L3621" s="65">
        <v>732241</v>
      </c>
      <c r="M3621" t="s">
        <v>2640</v>
      </c>
    </row>
    <row r="3622" spans="12:13" x14ac:dyDescent="0.25">
      <c r="L3622" s="65">
        <v>732250</v>
      </c>
      <c r="M3622" t="s">
        <v>2641</v>
      </c>
    </row>
    <row r="3623" spans="12:13" x14ac:dyDescent="0.25">
      <c r="L3623" s="65">
        <v>732251</v>
      </c>
      <c r="M3623" t="s">
        <v>2641</v>
      </c>
    </row>
    <row r="3624" spans="12:13" x14ac:dyDescent="0.25">
      <c r="L3624" s="65">
        <v>732260</v>
      </c>
      <c r="M3624" t="s">
        <v>2642</v>
      </c>
    </row>
    <row r="3625" spans="12:13" x14ac:dyDescent="0.25">
      <c r="L3625" s="65">
        <v>732261</v>
      </c>
      <c r="M3625" t="s">
        <v>2643</v>
      </c>
    </row>
    <row r="3626" spans="12:13" x14ac:dyDescent="0.25">
      <c r="L3626" s="65">
        <v>732262</v>
      </c>
      <c r="M3626" t="s">
        <v>2644</v>
      </c>
    </row>
    <row r="3627" spans="12:13" x14ac:dyDescent="0.25">
      <c r="L3627" s="65">
        <v>732265</v>
      </c>
      <c r="M3627" t="s">
        <v>2645</v>
      </c>
    </row>
    <row r="3628" spans="12:13" x14ac:dyDescent="0.25">
      <c r="L3628" s="65">
        <v>733000</v>
      </c>
      <c r="M3628" t="s">
        <v>2647</v>
      </c>
    </row>
    <row r="3629" spans="12:13" x14ac:dyDescent="0.25">
      <c r="L3629" s="65">
        <v>733100</v>
      </c>
      <c r="M3629" t="s">
        <v>2648</v>
      </c>
    </row>
    <row r="3630" spans="12:13" x14ac:dyDescent="0.25">
      <c r="L3630" s="65">
        <v>733120</v>
      </c>
      <c r="M3630" t="s">
        <v>2649</v>
      </c>
    </row>
    <row r="3631" spans="12:13" x14ac:dyDescent="0.25">
      <c r="L3631" s="65">
        <v>733121</v>
      </c>
      <c r="M3631" t="s">
        <v>2649</v>
      </c>
    </row>
    <row r="3632" spans="12:13" x14ac:dyDescent="0.25">
      <c r="L3632" s="65">
        <v>733130</v>
      </c>
      <c r="M3632" t="s">
        <v>2650</v>
      </c>
    </row>
    <row r="3633" spans="12:13" x14ac:dyDescent="0.25">
      <c r="L3633" s="65">
        <v>733131</v>
      </c>
      <c r="M3633" t="s">
        <v>2651</v>
      </c>
    </row>
    <row r="3634" spans="12:13" x14ac:dyDescent="0.25">
      <c r="L3634" s="65">
        <v>733132</v>
      </c>
      <c r="M3634" t="s">
        <v>2652</v>
      </c>
    </row>
    <row r="3635" spans="12:13" x14ac:dyDescent="0.25">
      <c r="L3635" s="65">
        <v>733133</v>
      </c>
      <c r="M3635" t="s">
        <v>2653</v>
      </c>
    </row>
    <row r="3636" spans="12:13" x14ac:dyDescent="0.25">
      <c r="L3636" s="65">
        <v>733134</v>
      </c>
      <c r="M3636" t="s">
        <v>2654</v>
      </c>
    </row>
    <row r="3637" spans="12:13" x14ac:dyDescent="0.25">
      <c r="L3637" s="65">
        <v>733135</v>
      </c>
      <c r="M3637" t="s">
        <v>2655</v>
      </c>
    </row>
    <row r="3638" spans="12:13" x14ac:dyDescent="0.25">
      <c r="L3638" s="65">
        <v>733136</v>
      </c>
      <c r="M3638" t="s">
        <v>2656</v>
      </c>
    </row>
    <row r="3639" spans="12:13" x14ac:dyDescent="0.25">
      <c r="L3639" s="65">
        <v>733140</v>
      </c>
      <c r="M3639" t="s">
        <v>2657</v>
      </c>
    </row>
    <row r="3640" spans="12:13" x14ac:dyDescent="0.25">
      <c r="L3640" s="65">
        <v>733141</v>
      </c>
      <c r="M3640" t="s">
        <v>2658</v>
      </c>
    </row>
    <row r="3641" spans="12:13" x14ac:dyDescent="0.25">
      <c r="L3641" s="65">
        <v>733142</v>
      </c>
      <c r="M3641" t="s">
        <v>2659</v>
      </c>
    </row>
    <row r="3642" spans="12:13" x14ac:dyDescent="0.25">
      <c r="L3642" s="65">
        <v>733143</v>
      </c>
      <c r="M3642" t="s">
        <v>2660</v>
      </c>
    </row>
    <row r="3643" spans="12:13" x14ac:dyDescent="0.25">
      <c r="L3643" s="65">
        <v>733144</v>
      </c>
      <c r="M3643" t="s">
        <v>2661</v>
      </c>
    </row>
    <row r="3644" spans="12:13" x14ac:dyDescent="0.25">
      <c r="L3644" s="65">
        <v>733145</v>
      </c>
      <c r="M3644" t="s">
        <v>2662</v>
      </c>
    </row>
    <row r="3645" spans="12:13" x14ac:dyDescent="0.25">
      <c r="L3645" s="65">
        <v>733146</v>
      </c>
      <c r="M3645" t="s">
        <v>2663</v>
      </c>
    </row>
    <row r="3646" spans="12:13" x14ac:dyDescent="0.25">
      <c r="L3646" s="65">
        <v>733147</v>
      </c>
      <c r="M3646" t="s">
        <v>2664</v>
      </c>
    </row>
    <row r="3647" spans="12:13" x14ac:dyDescent="0.25">
      <c r="L3647" s="65">
        <v>733148</v>
      </c>
      <c r="M3647" t="s">
        <v>2665</v>
      </c>
    </row>
    <row r="3648" spans="12:13" x14ac:dyDescent="0.25">
      <c r="L3648" s="65">
        <v>733150</v>
      </c>
      <c r="M3648" t="s">
        <v>2666</v>
      </c>
    </row>
    <row r="3649" spans="12:13" x14ac:dyDescent="0.25">
      <c r="L3649" s="65">
        <v>733151</v>
      </c>
      <c r="M3649" t="s">
        <v>2667</v>
      </c>
    </row>
    <row r="3650" spans="12:13" x14ac:dyDescent="0.25">
      <c r="L3650" s="65">
        <v>733152</v>
      </c>
      <c r="M3650" t="s">
        <v>2668</v>
      </c>
    </row>
    <row r="3651" spans="12:13" x14ac:dyDescent="0.25">
      <c r="L3651" s="65">
        <v>733153</v>
      </c>
      <c r="M3651" t="s">
        <v>2669</v>
      </c>
    </row>
    <row r="3652" spans="12:13" x14ac:dyDescent="0.25">
      <c r="L3652" s="65">
        <v>733154</v>
      </c>
      <c r="M3652" t="s">
        <v>2670</v>
      </c>
    </row>
    <row r="3653" spans="12:13" x14ac:dyDescent="0.25">
      <c r="L3653" s="65">
        <v>733155</v>
      </c>
      <c r="M3653" t="s">
        <v>2671</v>
      </c>
    </row>
    <row r="3654" spans="12:13" x14ac:dyDescent="0.25">
      <c r="L3654" s="65">
        <v>733156</v>
      </c>
      <c r="M3654" t="s">
        <v>2672</v>
      </c>
    </row>
    <row r="3655" spans="12:13" x14ac:dyDescent="0.25">
      <c r="L3655" s="65">
        <v>733157</v>
      </c>
      <c r="M3655" t="s">
        <v>2673</v>
      </c>
    </row>
    <row r="3656" spans="12:13" x14ac:dyDescent="0.25">
      <c r="L3656" s="65">
        <v>733158</v>
      </c>
      <c r="M3656" t="s">
        <v>2665</v>
      </c>
    </row>
    <row r="3657" spans="12:13" x14ac:dyDescent="0.25">
      <c r="L3657" s="65">
        <v>733160</v>
      </c>
      <c r="M3657" t="s">
        <v>2674</v>
      </c>
    </row>
    <row r="3658" spans="12:13" x14ac:dyDescent="0.25">
      <c r="L3658" s="65">
        <v>733161</v>
      </c>
      <c r="M3658" t="s">
        <v>2675</v>
      </c>
    </row>
    <row r="3659" spans="12:13" x14ac:dyDescent="0.25">
      <c r="L3659" s="65">
        <v>733162</v>
      </c>
      <c r="M3659" t="s">
        <v>2676</v>
      </c>
    </row>
    <row r="3660" spans="12:13" x14ac:dyDescent="0.25">
      <c r="L3660" s="65">
        <v>733163</v>
      </c>
      <c r="M3660" t="s">
        <v>2677</v>
      </c>
    </row>
    <row r="3661" spans="12:13" x14ac:dyDescent="0.25">
      <c r="L3661" s="65">
        <v>733164</v>
      </c>
      <c r="M3661" t="s">
        <v>2678</v>
      </c>
    </row>
    <row r="3662" spans="12:13" x14ac:dyDescent="0.25">
      <c r="L3662" s="65">
        <v>733165</v>
      </c>
      <c r="M3662" t="s">
        <v>2679</v>
      </c>
    </row>
    <row r="3663" spans="12:13" x14ac:dyDescent="0.25">
      <c r="L3663" s="65">
        <v>733166</v>
      </c>
      <c r="M3663" t="s">
        <v>2680</v>
      </c>
    </row>
    <row r="3664" spans="12:13" x14ac:dyDescent="0.25">
      <c r="L3664" s="65">
        <v>733167</v>
      </c>
      <c r="M3664" t="s">
        <v>2681</v>
      </c>
    </row>
    <row r="3665" spans="12:13" x14ac:dyDescent="0.25">
      <c r="L3665" s="65">
        <v>733168</v>
      </c>
      <c r="M3665" t="s">
        <v>2682</v>
      </c>
    </row>
    <row r="3666" spans="12:13" x14ac:dyDescent="0.25">
      <c r="L3666" s="65">
        <v>733200</v>
      </c>
      <c r="M3666" t="s">
        <v>2683</v>
      </c>
    </row>
    <row r="3667" spans="12:13" x14ac:dyDescent="0.25">
      <c r="L3667" s="65">
        <v>733220</v>
      </c>
      <c r="M3667" t="s">
        <v>2684</v>
      </c>
    </row>
    <row r="3668" spans="12:13" x14ac:dyDescent="0.25">
      <c r="L3668" s="65">
        <v>733221</v>
      </c>
      <c r="M3668" t="s">
        <v>2684</v>
      </c>
    </row>
    <row r="3669" spans="12:13" x14ac:dyDescent="0.25">
      <c r="L3669" s="65">
        <v>733230</v>
      </c>
      <c r="M3669" t="s">
        <v>2685</v>
      </c>
    </row>
    <row r="3670" spans="12:13" x14ac:dyDescent="0.25">
      <c r="L3670" s="65">
        <v>733231</v>
      </c>
      <c r="M3670" t="s">
        <v>2686</v>
      </c>
    </row>
    <row r="3671" spans="12:13" x14ac:dyDescent="0.25">
      <c r="L3671" s="65">
        <v>733232</v>
      </c>
      <c r="M3671" t="s">
        <v>2687</v>
      </c>
    </row>
    <row r="3672" spans="12:13" x14ac:dyDescent="0.25">
      <c r="L3672" s="65">
        <v>733233</v>
      </c>
      <c r="M3672" t="s">
        <v>2688</v>
      </c>
    </row>
    <row r="3673" spans="12:13" x14ac:dyDescent="0.25">
      <c r="L3673" s="65">
        <v>733234</v>
      </c>
      <c r="M3673" t="s">
        <v>2689</v>
      </c>
    </row>
    <row r="3674" spans="12:13" x14ac:dyDescent="0.25">
      <c r="L3674" s="65">
        <v>733235</v>
      </c>
      <c r="M3674" t="s">
        <v>2690</v>
      </c>
    </row>
    <row r="3675" spans="12:13" x14ac:dyDescent="0.25">
      <c r="L3675" s="65">
        <v>733236</v>
      </c>
      <c r="M3675" t="s">
        <v>2691</v>
      </c>
    </row>
    <row r="3676" spans="12:13" x14ac:dyDescent="0.25">
      <c r="L3676" s="65">
        <v>733240</v>
      </c>
      <c r="M3676" t="s">
        <v>2692</v>
      </c>
    </row>
    <row r="3677" spans="12:13" x14ac:dyDescent="0.25">
      <c r="L3677" s="65">
        <v>733241</v>
      </c>
      <c r="M3677" t="s">
        <v>2693</v>
      </c>
    </row>
    <row r="3678" spans="12:13" x14ac:dyDescent="0.25">
      <c r="L3678" s="65">
        <v>733242</v>
      </c>
      <c r="M3678" t="s">
        <v>2694</v>
      </c>
    </row>
    <row r="3679" spans="12:13" x14ac:dyDescent="0.25">
      <c r="L3679" s="65">
        <v>733243</v>
      </c>
      <c r="M3679" t="s">
        <v>2695</v>
      </c>
    </row>
    <row r="3680" spans="12:13" x14ac:dyDescent="0.25">
      <c r="L3680" s="65">
        <v>733250</v>
      </c>
      <c r="M3680" t="s">
        <v>2696</v>
      </c>
    </row>
    <row r="3681" spans="12:13" x14ac:dyDescent="0.25">
      <c r="L3681" s="65">
        <v>733251</v>
      </c>
      <c r="M3681" t="s">
        <v>2697</v>
      </c>
    </row>
    <row r="3682" spans="12:13" x14ac:dyDescent="0.25">
      <c r="L3682" s="65">
        <v>733252</v>
      </c>
      <c r="M3682" t="s">
        <v>2698</v>
      </c>
    </row>
    <row r="3683" spans="12:13" x14ac:dyDescent="0.25">
      <c r="L3683" s="65">
        <v>733253</v>
      </c>
      <c r="M3683" t="s">
        <v>2699</v>
      </c>
    </row>
    <row r="3684" spans="12:13" x14ac:dyDescent="0.25">
      <c r="L3684" s="65">
        <v>733260</v>
      </c>
      <c r="M3684" t="s">
        <v>2700</v>
      </c>
    </row>
    <row r="3685" spans="12:13" x14ac:dyDescent="0.25">
      <c r="L3685" s="65">
        <v>733261</v>
      </c>
      <c r="M3685" t="s">
        <v>2701</v>
      </c>
    </row>
    <row r="3686" spans="12:13" x14ac:dyDescent="0.25">
      <c r="L3686" s="65">
        <v>733262</v>
      </c>
      <c r="M3686" t="s">
        <v>2702</v>
      </c>
    </row>
    <row r="3687" spans="12:13" x14ac:dyDescent="0.25">
      <c r="L3687" s="65">
        <v>733265</v>
      </c>
      <c r="M3687" t="s">
        <v>2703</v>
      </c>
    </row>
    <row r="3688" spans="12:13" x14ac:dyDescent="0.25">
      <c r="L3688" s="65">
        <v>740000</v>
      </c>
      <c r="M3688" t="s">
        <v>2705</v>
      </c>
    </row>
    <row r="3689" spans="12:13" x14ac:dyDescent="0.25">
      <c r="L3689" s="65">
        <v>741000</v>
      </c>
      <c r="M3689" t="s">
        <v>2707</v>
      </c>
    </row>
    <row r="3690" spans="12:13" x14ac:dyDescent="0.25">
      <c r="L3690" s="65">
        <v>741100</v>
      </c>
      <c r="M3690" t="s">
        <v>2708</v>
      </c>
    </row>
    <row r="3691" spans="12:13" x14ac:dyDescent="0.25">
      <c r="L3691" s="65">
        <v>741120</v>
      </c>
      <c r="M3691" t="s">
        <v>2709</v>
      </c>
    </row>
    <row r="3692" spans="12:13" x14ac:dyDescent="0.25">
      <c r="L3692" s="65">
        <v>741121</v>
      </c>
      <c r="M3692" t="s">
        <v>2710</v>
      </c>
    </row>
    <row r="3693" spans="12:13" x14ac:dyDescent="0.25">
      <c r="L3693" s="65">
        <v>741122</v>
      </c>
      <c r="M3693" t="s">
        <v>2711</v>
      </c>
    </row>
    <row r="3694" spans="12:13" x14ac:dyDescent="0.25">
      <c r="L3694" s="65">
        <v>741130</v>
      </c>
      <c r="M3694" t="s">
        <v>2712</v>
      </c>
    </row>
    <row r="3695" spans="12:13" x14ac:dyDescent="0.25">
      <c r="L3695" s="65">
        <v>741131</v>
      </c>
      <c r="M3695" t="s">
        <v>2713</v>
      </c>
    </row>
    <row r="3696" spans="12:13" x14ac:dyDescent="0.25">
      <c r="L3696" s="65">
        <v>741132</v>
      </c>
      <c r="M3696" t="s">
        <v>2714</v>
      </c>
    </row>
    <row r="3697" spans="12:13" x14ac:dyDescent="0.25">
      <c r="L3697" s="65">
        <v>741140</v>
      </c>
      <c r="M3697" t="s">
        <v>2715</v>
      </c>
    </row>
    <row r="3698" spans="12:13" x14ac:dyDescent="0.25">
      <c r="L3698" s="65">
        <v>741141</v>
      </c>
      <c r="M3698" t="s">
        <v>2716</v>
      </c>
    </row>
    <row r="3699" spans="12:13" x14ac:dyDescent="0.25">
      <c r="L3699" s="65">
        <v>741142</v>
      </c>
      <c r="M3699" t="s">
        <v>2717</v>
      </c>
    </row>
    <row r="3700" spans="12:13" x14ac:dyDescent="0.25">
      <c r="L3700" s="65">
        <v>741150</v>
      </c>
      <c r="M3700" t="s">
        <v>2718</v>
      </c>
    </row>
    <row r="3701" spans="12:13" x14ac:dyDescent="0.25">
      <c r="L3701" s="65">
        <v>741151</v>
      </c>
      <c r="M3701" t="s">
        <v>2719</v>
      </c>
    </row>
    <row r="3702" spans="12:13" x14ac:dyDescent="0.25">
      <c r="L3702" s="65">
        <v>741152</v>
      </c>
      <c r="M3702" t="s">
        <v>2720</v>
      </c>
    </row>
    <row r="3703" spans="12:13" x14ac:dyDescent="0.25">
      <c r="L3703" s="65">
        <v>741160</v>
      </c>
      <c r="M3703" t="s">
        <v>2721</v>
      </c>
    </row>
    <row r="3704" spans="12:13" x14ac:dyDescent="0.25">
      <c r="L3704" s="65">
        <v>741161</v>
      </c>
      <c r="M3704" t="s">
        <v>2722</v>
      </c>
    </row>
    <row r="3705" spans="12:13" x14ac:dyDescent="0.25">
      <c r="L3705" s="65">
        <v>741162</v>
      </c>
      <c r="M3705" t="s">
        <v>2723</v>
      </c>
    </row>
    <row r="3706" spans="12:13" x14ac:dyDescent="0.25">
      <c r="L3706" s="65">
        <v>741165</v>
      </c>
      <c r="M3706" t="s">
        <v>2724</v>
      </c>
    </row>
    <row r="3707" spans="12:13" x14ac:dyDescent="0.25">
      <c r="L3707" s="65">
        <v>741200</v>
      </c>
      <c r="M3707" t="s">
        <v>2725</v>
      </c>
    </row>
    <row r="3708" spans="12:13" x14ac:dyDescent="0.25">
      <c r="L3708" s="65">
        <v>741210</v>
      </c>
      <c r="M3708" t="s">
        <v>2726</v>
      </c>
    </row>
    <row r="3709" spans="12:13" x14ac:dyDescent="0.25">
      <c r="L3709" s="65">
        <v>741211</v>
      </c>
      <c r="M3709" t="s">
        <v>2727</v>
      </c>
    </row>
    <row r="3710" spans="12:13" x14ac:dyDescent="0.25">
      <c r="L3710" s="65">
        <v>741212</v>
      </c>
      <c r="M3710" t="s">
        <v>2728</v>
      </c>
    </row>
    <row r="3711" spans="12:13" x14ac:dyDescent="0.25">
      <c r="L3711" s="65">
        <v>741220</v>
      </c>
      <c r="M3711" t="s">
        <v>2729</v>
      </c>
    </row>
    <row r="3712" spans="12:13" x14ac:dyDescent="0.25">
      <c r="L3712" s="65">
        <v>741221</v>
      </c>
      <c r="M3712" t="s">
        <v>2729</v>
      </c>
    </row>
    <row r="3713" spans="12:13" x14ac:dyDescent="0.25">
      <c r="L3713" s="65">
        <v>741222</v>
      </c>
      <c r="M3713" t="s">
        <v>2730</v>
      </c>
    </row>
    <row r="3714" spans="12:13" x14ac:dyDescent="0.25">
      <c r="L3714" s="65">
        <v>741223</v>
      </c>
      <c r="M3714" t="s">
        <v>2731</v>
      </c>
    </row>
    <row r="3715" spans="12:13" x14ac:dyDescent="0.25">
      <c r="L3715" s="65">
        <v>741224</v>
      </c>
      <c r="M3715" t="s">
        <v>2732</v>
      </c>
    </row>
    <row r="3716" spans="12:13" x14ac:dyDescent="0.25">
      <c r="L3716" s="65">
        <v>741230</v>
      </c>
      <c r="M3716" t="s">
        <v>2733</v>
      </c>
    </row>
    <row r="3717" spans="12:13" x14ac:dyDescent="0.25">
      <c r="L3717" s="65">
        <v>741231</v>
      </c>
      <c r="M3717" t="s">
        <v>2734</v>
      </c>
    </row>
    <row r="3718" spans="12:13" x14ac:dyDescent="0.25">
      <c r="L3718" s="65">
        <v>741232</v>
      </c>
      <c r="M3718" t="s">
        <v>2735</v>
      </c>
    </row>
    <row r="3719" spans="12:13" x14ac:dyDescent="0.25">
      <c r="L3719" s="65">
        <v>741240</v>
      </c>
      <c r="M3719" t="s">
        <v>2736</v>
      </c>
    </row>
    <row r="3720" spans="12:13" x14ac:dyDescent="0.25">
      <c r="L3720" s="65">
        <v>741241</v>
      </c>
      <c r="M3720" t="s">
        <v>2736</v>
      </c>
    </row>
    <row r="3721" spans="12:13" x14ac:dyDescent="0.25">
      <c r="L3721" s="65">
        <v>741250</v>
      </c>
      <c r="M3721" t="s">
        <v>2737</v>
      </c>
    </row>
    <row r="3722" spans="12:13" x14ac:dyDescent="0.25">
      <c r="L3722" s="65">
        <v>741251</v>
      </c>
      <c r="M3722" t="s">
        <v>2737</v>
      </c>
    </row>
    <row r="3723" spans="12:13" x14ac:dyDescent="0.25">
      <c r="L3723" s="65">
        <v>741260</v>
      </c>
      <c r="M3723" t="s">
        <v>2738</v>
      </c>
    </row>
    <row r="3724" spans="12:13" x14ac:dyDescent="0.25">
      <c r="L3724" s="65">
        <v>741261</v>
      </c>
      <c r="M3724" t="s">
        <v>2739</v>
      </c>
    </row>
    <row r="3725" spans="12:13" x14ac:dyDescent="0.25">
      <c r="L3725" s="65">
        <v>741262</v>
      </c>
      <c r="M3725" t="s">
        <v>2740</v>
      </c>
    </row>
    <row r="3726" spans="12:13" x14ac:dyDescent="0.25">
      <c r="L3726" s="65">
        <v>741265</v>
      </c>
      <c r="M3726" t="s">
        <v>2741</v>
      </c>
    </row>
    <row r="3727" spans="12:13" x14ac:dyDescent="0.25">
      <c r="L3727" s="65">
        <v>741300</v>
      </c>
      <c r="M3727" t="s">
        <v>2742</v>
      </c>
    </row>
    <row r="3728" spans="12:13" x14ac:dyDescent="0.25">
      <c r="L3728" s="65">
        <v>741310</v>
      </c>
      <c r="M3728" t="s">
        <v>2742</v>
      </c>
    </row>
    <row r="3729" spans="12:13" x14ac:dyDescent="0.25">
      <c r="L3729" s="65">
        <v>741311</v>
      </c>
      <c r="M3729" t="s">
        <v>2742</v>
      </c>
    </row>
    <row r="3730" spans="12:13" x14ac:dyDescent="0.25">
      <c r="L3730" s="65">
        <v>741400</v>
      </c>
      <c r="M3730" t="s">
        <v>2743</v>
      </c>
    </row>
    <row r="3731" spans="12:13" x14ac:dyDescent="0.25">
      <c r="L3731" s="65">
        <v>741410</v>
      </c>
      <c r="M3731" t="s">
        <v>2743</v>
      </c>
    </row>
    <row r="3732" spans="12:13" x14ac:dyDescent="0.25">
      <c r="L3732" s="65">
        <v>741411</v>
      </c>
      <c r="M3732" t="s">
        <v>2745</v>
      </c>
    </row>
    <row r="3733" spans="12:13" x14ac:dyDescent="0.25">
      <c r="L3733" s="65">
        <v>741412</v>
      </c>
      <c r="M3733" t="s">
        <v>2746</v>
      </c>
    </row>
    <row r="3734" spans="12:13" x14ac:dyDescent="0.25">
      <c r="L3734" s="65">
        <v>741413</v>
      </c>
      <c r="M3734" t="s">
        <v>2747</v>
      </c>
    </row>
    <row r="3735" spans="12:13" x14ac:dyDescent="0.25">
      <c r="L3735" s="65">
        <v>741414</v>
      </c>
      <c r="M3735" t="s">
        <v>2748</v>
      </c>
    </row>
    <row r="3736" spans="12:13" x14ac:dyDescent="0.25">
      <c r="L3736" s="65">
        <v>741500</v>
      </c>
      <c r="M3736" t="s">
        <v>2749</v>
      </c>
    </row>
    <row r="3737" spans="12:13" x14ac:dyDescent="0.25">
      <c r="L3737" s="65">
        <v>741510</v>
      </c>
      <c r="M3737" t="s">
        <v>2751</v>
      </c>
    </row>
    <row r="3738" spans="12:13" x14ac:dyDescent="0.25">
      <c r="L3738" s="65">
        <v>741511</v>
      </c>
      <c r="M3738" t="s">
        <v>2752</v>
      </c>
    </row>
    <row r="3739" spans="12:13" x14ac:dyDescent="0.25">
      <c r="L3739" s="65">
        <v>741512</v>
      </c>
      <c r="M3739" t="s">
        <v>2753</v>
      </c>
    </row>
    <row r="3740" spans="12:13" x14ac:dyDescent="0.25">
      <c r="L3740" s="65">
        <v>741513</v>
      </c>
      <c r="M3740" t="s">
        <v>2754</v>
      </c>
    </row>
    <row r="3741" spans="12:13" x14ac:dyDescent="0.25">
      <c r="L3741" s="65">
        <v>741514</v>
      </c>
      <c r="M3741" t="s">
        <v>2755</v>
      </c>
    </row>
    <row r="3742" spans="12:13" x14ac:dyDescent="0.25">
      <c r="L3742" s="65">
        <v>741515</v>
      </c>
      <c r="M3742" t="s">
        <v>2756</v>
      </c>
    </row>
    <row r="3743" spans="12:13" x14ac:dyDescent="0.25">
      <c r="L3743" s="65">
        <v>741516</v>
      </c>
      <c r="M3743" t="s">
        <v>2757</v>
      </c>
    </row>
    <row r="3744" spans="12:13" x14ac:dyDescent="0.25">
      <c r="L3744" s="65">
        <v>741517</v>
      </c>
      <c r="M3744" t="s">
        <v>2758</v>
      </c>
    </row>
    <row r="3745" spans="12:13" x14ac:dyDescent="0.25">
      <c r="L3745" s="65">
        <v>741520</v>
      </c>
      <c r="M3745" t="s">
        <v>2760</v>
      </c>
    </row>
    <row r="3746" spans="12:13" x14ac:dyDescent="0.25">
      <c r="L3746" s="65">
        <v>741521</v>
      </c>
      <c r="M3746" t="s">
        <v>2761</v>
      </c>
    </row>
    <row r="3747" spans="12:13" x14ac:dyDescent="0.25">
      <c r="L3747" s="65">
        <v>741522</v>
      </c>
      <c r="M3747" t="s">
        <v>2762</v>
      </c>
    </row>
    <row r="3748" spans="12:13" x14ac:dyDescent="0.25">
      <c r="L3748" s="65">
        <v>741523</v>
      </c>
      <c r="M3748" t="s">
        <v>2763</v>
      </c>
    </row>
    <row r="3749" spans="12:13" x14ac:dyDescent="0.25">
      <c r="L3749" s="65">
        <v>741524</v>
      </c>
      <c r="M3749" t="s">
        <v>2764</v>
      </c>
    </row>
    <row r="3750" spans="12:13" x14ac:dyDescent="0.25">
      <c r="L3750" s="65">
        <v>741525</v>
      </c>
      <c r="M3750" t="s">
        <v>2765</v>
      </c>
    </row>
    <row r="3751" spans="12:13" x14ac:dyDescent="0.25">
      <c r="L3751" s="65">
        <v>741526</v>
      </c>
      <c r="M3751" t="s">
        <v>2766</v>
      </c>
    </row>
    <row r="3752" spans="12:13" x14ac:dyDescent="0.25">
      <c r="L3752" s="65">
        <v>741527</v>
      </c>
      <c r="M3752" t="s">
        <v>2767</v>
      </c>
    </row>
    <row r="3753" spans="12:13" x14ac:dyDescent="0.25">
      <c r="L3753" s="65">
        <v>741528</v>
      </c>
      <c r="M3753" t="s">
        <v>2768</v>
      </c>
    </row>
    <row r="3754" spans="12:13" x14ac:dyDescent="0.25">
      <c r="L3754" s="65">
        <v>741529</v>
      </c>
      <c r="M3754" t="s">
        <v>2769</v>
      </c>
    </row>
    <row r="3755" spans="12:13" x14ac:dyDescent="0.25">
      <c r="L3755" s="65">
        <v>741530</v>
      </c>
      <c r="M3755" t="s">
        <v>2770</v>
      </c>
    </row>
    <row r="3756" spans="12:13" x14ac:dyDescent="0.25">
      <c r="L3756" s="65">
        <v>741531</v>
      </c>
      <c r="M3756" t="s">
        <v>2772</v>
      </c>
    </row>
    <row r="3757" spans="12:13" x14ac:dyDescent="0.25">
      <c r="L3757" s="65">
        <v>741532</v>
      </c>
      <c r="M3757" t="s">
        <v>2774</v>
      </c>
    </row>
    <row r="3758" spans="12:13" x14ac:dyDescent="0.25">
      <c r="L3758" s="65">
        <v>741533</v>
      </c>
      <c r="M3758" t="s">
        <v>2776</v>
      </c>
    </row>
    <row r="3759" spans="12:13" x14ac:dyDescent="0.25">
      <c r="L3759" s="65">
        <v>741534</v>
      </c>
      <c r="M3759" t="s">
        <v>2778</v>
      </c>
    </row>
    <row r="3760" spans="12:13" x14ac:dyDescent="0.25">
      <c r="L3760" s="65">
        <v>741535</v>
      </c>
      <c r="M3760" t="s">
        <v>2780</v>
      </c>
    </row>
    <row r="3761" spans="12:13" x14ac:dyDescent="0.25">
      <c r="L3761" s="65">
        <v>741536</v>
      </c>
      <c r="M3761" t="s">
        <v>2781</v>
      </c>
    </row>
    <row r="3762" spans="12:13" x14ac:dyDescent="0.25">
      <c r="L3762" s="65">
        <v>741537</v>
      </c>
      <c r="M3762" t="s">
        <v>2782</v>
      </c>
    </row>
    <row r="3763" spans="12:13" x14ac:dyDescent="0.25">
      <c r="L3763" s="65">
        <v>741540</v>
      </c>
      <c r="M3763" t="s">
        <v>2783</v>
      </c>
    </row>
    <row r="3764" spans="12:13" x14ac:dyDescent="0.25">
      <c r="L3764" s="65">
        <v>741541</v>
      </c>
      <c r="M3764" t="s">
        <v>2784</v>
      </c>
    </row>
    <row r="3765" spans="12:13" x14ac:dyDescent="0.25">
      <c r="L3765" s="65">
        <v>741542</v>
      </c>
      <c r="M3765" t="s">
        <v>2786</v>
      </c>
    </row>
    <row r="3766" spans="12:13" x14ac:dyDescent="0.25">
      <c r="L3766" s="65">
        <v>741543</v>
      </c>
      <c r="M3766" t="s">
        <v>2787</v>
      </c>
    </row>
    <row r="3767" spans="12:13" x14ac:dyDescent="0.25">
      <c r="L3767" s="65">
        <v>741550</v>
      </c>
      <c r="M3767" t="s">
        <v>2788</v>
      </c>
    </row>
    <row r="3768" spans="12:13" x14ac:dyDescent="0.25">
      <c r="L3768" s="65">
        <v>741551</v>
      </c>
      <c r="M3768" t="s">
        <v>2788</v>
      </c>
    </row>
    <row r="3769" spans="12:13" x14ac:dyDescent="0.25">
      <c r="L3769" s="65">
        <v>741560</v>
      </c>
      <c r="M3769" t="s">
        <v>2790</v>
      </c>
    </row>
    <row r="3770" spans="12:13" x14ac:dyDescent="0.25">
      <c r="L3770" s="65">
        <v>741561</v>
      </c>
      <c r="M3770" t="s">
        <v>2791</v>
      </c>
    </row>
    <row r="3771" spans="12:13" x14ac:dyDescent="0.25">
      <c r="L3771" s="65">
        <v>741562</v>
      </c>
      <c r="M3771" t="s">
        <v>2792</v>
      </c>
    </row>
    <row r="3772" spans="12:13" x14ac:dyDescent="0.25">
      <c r="L3772" s="65">
        <v>741563</v>
      </c>
      <c r="M3772" t="s">
        <v>2793</v>
      </c>
    </row>
    <row r="3773" spans="12:13" x14ac:dyDescent="0.25">
      <c r="L3773" s="65">
        <v>741564</v>
      </c>
      <c r="M3773" t="s">
        <v>2794</v>
      </c>
    </row>
    <row r="3774" spans="12:13" x14ac:dyDescent="0.25">
      <c r="L3774" s="65">
        <v>741565</v>
      </c>
      <c r="M3774" t="s">
        <v>2795</v>
      </c>
    </row>
    <row r="3775" spans="12:13" x14ac:dyDescent="0.25">
      <c r="L3775" s="65">
        <v>741566</v>
      </c>
      <c r="M3775" t="s">
        <v>2796</v>
      </c>
    </row>
    <row r="3776" spans="12:13" x14ac:dyDescent="0.25">
      <c r="L3776" s="65">
        <v>741567</v>
      </c>
      <c r="M3776" t="s">
        <v>2797</v>
      </c>
    </row>
    <row r="3777" spans="12:13" x14ac:dyDescent="0.25">
      <c r="L3777" s="65">
        <v>741568</v>
      </c>
      <c r="M3777" t="s">
        <v>2798</v>
      </c>
    </row>
    <row r="3778" spans="12:13" x14ac:dyDescent="0.25">
      <c r="L3778" s="65">
        <v>741569</v>
      </c>
      <c r="M3778" t="s">
        <v>2799</v>
      </c>
    </row>
    <row r="3779" spans="12:13" x14ac:dyDescent="0.25">
      <c r="L3779" s="65">
        <v>741570</v>
      </c>
      <c r="M3779" t="s">
        <v>2800</v>
      </c>
    </row>
    <row r="3780" spans="12:13" x14ac:dyDescent="0.25">
      <c r="L3780" s="65">
        <v>741571</v>
      </c>
      <c r="M3780" t="s">
        <v>2800</v>
      </c>
    </row>
    <row r="3781" spans="12:13" x14ac:dyDescent="0.25">
      <c r="L3781" s="65">
        <v>741572</v>
      </c>
      <c r="M3781" t="s">
        <v>2801</v>
      </c>
    </row>
    <row r="3782" spans="12:13" x14ac:dyDescent="0.25">
      <c r="L3782" s="65">
        <v>741580</v>
      </c>
      <c r="M3782" t="s">
        <v>2802</v>
      </c>
    </row>
    <row r="3783" spans="12:13" x14ac:dyDescent="0.25">
      <c r="L3783" s="65">
        <v>741581</v>
      </c>
      <c r="M3783" t="s">
        <v>2803</v>
      </c>
    </row>
    <row r="3784" spans="12:13" x14ac:dyDescent="0.25">
      <c r="L3784" s="65">
        <v>741582</v>
      </c>
      <c r="M3784" t="s">
        <v>2804</v>
      </c>
    </row>
    <row r="3785" spans="12:13" x14ac:dyDescent="0.25">
      <c r="L3785" s="65">
        <v>741583</v>
      </c>
      <c r="M3785" t="s">
        <v>2805</v>
      </c>
    </row>
    <row r="3786" spans="12:13" x14ac:dyDescent="0.25">
      <c r="L3786" s="65">
        <v>741590</v>
      </c>
      <c r="M3786" t="s">
        <v>2806</v>
      </c>
    </row>
    <row r="3787" spans="12:13" x14ac:dyDescent="0.25">
      <c r="L3787" s="65">
        <v>741591</v>
      </c>
      <c r="M3787" t="s">
        <v>2807</v>
      </c>
    </row>
    <row r="3788" spans="12:13" x14ac:dyDescent="0.25">
      <c r="L3788" s="65">
        <v>741592</v>
      </c>
      <c r="M3788" t="s">
        <v>2808</v>
      </c>
    </row>
    <row r="3789" spans="12:13" x14ac:dyDescent="0.25">
      <c r="L3789" s="65">
        <v>741593</v>
      </c>
      <c r="M3789" t="s">
        <v>2809</v>
      </c>
    </row>
    <row r="3790" spans="12:13" x14ac:dyDescent="0.25">
      <c r="L3790" s="65">
        <v>741594</v>
      </c>
      <c r="M3790" t="s">
        <v>2810</v>
      </c>
    </row>
    <row r="3791" spans="12:13" x14ac:dyDescent="0.25">
      <c r="L3791" s="65">
        <v>741595</v>
      </c>
      <c r="M3791" t="s">
        <v>2811</v>
      </c>
    </row>
    <row r="3792" spans="12:13" x14ac:dyDescent="0.25">
      <c r="L3792" s="65">
        <v>741600</v>
      </c>
      <c r="M3792" t="s">
        <v>1658</v>
      </c>
    </row>
    <row r="3793" spans="12:13" x14ac:dyDescent="0.25">
      <c r="L3793" s="65">
        <v>741610</v>
      </c>
      <c r="M3793" t="s">
        <v>1658</v>
      </c>
    </row>
    <row r="3794" spans="12:13" x14ac:dyDescent="0.25">
      <c r="L3794" s="65">
        <v>741611</v>
      </c>
      <c r="M3794" t="s">
        <v>1658</v>
      </c>
    </row>
    <row r="3795" spans="12:13" x14ac:dyDescent="0.25">
      <c r="L3795" s="65">
        <v>742000</v>
      </c>
      <c r="M3795" t="s">
        <v>2813</v>
      </c>
    </row>
    <row r="3796" spans="12:13" x14ac:dyDescent="0.25">
      <c r="L3796" s="65">
        <v>742100</v>
      </c>
      <c r="M3796" t="s">
        <v>2814</v>
      </c>
    </row>
    <row r="3797" spans="12:13" x14ac:dyDescent="0.25">
      <c r="L3797" s="65">
        <v>742120</v>
      </c>
      <c r="M3797" t="s">
        <v>2815</v>
      </c>
    </row>
    <row r="3798" spans="12:13" x14ac:dyDescent="0.25">
      <c r="L3798" s="65">
        <v>742121</v>
      </c>
      <c r="M3798" t="s">
        <v>2816</v>
      </c>
    </row>
    <row r="3799" spans="12:13" x14ac:dyDescent="0.25">
      <c r="L3799" s="65">
        <v>742122</v>
      </c>
      <c r="M3799" t="s">
        <v>2817</v>
      </c>
    </row>
    <row r="3800" spans="12:13" x14ac:dyDescent="0.25">
      <c r="L3800" s="65">
        <v>742123</v>
      </c>
      <c r="M3800" t="s">
        <v>2818</v>
      </c>
    </row>
    <row r="3801" spans="12:13" x14ac:dyDescent="0.25">
      <c r="L3801" s="65">
        <v>742124</v>
      </c>
      <c r="M3801" t="s">
        <v>2819</v>
      </c>
    </row>
    <row r="3802" spans="12:13" x14ac:dyDescent="0.25">
      <c r="L3802" s="65">
        <v>742125</v>
      </c>
      <c r="M3802" t="s">
        <v>2820</v>
      </c>
    </row>
    <row r="3803" spans="12:13" x14ac:dyDescent="0.25">
      <c r="L3803" s="65">
        <v>742126</v>
      </c>
      <c r="M3803" t="s">
        <v>2821</v>
      </c>
    </row>
    <row r="3804" spans="12:13" x14ac:dyDescent="0.25">
      <c r="L3804" s="65">
        <v>742127</v>
      </c>
      <c r="M3804" t="s">
        <v>2822</v>
      </c>
    </row>
    <row r="3805" spans="12:13" x14ac:dyDescent="0.25">
      <c r="L3805" s="65">
        <v>742128</v>
      </c>
      <c r="M3805" t="s">
        <v>2823</v>
      </c>
    </row>
    <row r="3806" spans="12:13" x14ac:dyDescent="0.25">
      <c r="L3806" s="65">
        <v>742129</v>
      </c>
      <c r="M3806" t="s">
        <v>2824</v>
      </c>
    </row>
    <row r="3807" spans="12:13" x14ac:dyDescent="0.25">
      <c r="L3807" s="65">
        <v>742130</v>
      </c>
      <c r="M3807" t="s">
        <v>2825</v>
      </c>
    </row>
    <row r="3808" spans="12:13" x14ac:dyDescent="0.25">
      <c r="L3808" s="65">
        <v>742131</v>
      </c>
      <c r="M3808" t="s">
        <v>2826</v>
      </c>
    </row>
    <row r="3809" spans="12:13" x14ac:dyDescent="0.25">
      <c r="L3809" s="65">
        <v>742132</v>
      </c>
      <c r="M3809" t="s">
        <v>2827</v>
      </c>
    </row>
    <row r="3810" spans="12:13" x14ac:dyDescent="0.25">
      <c r="L3810" s="65">
        <v>742133</v>
      </c>
      <c r="M3810" t="s">
        <v>2828</v>
      </c>
    </row>
    <row r="3811" spans="12:13" x14ac:dyDescent="0.25">
      <c r="L3811" s="65">
        <v>742134</v>
      </c>
      <c r="M3811" t="s">
        <v>2829</v>
      </c>
    </row>
    <row r="3812" spans="12:13" x14ac:dyDescent="0.25">
      <c r="L3812" s="65">
        <v>742135</v>
      </c>
      <c r="M3812" t="s">
        <v>2830</v>
      </c>
    </row>
    <row r="3813" spans="12:13" x14ac:dyDescent="0.25">
      <c r="L3813" s="65">
        <v>742136</v>
      </c>
      <c r="M3813" t="s">
        <v>2831</v>
      </c>
    </row>
    <row r="3814" spans="12:13" x14ac:dyDescent="0.25">
      <c r="L3814" s="65">
        <v>742140</v>
      </c>
      <c r="M3814" t="s">
        <v>2832</v>
      </c>
    </row>
    <row r="3815" spans="12:13" x14ac:dyDescent="0.25">
      <c r="L3815" s="65">
        <v>742141</v>
      </c>
      <c r="M3815" t="s">
        <v>2832</v>
      </c>
    </row>
    <row r="3816" spans="12:13" x14ac:dyDescent="0.25">
      <c r="L3816" s="65">
        <v>742142</v>
      </c>
      <c r="M3816" t="s">
        <v>2833</v>
      </c>
    </row>
    <row r="3817" spans="12:13" x14ac:dyDescent="0.25">
      <c r="L3817" s="65">
        <v>742143</v>
      </c>
      <c r="M3817" t="s">
        <v>2834</v>
      </c>
    </row>
    <row r="3818" spans="12:13" x14ac:dyDescent="0.25">
      <c r="L3818" s="65">
        <v>742144</v>
      </c>
      <c r="M3818" t="s">
        <v>2835</v>
      </c>
    </row>
    <row r="3819" spans="12:13" x14ac:dyDescent="0.25">
      <c r="L3819" s="65">
        <v>742145</v>
      </c>
      <c r="M3819" t="s">
        <v>2836</v>
      </c>
    </row>
    <row r="3820" spans="12:13" x14ac:dyDescent="0.25">
      <c r="L3820" s="65">
        <v>742150</v>
      </c>
      <c r="M3820" t="s">
        <v>2837</v>
      </c>
    </row>
    <row r="3821" spans="12:13" x14ac:dyDescent="0.25">
      <c r="L3821" s="65">
        <v>742151</v>
      </c>
      <c r="M3821" t="s">
        <v>2838</v>
      </c>
    </row>
    <row r="3822" spans="12:13" x14ac:dyDescent="0.25">
      <c r="L3822" s="65">
        <v>742152</v>
      </c>
      <c r="M3822" t="s">
        <v>2839</v>
      </c>
    </row>
    <row r="3823" spans="12:13" x14ac:dyDescent="0.25">
      <c r="L3823" s="65">
        <v>742153</v>
      </c>
      <c r="M3823" t="s">
        <v>2840</v>
      </c>
    </row>
    <row r="3824" spans="12:13" x14ac:dyDescent="0.25">
      <c r="L3824" s="65">
        <v>742154</v>
      </c>
      <c r="M3824" t="s">
        <v>2841</v>
      </c>
    </row>
    <row r="3825" spans="12:13" x14ac:dyDescent="0.25">
      <c r="L3825" s="65">
        <v>742155</v>
      </c>
      <c r="M3825" t="s">
        <v>2842</v>
      </c>
    </row>
    <row r="3826" spans="12:13" x14ac:dyDescent="0.25">
      <c r="L3826" s="65">
        <v>742160</v>
      </c>
      <c r="M3826" t="s">
        <v>2843</v>
      </c>
    </row>
    <row r="3827" spans="12:13" x14ac:dyDescent="0.25">
      <c r="L3827" s="65">
        <v>742161</v>
      </c>
      <c r="M3827" t="s">
        <v>2844</v>
      </c>
    </row>
    <row r="3828" spans="12:13" x14ac:dyDescent="0.25">
      <c r="L3828" s="65">
        <v>742162</v>
      </c>
      <c r="M3828" t="s">
        <v>2845</v>
      </c>
    </row>
    <row r="3829" spans="12:13" x14ac:dyDescent="0.25">
      <c r="L3829" s="65">
        <v>742165</v>
      </c>
      <c r="M3829" t="s">
        <v>2846</v>
      </c>
    </row>
    <row r="3830" spans="12:13" x14ac:dyDescent="0.25">
      <c r="L3830" s="65">
        <v>742200</v>
      </c>
      <c r="M3830" t="s">
        <v>2847</v>
      </c>
    </row>
    <row r="3831" spans="12:13" x14ac:dyDescent="0.25">
      <c r="L3831" s="65">
        <v>742210</v>
      </c>
      <c r="M3831" t="s">
        <v>2848</v>
      </c>
    </row>
    <row r="3832" spans="12:13" x14ac:dyDescent="0.25">
      <c r="L3832" s="65">
        <v>742213</v>
      </c>
      <c r="M3832" t="s">
        <v>2848</v>
      </c>
    </row>
    <row r="3833" spans="12:13" x14ac:dyDescent="0.25">
      <c r="L3833" s="65">
        <v>742220</v>
      </c>
      <c r="M3833" t="s">
        <v>2849</v>
      </c>
    </row>
    <row r="3834" spans="12:13" x14ac:dyDescent="0.25">
      <c r="L3834" s="65">
        <v>742221</v>
      </c>
      <c r="M3834" t="s">
        <v>2850</v>
      </c>
    </row>
    <row r="3835" spans="12:13" x14ac:dyDescent="0.25">
      <c r="L3835" s="65">
        <v>742222</v>
      </c>
      <c r="M3835" t="s">
        <v>2851</v>
      </c>
    </row>
    <row r="3836" spans="12:13" x14ac:dyDescent="0.25">
      <c r="L3836" s="65">
        <v>742223</v>
      </c>
      <c r="M3836" t="s">
        <v>2852</v>
      </c>
    </row>
    <row r="3837" spans="12:13" x14ac:dyDescent="0.25">
      <c r="L3837" s="65">
        <v>742224</v>
      </c>
      <c r="M3837" t="s">
        <v>2853</v>
      </c>
    </row>
    <row r="3838" spans="12:13" x14ac:dyDescent="0.25">
      <c r="L3838" s="65">
        <v>742225</v>
      </c>
      <c r="M3838" t="s">
        <v>2854</v>
      </c>
    </row>
    <row r="3839" spans="12:13" x14ac:dyDescent="0.25">
      <c r="L3839" s="65">
        <v>742226</v>
      </c>
      <c r="M3839" t="s">
        <v>2855</v>
      </c>
    </row>
    <row r="3840" spans="12:13" x14ac:dyDescent="0.25">
      <c r="L3840" s="65">
        <v>742227</v>
      </c>
      <c r="M3840" t="s">
        <v>2856</v>
      </c>
    </row>
    <row r="3841" spans="12:13" x14ac:dyDescent="0.25">
      <c r="L3841" s="65">
        <v>742228</v>
      </c>
      <c r="M3841" t="s">
        <v>2857</v>
      </c>
    </row>
    <row r="3842" spans="12:13" x14ac:dyDescent="0.25">
      <c r="L3842" s="65">
        <v>742229</v>
      </c>
      <c r="M3842" t="s">
        <v>2858</v>
      </c>
    </row>
    <row r="3843" spans="12:13" x14ac:dyDescent="0.25">
      <c r="L3843" s="65">
        <v>742230</v>
      </c>
      <c r="M3843" t="s">
        <v>2859</v>
      </c>
    </row>
    <row r="3844" spans="12:13" x14ac:dyDescent="0.25">
      <c r="L3844" s="65">
        <v>742231</v>
      </c>
      <c r="M3844" t="s">
        <v>2860</v>
      </c>
    </row>
    <row r="3845" spans="12:13" x14ac:dyDescent="0.25">
      <c r="L3845" s="65">
        <v>742232</v>
      </c>
      <c r="M3845" t="s">
        <v>2861</v>
      </c>
    </row>
    <row r="3846" spans="12:13" x14ac:dyDescent="0.25">
      <c r="L3846" s="65">
        <v>742240</v>
      </c>
      <c r="M3846" t="s">
        <v>2862</v>
      </c>
    </row>
    <row r="3847" spans="12:13" x14ac:dyDescent="0.25">
      <c r="L3847" s="65">
        <v>742241</v>
      </c>
      <c r="M3847" t="s">
        <v>2863</v>
      </c>
    </row>
    <row r="3848" spans="12:13" x14ac:dyDescent="0.25">
      <c r="L3848" s="65">
        <v>742250</v>
      </c>
      <c r="M3848" t="s">
        <v>2864</v>
      </c>
    </row>
    <row r="3849" spans="12:13" x14ac:dyDescent="0.25">
      <c r="L3849" s="65">
        <v>742251</v>
      </c>
      <c r="M3849" t="s">
        <v>2865</v>
      </c>
    </row>
    <row r="3850" spans="12:13" x14ac:dyDescent="0.25">
      <c r="L3850" s="65">
        <v>742252</v>
      </c>
      <c r="M3850" t="s">
        <v>2866</v>
      </c>
    </row>
    <row r="3851" spans="12:13" x14ac:dyDescent="0.25">
      <c r="L3851" s="65">
        <v>742253</v>
      </c>
      <c r="M3851" t="s">
        <v>2867</v>
      </c>
    </row>
    <row r="3852" spans="12:13" x14ac:dyDescent="0.25">
      <c r="L3852" s="65">
        <v>742254</v>
      </c>
      <c r="M3852" t="s">
        <v>2868</v>
      </c>
    </row>
    <row r="3853" spans="12:13" x14ac:dyDescent="0.25">
      <c r="L3853" s="65">
        <v>742260</v>
      </c>
      <c r="M3853" t="s">
        <v>2869</v>
      </c>
    </row>
    <row r="3854" spans="12:13" x14ac:dyDescent="0.25">
      <c r="L3854" s="65">
        <v>742261</v>
      </c>
      <c r="M3854" t="s">
        <v>2870</v>
      </c>
    </row>
    <row r="3855" spans="12:13" x14ac:dyDescent="0.25">
      <c r="L3855" s="65">
        <v>742262</v>
      </c>
      <c r="M3855" t="s">
        <v>2871</v>
      </c>
    </row>
    <row r="3856" spans="12:13" x14ac:dyDescent="0.25">
      <c r="L3856" s="65">
        <v>742265</v>
      </c>
      <c r="M3856" t="s">
        <v>2872</v>
      </c>
    </row>
    <row r="3857" spans="12:13" x14ac:dyDescent="0.25">
      <c r="L3857" s="65">
        <v>742270</v>
      </c>
      <c r="M3857" t="s">
        <v>2873</v>
      </c>
    </row>
    <row r="3858" spans="12:13" x14ac:dyDescent="0.25">
      <c r="L3858" s="65">
        <v>742271</v>
      </c>
      <c r="M3858" t="s">
        <v>2874</v>
      </c>
    </row>
    <row r="3859" spans="12:13" x14ac:dyDescent="0.25">
      <c r="L3859" s="65">
        <v>742272</v>
      </c>
      <c r="M3859" t="s">
        <v>2875</v>
      </c>
    </row>
    <row r="3860" spans="12:13" x14ac:dyDescent="0.25">
      <c r="L3860" s="65">
        <v>742280</v>
      </c>
      <c r="M3860" t="s">
        <v>2876</v>
      </c>
    </row>
    <row r="3861" spans="12:13" x14ac:dyDescent="0.25">
      <c r="L3861" s="65">
        <v>742281</v>
      </c>
      <c r="M3861" t="s">
        <v>2877</v>
      </c>
    </row>
    <row r="3862" spans="12:13" x14ac:dyDescent="0.25">
      <c r="L3862" s="65">
        <v>742282</v>
      </c>
      <c r="M3862" t="s">
        <v>2878</v>
      </c>
    </row>
    <row r="3863" spans="12:13" x14ac:dyDescent="0.25">
      <c r="L3863" s="65">
        <v>742283</v>
      </c>
      <c r="M3863" t="s">
        <v>2879</v>
      </c>
    </row>
    <row r="3864" spans="12:13" x14ac:dyDescent="0.25">
      <c r="L3864" s="65">
        <v>742284</v>
      </c>
      <c r="M3864" t="s">
        <v>2880</v>
      </c>
    </row>
    <row r="3865" spans="12:13" x14ac:dyDescent="0.25">
      <c r="L3865" s="65">
        <v>742285</v>
      </c>
      <c r="M3865" t="s">
        <v>2881</v>
      </c>
    </row>
    <row r="3866" spans="12:13" x14ac:dyDescent="0.25">
      <c r="L3866" s="65">
        <v>742286</v>
      </c>
      <c r="M3866" t="s">
        <v>2882</v>
      </c>
    </row>
    <row r="3867" spans="12:13" x14ac:dyDescent="0.25">
      <c r="L3867" s="65">
        <v>742287</v>
      </c>
      <c r="M3867" t="s">
        <v>2883</v>
      </c>
    </row>
    <row r="3868" spans="12:13" x14ac:dyDescent="0.25">
      <c r="L3868" s="65">
        <v>742288</v>
      </c>
      <c r="M3868" t="s">
        <v>2884</v>
      </c>
    </row>
    <row r="3869" spans="12:13" x14ac:dyDescent="0.25">
      <c r="L3869" s="65">
        <v>742289</v>
      </c>
      <c r="M3869" t="s">
        <v>2885</v>
      </c>
    </row>
    <row r="3870" spans="12:13" x14ac:dyDescent="0.25">
      <c r="L3870" s="65">
        <v>742290</v>
      </c>
      <c r="M3870" t="s">
        <v>2886</v>
      </c>
    </row>
    <row r="3871" spans="12:13" x14ac:dyDescent="0.25">
      <c r="L3871" s="65">
        <v>742291</v>
      </c>
      <c r="M3871" t="s">
        <v>2887</v>
      </c>
    </row>
    <row r="3872" spans="12:13" x14ac:dyDescent="0.25">
      <c r="L3872" s="65">
        <v>742292</v>
      </c>
      <c r="M3872" t="s">
        <v>2888</v>
      </c>
    </row>
    <row r="3873" spans="12:13" x14ac:dyDescent="0.25">
      <c r="L3873" s="65">
        <v>742300</v>
      </c>
      <c r="M3873" t="s">
        <v>2889</v>
      </c>
    </row>
    <row r="3874" spans="12:13" x14ac:dyDescent="0.25">
      <c r="L3874" s="65">
        <v>742310</v>
      </c>
      <c r="M3874" t="s">
        <v>2890</v>
      </c>
    </row>
    <row r="3875" spans="12:13" x14ac:dyDescent="0.25">
      <c r="L3875" s="65">
        <v>742312</v>
      </c>
      <c r="M3875" t="s">
        <v>2891</v>
      </c>
    </row>
    <row r="3876" spans="12:13" x14ac:dyDescent="0.25">
      <c r="L3876" s="65">
        <v>742320</v>
      </c>
      <c r="M3876" t="s">
        <v>2892</v>
      </c>
    </row>
    <row r="3877" spans="12:13" x14ac:dyDescent="0.25">
      <c r="L3877" s="65">
        <v>742321</v>
      </c>
      <c r="M3877" t="s">
        <v>2893</v>
      </c>
    </row>
    <row r="3878" spans="12:13" x14ac:dyDescent="0.25">
      <c r="L3878" s="65">
        <v>742322</v>
      </c>
      <c r="M3878" t="s">
        <v>2894</v>
      </c>
    </row>
    <row r="3879" spans="12:13" x14ac:dyDescent="0.25">
      <c r="L3879" s="65">
        <v>742323</v>
      </c>
      <c r="M3879" t="s">
        <v>2895</v>
      </c>
    </row>
    <row r="3880" spans="12:13" x14ac:dyDescent="0.25">
      <c r="L3880" s="65">
        <v>742324</v>
      </c>
      <c r="M3880" t="s">
        <v>2896</v>
      </c>
    </row>
    <row r="3881" spans="12:13" x14ac:dyDescent="0.25">
      <c r="L3881" s="65">
        <v>742325</v>
      </c>
      <c r="M3881" t="s">
        <v>2897</v>
      </c>
    </row>
    <row r="3882" spans="12:13" x14ac:dyDescent="0.25">
      <c r="L3882" s="65">
        <v>742326</v>
      </c>
      <c r="M3882" t="s">
        <v>2898</v>
      </c>
    </row>
    <row r="3883" spans="12:13" x14ac:dyDescent="0.25">
      <c r="L3883" s="65">
        <v>742327</v>
      </c>
      <c r="M3883" t="s">
        <v>2899</v>
      </c>
    </row>
    <row r="3884" spans="12:13" x14ac:dyDescent="0.25">
      <c r="L3884" s="65">
        <v>742328</v>
      </c>
      <c r="M3884" t="s">
        <v>2900</v>
      </c>
    </row>
    <row r="3885" spans="12:13" x14ac:dyDescent="0.25">
      <c r="L3885" s="65">
        <v>742329</v>
      </c>
      <c r="M3885" t="s">
        <v>2901</v>
      </c>
    </row>
    <row r="3886" spans="12:13" x14ac:dyDescent="0.25">
      <c r="L3886" s="65">
        <v>742330</v>
      </c>
      <c r="M3886" t="s">
        <v>2902</v>
      </c>
    </row>
    <row r="3887" spans="12:13" x14ac:dyDescent="0.25">
      <c r="L3887" s="65">
        <v>742331</v>
      </c>
      <c r="M3887" t="s">
        <v>2903</v>
      </c>
    </row>
    <row r="3888" spans="12:13" x14ac:dyDescent="0.25">
      <c r="L3888" s="65">
        <v>742332</v>
      </c>
      <c r="M3888" t="s">
        <v>2904</v>
      </c>
    </row>
    <row r="3889" spans="12:13" x14ac:dyDescent="0.25">
      <c r="L3889" s="65">
        <v>742340</v>
      </c>
      <c r="M3889" t="s">
        <v>2905</v>
      </c>
    </row>
    <row r="3890" spans="12:13" x14ac:dyDescent="0.25">
      <c r="L3890" s="65">
        <v>742341</v>
      </c>
      <c r="M3890" t="s">
        <v>2906</v>
      </c>
    </row>
    <row r="3891" spans="12:13" x14ac:dyDescent="0.25">
      <c r="L3891" s="65">
        <v>742350</v>
      </c>
      <c r="M3891" t="s">
        <v>2907</v>
      </c>
    </row>
    <row r="3892" spans="12:13" x14ac:dyDescent="0.25">
      <c r="L3892" s="65">
        <v>742351</v>
      </c>
      <c r="M3892" t="s">
        <v>2908</v>
      </c>
    </row>
    <row r="3893" spans="12:13" x14ac:dyDescent="0.25">
      <c r="L3893" s="65">
        <v>742360</v>
      </c>
      <c r="M3893" t="s">
        <v>2909</v>
      </c>
    </row>
    <row r="3894" spans="12:13" x14ac:dyDescent="0.25">
      <c r="L3894" s="65">
        <v>742361</v>
      </c>
      <c r="M3894" t="s">
        <v>2909</v>
      </c>
    </row>
    <row r="3895" spans="12:13" x14ac:dyDescent="0.25">
      <c r="L3895" s="65">
        <v>742370</v>
      </c>
      <c r="M3895" t="s">
        <v>2910</v>
      </c>
    </row>
    <row r="3896" spans="12:13" x14ac:dyDescent="0.25">
      <c r="L3896" s="65">
        <v>742371</v>
      </c>
      <c r="M3896" t="s">
        <v>2911</v>
      </c>
    </row>
    <row r="3897" spans="12:13" x14ac:dyDescent="0.25">
      <c r="L3897" s="65">
        <v>742372</v>
      </c>
      <c r="M3897" t="s">
        <v>2912</v>
      </c>
    </row>
    <row r="3898" spans="12:13" x14ac:dyDescent="0.25">
      <c r="L3898" s="65">
        <v>742373</v>
      </c>
      <c r="M3898" t="s">
        <v>2913</v>
      </c>
    </row>
    <row r="3899" spans="12:13" x14ac:dyDescent="0.25">
      <c r="L3899" s="65">
        <v>742378</v>
      </c>
      <c r="M3899" t="s">
        <v>2914</v>
      </c>
    </row>
    <row r="3900" spans="12:13" x14ac:dyDescent="0.25">
      <c r="L3900" s="65">
        <v>742400</v>
      </c>
      <c r="M3900" t="s">
        <v>2915</v>
      </c>
    </row>
    <row r="3901" spans="12:13" x14ac:dyDescent="0.25">
      <c r="L3901" s="65">
        <v>742410</v>
      </c>
      <c r="M3901" t="s">
        <v>2915</v>
      </c>
    </row>
    <row r="3902" spans="12:13" x14ac:dyDescent="0.25">
      <c r="L3902" s="65">
        <v>742411</v>
      </c>
      <c r="M3902" t="s">
        <v>2915</v>
      </c>
    </row>
    <row r="3903" spans="12:13" x14ac:dyDescent="0.25">
      <c r="L3903" s="65">
        <v>743000</v>
      </c>
      <c r="M3903" t="s">
        <v>2917</v>
      </c>
    </row>
    <row r="3904" spans="12:13" x14ac:dyDescent="0.25">
      <c r="L3904" s="65">
        <v>743100</v>
      </c>
      <c r="M3904" t="s">
        <v>2918</v>
      </c>
    </row>
    <row r="3905" spans="12:13" x14ac:dyDescent="0.25">
      <c r="L3905" s="65">
        <v>743120</v>
      </c>
      <c r="M3905" t="s">
        <v>2919</v>
      </c>
    </row>
    <row r="3906" spans="12:13" x14ac:dyDescent="0.25">
      <c r="L3906" s="65">
        <v>743121</v>
      </c>
      <c r="M3906" t="s">
        <v>2918</v>
      </c>
    </row>
    <row r="3907" spans="12:13" x14ac:dyDescent="0.25">
      <c r="L3907" s="65">
        <v>743122</v>
      </c>
      <c r="M3907" t="s">
        <v>2920</v>
      </c>
    </row>
    <row r="3908" spans="12:13" x14ac:dyDescent="0.25">
      <c r="L3908" s="65">
        <v>743123</v>
      </c>
      <c r="M3908" t="s">
        <v>2921</v>
      </c>
    </row>
    <row r="3909" spans="12:13" x14ac:dyDescent="0.25">
      <c r="L3909" s="65">
        <v>743124</v>
      </c>
      <c r="M3909" t="s">
        <v>2922</v>
      </c>
    </row>
    <row r="3910" spans="12:13" x14ac:dyDescent="0.25">
      <c r="L3910" s="65">
        <v>743130</v>
      </c>
      <c r="M3910" t="s">
        <v>2923</v>
      </c>
    </row>
    <row r="3911" spans="12:13" x14ac:dyDescent="0.25">
      <c r="L3911" s="65">
        <v>743131</v>
      </c>
      <c r="M3911" t="s">
        <v>2923</v>
      </c>
    </row>
    <row r="3912" spans="12:13" x14ac:dyDescent="0.25">
      <c r="L3912" s="65">
        <v>743140</v>
      </c>
      <c r="M3912" t="s">
        <v>2924</v>
      </c>
    </row>
    <row r="3913" spans="12:13" x14ac:dyDescent="0.25">
      <c r="L3913" s="65">
        <v>743141</v>
      </c>
      <c r="M3913" t="s">
        <v>2924</v>
      </c>
    </row>
    <row r="3914" spans="12:13" x14ac:dyDescent="0.25">
      <c r="L3914" s="65">
        <v>743150</v>
      </c>
      <c r="M3914" t="s">
        <v>2925</v>
      </c>
    </row>
    <row r="3915" spans="12:13" x14ac:dyDescent="0.25">
      <c r="L3915" s="65">
        <v>743151</v>
      </c>
      <c r="M3915" t="s">
        <v>2925</v>
      </c>
    </row>
    <row r="3916" spans="12:13" x14ac:dyDescent="0.25">
      <c r="L3916" s="65">
        <v>743160</v>
      </c>
      <c r="M3916" t="s">
        <v>2926</v>
      </c>
    </row>
    <row r="3917" spans="12:13" x14ac:dyDescent="0.25">
      <c r="L3917" s="65">
        <v>743161</v>
      </c>
      <c r="M3917" t="s">
        <v>2926</v>
      </c>
    </row>
    <row r="3918" spans="12:13" x14ac:dyDescent="0.25">
      <c r="L3918" s="65">
        <v>743200</v>
      </c>
      <c r="M3918" t="s">
        <v>2927</v>
      </c>
    </row>
    <row r="3919" spans="12:13" x14ac:dyDescent="0.25">
      <c r="L3919" s="65">
        <v>743220</v>
      </c>
      <c r="M3919" t="s">
        <v>2928</v>
      </c>
    </row>
    <row r="3920" spans="12:13" x14ac:dyDescent="0.25">
      <c r="L3920" s="65">
        <v>743221</v>
      </c>
      <c r="M3920" t="s">
        <v>2927</v>
      </c>
    </row>
    <row r="3921" spans="12:13" x14ac:dyDescent="0.25">
      <c r="L3921" s="65">
        <v>743222</v>
      </c>
      <c r="M3921" t="s">
        <v>2929</v>
      </c>
    </row>
    <row r="3922" spans="12:13" x14ac:dyDescent="0.25">
      <c r="L3922" s="65">
        <v>743223</v>
      </c>
      <c r="M3922" t="s">
        <v>2930</v>
      </c>
    </row>
    <row r="3923" spans="12:13" x14ac:dyDescent="0.25">
      <c r="L3923" s="65">
        <v>743224</v>
      </c>
      <c r="M3923" t="s">
        <v>2931</v>
      </c>
    </row>
    <row r="3924" spans="12:13" x14ac:dyDescent="0.25">
      <c r="L3924" s="65">
        <v>743230</v>
      </c>
      <c r="M3924" t="s">
        <v>2932</v>
      </c>
    </row>
    <row r="3925" spans="12:13" x14ac:dyDescent="0.25">
      <c r="L3925" s="65">
        <v>743231</v>
      </c>
      <c r="M3925" t="s">
        <v>2932</v>
      </c>
    </row>
    <row r="3926" spans="12:13" x14ac:dyDescent="0.25">
      <c r="L3926" s="65">
        <v>743240</v>
      </c>
      <c r="M3926" t="s">
        <v>2933</v>
      </c>
    </row>
    <row r="3927" spans="12:13" x14ac:dyDescent="0.25">
      <c r="L3927" s="65">
        <v>743241</v>
      </c>
      <c r="M3927" t="s">
        <v>2933</v>
      </c>
    </row>
    <row r="3928" spans="12:13" x14ac:dyDescent="0.25">
      <c r="L3928" s="65">
        <v>743250</v>
      </c>
      <c r="M3928" t="s">
        <v>2934</v>
      </c>
    </row>
    <row r="3929" spans="12:13" x14ac:dyDescent="0.25">
      <c r="L3929" s="65">
        <v>743251</v>
      </c>
      <c r="M3929" t="s">
        <v>2934</v>
      </c>
    </row>
    <row r="3930" spans="12:13" x14ac:dyDescent="0.25">
      <c r="L3930" s="65">
        <v>743260</v>
      </c>
      <c r="M3930" t="s">
        <v>2935</v>
      </c>
    </row>
    <row r="3931" spans="12:13" x14ac:dyDescent="0.25">
      <c r="L3931" s="65">
        <v>743261</v>
      </c>
      <c r="M3931" t="s">
        <v>2935</v>
      </c>
    </row>
    <row r="3932" spans="12:13" x14ac:dyDescent="0.25">
      <c r="L3932" s="65">
        <v>743300</v>
      </c>
      <c r="M3932" t="s">
        <v>2936</v>
      </c>
    </row>
    <row r="3933" spans="12:13" x14ac:dyDescent="0.25">
      <c r="L3933" s="65">
        <v>743320</v>
      </c>
      <c r="M3933" t="s">
        <v>2937</v>
      </c>
    </row>
    <row r="3934" spans="12:13" x14ac:dyDescent="0.25">
      <c r="L3934" s="65">
        <v>743321</v>
      </c>
      <c r="M3934" t="s">
        <v>2936</v>
      </c>
    </row>
    <row r="3935" spans="12:13" x14ac:dyDescent="0.25">
      <c r="L3935" s="65">
        <v>743322</v>
      </c>
      <c r="M3935" t="s">
        <v>2938</v>
      </c>
    </row>
    <row r="3936" spans="12:13" x14ac:dyDescent="0.25">
      <c r="L3936" s="65">
        <v>743323</v>
      </c>
      <c r="M3936" t="s">
        <v>2939</v>
      </c>
    </row>
    <row r="3937" spans="12:13" x14ac:dyDescent="0.25">
      <c r="L3937" s="65">
        <v>743324</v>
      </c>
      <c r="M3937" t="s">
        <v>2941</v>
      </c>
    </row>
    <row r="3938" spans="12:13" x14ac:dyDescent="0.25">
      <c r="L3938" s="65">
        <v>743325</v>
      </c>
      <c r="M3938" t="s">
        <v>2942</v>
      </c>
    </row>
    <row r="3939" spans="12:13" x14ac:dyDescent="0.25">
      <c r="L3939" s="65">
        <v>743326</v>
      </c>
      <c r="M3939" t="s">
        <v>2943</v>
      </c>
    </row>
    <row r="3940" spans="12:13" x14ac:dyDescent="0.25">
      <c r="L3940" s="65">
        <v>743327</v>
      </c>
      <c r="M3940" t="s">
        <v>2944</v>
      </c>
    </row>
    <row r="3941" spans="12:13" x14ac:dyDescent="0.25">
      <c r="L3941" s="65">
        <v>743328</v>
      </c>
      <c r="M3941" t="s">
        <v>2945</v>
      </c>
    </row>
    <row r="3942" spans="12:13" x14ac:dyDescent="0.25">
      <c r="L3942" s="65">
        <v>743329</v>
      </c>
      <c r="M3942" t="s">
        <v>2946</v>
      </c>
    </row>
    <row r="3943" spans="12:13" x14ac:dyDescent="0.25">
      <c r="L3943" s="65">
        <v>743330</v>
      </c>
      <c r="M3943" t="s">
        <v>2947</v>
      </c>
    </row>
    <row r="3944" spans="12:13" x14ac:dyDescent="0.25">
      <c r="L3944" s="65">
        <v>743331</v>
      </c>
      <c r="M3944" t="s">
        <v>2948</v>
      </c>
    </row>
    <row r="3945" spans="12:13" x14ac:dyDescent="0.25">
      <c r="L3945" s="65">
        <v>743332</v>
      </c>
      <c r="M3945" t="s">
        <v>2949</v>
      </c>
    </row>
    <row r="3946" spans="12:13" x14ac:dyDescent="0.25">
      <c r="L3946" s="65">
        <v>743340</v>
      </c>
      <c r="M3946" t="s">
        <v>2950</v>
      </c>
    </row>
    <row r="3947" spans="12:13" x14ac:dyDescent="0.25">
      <c r="L3947" s="65">
        <v>743341</v>
      </c>
      <c r="M3947" t="s">
        <v>2951</v>
      </c>
    </row>
    <row r="3948" spans="12:13" x14ac:dyDescent="0.25">
      <c r="L3948" s="65">
        <v>743342</v>
      </c>
      <c r="M3948" t="s">
        <v>2952</v>
      </c>
    </row>
    <row r="3949" spans="12:13" x14ac:dyDescent="0.25">
      <c r="L3949" s="65">
        <v>743343</v>
      </c>
      <c r="M3949" t="s">
        <v>2953</v>
      </c>
    </row>
    <row r="3950" spans="12:13" x14ac:dyDescent="0.25">
      <c r="L3950" s="65">
        <v>743350</v>
      </c>
      <c r="M3950" t="s">
        <v>2954</v>
      </c>
    </row>
    <row r="3951" spans="12:13" x14ac:dyDescent="0.25">
      <c r="L3951" s="65">
        <v>743351</v>
      </c>
      <c r="M3951" t="s">
        <v>2955</v>
      </c>
    </row>
    <row r="3952" spans="12:13" x14ac:dyDescent="0.25">
      <c r="L3952" s="65">
        <v>743353</v>
      </c>
      <c r="M3952" t="s">
        <v>2956</v>
      </c>
    </row>
    <row r="3953" spans="12:13" x14ac:dyDescent="0.25">
      <c r="L3953" s="65">
        <v>743354</v>
      </c>
      <c r="M3953" t="s">
        <v>2957</v>
      </c>
    </row>
    <row r="3954" spans="12:13" x14ac:dyDescent="0.25">
      <c r="L3954" s="65">
        <v>743360</v>
      </c>
      <c r="M3954" t="s">
        <v>2958</v>
      </c>
    </row>
    <row r="3955" spans="12:13" x14ac:dyDescent="0.25">
      <c r="L3955" s="65">
        <v>743361</v>
      </c>
      <c r="M3955" t="s">
        <v>2958</v>
      </c>
    </row>
    <row r="3956" spans="12:13" x14ac:dyDescent="0.25">
      <c r="L3956" s="65">
        <v>743400</v>
      </c>
      <c r="M3956" t="s">
        <v>2959</v>
      </c>
    </row>
    <row r="3957" spans="12:13" x14ac:dyDescent="0.25">
      <c r="L3957" s="65">
        <v>743420</v>
      </c>
      <c r="M3957" t="s">
        <v>2960</v>
      </c>
    </row>
    <row r="3958" spans="12:13" x14ac:dyDescent="0.25">
      <c r="L3958" s="65">
        <v>743421</v>
      </c>
      <c r="M3958" t="s">
        <v>2960</v>
      </c>
    </row>
    <row r="3959" spans="12:13" x14ac:dyDescent="0.25">
      <c r="L3959" s="65">
        <v>743422</v>
      </c>
      <c r="M3959" t="s">
        <v>2961</v>
      </c>
    </row>
    <row r="3960" spans="12:13" x14ac:dyDescent="0.25">
      <c r="L3960" s="65">
        <v>743423</v>
      </c>
      <c r="M3960" t="s">
        <v>2962</v>
      </c>
    </row>
    <row r="3961" spans="12:13" x14ac:dyDescent="0.25">
      <c r="L3961" s="65">
        <v>743430</v>
      </c>
      <c r="M3961" t="s">
        <v>2963</v>
      </c>
    </row>
    <row r="3962" spans="12:13" x14ac:dyDescent="0.25">
      <c r="L3962" s="65">
        <v>743431</v>
      </c>
      <c r="M3962" t="s">
        <v>2963</v>
      </c>
    </row>
    <row r="3963" spans="12:13" x14ac:dyDescent="0.25">
      <c r="L3963" s="65">
        <v>743440</v>
      </c>
      <c r="M3963" t="s">
        <v>2964</v>
      </c>
    </row>
    <row r="3964" spans="12:13" x14ac:dyDescent="0.25">
      <c r="L3964" s="65">
        <v>743441</v>
      </c>
      <c r="M3964" t="s">
        <v>2964</v>
      </c>
    </row>
    <row r="3965" spans="12:13" x14ac:dyDescent="0.25">
      <c r="L3965" s="65">
        <v>743450</v>
      </c>
      <c r="M3965" t="s">
        <v>2965</v>
      </c>
    </row>
    <row r="3966" spans="12:13" x14ac:dyDescent="0.25">
      <c r="L3966" s="65">
        <v>743451</v>
      </c>
      <c r="M3966" t="s">
        <v>2965</v>
      </c>
    </row>
    <row r="3967" spans="12:13" x14ac:dyDescent="0.25">
      <c r="L3967" s="65">
        <v>743460</v>
      </c>
      <c r="M3967" t="s">
        <v>2966</v>
      </c>
    </row>
    <row r="3968" spans="12:13" x14ac:dyDescent="0.25">
      <c r="L3968" s="65">
        <v>743461</v>
      </c>
      <c r="M3968" t="s">
        <v>2966</v>
      </c>
    </row>
    <row r="3969" spans="12:13" x14ac:dyDescent="0.25">
      <c r="L3969" s="65">
        <v>743500</v>
      </c>
      <c r="M3969" t="s">
        <v>2967</v>
      </c>
    </row>
    <row r="3970" spans="12:13" x14ac:dyDescent="0.25">
      <c r="L3970" s="65">
        <v>743520</v>
      </c>
      <c r="M3970" t="s">
        <v>2968</v>
      </c>
    </row>
    <row r="3971" spans="12:13" x14ac:dyDescent="0.25">
      <c r="L3971" s="65">
        <v>743521</v>
      </c>
      <c r="M3971" t="s">
        <v>2969</v>
      </c>
    </row>
    <row r="3972" spans="12:13" x14ac:dyDescent="0.25">
      <c r="L3972" s="65">
        <v>743522</v>
      </c>
      <c r="M3972" t="s">
        <v>2970</v>
      </c>
    </row>
    <row r="3973" spans="12:13" x14ac:dyDescent="0.25">
      <c r="L3973" s="65">
        <v>743523</v>
      </c>
      <c r="M3973" t="s">
        <v>2971</v>
      </c>
    </row>
    <row r="3974" spans="12:13" x14ac:dyDescent="0.25">
      <c r="L3974" s="65">
        <v>743524</v>
      </c>
      <c r="M3974" t="s">
        <v>2972</v>
      </c>
    </row>
    <row r="3975" spans="12:13" x14ac:dyDescent="0.25">
      <c r="L3975" s="65">
        <v>743525</v>
      </c>
      <c r="M3975" t="s">
        <v>2973</v>
      </c>
    </row>
    <row r="3976" spans="12:13" x14ac:dyDescent="0.25">
      <c r="L3976" s="65">
        <v>743526</v>
      </c>
      <c r="M3976" t="s">
        <v>2974</v>
      </c>
    </row>
    <row r="3977" spans="12:13" x14ac:dyDescent="0.25">
      <c r="L3977" s="65">
        <v>743530</v>
      </c>
      <c r="M3977" t="s">
        <v>2975</v>
      </c>
    </row>
    <row r="3978" spans="12:13" x14ac:dyDescent="0.25">
      <c r="L3978" s="65">
        <v>743531</v>
      </c>
      <c r="M3978" t="s">
        <v>2975</v>
      </c>
    </row>
    <row r="3979" spans="12:13" x14ac:dyDescent="0.25">
      <c r="L3979" s="65">
        <v>743540</v>
      </c>
      <c r="M3979" t="s">
        <v>2976</v>
      </c>
    </row>
    <row r="3980" spans="12:13" x14ac:dyDescent="0.25">
      <c r="L3980" s="65">
        <v>743541</v>
      </c>
      <c r="M3980" t="s">
        <v>2976</v>
      </c>
    </row>
    <row r="3981" spans="12:13" x14ac:dyDescent="0.25">
      <c r="L3981" s="65">
        <v>743550</v>
      </c>
      <c r="M3981" t="s">
        <v>2977</v>
      </c>
    </row>
    <row r="3982" spans="12:13" x14ac:dyDescent="0.25">
      <c r="L3982" s="65">
        <v>743551</v>
      </c>
      <c r="M3982" t="s">
        <v>2977</v>
      </c>
    </row>
    <row r="3983" spans="12:13" x14ac:dyDescent="0.25">
      <c r="L3983" s="65">
        <v>743560</v>
      </c>
      <c r="M3983" t="s">
        <v>2978</v>
      </c>
    </row>
    <row r="3984" spans="12:13" x14ac:dyDescent="0.25">
      <c r="L3984" s="65">
        <v>743561</v>
      </c>
      <c r="M3984" t="s">
        <v>2978</v>
      </c>
    </row>
    <row r="3985" spans="12:13" x14ac:dyDescent="0.25">
      <c r="L3985" s="65">
        <v>743900</v>
      </c>
      <c r="M3985" t="s">
        <v>2979</v>
      </c>
    </row>
    <row r="3986" spans="12:13" x14ac:dyDescent="0.25">
      <c r="L3986" s="65">
        <v>743920</v>
      </c>
      <c r="M3986" t="s">
        <v>2980</v>
      </c>
    </row>
    <row r="3987" spans="12:13" x14ac:dyDescent="0.25">
      <c r="L3987" s="65">
        <v>743921</v>
      </c>
      <c r="M3987" t="s">
        <v>2981</v>
      </c>
    </row>
    <row r="3988" spans="12:13" x14ac:dyDescent="0.25">
      <c r="L3988" s="65">
        <v>743922</v>
      </c>
      <c r="M3988" t="s">
        <v>2982</v>
      </c>
    </row>
    <row r="3989" spans="12:13" x14ac:dyDescent="0.25">
      <c r="L3989" s="65">
        <v>743923</v>
      </c>
      <c r="M3989" t="s">
        <v>2983</v>
      </c>
    </row>
    <row r="3990" spans="12:13" x14ac:dyDescent="0.25">
      <c r="L3990" s="65">
        <v>743929</v>
      </c>
      <c r="M3990" t="s">
        <v>2980</v>
      </c>
    </row>
    <row r="3991" spans="12:13" x14ac:dyDescent="0.25">
      <c r="L3991" s="65">
        <v>743930</v>
      </c>
      <c r="M3991" t="s">
        <v>2984</v>
      </c>
    </row>
    <row r="3992" spans="12:13" x14ac:dyDescent="0.25">
      <c r="L3992" s="65">
        <v>743931</v>
      </c>
      <c r="M3992" t="s">
        <v>2984</v>
      </c>
    </row>
    <row r="3993" spans="12:13" x14ac:dyDescent="0.25">
      <c r="L3993" s="65">
        <v>743940</v>
      </c>
      <c r="M3993" t="s">
        <v>2985</v>
      </c>
    </row>
    <row r="3994" spans="12:13" x14ac:dyDescent="0.25">
      <c r="L3994" s="65">
        <v>743941</v>
      </c>
      <c r="M3994" t="s">
        <v>2985</v>
      </c>
    </row>
    <row r="3995" spans="12:13" x14ac:dyDescent="0.25">
      <c r="L3995" s="65">
        <v>743950</v>
      </c>
      <c r="M3995" t="s">
        <v>2986</v>
      </c>
    </row>
    <row r="3996" spans="12:13" x14ac:dyDescent="0.25">
      <c r="L3996" s="65">
        <v>743951</v>
      </c>
      <c r="M3996" t="s">
        <v>2987</v>
      </c>
    </row>
    <row r="3997" spans="12:13" x14ac:dyDescent="0.25">
      <c r="L3997" s="65">
        <v>743960</v>
      </c>
      <c r="M3997" t="s">
        <v>2988</v>
      </c>
    </row>
    <row r="3998" spans="12:13" x14ac:dyDescent="0.25">
      <c r="L3998" s="65">
        <v>743961</v>
      </c>
      <c r="M3998" t="s">
        <v>2988</v>
      </c>
    </row>
    <row r="3999" spans="12:13" x14ac:dyDescent="0.25">
      <c r="L3999" s="65">
        <v>744000</v>
      </c>
      <c r="M3999" t="s">
        <v>2990</v>
      </c>
    </row>
    <row r="4000" spans="12:13" x14ac:dyDescent="0.25">
      <c r="L4000" s="65">
        <v>744100</v>
      </c>
      <c r="M4000" t="s">
        <v>2991</v>
      </c>
    </row>
    <row r="4001" spans="12:13" x14ac:dyDescent="0.25">
      <c r="L4001" s="65">
        <v>744120</v>
      </c>
      <c r="M4001" t="s">
        <v>2992</v>
      </c>
    </row>
    <row r="4002" spans="12:13" x14ac:dyDescent="0.25">
      <c r="L4002" s="65">
        <v>744121</v>
      </c>
      <c r="M4002" t="s">
        <v>2992</v>
      </c>
    </row>
    <row r="4003" spans="12:13" x14ac:dyDescent="0.25">
      <c r="L4003" s="65">
        <v>744122</v>
      </c>
      <c r="M4003" t="s">
        <v>2993</v>
      </c>
    </row>
    <row r="4004" spans="12:13" x14ac:dyDescent="0.25">
      <c r="L4004" s="65">
        <v>744130</v>
      </c>
      <c r="M4004" t="s">
        <v>2994</v>
      </c>
    </row>
    <row r="4005" spans="12:13" x14ac:dyDescent="0.25">
      <c r="L4005" s="65">
        <v>744131</v>
      </c>
      <c r="M4005" t="s">
        <v>2995</v>
      </c>
    </row>
    <row r="4006" spans="12:13" x14ac:dyDescent="0.25">
      <c r="L4006" s="65">
        <v>744132</v>
      </c>
      <c r="M4006" t="s">
        <v>2996</v>
      </c>
    </row>
    <row r="4007" spans="12:13" x14ac:dyDescent="0.25">
      <c r="L4007" s="65">
        <v>744140</v>
      </c>
      <c r="M4007" t="s">
        <v>2997</v>
      </c>
    </row>
    <row r="4008" spans="12:13" x14ac:dyDescent="0.25">
      <c r="L4008" s="65">
        <v>744141</v>
      </c>
      <c r="M4008" t="s">
        <v>2997</v>
      </c>
    </row>
    <row r="4009" spans="12:13" x14ac:dyDescent="0.25">
      <c r="L4009" s="65">
        <v>744142</v>
      </c>
      <c r="M4009" t="s">
        <v>2999</v>
      </c>
    </row>
    <row r="4010" spans="12:13" x14ac:dyDescent="0.25">
      <c r="L4010" s="65">
        <v>744150</v>
      </c>
      <c r="M4010" t="s">
        <v>3000</v>
      </c>
    </row>
    <row r="4011" spans="12:13" x14ac:dyDescent="0.25">
      <c r="L4011" s="65">
        <v>744151</v>
      </c>
      <c r="M4011" t="s">
        <v>3000</v>
      </c>
    </row>
    <row r="4012" spans="12:13" x14ac:dyDescent="0.25">
      <c r="L4012" s="65">
        <v>744160</v>
      </c>
      <c r="M4012" t="s">
        <v>3001</v>
      </c>
    </row>
    <row r="4013" spans="12:13" x14ac:dyDescent="0.25">
      <c r="L4013" s="65">
        <v>744161</v>
      </c>
      <c r="M4013" t="s">
        <v>3002</v>
      </c>
    </row>
    <row r="4014" spans="12:13" x14ac:dyDescent="0.25">
      <c r="L4014" s="65">
        <v>744162</v>
      </c>
      <c r="M4014" t="s">
        <v>3003</v>
      </c>
    </row>
    <row r="4015" spans="12:13" x14ac:dyDescent="0.25">
      <c r="L4015" s="65">
        <v>744165</v>
      </c>
      <c r="M4015" t="s">
        <v>3004</v>
      </c>
    </row>
    <row r="4016" spans="12:13" x14ac:dyDescent="0.25">
      <c r="L4016" s="65">
        <v>744200</v>
      </c>
      <c r="M4016" t="s">
        <v>3005</v>
      </c>
    </row>
    <row r="4017" spans="12:13" x14ac:dyDescent="0.25">
      <c r="L4017" s="65">
        <v>744220</v>
      </c>
      <c r="M4017" t="s">
        <v>3006</v>
      </c>
    </row>
    <row r="4018" spans="12:13" x14ac:dyDescent="0.25">
      <c r="L4018" s="65">
        <v>744221</v>
      </c>
      <c r="M4018" t="s">
        <v>3006</v>
      </c>
    </row>
    <row r="4019" spans="12:13" x14ac:dyDescent="0.25">
      <c r="L4019" s="65">
        <v>744230</v>
      </c>
      <c r="M4019" t="s">
        <v>3007</v>
      </c>
    </row>
    <row r="4020" spans="12:13" x14ac:dyDescent="0.25">
      <c r="L4020" s="65">
        <v>744231</v>
      </c>
      <c r="M4020" t="s">
        <v>3008</v>
      </c>
    </row>
    <row r="4021" spans="12:13" x14ac:dyDescent="0.25">
      <c r="L4021" s="65">
        <v>744232</v>
      </c>
      <c r="M4021" t="s">
        <v>3009</v>
      </c>
    </row>
    <row r="4022" spans="12:13" x14ac:dyDescent="0.25">
      <c r="L4022" s="65">
        <v>744240</v>
      </c>
      <c r="M4022" t="s">
        <v>3010</v>
      </c>
    </row>
    <row r="4023" spans="12:13" x14ac:dyDescent="0.25">
      <c r="L4023" s="65">
        <v>744241</v>
      </c>
      <c r="M4023" t="s">
        <v>3010</v>
      </c>
    </row>
    <row r="4024" spans="12:13" x14ac:dyDescent="0.25">
      <c r="L4024" s="65">
        <v>744250</v>
      </c>
      <c r="M4024" t="s">
        <v>3012</v>
      </c>
    </row>
    <row r="4025" spans="12:13" x14ac:dyDescent="0.25">
      <c r="L4025" s="65">
        <v>744251</v>
      </c>
      <c r="M4025" t="s">
        <v>3012</v>
      </c>
    </row>
    <row r="4026" spans="12:13" x14ac:dyDescent="0.25">
      <c r="L4026" s="65">
        <v>744260</v>
      </c>
      <c r="M4026" t="s">
        <v>3013</v>
      </c>
    </row>
    <row r="4027" spans="12:13" x14ac:dyDescent="0.25">
      <c r="L4027" s="65">
        <v>744261</v>
      </c>
      <c r="M4027" t="s">
        <v>3014</v>
      </c>
    </row>
    <row r="4028" spans="12:13" x14ac:dyDescent="0.25">
      <c r="L4028" s="65">
        <v>744262</v>
      </c>
      <c r="M4028" t="s">
        <v>3015</v>
      </c>
    </row>
    <row r="4029" spans="12:13" x14ac:dyDescent="0.25">
      <c r="L4029" s="65">
        <v>744265</v>
      </c>
      <c r="M4029" t="s">
        <v>3016</v>
      </c>
    </row>
    <row r="4030" spans="12:13" x14ac:dyDescent="0.25">
      <c r="L4030" s="65">
        <v>745000</v>
      </c>
      <c r="M4030" t="s">
        <v>3018</v>
      </c>
    </row>
    <row r="4031" spans="12:13" x14ac:dyDescent="0.25">
      <c r="L4031" s="65">
        <v>745100</v>
      </c>
      <c r="M4031" t="s">
        <v>3018</v>
      </c>
    </row>
    <row r="4032" spans="12:13" x14ac:dyDescent="0.25">
      <c r="L4032" s="65">
        <v>745120</v>
      </c>
      <c r="M4032" t="s">
        <v>3019</v>
      </c>
    </row>
    <row r="4033" spans="12:13" x14ac:dyDescent="0.25">
      <c r="L4033" s="65">
        <v>745121</v>
      </c>
      <c r="M4033" t="s">
        <v>3020</v>
      </c>
    </row>
    <row r="4034" spans="12:13" x14ac:dyDescent="0.25">
      <c r="L4034" s="65">
        <v>745122</v>
      </c>
      <c r="M4034" t="s">
        <v>3021</v>
      </c>
    </row>
    <row r="4035" spans="12:13" x14ac:dyDescent="0.25">
      <c r="L4035" s="65">
        <v>745123</v>
      </c>
      <c r="M4035" t="s">
        <v>3022</v>
      </c>
    </row>
    <row r="4036" spans="12:13" x14ac:dyDescent="0.25">
      <c r="L4036" s="65">
        <v>745124</v>
      </c>
      <c r="M4036" t="s">
        <v>3023</v>
      </c>
    </row>
    <row r="4037" spans="12:13" x14ac:dyDescent="0.25">
      <c r="L4037" s="65">
        <v>745125</v>
      </c>
      <c r="M4037" t="s">
        <v>3024</v>
      </c>
    </row>
    <row r="4038" spans="12:13" x14ac:dyDescent="0.25">
      <c r="L4038" s="65">
        <v>745126</v>
      </c>
      <c r="M4038" t="s">
        <v>3025</v>
      </c>
    </row>
    <row r="4039" spans="12:13" x14ac:dyDescent="0.25">
      <c r="L4039" s="65">
        <v>745127</v>
      </c>
      <c r="M4039" t="s">
        <v>3026</v>
      </c>
    </row>
    <row r="4040" spans="12:13" x14ac:dyDescent="0.25">
      <c r="L4040" s="65">
        <v>745128</v>
      </c>
      <c r="M4040" t="s">
        <v>3027</v>
      </c>
    </row>
    <row r="4041" spans="12:13" x14ac:dyDescent="0.25">
      <c r="L4041" s="65">
        <v>745130</v>
      </c>
      <c r="M4041" t="s">
        <v>3028</v>
      </c>
    </row>
    <row r="4042" spans="12:13" x14ac:dyDescent="0.25">
      <c r="L4042" s="65">
        <v>745131</v>
      </c>
      <c r="M4042" t="s">
        <v>3029</v>
      </c>
    </row>
    <row r="4043" spans="12:13" x14ac:dyDescent="0.25">
      <c r="L4043" s="65">
        <v>745132</v>
      </c>
      <c r="M4043" t="s">
        <v>3030</v>
      </c>
    </row>
    <row r="4044" spans="12:13" x14ac:dyDescent="0.25">
      <c r="L4044" s="65">
        <v>745133</v>
      </c>
      <c r="M4044" t="s">
        <v>3031</v>
      </c>
    </row>
    <row r="4045" spans="12:13" x14ac:dyDescent="0.25">
      <c r="L4045" s="65">
        <v>745134</v>
      </c>
      <c r="M4045" t="s">
        <v>3032</v>
      </c>
    </row>
    <row r="4046" spans="12:13" x14ac:dyDescent="0.25">
      <c r="L4046" s="65">
        <v>745135</v>
      </c>
      <c r="M4046" t="s">
        <v>3033</v>
      </c>
    </row>
    <row r="4047" spans="12:13" x14ac:dyDescent="0.25">
      <c r="L4047" s="65">
        <v>745136</v>
      </c>
      <c r="M4047" t="s">
        <v>3034</v>
      </c>
    </row>
    <row r="4048" spans="12:13" x14ac:dyDescent="0.25">
      <c r="L4048" s="65">
        <v>745137</v>
      </c>
      <c r="M4048" t="s">
        <v>3035</v>
      </c>
    </row>
    <row r="4049" spans="12:13" x14ac:dyDescent="0.25">
      <c r="L4049" s="65">
        <v>745138</v>
      </c>
      <c r="M4049" t="s">
        <v>3036</v>
      </c>
    </row>
    <row r="4050" spans="12:13" x14ac:dyDescent="0.25">
      <c r="L4050" s="65">
        <v>745139</v>
      </c>
      <c r="M4050" t="s">
        <v>3037</v>
      </c>
    </row>
    <row r="4051" spans="12:13" x14ac:dyDescent="0.25">
      <c r="L4051" s="65">
        <v>745140</v>
      </c>
      <c r="M4051" t="s">
        <v>3038</v>
      </c>
    </row>
    <row r="4052" spans="12:13" x14ac:dyDescent="0.25">
      <c r="L4052" s="65">
        <v>745141</v>
      </c>
      <c r="M4052" t="s">
        <v>3039</v>
      </c>
    </row>
    <row r="4053" spans="12:13" x14ac:dyDescent="0.25">
      <c r="L4053" s="65">
        <v>745142</v>
      </c>
      <c r="M4053" t="s">
        <v>3040</v>
      </c>
    </row>
    <row r="4054" spans="12:13" x14ac:dyDescent="0.25">
      <c r="L4054" s="65">
        <v>745143</v>
      </c>
      <c r="M4054" t="s">
        <v>3041</v>
      </c>
    </row>
    <row r="4055" spans="12:13" x14ac:dyDescent="0.25">
      <c r="L4055" s="65">
        <v>745144</v>
      </c>
      <c r="M4055" t="s">
        <v>3042</v>
      </c>
    </row>
    <row r="4056" spans="12:13" x14ac:dyDescent="0.25">
      <c r="L4056" s="65">
        <v>745145</v>
      </c>
      <c r="M4056" t="s">
        <v>3043</v>
      </c>
    </row>
    <row r="4057" spans="12:13" x14ac:dyDescent="0.25">
      <c r="L4057" s="65">
        <v>745150</v>
      </c>
      <c r="M4057" t="s">
        <v>3044</v>
      </c>
    </row>
    <row r="4058" spans="12:13" x14ac:dyDescent="0.25">
      <c r="L4058" s="65">
        <v>745151</v>
      </c>
      <c r="M4058" t="s">
        <v>3045</v>
      </c>
    </row>
    <row r="4059" spans="12:13" x14ac:dyDescent="0.25">
      <c r="L4059" s="65">
        <v>745152</v>
      </c>
      <c r="M4059" t="s">
        <v>3046</v>
      </c>
    </row>
    <row r="4060" spans="12:13" x14ac:dyDescent="0.25">
      <c r="L4060" s="65">
        <v>745153</v>
      </c>
      <c r="M4060" t="s">
        <v>3047</v>
      </c>
    </row>
    <row r="4061" spans="12:13" x14ac:dyDescent="0.25">
      <c r="L4061" s="65">
        <v>745154</v>
      </c>
      <c r="M4061" t="s">
        <v>3048</v>
      </c>
    </row>
    <row r="4062" spans="12:13" x14ac:dyDescent="0.25">
      <c r="L4062" s="65">
        <v>745155</v>
      </c>
      <c r="M4062" t="s">
        <v>3043</v>
      </c>
    </row>
    <row r="4063" spans="12:13" x14ac:dyDescent="0.25">
      <c r="L4063" s="65">
        <v>745160</v>
      </c>
      <c r="M4063" t="s">
        <v>3049</v>
      </c>
    </row>
    <row r="4064" spans="12:13" x14ac:dyDescent="0.25">
      <c r="L4064" s="65">
        <v>745161</v>
      </c>
      <c r="M4064" t="s">
        <v>3050</v>
      </c>
    </row>
    <row r="4065" spans="12:13" x14ac:dyDescent="0.25">
      <c r="L4065" s="65">
        <v>745162</v>
      </c>
      <c r="M4065" t="s">
        <v>3051</v>
      </c>
    </row>
    <row r="4066" spans="12:13" x14ac:dyDescent="0.25">
      <c r="L4066" s="65">
        <v>745165</v>
      </c>
      <c r="M4066" t="s">
        <v>3052</v>
      </c>
    </row>
    <row r="4067" spans="12:13" x14ac:dyDescent="0.25">
      <c r="L4067" s="65">
        <v>745166</v>
      </c>
      <c r="M4067" t="s">
        <v>3053</v>
      </c>
    </row>
    <row r="4068" spans="12:13" x14ac:dyDescent="0.25">
      <c r="L4068" s="65">
        <v>770000</v>
      </c>
      <c r="M4068" t="s">
        <v>3055</v>
      </c>
    </row>
    <row r="4069" spans="12:13" x14ac:dyDescent="0.25">
      <c r="L4069" s="65">
        <v>771000</v>
      </c>
      <c r="M4069" t="s">
        <v>3055</v>
      </c>
    </row>
    <row r="4070" spans="12:13" x14ac:dyDescent="0.25">
      <c r="L4070" s="65">
        <v>771100</v>
      </c>
      <c r="M4070" t="s">
        <v>3055</v>
      </c>
    </row>
    <row r="4071" spans="12:13" x14ac:dyDescent="0.25">
      <c r="L4071" s="65">
        <v>771110</v>
      </c>
      <c r="M4071" t="s">
        <v>3055</v>
      </c>
    </row>
    <row r="4072" spans="12:13" x14ac:dyDescent="0.25">
      <c r="L4072" s="65">
        <v>771111</v>
      </c>
      <c r="M4072" t="s">
        <v>3055</v>
      </c>
    </row>
    <row r="4073" spans="12:13" x14ac:dyDescent="0.25">
      <c r="L4073" s="65">
        <v>772000</v>
      </c>
      <c r="M4073" t="s">
        <v>3057</v>
      </c>
    </row>
    <row r="4074" spans="12:13" x14ac:dyDescent="0.25">
      <c r="L4074" s="65">
        <v>772100</v>
      </c>
      <c r="M4074" t="s">
        <v>3057</v>
      </c>
    </row>
    <row r="4075" spans="12:13" x14ac:dyDescent="0.25">
      <c r="L4075" s="65">
        <v>772110</v>
      </c>
      <c r="M4075" t="s">
        <v>3057</v>
      </c>
    </row>
    <row r="4076" spans="12:13" x14ac:dyDescent="0.25">
      <c r="L4076" s="65">
        <v>772111</v>
      </c>
      <c r="M4076" t="s">
        <v>3058</v>
      </c>
    </row>
    <row r="4077" spans="12:13" x14ac:dyDescent="0.25">
      <c r="L4077" s="65">
        <v>772112</v>
      </c>
      <c r="M4077" t="s">
        <v>3059</v>
      </c>
    </row>
    <row r="4078" spans="12:13" x14ac:dyDescent="0.25">
      <c r="L4078" s="65">
        <v>772113</v>
      </c>
      <c r="M4078" t="s">
        <v>3060</v>
      </c>
    </row>
    <row r="4079" spans="12:13" x14ac:dyDescent="0.25">
      <c r="L4079" s="65">
        <v>772114</v>
      </c>
      <c r="M4079" t="s">
        <v>3061</v>
      </c>
    </row>
    <row r="4080" spans="12:13" x14ac:dyDescent="0.25">
      <c r="L4080" s="65">
        <v>780000</v>
      </c>
      <c r="M4080" t="s">
        <v>3062</v>
      </c>
    </row>
    <row r="4081" spans="12:13" x14ac:dyDescent="0.25">
      <c r="L4081" s="65">
        <v>781000</v>
      </c>
      <c r="M4081" t="s">
        <v>3062</v>
      </c>
    </row>
    <row r="4082" spans="12:13" x14ac:dyDescent="0.25">
      <c r="L4082" s="65">
        <v>781100</v>
      </c>
      <c r="M4082" t="s">
        <v>3062</v>
      </c>
    </row>
    <row r="4083" spans="12:13" x14ac:dyDescent="0.25">
      <c r="L4083" s="65">
        <v>781110</v>
      </c>
      <c r="M4083" t="s">
        <v>3062</v>
      </c>
    </row>
    <row r="4084" spans="12:13" x14ac:dyDescent="0.25">
      <c r="L4084" s="65">
        <v>781111</v>
      </c>
      <c r="M4084" t="s">
        <v>3062</v>
      </c>
    </row>
    <row r="4085" spans="12:13" x14ac:dyDescent="0.25">
      <c r="L4085" s="65">
        <v>781112</v>
      </c>
      <c r="M4085" t="s">
        <v>3063</v>
      </c>
    </row>
    <row r="4086" spans="12:13" x14ac:dyDescent="0.25">
      <c r="L4086" s="65">
        <v>781300</v>
      </c>
      <c r="M4086" t="s">
        <v>3064</v>
      </c>
    </row>
    <row r="4087" spans="12:13" x14ac:dyDescent="0.25">
      <c r="L4087" s="65">
        <v>781310</v>
      </c>
      <c r="M4087" t="s">
        <v>3065</v>
      </c>
    </row>
    <row r="4088" spans="12:13" x14ac:dyDescent="0.25">
      <c r="L4088" s="65">
        <v>781311</v>
      </c>
      <c r="M4088" t="s">
        <v>3066</v>
      </c>
    </row>
    <row r="4089" spans="12:13" x14ac:dyDescent="0.25">
      <c r="L4089" s="65">
        <v>781312</v>
      </c>
      <c r="M4089" t="s">
        <v>3067</v>
      </c>
    </row>
    <row r="4090" spans="12:13" x14ac:dyDescent="0.25">
      <c r="L4090" s="65">
        <v>781313</v>
      </c>
      <c r="M4090" t="s">
        <v>3068</v>
      </c>
    </row>
    <row r="4091" spans="12:13" x14ac:dyDescent="0.25">
      <c r="L4091" s="65">
        <v>781314</v>
      </c>
      <c r="M4091" t="s">
        <v>3069</v>
      </c>
    </row>
    <row r="4092" spans="12:13" x14ac:dyDescent="0.25">
      <c r="L4092" s="65">
        <v>781315</v>
      </c>
      <c r="M4092" t="s">
        <v>3070</v>
      </c>
    </row>
    <row r="4093" spans="12:13" x14ac:dyDescent="0.25">
      <c r="L4093" s="65">
        <v>781316</v>
      </c>
      <c r="M4093" t="s">
        <v>3071</v>
      </c>
    </row>
    <row r="4094" spans="12:13" x14ac:dyDescent="0.25">
      <c r="L4094" s="65">
        <v>781317</v>
      </c>
      <c r="M4094" t="s">
        <v>3072</v>
      </c>
    </row>
    <row r="4095" spans="12:13" x14ac:dyDescent="0.25">
      <c r="L4095" s="65">
        <v>781318</v>
      </c>
      <c r="M4095" t="s">
        <v>3073</v>
      </c>
    </row>
    <row r="4096" spans="12:13" x14ac:dyDescent="0.25">
      <c r="L4096" s="65">
        <v>781320</v>
      </c>
      <c r="M4096" t="s">
        <v>3074</v>
      </c>
    </row>
    <row r="4097" spans="12:13" x14ac:dyDescent="0.25">
      <c r="L4097" s="65">
        <v>781321</v>
      </c>
      <c r="M4097" t="s">
        <v>3075</v>
      </c>
    </row>
    <row r="4098" spans="12:13" x14ac:dyDescent="0.25">
      <c r="L4098" s="65">
        <v>781322</v>
      </c>
      <c r="M4098" t="s">
        <v>3076</v>
      </c>
    </row>
    <row r="4099" spans="12:13" x14ac:dyDescent="0.25">
      <c r="L4099" s="65">
        <v>781323</v>
      </c>
      <c r="M4099" t="s">
        <v>3077</v>
      </c>
    </row>
    <row r="4100" spans="12:13" x14ac:dyDescent="0.25">
      <c r="L4100" s="65">
        <v>781324</v>
      </c>
      <c r="M4100" t="s">
        <v>3078</v>
      </c>
    </row>
    <row r="4101" spans="12:13" x14ac:dyDescent="0.25">
      <c r="L4101" s="65">
        <v>781330</v>
      </c>
      <c r="M4101" t="s">
        <v>3079</v>
      </c>
    </row>
    <row r="4102" spans="12:13" x14ac:dyDescent="0.25">
      <c r="L4102" s="65">
        <v>781331</v>
      </c>
      <c r="M4102" t="s">
        <v>3080</v>
      </c>
    </row>
    <row r="4103" spans="12:13" x14ac:dyDescent="0.25">
      <c r="L4103" s="65">
        <v>781340</v>
      </c>
      <c r="M4103" t="s">
        <v>3081</v>
      </c>
    </row>
    <row r="4104" spans="12:13" x14ac:dyDescent="0.25">
      <c r="L4104" s="65">
        <v>781341</v>
      </c>
      <c r="M4104" t="s">
        <v>3082</v>
      </c>
    </row>
    <row r="4105" spans="12:13" x14ac:dyDescent="0.25">
      <c r="L4105" s="65">
        <v>781342</v>
      </c>
      <c r="M4105" t="s">
        <v>3083</v>
      </c>
    </row>
    <row r="4106" spans="12:13" x14ac:dyDescent="0.25">
      <c r="L4106" s="65">
        <v>781350</v>
      </c>
      <c r="M4106" t="s">
        <v>3084</v>
      </c>
    </row>
    <row r="4107" spans="12:13" x14ac:dyDescent="0.25">
      <c r="L4107" s="65">
        <v>781351</v>
      </c>
      <c r="M4107" t="s">
        <v>3084</v>
      </c>
    </row>
    <row r="4108" spans="12:13" x14ac:dyDescent="0.25">
      <c r="L4108" s="65">
        <v>781352</v>
      </c>
      <c r="M4108" t="s">
        <v>3085</v>
      </c>
    </row>
    <row r="4109" spans="12:13" x14ac:dyDescent="0.25">
      <c r="L4109" s="65">
        <v>790000</v>
      </c>
      <c r="M4109" t="s">
        <v>3087</v>
      </c>
    </row>
    <row r="4110" spans="12:13" x14ac:dyDescent="0.25">
      <c r="L4110" s="65">
        <v>791000</v>
      </c>
      <c r="M4110" t="s">
        <v>3087</v>
      </c>
    </row>
    <row r="4111" spans="12:13" x14ac:dyDescent="0.25">
      <c r="L4111" s="65">
        <v>791100</v>
      </c>
      <c r="M4111" t="s">
        <v>3087</v>
      </c>
    </row>
    <row r="4112" spans="12:13" x14ac:dyDescent="0.25">
      <c r="L4112" s="65">
        <v>791110</v>
      </c>
      <c r="M4112" t="s">
        <v>3087</v>
      </c>
    </row>
    <row r="4113" spans="12:13" x14ac:dyDescent="0.25">
      <c r="L4113" s="65">
        <v>791111</v>
      </c>
      <c r="M4113" t="s">
        <v>3087</v>
      </c>
    </row>
    <row r="4114" spans="12:13" x14ac:dyDescent="0.25">
      <c r="L4114" s="65">
        <v>800000</v>
      </c>
      <c r="M4114" t="s">
        <v>3090</v>
      </c>
    </row>
    <row r="4115" spans="12:13" x14ac:dyDescent="0.25">
      <c r="L4115" s="65">
        <v>810000</v>
      </c>
      <c r="M4115" t="s">
        <v>3091</v>
      </c>
    </row>
    <row r="4116" spans="12:13" x14ac:dyDescent="0.25">
      <c r="L4116" s="65">
        <v>811000</v>
      </c>
      <c r="M4116" t="s">
        <v>3092</v>
      </c>
    </row>
    <row r="4117" spans="12:13" x14ac:dyDescent="0.25">
      <c r="L4117" s="65">
        <v>811100</v>
      </c>
      <c r="M4117" t="s">
        <v>3092</v>
      </c>
    </row>
    <row r="4118" spans="12:13" x14ac:dyDescent="0.25">
      <c r="L4118" s="65">
        <v>811120</v>
      </c>
      <c r="M4118" t="s">
        <v>3093</v>
      </c>
    </row>
    <row r="4119" spans="12:13" x14ac:dyDescent="0.25">
      <c r="L4119" s="65">
        <v>811121</v>
      </c>
      <c r="M4119" t="s">
        <v>3094</v>
      </c>
    </row>
    <row r="4120" spans="12:13" x14ac:dyDescent="0.25">
      <c r="L4120" s="65">
        <v>811122</v>
      </c>
      <c r="M4120" t="s">
        <v>3095</v>
      </c>
    </row>
    <row r="4121" spans="12:13" x14ac:dyDescent="0.25">
      <c r="L4121" s="65">
        <v>811123</v>
      </c>
      <c r="M4121" t="s">
        <v>3096</v>
      </c>
    </row>
    <row r="4122" spans="12:13" x14ac:dyDescent="0.25">
      <c r="L4122" s="65">
        <v>811124</v>
      </c>
      <c r="M4122" t="s">
        <v>3097</v>
      </c>
    </row>
    <row r="4123" spans="12:13" x14ac:dyDescent="0.25">
      <c r="L4123" s="65">
        <v>811125</v>
      </c>
      <c r="M4123" t="s">
        <v>3098</v>
      </c>
    </row>
    <row r="4124" spans="12:13" x14ac:dyDescent="0.25">
      <c r="L4124" s="65">
        <v>811130</v>
      </c>
      <c r="M4124" t="s">
        <v>3099</v>
      </c>
    </row>
    <row r="4125" spans="12:13" x14ac:dyDescent="0.25">
      <c r="L4125" s="65">
        <v>811131</v>
      </c>
      <c r="M4125" t="s">
        <v>3100</v>
      </c>
    </row>
    <row r="4126" spans="12:13" x14ac:dyDescent="0.25">
      <c r="L4126" s="65">
        <v>811132</v>
      </c>
      <c r="M4126" t="s">
        <v>3101</v>
      </c>
    </row>
    <row r="4127" spans="12:13" x14ac:dyDescent="0.25">
      <c r="L4127" s="65">
        <v>811133</v>
      </c>
      <c r="M4127" t="s">
        <v>3102</v>
      </c>
    </row>
    <row r="4128" spans="12:13" x14ac:dyDescent="0.25">
      <c r="L4128" s="65">
        <v>811134</v>
      </c>
      <c r="M4128" t="s">
        <v>3103</v>
      </c>
    </row>
    <row r="4129" spans="12:13" x14ac:dyDescent="0.25">
      <c r="L4129" s="65">
        <v>811135</v>
      </c>
      <c r="M4129" t="s">
        <v>3104</v>
      </c>
    </row>
    <row r="4130" spans="12:13" x14ac:dyDescent="0.25">
      <c r="L4130" s="65">
        <v>811140</v>
      </c>
      <c r="M4130" t="s">
        <v>3105</v>
      </c>
    </row>
    <row r="4131" spans="12:13" x14ac:dyDescent="0.25">
      <c r="L4131" s="65">
        <v>811141</v>
      </c>
      <c r="M4131" t="s">
        <v>3105</v>
      </c>
    </row>
    <row r="4132" spans="12:13" x14ac:dyDescent="0.25">
      <c r="L4132" s="65">
        <v>811142</v>
      </c>
      <c r="M4132" t="s">
        <v>3106</v>
      </c>
    </row>
    <row r="4133" spans="12:13" x14ac:dyDescent="0.25">
      <c r="L4133" s="65">
        <v>811143</v>
      </c>
      <c r="M4133" t="s">
        <v>3107</v>
      </c>
    </row>
    <row r="4134" spans="12:13" x14ac:dyDescent="0.25">
      <c r="L4134" s="65">
        <v>811144</v>
      </c>
      <c r="M4134" t="s">
        <v>3108</v>
      </c>
    </row>
    <row r="4135" spans="12:13" x14ac:dyDescent="0.25">
      <c r="L4135" s="65">
        <v>811150</v>
      </c>
      <c r="M4135" t="s">
        <v>3109</v>
      </c>
    </row>
    <row r="4136" spans="12:13" x14ac:dyDescent="0.25">
      <c r="L4136" s="65">
        <v>811151</v>
      </c>
      <c r="M4136" t="s">
        <v>3109</v>
      </c>
    </row>
    <row r="4137" spans="12:13" x14ac:dyDescent="0.25">
      <c r="L4137" s="65">
        <v>811152</v>
      </c>
      <c r="M4137" t="s">
        <v>3110</v>
      </c>
    </row>
    <row r="4138" spans="12:13" x14ac:dyDescent="0.25">
      <c r="L4138" s="65">
        <v>811153</v>
      </c>
      <c r="M4138" t="s">
        <v>3111</v>
      </c>
    </row>
    <row r="4139" spans="12:13" x14ac:dyDescent="0.25">
      <c r="L4139" s="65">
        <v>811154</v>
      </c>
      <c r="M4139" t="s">
        <v>3112</v>
      </c>
    </row>
    <row r="4140" spans="12:13" x14ac:dyDescent="0.25">
      <c r="L4140" s="65">
        <v>811160</v>
      </c>
      <c r="M4140" t="s">
        <v>3113</v>
      </c>
    </row>
    <row r="4141" spans="12:13" x14ac:dyDescent="0.25">
      <c r="L4141" s="65">
        <v>811161</v>
      </c>
      <c r="M4141" t="s">
        <v>3114</v>
      </c>
    </row>
    <row r="4142" spans="12:13" x14ac:dyDescent="0.25">
      <c r="L4142" s="65">
        <v>811162</v>
      </c>
      <c r="M4142" t="s">
        <v>3115</v>
      </c>
    </row>
    <row r="4143" spans="12:13" x14ac:dyDescent="0.25">
      <c r="L4143" s="65">
        <v>811165</v>
      </c>
      <c r="M4143" t="s">
        <v>3116</v>
      </c>
    </row>
    <row r="4144" spans="12:13" x14ac:dyDescent="0.25">
      <c r="L4144" s="65">
        <v>811170</v>
      </c>
      <c r="M4144" t="s">
        <v>3117</v>
      </c>
    </row>
    <row r="4145" spans="12:13" x14ac:dyDescent="0.25">
      <c r="L4145" s="65">
        <v>811171</v>
      </c>
      <c r="M4145" t="s">
        <v>3118</v>
      </c>
    </row>
    <row r="4146" spans="12:13" x14ac:dyDescent="0.25">
      <c r="L4146" s="65">
        <v>811172</v>
      </c>
      <c r="M4146" t="s">
        <v>3119</v>
      </c>
    </row>
    <row r="4147" spans="12:13" x14ac:dyDescent="0.25">
      <c r="L4147" s="65">
        <v>812000</v>
      </c>
      <c r="M4147" t="s">
        <v>3120</v>
      </c>
    </row>
    <row r="4148" spans="12:13" x14ac:dyDescent="0.25">
      <c r="L4148" s="65">
        <v>812100</v>
      </c>
      <c r="M4148" t="s">
        <v>3120</v>
      </c>
    </row>
    <row r="4149" spans="12:13" x14ac:dyDescent="0.25">
      <c r="L4149" s="65">
        <v>812120</v>
      </c>
      <c r="M4149" t="s">
        <v>3121</v>
      </c>
    </row>
    <row r="4150" spans="12:13" x14ac:dyDescent="0.25">
      <c r="L4150" s="65">
        <v>812121</v>
      </c>
      <c r="M4150" t="s">
        <v>3121</v>
      </c>
    </row>
    <row r="4151" spans="12:13" x14ac:dyDescent="0.25">
      <c r="L4151" s="65">
        <v>812130</v>
      </c>
      <c r="M4151" t="s">
        <v>3122</v>
      </c>
    </row>
    <row r="4152" spans="12:13" x14ac:dyDescent="0.25">
      <c r="L4152" s="65">
        <v>812131</v>
      </c>
      <c r="M4152" t="s">
        <v>3123</v>
      </c>
    </row>
    <row r="4153" spans="12:13" x14ac:dyDescent="0.25">
      <c r="L4153" s="65">
        <v>812132</v>
      </c>
      <c r="M4153" t="s">
        <v>3124</v>
      </c>
    </row>
    <row r="4154" spans="12:13" x14ac:dyDescent="0.25">
      <c r="L4154" s="65">
        <v>812140</v>
      </c>
      <c r="M4154" t="s">
        <v>3125</v>
      </c>
    </row>
    <row r="4155" spans="12:13" x14ac:dyDescent="0.25">
      <c r="L4155" s="65">
        <v>812141</v>
      </c>
      <c r="M4155" t="s">
        <v>3125</v>
      </c>
    </row>
    <row r="4156" spans="12:13" x14ac:dyDescent="0.25">
      <c r="L4156" s="65">
        <v>812150</v>
      </c>
      <c r="M4156" t="s">
        <v>3126</v>
      </c>
    </row>
    <row r="4157" spans="12:13" x14ac:dyDescent="0.25">
      <c r="L4157" s="65">
        <v>812151</v>
      </c>
      <c r="M4157" t="s">
        <v>3126</v>
      </c>
    </row>
    <row r="4158" spans="12:13" x14ac:dyDescent="0.25">
      <c r="L4158" s="65">
        <v>812160</v>
      </c>
      <c r="M4158" t="s">
        <v>3127</v>
      </c>
    </row>
    <row r="4159" spans="12:13" x14ac:dyDescent="0.25">
      <c r="L4159" s="65">
        <v>812161</v>
      </c>
      <c r="M4159" t="s">
        <v>3128</v>
      </c>
    </row>
    <row r="4160" spans="12:13" x14ac:dyDescent="0.25">
      <c r="L4160" s="65">
        <v>812162</v>
      </c>
      <c r="M4160" t="s">
        <v>3129</v>
      </c>
    </row>
    <row r="4161" spans="12:13" x14ac:dyDescent="0.25">
      <c r="L4161" s="65">
        <v>812165</v>
      </c>
      <c r="M4161" t="s">
        <v>3130</v>
      </c>
    </row>
    <row r="4162" spans="12:13" x14ac:dyDescent="0.25">
      <c r="L4162" s="65">
        <v>813000</v>
      </c>
      <c r="M4162" t="s">
        <v>3131</v>
      </c>
    </row>
    <row r="4163" spans="12:13" x14ac:dyDescent="0.25">
      <c r="L4163" s="65">
        <v>813100</v>
      </c>
      <c r="M4163" t="s">
        <v>3131</v>
      </c>
    </row>
    <row r="4164" spans="12:13" x14ac:dyDescent="0.25">
      <c r="L4164" s="65">
        <v>813120</v>
      </c>
      <c r="M4164" t="s">
        <v>3132</v>
      </c>
    </row>
    <row r="4165" spans="12:13" x14ac:dyDescent="0.25">
      <c r="L4165" s="65">
        <v>813121</v>
      </c>
      <c r="M4165" t="s">
        <v>3132</v>
      </c>
    </row>
    <row r="4166" spans="12:13" x14ac:dyDescent="0.25">
      <c r="L4166" s="65">
        <v>813130</v>
      </c>
      <c r="M4166" t="s">
        <v>3133</v>
      </c>
    </row>
    <row r="4167" spans="12:13" x14ac:dyDescent="0.25">
      <c r="L4167" s="65">
        <v>813131</v>
      </c>
      <c r="M4167" t="s">
        <v>3134</v>
      </c>
    </row>
    <row r="4168" spans="12:13" x14ac:dyDescent="0.25">
      <c r="L4168" s="65">
        <v>813132</v>
      </c>
      <c r="M4168" t="s">
        <v>3135</v>
      </c>
    </row>
    <row r="4169" spans="12:13" x14ac:dyDescent="0.25">
      <c r="L4169" s="65">
        <v>813140</v>
      </c>
      <c r="M4169" t="s">
        <v>3136</v>
      </c>
    </row>
    <row r="4170" spans="12:13" x14ac:dyDescent="0.25">
      <c r="L4170" s="65">
        <v>813141</v>
      </c>
      <c r="M4170" t="s">
        <v>3136</v>
      </c>
    </row>
    <row r="4171" spans="12:13" x14ac:dyDescent="0.25">
      <c r="L4171" s="65">
        <v>813150</v>
      </c>
      <c r="M4171" t="s">
        <v>3137</v>
      </c>
    </row>
    <row r="4172" spans="12:13" x14ac:dyDescent="0.25">
      <c r="L4172" s="65">
        <v>813151</v>
      </c>
      <c r="M4172" t="s">
        <v>3137</v>
      </c>
    </row>
    <row r="4173" spans="12:13" x14ac:dyDescent="0.25">
      <c r="L4173" s="65">
        <v>813160</v>
      </c>
      <c r="M4173" t="s">
        <v>3138</v>
      </c>
    </row>
    <row r="4174" spans="12:13" x14ac:dyDescent="0.25">
      <c r="L4174" s="65">
        <v>813161</v>
      </c>
      <c r="M4174" t="s">
        <v>3139</v>
      </c>
    </row>
    <row r="4175" spans="12:13" x14ac:dyDescent="0.25">
      <c r="L4175" s="65">
        <v>813162</v>
      </c>
      <c r="M4175" t="s">
        <v>3140</v>
      </c>
    </row>
    <row r="4176" spans="12:13" x14ac:dyDescent="0.25">
      <c r="L4176" s="65">
        <v>813165</v>
      </c>
      <c r="M4176" t="s">
        <v>3141</v>
      </c>
    </row>
    <row r="4177" spans="12:13" x14ac:dyDescent="0.25">
      <c r="L4177" s="65">
        <v>820000</v>
      </c>
      <c r="M4177" t="s">
        <v>3142</v>
      </c>
    </row>
    <row r="4178" spans="12:13" x14ac:dyDescent="0.25">
      <c r="L4178" s="65">
        <v>821000</v>
      </c>
      <c r="M4178" t="s">
        <v>3143</v>
      </c>
    </row>
    <row r="4179" spans="12:13" x14ac:dyDescent="0.25">
      <c r="L4179" s="65">
        <v>821100</v>
      </c>
      <c r="M4179" t="s">
        <v>3143</v>
      </c>
    </row>
    <row r="4180" spans="12:13" x14ac:dyDescent="0.25">
      <c r="L4180" s="65">
        <v>821120</v>
      </c>
      <c r="M4180" t="s">
        <v>3144</v>
      </c>
    </row>
    <row r="4181" spans="12:13" x14ac:dyDescent="0.25">
      <c r="L4181" s="65">
        <v>821121</v>
      </c>
      <c r="M4181" t="s">
        <v>3144</v>
      </c>
    </row>
    <row r="4182" spans="12:13" x14ac:dyDescent="0.25">
      <c r="L4182" s="65">
        <v>821130</v>
      </c>
      <c r="M4182" t="s">
        <v>3145</v>
      </c>
    </row>
    <row r="4183" spans="12:13" x14ac:dyDescent="0.25">
      <c r="L4183" s="65">
        <v>821131</v>
      </c>
      <c r="M4183" t="s">
        <v>3146</v>
      </c>
    </row>
    <row r="4184" spans="12:13" x14ac:dyDescent="0.25">
      <c r="L4184" s="65">
        <v>821132</v>
      </c>
      <c r="M4184" t="s">
        <v>3147</v>
      </c>
    </row>
    <row r="4185" spans="12:13" x14ac:dyDescent="0.25">
      <c r="L4185" s="65">
        <v>821140</v>
      </c>
      <c r="M4185" t="s">
        <v>3148</v>
      </c>
    </row>
    <row r="4186" spans="12:13" x14ac:dyDescent="0.25">
      <c r="L4186" s="65">
        <v>821141</v>
      </c>
      <c r="M4186" t="s">
        <v>3148</v>
      </c>
    </row>
    <row r="4187" spans="12:13" x14ac:dyDescent="0.25">
      <c r="L4187" s="65">
        <v>821150</v>
      </c>
      <c r="M4187" t="s">
        <v>3149</v>
      </c>
    </row>
    <row r="4188" spans="12:13" x14ac:dyDescent="0.25">
      <c r="L4188" s="65">
        <v>821151</v>
      </c>
      <c r="M4188" t="s">
        <v>3149</v>
      </c>
    </row>
    <row r="4189" spans="12:13" x14ac:dyDescent="0.25">
      <c r="L4189" s="65">
        <v>821160</v>
      </c>
      <c r="M4189" t="s">
        <v>3150</v>
      </c>
    </row>
    <row r="4190" spans="12:13" x14ac:dyDescent="0.25">
      <c r="L4190" s="65">
        <v>821161</v>
      </c>
      <c r="M4190" t="s">
        <v>3151</v>
      </c>
    </row>
    <row r="4191" spans="12:13" x14ac:dyDescent="0.25">
      <c r="L4191" s="65">
        <v>821162</v>
      </c>
      <c r="M4191" t="s">
        <v>3152</v>
      </c>
    </row>
    <row r="4192" spans="12:13" x14ac:dyDescent="0.25">
      <c r="L4192" s="65">
        <v>821165</v>
      </c>
      <c r="M4192" t="s">
        <v>3153</v>
      </c>
    </row>
    <row r="4193" spans="12:13" x14ac:dyDescent="0.25">
      <c r="L4193" s="65">
        <v>822000</v>
      </c>
      <c r="M4193" t="s">
        <v>3154</v>
      </c>
    </row>
    <row r="4194" spans="12:13" x14ac:dyDescent="0.25">
      <c r="L4194" s="65">
        <v>822100</v>
      </c>
      <c r="M4194" t="s">
        <v>3154</v>
      </c>
    </row>
    <row r="4195" spans="12:13" x14ac:dyDescent="0.25">
      <c r="L4195" s="65">
        <v>822120</v>
      </c>
      <c r="M4195" t="s">
        <v>3155</v>
      </c>
    </row>
    <row r="4196" spans="12:13" x14ac:dyDescent="0.25">
      <c r="L4196" s="65">
        <v>822121</v>
      </c>
      <c r="M4196" t="s">
        <v>3155</v>
      </c>
    </row>
    <row r="4197" spans="12:13" x14ac:dyDescent="0.25">
      <c r="L4197" s="65">
        <v>822130</v>
      </c>
      <c r="M4197" t="s">
        <v>3156</v>
      </c>
    </row>
    <row r="4198" spans="12:13" x14ac:dyDescent="0.25">
      <c r="L4198" s="65">
        <v>822131</v>
      </c>
      <c r="M4198" t="s">
        <v>3157</v>
      </c>
    </row>
    <row r="4199" spans="12:13" x14ac:dyDescent="0.25">
      <c r="L4199" s="65">
        <v>822132</v>
      </c>
      <c r="M4199" t="s">
        <v>3158</v>
      </c>
    </row>
    <row r="4200" spans="12:13" x14ac:dyDescent="0.25">
      <c r="L4200" s="65">
        <v>822140</v>
      </c>
      <c r="M4200" t="s">
        <v>3159</v>
      </c>
    </row>
    <row r="4201" spans="12:13" x14ac:dyDescent="0.25">
      <c r="L4201" s="65">
        <v>822141</v>
      </c>
      <c r="M4201" t="s">
        <v>3159</v>
      </c>
    </row>
    <row r="4202" spans="12:13" x14ac:dyDescent="0.25">
      <c r="L4202" s="65">
        <v>822150</v>
      </c>
      <c r="M4202" t="s">
        <v>3160</v>
      </c>
    </row>
    <row r="4203" spans="12:13" x14ac:dyDescent="0.25">
      <c r="L4203" s="65">
        <v>822151</v>
      </c>
      <c r="M4203" t="s">
        <v>3160</v>
      </c>
    </row>
    <row r="4204" spans="12:13" x14ac:dyDescent="0.25">
      <c r="L4204" s="65">
        <v>822160</v>
      </c>
      <c r="M4204" t="s">
        <v>3161</v>
      </c>
    </row>
    <row r="4205" spans="12:13" x14ac:dyDescent="0.25">
      <c r="L4205" s="65">
        <v>822161</v>
      </c>
      <c r="M4205" t="s">
        <v>3162</v>
      </c>
    </row>
    <row r="4206" spans="12:13" x14ac:dyDescent="0.25">
      <c r="L4206" s="65">
        <v>822162</v>
      </c>
      <c r="M4206" t="s">
        <v>3163</v>
      </c>
    </row>
    <row r="4207" spans="12:13" x14ac:dyDescent="0.25">
      <c r="L4207" s="65">
        <v>822165</v>
      </c>
      <c r="M4207" t="s">
        <v>3164</v>
      </c>
    </row>
    <row r="4208" spans="12:13" x14ac:dyDescent="0.25">
      <c r="L4208" s="65">
        <v>823000</v>
      </c>
      <c r="M4208" t="s">
        <v>3165</v>
      </c>
    </row>
    <row r="4209" spans="12:13" x14ac:dyDescent="0.25">
      <c r="L4209" s="65">
        <v>823100</v>
      </c>
      <c r="M4209" t="s">
        <v>3165</v>
      </c>
    </row>
    <row r="4210" spans="12:13" x14ac:dyDescent="0.25">
      <c r="L4210" s="65">
        <v>823120</v>
      </c>
      <c r="M4210" t="s">
        <v>3166</v>
      </c>
    </row>
    <row r="4211" spans="12:13" x14ac:dyDescent="0.25">
      <c r="L4211" s="65">
        <v>823121</v>
      </c>
      <c r="M4211" t="s">
        <v>3166</v>
      </c>
    </row>
    <row r="4212" spans="12:13" x14ac:dyDescent="0.25">
      <c r="L4212" s="65">
        <v>823130</v>
      </c>
      <c r="M4212" t="s">
        <v>3167</v>
      </c>
    </row>
    <row r="4213" spans="12:13" x14ac:dyDescent="0.25">
      <c r="L4213" s="65">
        <v>823131</v>
      </c>
      <c r="M4213" t="s">
        <v>3168</v>
      </c>
    </row>
    <row r="4214" spans="12:13" x14ac:dyDescent="0.25">
      <c r="L4214" s="65">
        <v>823132</v>
      </c>
      <c r="M4214" t="s">
        <v>3169</v>
      </c>
    </row>
    <row r="4215" spans="12:13" x14ac:dyDescent="0.25">
      <c r="L4215" s="65">
        <v>823140</v>
      </c>
      <c r="M4215" t="s">
        <v>3170</v>
      </c>
    </row>
    <row r="4216" spans="12:13" x14ac:dyDescent="0.25">
      <c r="L4216" s="65">
        <v>823141</v>
      </c>
      <c r="M4216" t="s">
        <v>3170</v>
      </c>
    </row>
    <row r="4217" spans="12:13" x14ac:dyDescent="0.25">
      <c r="L4217" s="65">
        <v>823150</v>
      </c>
      <c r="M4217" t="s">
        <v>3171</v>
      </c>
    </row>
    <row r="4218" spans="12:13" x14ac:dyDescent="0.25">
      <c r="L4218" s="65">
        <v>823151</v>
      </c>
      <c r="M4218" t="s">
        <v>3171</v>
      </c>
    </row>
    <row r="4219" spans="12:13" x14ac:dyDescent="0.25">
      <c r="L4219" s="65">
        <v>823160</v>
      </c>
      <c r="M4219" t="s">
        <v>3172</v>
      </c>
    </row>
    <row r="4220" spans="12:13" x14ac:dyDescent="0.25">
      <c r="L4220" s="65">
        <v>823161</v>
      </c>
      <c r="M4220" t="s">
        <v>3173</v>
      </c>
    </row>
    <row r="4221" spans="12:13" x14ac:dyDescent="0.25">
      <c r="L4221" s="65">
        <v>823162</v>
      </c>
      <c r="M4221" t="s">
        <v>3174</v>
      </c>
    </row>
    <row r="4222" spans="12:13" x14ac:dyDescent="0.25">
      <c r="L4222" s="65">
        <v>823165</v>
      </c>
      <c r="M4222" t="s">
        <v>3175</v>
      </c>
    </row>
    <row r="4223" spans="12:13" x14ac:dyDescent="0.25">
      <c r="L4223" s="65">
        <v>830000</v>
      </c>
      <c r="M4223" t="s">
        <v>3176</v>
      </c>
    </row>
    <row r="4224" spans="12:13" x14ac:dyDescent="0.25">
      <c r="L4224" s="65">
        <v>831000</v>
      </c>
      <c r="M4224" t="s">
        <v>3176</v>
      </c>
    </row>
    <row r="4225" spans="12:13" x14ac:dyDescent="0.25">
      <c r="L4225" s="65">
        <v>831100</v>
      </c>
      <c r="M4225" t="s">
        <v>3176</v>
      </c>
    </row>
    <row r="4226" spans="12:13" x14ac:dyDescent="0.25">
      <c r="L4226" s="65">
        <v>831120</v>
      </c>
      <c r="M4226" t="s">
        <v>3177</v>
      </c>
    </row>
    <row r="4227" spans="12:13" x14ac:dyDescent="0.25">
      <c r="L4227" s="65">
        <v>831121</v>
      </c>
      <c r="M4227" t="s">
        <v>3177</v>
      </c>
    </row>
    <row r="4228" spans="12:13" x14ac:dyDescent="0.25">
      <c r="L4228" s="65">
        <v>831130</v>
      </c>
      <c r="M4228" t="s">
        <v>3178</v>
      </c>
    </row>
    <row r="4229" spans="12:13" x14ac:dyDescent="0.25">
      <c r="L4229" s="65">
        <v>831131</v>
      </c>
      <c r="M4229" t="s">
        <v>3179</v>
      </c>
    </row>
    <row r="4230" spans="12:13" x14ac:dyDescent="0.25">
      <c r="L4230" s="65">
        <v>831132</v>
      </c>
      <c r="M4230" t="s">
        <v>3180</v>
      </c>
    </row>
    <row r="4231" spans="12:13" x14ac:dyDescent="0.25">
      <c r="L4231" s="65">
        <v>831140</v>
      </c>
      <c r="M4231" t="s">
        <v>3181</v>
      </c>
    </row>
    <row r="4232" spans="12:13" x14ac:dyDescent="0.25">
      <c r="L4232" s="65">
        <v>831141</v>
      </c>
      <c r="M4232" t="s">
        <v>3181</v>
      </c>
    </row>
    <row r="4233" spans="12:13" x14ac:dyDescent="0.25">
      <c r="L4233" s="65">
        <v>831150</v>
      </c>
      <c r="M4233" t="s">
        <v>3182</v>
      </c>
    </row>
    <row r="4234" spans="12:13" x14ac:dyDescent="0.25">
      <c r="L4234" s="65">
        <v>831151</v>
      </c>
      <c r="M4234" t="s">
        <v>3182</v>
      </c>
    </row>
    <row r="4235" spans="12:13" x14ac:dyDescent="0.25">
      <c r="L4235" s="65">
        <v>831160</v>
      </c>
      <c r="M4235" t="s">
        <v>3183</v>
      </c>
    </row>
    <row r="4236" spans="12:13" x14ac:dyDescent="0.25">
      <c r="L4236" s="65">
        <v>831161</v>
      </c>
      <c r="M4236" t="s">
        <v>3184</v>
      </c>
    </row>
    <row r="4237" spans="12:13" x14ac:dyDescent="0.25">
      <c r="L4237" s="65">
        <v>831162</v>
      </c>
      <c r="M4237" t="s">
        <v>3185</v>
      </c>
    </row>
    <row r="4238" spans="12:13" x14ac:dyDescent="0.25">
      <c r="L4238" s="65">
        <v>831165</v>
      </c>
      <c r="M4238" t="s">
        <v>3186</v>
      </c>
    </row>
    <row r="4239" spans="12:13" x14ac:dyDescent="0.25">
      <c r="L4239" s="65">
        <v>840000</v>
      </c>
      <c r="M4239" t="s">
        <v>3187</v>
      </c>
    </row>
    <row r="4240" spans="12:13" x14ac:dyDescent="0.25">
      <c r="L4240" s="65">
        <v>841000</v>
      </c>
      <c r="M4240" t="s">
        <v>3188</v>
      </c>
    </row>
    <row r="4241" spans="12:13" x14ac:dyDescent="0.25">
      <c r="L4241" s="65">
        <v>841100</v>
      </c>
      <c r="M4241" t="s">
        <v>3188</v>
      </c>
    </row>
    <row r="4242" spans="12:13" x14ac:dyDescent="0.25">
      <c r="L4242" s="65">
        <v>841120</v>
      </c>
      <c r="M4242" t="s">
        <v>3189</v>
      </c>
    </row>
    <row r="4243" spans="12:13" x14ac:dyDescent="0.25">
      <c r="L4243" s="65">
        <v>841121</v>
      </c>
      <c r="M4243" t="s">
        <v>3189</v>
      </c>
    </row>
    <row r="4244" spans="12:13" x14ac:dyDescent="0.25">
      <c r="L4244" s="65">
        <v>841130</v>
      </c>
      <c r="M4244" t="s">
        <v>3190</v>
      </c>
    </row>
    <row r="4245" spans="12:13" x14ac:dyDescent="0.25">
      <c r="L4245" s="65">
        <v>841131</v>
      </c>
      <c r="M4245" t="s">
        <v>3190</v>
      </c>
    </row>
    <row r="4246" spans="12:13" x14ac:dyDescent="0.25">
      <c r="L4246" s="65">
        <v>841140</v>
      </c>
      <c r="M4246" t="s">
        <v>3191</v>
      </c>
    </row>
    <row r="4247" spans="12:13" x14ac:dyDescent="0.25">
      <c r="L4247" s="65">
        <v>841141</v>
      </c>
      <c r="M4247" t="s">
        <v>3191</v>
      </c>
    </row>
    <row r="4248" spans="12:13" x14ac:dyDescent="0.25">
      <c r="L4248" s="65">
        <v>841150</v>
      </c>
      <c r="M4248" t="s">
        <v>3192</v>
      </c>
    </row>
    <row r="4249" spans="12:13" x14ac:dyDescent="0.25">
      <c r="L4249" s="65">
        <v>841151</v>
      </c>
      <c r="M4249" t="s">
        <v>3192</v>
      </c>
    </row>
    <row r="4250" spans="12:13" x14ac:dyDescent="0.25">
      <c r="L4250" s="65">
        <v>841160</v>
      </c>
      <c r="M4250" t="s">
        <v>3193</v>
      </c>
    </row>
    <row r="4251" spans="12:13" x14ac:dyDescent="0.25">
      <c r="L4251" s="65">
        <v>841161</v>
      </c>
      <c r="M4251" t="s">
        <v>3194</v>
      </c>
    </row>
    <row r="4252" spans="12:13" x14ac:dyDescent="0.25">
      <c r="L4252" s="65">
        <v>841162</v>
      </c>
      <c r="M4252" t="s">
        <v>3195</v>
      </c>
    </row>
    <row r="4253" spans="12:13" x14ac:dyDescent="0.25">
      <c r="L4253" s="65">
        <v>841165</v>
      </c>
      <c r="M4253" t="s">
        <v>3196</v>
      </c>
    </row>
    <row r="4254" spans="12:13" x14ac:dyDescent="0.25">
      <c r="L4254" s="65">
        <v>842000</v>
      </c>
      <c r="M4254" t="s">
        <v>3197</v>
      </c>
    </row>
    <row r="4255" spans="12:13" x14ac:dyDescent="0.25">
      <c r="L4255" s="65">
        <v>842100</v>
      </c>
      <c r="M4255" t="s">
        <v>3197</v>
      </c>
    </row>
    <row r="4256" spans="12:13" x14ac:dyDescent="0.25">
      <c r="L4256" s="65">
        <v>842120</v>
      </c>
      <c r="M4256" t="s">
        <v>3198</v>
      </c>
    </row>
    <row r="4257" spans="12:13" x14ac:dyDescent="0.25">
      <c r="L4257" s="65">
        <v>842121</v>
      </c>
      <c r="M4257" t="s">
        <v>3198</v>
      </c>
    </row>
    <row r="4258" spans="12:13" x14ac:dyDescent="0.25">
      <c r="L4258" s="65">
        <v>842130</v>
      </c>
      <c r="M4258" t="s">
        <v>3199</v>
      </c>
    </row>
    <row r="4259" spans="12:13" x14ac:dyDescent="0.25">
      <c r="L4259" s="65">
        <v>842131</v>
      </c>
      <c r="M4259" t="s">
        <v>3199</v>
      </c>
    </row>
    <row r="4260" spans="12:13" x14ac:dyDescent="0.25">
      <c r="L4260" s="65">
        <v>842140</v>
      </c>
      <c r="M4260" t="s">
        <v>3200</v>
      </c>
    </row>
    <row r="4261" spans="12:13" x14ac:dyDescent="0.25">
      <c r="L4261" s="65">
        <v>842141</v>
      </c>
      <c r="M4261" t="s">
        <v>3200</v>
      </c>
    </row>
    <row r="4262" spans="12:13" x14ac:dyDescent="0.25">
      <c r="L4262" s="65">
        <v>842150</v>
      </c>
      <c r="M4262" t="s">
        <v>3201</v>
      </c>
    </row>
    <row r="4263" spans="12:13" x14ac:dyDescent="0.25">
      <c r="L4263" s="65">
        <v>842151</v>
      </c>
      <c r="M4263" t="s">
        <v>3201</v>
      </c>
    </row>
    <row r="4264" spans="12:13" x14ac:dyDescent="0.25">
      <c r="L4264" s="65">
        <v>842160</v>
      </c>
      <c r="M4264" t="s">
        <v>3202</v>
      </c>
    </row>
    <row r="4265" spans="12:13" x14ac:dyDescent="0.25">
      <c r="L4265" s="65">
        <v>842161</v>
      </c>
      <c r="M4265" t="s">
        <v>3203</v>
      </c>
    </row>
    <row r="4266" spans="12:13" x14ac:dyDescent="0.25">
      <c r="L4266" s="65">
        <v>842162</v>
      </c>
      <c r="M4266" t="s">
        <v>3204</v>
      </c>
    </row>
    <row r="4267" spans="12:13" x14ac:dyDescent="0.25">
      <c r="L4267" s="65">
        <v>842165</v>
      </c>
      <c r="M4267" t="s">
        <v>3205</v>
      </c>
    </row>
    <row r="4268" spans="12:13" x14ac:dyDescent="0.25">
      <c r="L4268" s="65">
        <v>843000</v>
      </c>
      <c r="M4268" t="s">
        <v>3206</v>
      </c>
    </row>
    <row r="4269" spans="12:13" x14ac:dyDescent="0.25">
      <c r="L4269" s="65">
        <v>843100</v>
      </c>
      <c r="M4269" t="s">
        <v>3206</v>
      </c>
    </row>
    <row r="4270" spans="12:13" x14ac:dyDescent="0.25">
      <c r="L4270" s="65">
        <v>843120</v>
      </c>
      <c r="M4270" t="s">
        <v>3207</v>
      </c>
    </row>
    <row r="4271" spans="12:13" x14ac:dyDescent="0.25">
      <c r="L4271" s="65">
        <v>843121</v>
      </c>
      <c r="M4271" t="s">
        <v>3207</v>
      </c>
    </row>
    <row r="4272" spans="12:13" x14ac:dyDescent="0.25">
      <c r="L4272" s="65">
        <v>843130</v>
      </c>
      <c r="M4272" t="s">
        <v>3208</v>
      </c>
    </row>
    <row r="4273" spans="12:13" x14ac:dyDescent="0.25">
      <c r="L4273" s="65">
        <v>843131</v>
      </c>
      <c r="M4273" t="s">
        <v>3208</v>
      </c>
    </row>
    <row r="4274" spans="12:13" x14ac:dyDescent="0.25">
      <c r="L4274" s="65">
        <v>843140</v>
      </c>
      <c r="M4274" t="s">
        <v>3209</v>
      </c>
    </row>
    <row r="4275" spans="12:13" x14ac:dyDescent="0.25">
      <c r="L4275" s="65">
        <v>843141</v>
      </c>
      <c r="M4275" t="s">
        <v>3209</v>
      </c>
    </row>
    <row r="4276" spans="12:13" x14ac:dyDescent="0.25">
      <c r="L4276" s="65">
        <v>843150</v>
      </c>
      <c r="M4276" t="s">
        <v>3210</v>
      </c>
    </row>
    <row r="4277" spans="12:13" x14ac:dyDescent="0.25">
      <c r="L4277" s="65">
        <v>843151</v>
      </c>
      <c r="M4277" t="s">
        <v>3210</v>
      </c>
    </row>
    <row r="4278" spans="12:13" x14ac:dyDescent="0.25">
      <c r="L4278" s="65">
        <v>843160</v>
      </c>
      <c r="M4278" t="s">
        <v>3211</v>
      </c>
    </row>
    <row r="4279" spans="12:13" x14ac:dyDescent="0.25">
      <c r="L4279" s="65">
        <v>843161</v>
      </c>
      <c r="M4279" t="s">
        <v>3212</v>
      </c>
    </row>
    <row r="4280" spans="12:13" x14ac:dyDescent="0.25">
      <c r="L4280" s="65">
        <v>843162</v>
      </c>
      <c r="M4280" t="s">
        <v>3213</v>
      </c>
    </row>
    <row r="4281" spans="12:13" x14ac:dyDescent="0.25">
      <c r="L4281" s="65">
        <v>843165</v>
      </c>
      <c r="M4281" t="s">
        <v>3214</v>
      </c>
    </row>
    <row r="4282" spans="12:13" x14ac:dyDescent="0.25">
      <c r="L4282" s="65">
        <v>900000</v>
      </c>
      <c r="M4282" t="s">
        <v>3216</v>
      </c>
    </row>
    <row r="4283" spans="12:13" x14ac:dyDescent="0.25">
      <c r="L4283" s="65">
        <v>910000</v>
      </c>
      <c r="M4283" t="s">
        <v>3218</v>
      </c>
    </row>
    <row r="4284" spans="12:13" x14ac:dyDescent="0.25">
      <c r="L4284" s="65">
        <v>911000</v>
      </c>
      <c r="M4284" t="s">
        <v>3219</v>
      </c>
    </row>
    <row r="4285" spans="12:13" x14ac:dyDescent="0.25">
      <c r="L4285" s="65">
        <v>911100</v>
      </c>
      <c r="M4285" t="s">
        <v>3220</v>
      </c>
    </row>
    <row r="4286" spans="12:13" x14ac:dyDescent="0.25">
      <c r="L4286" s="65">
        <v>911120</v>
      </c>
      <c r="M4286" t="s">
        <v>3221</v>
      </c>
    </row>
    <row r="4287" spans="12:13" x14ac:dyDescent="0.25">
      <c r="L4287" s="65">
        <v>911121</v>
      </c>
      <c r="M4287" t="s">
        <v>3221</v>
      </c>
    </row>
    <row r="4288" spans="12:13" x14ac:dyDescent="0.25">
      <c r="L4288" s="65">
        <v>911130</v>
      </c>
      <c r="M4288" t="s">
        <v>3222</v>
      </c>
    </row>
    <row r="4289" spans="12:13" x14ac:dyDescent="0.25">
      <c r="L4289" s="65">
        <v>911131</v>
      </c>
      <c r="M4289" t="s">
        <v>3223</v>
      </c>
    </row>
    <row r="4290" spans="12:13" x14ac:dyDescent="0.25">
      <c r="L4290" s="65">
        <v>911132</v>
      </c>
      <c r="M4290" t="s">
        <v>3224</v>
      </c>
    </row>
    <row r="4291" spans="12:13" x14ac:dyDescent="0.25">
      <c r="L4291" s="65">
        <v>911140</v>
      </c>
      <c r="M4291" t="s">
        <v>3225</v>
      </c>
    </row>
    <row r="4292" spans="12:13" x14ac:dyDescent="0.25">
      <c r="L4292" s="65">
        <v>911141</v>
      </c>
      <c r="M4292" t="s">
        <v>3225</v>
      </c>
    </row>
    <row r="4293" spans="12:13" x14ac:dyDescent="0.25">
      <c r="L4293" s="65">
        <v>911150</v>
      </c>
      <c r="M4293" t="s">
        <v>3226</v>
      </c>
    </row>
    <row r="4294" spans="12:13" x14ac:dyDescent="0.25">
      <c r="L4294" s="65">
        <v>911151</v>
      </c>
      <c r="M4294" t="s">
        <v>3226</v>
      </c>
    </row>
    <row r="4295" spans="12:13" x14ac:dyDescent="0.25">
      <c r="L4295" s="65">
        <v>911160</v>
      </c>
      <c r="M4295" t="s">
        <v>3227</v>
      </c>
    </row>
    <row r="4296" spans="12:13" x14ac:dyDescent="0.25">
      <c r="L4296" s="65">
        <v>911161</v>
      </c>
      <c r="M4296" t="s">
        <v>3228</v>
      </c>
    </row>
    <row r="4297" spans="12:13" x14ac:dyDescent="0.25">
      <c r="L4297" s="65">
        <v>911162</v>
      </c>
      <c r="M4297" t="s">
        <v>3229</v>
      </c>
    </row>
    <row r="4298" spans="12:13" x14ac:dyDescent="0.25">
      <c r="L4298" s="65">
        <v>911165</v>
      </c>
      <c r="M4298" t="s">
        <v>3230</v>
      </c>
    </row>
    <row r="4299" spans="12:13" x14ac:dyDescent="0.25">
      <c r="L4299" s="65">
        <v>911200</v>
      </c>
      <c r="M4299" t="s">
        <v>3231</v>
      </c>
    </row>
    <row r="4300" spans="12:13" x14ac:dyDescent="0.25">
      <c r="L4300" s="65">
        <v>911220</v>
      </c>
      <c r="M4300" t="s">
        <v>3232</v>
      </c>
    </row>
    <row r="4301" spans="12:13" x14ac:dyDescent="0.25">
      <c r="L4301" s="65">
        <v>911221</v>
      </c>
      <c r="M4301" t="s">
        <v>3232</v>
      </c>
    </row>
    <row r="4302" spans="12:13" x14ac:dyDescent="0.25">
      <c r="L4302" s="65">
        <v>911230</v>
      </c>
      <c r="M4302" t="s">
        <v>3233</v>
      </c>
    </row>
    <row r="4303" spans="12:13" x14ac:dyDescent="0.25">
      <c r="L4303" s="65">
        <v>911231</v>
      </c>
      <c r="M4303" t="s">
        <v>3234</v>
      </c>
    </row>
    <row r="4304" spans="12:13" x14ac:dyDescent="0.25">
      <c r="L4304" s="65">
        <v>911232</v>
      </c>
      <c r="M4304" t="s">
        <v>3235</v>
      </c>
    </row>
    <row r="4305" spans="12:13" x14ac:dyDescent="0.25">
      <c r="L4305" s="65">
        <v>911240</v>
      </c>
      <c r="M4305" t="s">
        <v>3236</v>
      </c>
    </row>
    <row r="4306" spans="12:13" x14ac:dyDescent="0.25">
      <c r="L4306" s="65">
        <v>911241</v>
      </c>
      <c r="M4306" t="s">
        <v>3236</v>
      </c>
    </row>
    <row r="4307" spans="12:13" x14ac:dyDescent="0.25">
      <c r="L4307" s="65">
        <v>911250</v>
      </c>
      <c r="M4307" t="s">
        <v>3237</v>
      </c>
    </row>
    <row r="4308" spans="12:13" x14ac:dyDescent="0.25">
      <c r="L4308" s="65">
        <v>911251</v>
      </c>
      <c r="M4308" t="s">
        <v>3237</v>
      </c>
    </row>
    <row r="4309" spans="12:13" x14ac:dyDescent="0.25">
      <c r="L4309" s="65">
        <v>911260</v>
      </c>
      <c r="M4309" t="s">
        <v>3238</v>
      </c>
    </row>
    <row r="4310" spans="12:13" x14ac:dyDescent="0.25">
      <c r="L4310" s="65">
        <v>911261</v>
      </c>
      <c r="M4310" t="s">
        <v>3239</v>
      </c>
    </row>
    <row r="4311" spans="12:13" x14ac:dyDescent="0.25">
      <c r="L4311" s="65">
        <v>911262</v>
      </c>
      <c r="M4311" t="s">
        <v>3240</v>
      </c>
    </row>
    <row r="4312" spans="12:13" x14ac:dyDescent="0.25">
      <c r="L4312" s="65">
        <v>911265</v>
      </c>
      <c r="M4312" t="s">
        <v>3241</v>
      </c>
    </row>
    <row r="4313" spans="12:13" x14ac:dyDescent="0.25">
      <c r="L4313" s="65">
        <v>911300</v>
      </c>
      <c r="M4313" t="s">
        <v>3242</v>
      </c>
    </row>
    <row r="4314" spans="12:13" x14ac:dyDescent="0.25">
      <c r="L4314" s="65">
        <v>911320</v>
      </c>
      <c r="M4314" t="s">
        <v>3243</v>
      </c>
    </row>
    <row r="4315" spans="12:13" x14ac:dyDescent="0.25">
      <c r="L4315" s="65">
        <v>911321</v>
      </c>
      <c r="M4315" t="s">
        <v>3243</v>
      </c>
    </row>
    <row r="4316" spans="12:13" x14ac:dyDescent="0.25">
      <c r="L4316" s="65">
        <v>911330</v>
      </c>
      <c r="M4316" t="s">
        <v>3244</v>
      </c>
    </row>
    <row r="4317" spans="12:13" x14ac:dyDescent="0.25">
      <c r="L4317" s="65">
        <v>911331</v>
      </c>
      <c r="M4317" t="s">
        <v>3244</v>
      </c>
    </row>
    <row r="4318" spans="12:13" x14ac:dyDescent="0.25">
      <c r="L4318" s="65">
        <v>911340</v>
      </c>
      <c r="M4318" t="s">
        <v>3245</v>
      </c>
    </row>
    <row r="4319" spans="12:13" x14ac:dyDescent="0.25">
      <c r="L4319" s="65">
        <v>911341</v>
      </c>
      <c r="M4319" t="s">
        <v>3245</v>
      </c>
    </row>
    <row r="4320" spans="12:13" x14ac:dyDescent="0.25">
      <c r="L4320" s="65">
        <v>911350</v>
      </c>
      <c r="M4320" t="s">
        <v>3246</v>
      </c>
    </row>
    <row r="4321" spans="12:13" x14ac:dyDescent="0.25">
      <c r="L4321" s="65">
        <v>911351</v>
      </c>
      <c r="M4321" t="s">
        <v>3246</v>
      </c>
    </row>
    <row r="4322" spans="12:13" x14ac:dyDescent="0.25">
      <c r="L4322" s="65">
        <v>911360</v>
      </c>
      <c r="M4322" t="s">
        <v>3247</v>
      </c>
    </row>
    <row r="4323" spans="12:13" x14ac:dyDescent="0.25">
      <c r="L4323" s="65">
        <v>911361</v>
      </c>
      <c r="M4323" t="s">
        <v>3248</v>
      </c>
    </row>
    <row r="4324" spans="12:13" x14ac:dyDescent="0.25">
      <c r="L4324" s="65">
        <v>911362</v>
      </c>
      <c r="M4324" t="s">
        <v>3249</v>
      </c>
    </row>
    <row r="4325" spans="12:13" x14ac:dyDescent="0.25">
      <c r="L4325" s="65">
        <v>911365</v>
      </c>
      <c r="M4325" t="s">
        <v>3250</v>
      </c>
    </row>
    <row r="4326" spans="12:13" x14ac:dyDescent="0.25">
      <c r="L4326" s="65">
        <v>911400</v>
      </c>
      <c r="M4326" t="s">
        <v>3251</v>
      </c>
    </row>
    <row r="4327" spans="12:13" x14ac:dyDescent="0.25">
      <c r="L4327" s="65">
        <v>911420</v>
      </c>
      <c r="M4327" t="s">
        <v>3252</v>
      </c>
    </row>
    <row r="4328" spans="12:13" x14ac:dyDescent="0.25">
      <c r="L4328" s="65">
        <v>911421</v>
      </c>
      <c r="M4328" t="s">
        <v>3252</v>
      </c>
    </row>
    <row r="4329" spans="12:13" x14ac:dyDescent="0.25">
      <c r="L4329" s="65">
        <v>911430</v>
      </c>
      <c r="M4329" t="s">
        <v>3253</v>
      </c>
    </row>
    <row r="4330" spans="12:13" x14ac:dyDescent="0.25">
      <c r="L4330" s="65">
        <v>911431</v>
      </c>
      <c r="M4330" t="s">
        <v>3254</v>
      </c>
    </row>
    <row r="4331" spans="12:13" x14ac:dyDescent="0.25">
      <c r="L4331" s="65">
        <v>911432</v>
      </c>
      <c r="M4331" t="s">
        <v>3255</v>
      </c>
    </row>
    <row r="4332" spans="12:13" x14ac:dyDescent="0.25">
      <c r="L4332" s="65">
        <v>911440</v>
      </c>
      <c r="M4332" t="s">
        <v>3256</v>
      </c>
    </row>
    <row r="4333" spans="12:13" x14ac:dyDescent="0.25">
      <c r="L4333" s="65">
        <v>911441</v>
      </c>
      <c r="M4333" t="s">
        <v>3256</v>
      </c>
    </row>
    <row r="4334" spans="12:13" x14ac:dyDescent="0.25">
      <c r="L4334" s="65">
        <v>911450</v>
      </c>
      <c r="M4334" t="s">
        <v>3258</v>
      </c>
    </row>
    <row r="4335" spans="12:13" x14ac:dyDescent="0.25">
      <c r="L4335" s="65">
        <v>911451</v>
      </c>
      <c r="M4335" t="s">
        <v>3258</v>
      </c>
    </row>
    <row r="4336" spans="12:13" x14ac:dyDescent="0.25">
      <c r="L4336" s="65">
        <v>911460</v>
      </c>
      <c r="M4336" t="s">
        <v>3259</v>
      </c>
    </row>
    <row r="4337" spans="12:13" x14ac:dyDescent="0.25">
      <c r="L4337" s="65">
        <v>911461</v>
      </c>
      <c r="M4337" t="s">
        <v>3260</v>
      </c>
    </row>
    <row r="4338" spans="12:13" x14ac:dyDescent="0.25">
      <c r="L4338" s="65">
        <v>911462</v>
      </c>
      <c r="M4338" t="s">
        <v>3261</v>
      </c>
    </row>
    <row r="4339" spans="12:13" x14ac:dyDescent="0.25">
      <c r="L4339" s="65">
        <v>911465</v>
      </c>
      <c r="M4339" t="s">
        <v>3262</v>
      </c>
    </row>
    <row r="4340" spans="12:13" x14ac:dyDescent="0.25">
      <c r="L4340" s="65">
        <v>911500</v>
      </c>
      <c r="M4340" t="s">
        <v>3263</v>
      </c>
    </row>
    <row r="4341" spans="12:13" x14ac:dyDescent="0.25">
      <c r="L4341" s="65">
        <v>911520</v>
      </c>
      <c r="M4341" t="s">
        <v>3264</v>
      </c>
    </row>
    <row r="4342" spans="12:13" x14ac:dyDescent="0.25">
      <c r="L4342" s="65">
        <v>911521</v>
      </c>
      <c r="M4342" t="s">
        <v>3264</v>
      </c>
    </row>
    <row r="4343" spans="12:13" x14ac:dyDescent="0.25">
      <c r="L4343" s="65">
        <v>911530</v>
      </c>
      <c r="M4343" t="s">
        <v>3265</v>
      </c>
    </row>
    <row r="4344" spans="12:13" x14ac:dyDescent="0.25">
      <c r="L4344" s="65">
        <v>911531</v>
      </c>
      <c r="M4344" t="s">
        <v>3266</v>
      </c>
    </row>
    <row r="4345" spans="12:13" x14ac:dyDescent="0.25">
      <c r="L4345" s="65">
        <v>911532</v>
      </c>
      <c r="M4345" t="s">
        <v>3267</v>
      </c>
    </row>
    <row r="4346" spans="12:13" x14ac:dyDescent="0.25">
      <c r="L4346" s="65">
        <v>911540</v>
      </c>
      <c r="M4346" t="s">
        <v>3268</v>
      </c>
    </row>
    <row r="4347" spans="12:13" x14ac:dyDescent="0.25">
      <c r="L4347" s="65">
        <v>911541</v>
      </c>
      <c r="M4347" t="s">
        <v>3268</v>
      </c>
    </row>
    <row r="4348" spans="12:13" x14ac:dyDescent="0.25">
      <c r="L4348" s="65">
        <v>911550</v>
      </c>
      <c r="M4348" t="s">
        <v>3269</v>
      </c>
    </row>
    <row r="4349" spans="12:13" x14ac:dyDescent="0.25">
      <c r="L4349" s="65">
        <v>911551</v>
      </c>
      <c r="M4349" t="s">
        <v>3269</v>
      </c>
    </row>
    <row r="4350" spans="12:13" x14ac:dyDescent="0.25">
      <c r="L4350" s="65">
        <v>911560</v>
      </c>
      <c r="M4350" t="s">
        <v>3270</v>
      </c>
    </row>
    <row r="4351" spans="12:13" x14ac:dyDescent="0.25">
      <c r="L4351" s="65">
        <v>911561</v>
      </c>
      <c r="M4351" t="s">
        <v>3271</v>
      </c>
    </row>
    <row r="4352" spans="12:13" x14ac:dyDescent="0.25">
      <c r="L4352" s="65">
        <v>911562</v>
      </c>
      <c r="M4352" t="s">
        <v>3272</v>
      </c>
    </row>
    <row r="4353" spans="12:13" x14ac:dyDescent="0.25">
      <c r="L4353" s="65">
        <v>911565</v>
      </c>
      <c r="M4353" t="s">
        <v>3273</v>
      </c>
    </row>
    <row r="4354" spans="12:13" x14ac:dyDescent="0.25">
      <c r="L4354" s="65">
        <v>911600</v>
      </c>
      <c r="M4354" t="s">
        <v>3274</v>
      </c>
    </row>
    <row r="4355" spans="12:13" x14ac:dyDescent="0.25">
      <c r="L4355" s="65">
        <v>911620</v>
      </c>
      <c r="M4355" t="s">
        <v>3275</v>
      </c>
    </row>
    <row r="4356" spans="12:13" x14ac:dyDescent="0.25">
      <c r="L4356" s="65">
        <v>911621</v>
      </c>
      <c r="M4356" t="s">
        <v>3275</v>
      </c>
    </row>
    <row r="4357" spans="12:13" x14ac:dyDescent="0.25">
      <c r="L4357" s="65">
        <v>911630</v>
      </c>
      <c r="M4357" t="s">
        <v>3276</v>
      </c>
    </row>
    <row r="4358" spans="12:13" x14ac:dyDescent="0.25">
      <c r="L4358" s="65">
        <v>911631</v>
      </c>
      <c r="M4358" t="s">
        <v>3276</v>
      </c>
    </row>
    <row r="4359" spans="12:13" x14ac:dyDescent="0.25">
      <c r="L4359" s="65">
        <v>911640</v>
      </c>
      <c r="M4359" t="s">
        <v>3277</v>
      </c>
    </row>
    <row r="4360" spans="12:13" x14ac:dyDescent="0.25">
      <c r="L4360" s="65">
        <v>911641</v>
      </c>
      <c r="M4360" t="s">
        <v>3277</v>
      </c>
    </row>
    <row r="4361" spans="12:13" x14ac:dyDescent="0.25">
      <c r="L4361" s="65">
        <v>911650</v>
      </c>
      <c r="M4361" t="s">
        <v>3278</v>
      </c>
    </row>
    <row r="4362" spans="12:13" x14ac:dyDescent="0.25">
      <c r="L4362" s="65">
        <v>911651</v>
      </c>
      <c r="M4362" t="s">
        <v>3278</v>
      </c>
    </row>
    <row r="4363" spans="12:13" x14ac:dyDescent="0.25">
      <c r="L4363" s="65">
        <v>911660</v>
      </c>
      <c r="M4363" t="s">
        <v>3279</v>
      </c>
    </row>
    <row r="4364" spans="12:13" x14ac:dyDescent="0.25">
      <c r="L4364" s="65">
        <v>911661</v>
      </c>
      <c r="M4364" t="s">
        <v>3280</v>
      </c>
    </row>
    <row r="4365" spans="12:13" x14ac:dyDescent="0.25">
      <c r="L4365" s="65">
        <v>911662</v>
      </c>
      <c r="M4365" t="s">
        <v>3281</v>
      </c>
    </row>
    <row r="4366" spans="12:13" x14ac:dyDescent="0.25">
      <c r="L4366" s="65">
        <v>911665</v>
      </c>
      <c r="M4366" t="s">
        <v>3282</v>
      </c>
    </row>
    <row r="4367" spans="12:13" x14ac:dyDescent="0.25">
      <c r="L4367" s="65">
        <v>911700</v>
      </c>
      <c r="M4367" t="s">
        <v>3283</v>
      </c>
    </row>
    <row r="4368" spans="12:13" x14ac:dyDescent="0.25">
      <c r="L4368" s="65">
        <v>911720</v>
      </c>
      <c r="M4368" t="s">
        <v>3284</v>
      </c>
    </row>
    <row r="4369" spans="12:13" x14ac:dyDescent="0.25">
      <c r="L4369" s="65">
        <v>911721</v>
      </c>
      <c r="M4369" t="s">
        <v>3284</v>
      </c>
    </row>
    <row r="4370" spans="12:13" x14ac:dyDescent="0.25">
      <c r="L4370" s="65">
        <v>911730</v>
      </c>
      <c r="M4370" t="s">
        <v>3285</v>
      </c>
    </row>
    <row r="4371" spans="12:13" x14ac:dyDescent="0.25">
      <c r="L4371" s="65">
        <v>911731</v>
      </c>
      <c r="M4371" t="s">
        <v>3285</v>
      </c>
    </row>
    <row r="4372" spans="12:13" x14ac:dyDescent="0.25">
      <c r="L4372" s="65">
        <v>911740</v>
      </c>
      <c r="M4372" t="s">
        <v>3286</v>
      </c>
    </row>
    <row r="4373" spans="12:13" x14ac:dyDescent="0.25">
      <c r="L4373" s="65">
        <v>911741</v>
      </c>
      <c r="M4373" t="s">
        <v>3286</v>
      </c>
    </row>
    <row r="4374" spans="12:13" x14ac:dyDescent="0.25">
      <c r="L4374" s="65">
        <v>911750</v>
      </c>
      <c r="M4374" t="s">
        <v>3287</v>
      </c>
    </row>
    <row r="4375" spans="12:13" x14ac:dyDescent="0.25">
      <c r="L4375" s="65">
        <v>911751</v>
      </c>
      <c r="M4375" t="s">
        <v>3287</v>
      </c>
    </row>
    <row r="4376" spans="12:13" x14ac:dyDescent="0.25">
      <c r="L4376" s="65">
        <v>911760</v>
      </c>
      <c r="M4376" t="s">
        <v>3288</v>
      </c>
    </row>
    <row r="4377" spans="12:13" x14ac:dyDescent="0.25">
      <c r="L4377" s="65">
        <v>911761</v>
      </c>
      <c r="M4377" t="s">
        <v>3289</v>
      </c>
    </row>
    <row r="4378" spans="12:13" x14ac:dyDescent="0.25">
      <c r="L4378" s="65">
        <v>911762</v>
      </c>
      <c r="M4378" t="s">
        <v>3290</v>
      </c>
    </row>
    <row r="4379" spans="12:13" x14ac:dyDescent="0.25">
      <c r="L4379" s="65">
        <v>911765</v>
      </c>
      <c r="M4379" t="s">
        <v>3291</v>
      </c>
    </row>
    <row r="4380" spans="12:13" x14ac:dyDescent="0.25">
      <c r="L4380" s="65">
        <v>911800</v>
      </c>
      <c r="M4380" t="s">
        <v>3292</v>
      </c>
    </row>
    <row r="4381" spans="12:13" x14ac:dyDescent="0.25">
      <c r="L4381" s="65">
        <v>911820</v>
      </c>
      <c r="M4381" t="s">
        <v>3293</v>
      </c>
    </row>
    <row r="4382" spans="12:13" x14ac:dyDescent="0.25">
      <c r="L4382" s="65">
        <v>911821</v>
      </c>
      <c r="M4382" t="s">
        <v>3293</v>
      </c>
    </row>
    <row r="4383" spans="12:13" x14ac:dyDescent="0.25">
      <c r="L4383" s="65">
        <v>911830</v>
      </c>
      <c r="M4383" t="s">
        <v>3294</v>
      </c>
    </row>
    <row r="4384" spans="12:13" x14ac:dyDescent="0.25">
      <c r="L4384" s="65">
        <v>911831</v>
      </c>
      <c r="M4384" t="s">
        <v>3295</v>
      </c>
    </row>
    <row r="4385" spans="12:13" x14ac:dyDescent="0.25">
      <c r="L4385" s="65">
        <v>911832</v>
      </c>
      <c r="M4385" t="s">
        <v>3296</v>
      </c>
    </row>
    <row r="4386" spans="12:13" x14ac:dyDescent="0.25">
      <c r="L4386" s="65">
        <v>911840</v>
      </c>
      <c r="M4386" t="s">
        <v>3297</v>
      </c>
    </row>
    <row r="4387" spans="12:13" x14ac:dyDescent="0.25">
      <c r="L4387" s="65">
        <v>911841</v>
      </c>
      <c r="M4387" t="s">
        <v>3297</v>
      </c>
    </row>
    <row r="4388" spans="12:13" x14ac:dyDescent="0.25">
      <c r="L4388" s="65">
        <v>911850</v>
      </c>
      <c r="M4388" t="s">
        <v>3298</v>
      </c>
    </row>
    <row r="4389" spans="12:13" x14ac:dyDescent="0.25">
      <c r="L4389" s="65">
        <v>911851</v>
      </c>
      <c r="M4389" t="s">
        <v>3298</v>
      </c>
    </row>
    <row r="4390" spans="12:13" x14ac:dyDescent="0.25">
      <c r="L4390" s="65">
        <v>911860</v>
      </c>
      <c r="M4390" t="s">
        <v>3299</v>
      </c>
    </row>
    <row r="4391" spans="12:13" x14ac:dyDescent="0.25">
      <c r="L4391" s="65">
        <v>911861</v>
      </c>
      <c r="M4391" t="s">
        <v>3300</v>
      </c>
    </row>
    <row r="4392" spans="12:13" x14ac:dyDescent="0.25">
      <c r="L4392" s="65">
        <v>911862</v>
      </c>
      <c r="M4392" t="s">
        <v>3301</v>
      </c>
    </row>
    <row r="4393" spans="12:13" x14ac:dyDescent="0.25">
      <c r="L4393" s="65">
        <v>911865</v>
      </c>
      <c r="M4393" t="s">
        <v>3302</v>
      </c>
    </row>
    <row r="4394" spans="12:13" x14ac:dyDescent="0.25">
      <c r="L4394" s="65">
        <v>911900</v>
      </c>
      <c r="M4394" t="s">
        <v>1985</v>
      </c>
    </row>
    <row r="4395" spans="12:13" x14ac:dyDescent="0.25">
      <c r="L4395" s="65">
        <v>911920</v>
      </c>
      <c r="M4395" t="s">
        <v>3303</v>
      </c>
    </row>
    <row r="4396" spans="12:13" x14ac:dyDescent="0.25">
      <c r="L4396" s="65">
        <v>911921</v>
      </c>
      <c r="M4396" t="s">
        <v>3303</v>
      </c>
    </row>
    <row r="4397" spans="12:13" x14ac:dyDescent="0.25">
      <c r="L4397" s="65">
        <v>911930</v>
      </c>
      <c r="M4397" t="s">
        <v>3304</v>
      </c>
    </row>
    <row r="4398" spans="12:13" x14ac:dyDescent="0.25">
      <c r="L4398" s="65">
        <v>911931</v>
      </c>
      <c r="M4398" t="s">
        <v>3305</v>
      </c>
    </row>
    <row r="4399" spans="12:13" x14ac:dyDescent="0.25">
      <c r="L4399" s="65">
        <v>911932</v>
      </c>
      <c r="M4399" t="s">
        <v>3306</v>
      </c>
    </row>
    <row r="4400" spans="12:13" x14ac:dyDescent="0.25">
      <c r="L4400" s="65">
        <v>911940</v>
      </c>
      <c r="M4400" t="s">
        <v>3307</v>
      </c>
    </row>
    <row r="4401" spans="12:13" x14ac:dyDescent="0.25">
      <c r="L4401" s="65">
        <v>911941</v>
      </c>
      <c r="M4401" t="s">
        <v>3307</v>
      </c>
    </row>
    <row r="4402" spans="12:13" x14ac:dyDescent="0.25">
      <c r="L4402" s="65">
        <v>911950</v>
      </c>
      <c r="M4402" t="s">
        <v>3308</v>
      </c>
    </row>
    <row r="4403" spans="12:13" x14ac:dyDescent="0.25">
      <c r="L4403" s="65">
        <v>911951</v>
      </c>
      <c r="M4403" t="s">
        <v>3308</v>
      </c>
    </row>
    <row r="4404" spans="12:13" x14ac:dyDescent="0.25">
      <c r="L4404" s="65">
        <v>911960</v>
      </c>
      <c r="M4404" t="s">
        <v>3309</v>
      </c>
    </row>
    <row r="4405" spans="12:13" x14ac:dyDescent="0.25">
      <c r="L4405" s="65">
        <v>911961</v>
      </c>
      <c r="M4405" t="s">
        <v>3310</v>
      </c>
    </row>
    <row r="4406" spans="12:13" x14ac:dyDescent="0.25">
      <c r="L4406" s="65">
        <v>911962</v>
      </c>
      <c r="M4406" t="s">
        <v>3311</v>
      </c>
    </row>
    <row r="4407" spans="12:13" x14ac:dyDescent="0.25">
      <c r="L4407" s="65">
        <v>911965</v>
      </c>
      <c r="M4407" t="s">
        <v>3312</v>
      </c>
    </row>
    <row r="4408" spans="12:13" x14ac:dyDescent="0.25">
      <c r="L4408" s="65">
        <v>912000</v>
      </c>
      <c r="M4408" t="s">
        <v>3313</v>
      </c>
    </row>
    <row r="4409" spans="12:13" x14ac:dyDescent="0.25">
      <c r="L4409" s="65">
        <v>912100</v>
      </c>
      <c r="M4409" t="s">
        <v>3314</v>
      </c>
    </row>
    <row r="4410" spans="12:13" x14ac:dyDescent="0.25">
      <c r="L4410" s="65">
        <v>912120</v>
      </c>
      <c r="M4410" t="s">
        <v>3315</v>
      </c>
    </row>
    <row r="4411" spans="12:13" x14ac:dyDescent="0.25">
      <c r="L4411" s="65">
        <v>912121</v>
      </c>
      <c r="M4411" t="s">
        <v>3315</v>
      </c>
    </row>
    <row r="4412" spans="12:13" x14ac:dyDescent="0.25">
      <c r="L4412" s="65">
        <v>912130</v>
      </c>
      <c r="M4412" t="s">
        <v>3316</v>
      </c>
    </row>
    <row r="4413" spans="12:13" x14ac:dyDescent="0.25">
      <c r="L4413" s="65">
        <v>912131</v>
      </c>
      <c r="M4413" t="s">
        <v>3316</v>
      </c>
    </row>
    <row r="4414" spans="12:13" x14ac:dyDescent="0.25">
      <c r="L4414" s="65">
        <v>912140</v>
      </c>
      <c r="M4414" t="s">
        <v>3317</v>
      </c>
    </row>
    <row r="4415" spans="12:13" x14ac:dyDescent="0.25">
      <c r="L4415" s="65">
        <v>912141</v>
      </c>
      <c r="M4415" t="s">
        <v>3318</v>
      </c>
    </row>
    <row r="4416" spans="12:13" x14ac:dyDescent="0.25">
      <c r="L4416" s="65">
        <v>912150</v>
      </c>
      <c r="M4416" t="s">
        <v>3319</v>
      </c>
    </row>
    <row r="4417" spans="12:13" x14ac:dyDescent="0.25">
      <c r="L4417" s="65">
        <v>912151</v>
      </c>
      <c r="M4417" t="s">
        <v>3319</v>
      </c>
    </row>
    <row r="4418" spans="12:13" x14ac:dyDescent="0.25">
      <c r="L4418" s="65">
        <v>912160</v>
      </c>
      <c r="M4418" t="s">
        <v>3320</v>
      </c>
    </row>
    <row r="4419" spans="12:13" x14ac:dyDescent="0.25">
      <c r="L4419" s="65">
        <v>912161</v>
      </c>
      <c r="M4419" t="s">
        <v>3321</v>
      </c>
    </row>
    <row r="4420" spans="12:13" x14ac:dyDescent="0.25">
      <c r="L4420" s="65">
        <v>912162</v>
      </c>
      <c r="M4420" t="s">
        <v>3322</v>
      </c>
    </row>
    <row r="4421" spans="12:13" x14ac:dyDescent="0.25">
      <c r="L4421" s="65">
        <v>912165</v>
      </c>
      <c r="M4421" t="s">
        <v>3323</v>
      </c>
    </row>
    <row r="4422" spans="12:13" x14ac:dyDescent="0.25">
      <c r="L4422" s="65">
        <v>912200</v>
      </c>
      <c r="M4422" t="s">
        <v>3324</v>
      </c>
    </row>
    <row r="4423" spans="12:13" x14ac:dyDescent="0.25">
      <c r="L4423" s="65">
        <v>912220</v>
      </c>
      <c r="M4423" t="s">
        <v>3325</v>
      </c>
    </row>
    <row r="4424" spans="12:13" x14ac:dyDescent="0.25">
      <c r="L4424" s="65">
        <v>912221</v>
      </c>
      <c r="M4424" t="s">
        <v>3325</v>
      </c>
    </row>
    <row r="4425" spans="12:13" x14ac:dyDescent="0.25">
      <c r="L4425" s="65">
        <v>912230</v>
      </c>
      <c r="M4425" t="s">
        <v>3326</v>
      </c>
    </row>
    <row r="4426" spans="12:13" x14ac:dyDescent="0.25">
      <c r="L4426" s="65">
        <v>912231</v>
      </c>
      <c r="M4426" t="s">
        <v>3327</v>
      </c>
    </row>
    <row r="4427" spans="12:13" x14ac:dyDescent="0.25">
      <c r="L4427" s="65">
        <v>912232</v>
      </c>
      <c r="M4427" t="s">
        <v>3328</v>
      </c>
    </row>
    <row r="4428" spans="12:13" x14ac:dyDescent="0.25">
      <c r="L4428" s="65">
        <v>912240</v>
      </c>
      <c r="M4428" t="s">
        <v>3329</v>
      </c>
    </row>
    <row r="4429" spans="12:13" x14ac:dyDescent="0.25">
      <c r="L4429" s="65">
        <v>912241</v>
      </c>
      <c r="M4429" t="s">
        <v>3329</v>
      </c>
    </row>
    <row r="4430" spans="12:13" x14ac:dyDescent="0.25">
      <c r="L4430" s="65">
        <v>912250</v>
      </c>
      <c r="M4430" t="s">
        <v>3330</v>
      </c>
    </row>
    <row r="4431" spans="12:13" x14ac:dyDescent="0.25">
      <c r="L4431" s="65">
        <v>912251</v>
      </c>
      <c r="M4431" t="s">
        <v>3330</v>
      </c>
    </row>
    <row r="4432" spans="12:13" x14ac:dyDescent="0.25">
      <c r="L4432" s="65">
        <v>912260</v>
      </c>
      <c r="M4432" t="s">
        <v>3331</v>
      </c>
    </row>
    <row r="4433" spans="12:13" x14ac:dyDescent="0.25">
      <c r="L4433" s="65">
        <v>912261</v>
      </c>
      <c r="M4433" t="s">
        <v>3332</v>
      </c>
    </row>
    <row r="4434" spans="12:13" x14ac:dyDescent="0.25">
      <c r="L4434" s="65">
        <v>912262</v>
      </c>
      <c r="M4434" t="s">
        <v>3333</v>
      </c>
    </row>
    <row r="4435" spans="12:13" x14ac:dyDescent="0.25">
      <c r="L4435" s="65">
        <v>912265</v>
      </c>
      <c r="M4435" t="s">
        <v>3334</v>
      </c>
    </row>
    <row r="4436" spans="12:13" x14ac:dyDescent="0.25">
      <c r="L4436" s="65">
        <v>912300</v>
      </c>
      <c r="M4436" t="s">
        <v>3335</v>
      </c>
    </row>
    <row r="4437" spans="12:13" x14ac:dyDescent="0.25">
      <c r="L4437" s="65">
        <v>912320</v>
      </c>
      <c r="M4437" t="s">
        <v>3336</v>
      </c>
    </row>
    <row r="4438" spans="12:13" x14ac:dyDescent="0.25">
      <c r="L4438" s="65">
        <v>912321</v>
      </c>
      <c r="M4438" t="s">
        <v>3336</v>
      </c>
    </row>
    <row r="4439" spans="12:13" x14ac:dyDescent="0.25">
      <c r="L4439" s="65">
        <v>912330</v>
      </c>
      <c r="M4439" t="s">
        <v>3337</v>
      </c>
    </row>
    <row r="4440" spans="12:13" x14ac:dyDescent="0.25">
      <c r="L4440" s="65">
        <v>912331</v>
      </c>
      <c r="M4440" t="s">
        <v>3338</v>
      </c>
    </row>
    <row r="4441" spans="12:13" x14ac:dyDescent="0.25">
      <c r="L4441" s="65">
        <v>912332</v>
      </c>
      <c r="M4441" t="s">
        <v>3339</v>
      </c>
    </row>
    <row r="4442" spans="12:13" x14ac:dyDescent="0.25">
      <c r="L4442" s="65">
        <v>912340</v>
      </c>
      <c r="M4442" t="s">
        <v>3340</v>
      </c>
    </row>
    <row r="4443" spans="12:13" x14ac:dyDescent="0.25">
      <c r="L4443" s="65">
        <v>912341</v>
      </c>
      <c r="M4443" t="s">
        <v>3340</v>
      </c>
    </row>
    <row r="4444" spans="12:13" x14ac:dyDescent="0.25">
      <c r="L4444" s="65">
        <v>912350</v>
      </c>
      <c r="M4444" t="s">
        <v>3341</v>
      </c>
    </row>
    <row r="4445" spans="12:13" x14ac:dyDescent="0.25">
      <c r="L4445" s="65">
        <v>912351</v>
      </c>
      <c r="M4445" t="s">
        <v>3341</v>
      </c>
    </row>
    <row r="4446" spans="12:13" x14ac:dyDescent="0.25">
      <c r="L4446" s="65">
        <v>912360</v>
      </c>
      <c r="M4446" t="s">
        <v>3342</v>
      </c>
    </row>
    <row r="4447" spans="12:13" x14ac:dyDescent="0.25">
      <c r="L4447" s="65">
        <v>912361</v>
      </c>
      <c r="M4447" t="s">
        <v>3343</v>
      </c>
    </row>
    <row r="4448" spans="12:13" x14ac:dyDescent="0.25">
      <c r="L4448" s="65">
        <v>912362</v>
      </c>
      <c r="M4448" t="s">
        <v>3344</v>
      </c>
    </row>
    <row r="4449" spans="12:13" x14ac:dyDescent="0.25">
      <c r="L4449" s="65">
        <v>912365</v>
      </c>
      <c r="M4449" t="s">
        <v>3345</v>
      </c>
    </row>
    <row r="4450" spans="12:13" x14ac:dyDescent="0.25">
      <c r="L4450" s="65">
        <v>912400</v>
      </c>
      <c r="M4450" t="s">
        <v>3346</v>
      </c>
    </row>
    <row r="4451" spans="12:13" x14ac:dyDescent="0.25">
      <c r="L4451" s="65">
        <v>912420</v>
      </c>
      <c r="M4451" t="s">
        <v>3347</v>
      </c>
    </row>
    <row r="4452" spans="12:13" x14ac:dyDescent="0.25">
      <c r="L4452" s="65">
        <v>912421</v>
      </c>
      <c r="M4452" t="s">
        <v>3347</v>
      </c>
    </row>
    <row r="4453" spans="12:13" x14ac:dyDescent="0.25">
      <c r="L4453" s="65">
        <v>912430</v>
      </c>
      <c r="M4453" t="s">
        <v>3348</v>
      </c>
    </row>
    <row r="4454" spans="12:13" x14ac:dyDescent="0.25">
      <c r="L4454" s="65">
        <v>912431</v>
      </c>
      <c r="M4454" t="s">
        <v>3349</v>
      </c>
    </row>
    <row r="4455" spans="12:13" x14ac:dyDescent="0.25">
      <c r="L4455" s="65">
        <v>912432</v>
      </c>
      <c r="M4455" t="s">
        <v>3350</v>
      </c>
    </row>
    <row r="4456" spans="12:13" x14ac:dyDescent="0.25">
      <c r="L4456" s="65">
        <v>912440</v>
      </c>
      <c r="M4456" t="s">
        <v>3351</v>
      </c>
    </row>
    <row r="4457" spans="12:13" x14ac:dyDescent="0.25">
      <c r="L4457" s="65">
        <v>912441</v>
      </c>
      <c r="M4457" t="s">
        <v>3351</v>
      </c>
    </row>
    <row r="4458" spans="12:13" x14ac:dyDescent="0.25">
      <c r="L4458" s="65">
        <v>912450</v>
      </c>
      <c r="M4458" t="s">
        <v>3352</v>
      </c>
    </row>
    <row r="4459" spans="12:13" x14ac:dyDescent="0.25">
      <c r="L4459" s="65">
        <v>912451</v>
      </c>
      <c r="M4459" t="s">
        <v>3352</v>
      </c>
    </row>
    <row r="4460" spans="12:13" x14ac:dyDescent="0.25">
      <c r="L4460" s="65">
        <v>912460</v>
      </c>
      <c r="M4460" t="s">
        <v>3353</v>
      </c>
    </row>
    <row r="4461" spans="12:13" x14ac:dyDescent="0.25">
      <c r="L4461" s="65">
        <v>912461</v>
      </c>
      <c r="M4461" t="s">
        <v>3354</v>
      </c>
    </row>
    <row r="4462" spans="12:13" x14ac:dyDescent="0.25">
      <c r="L4462" s="65">
        <v>912462</v>
      </c>
      <c r="M4462" t="s">
        <v>3355</v>
      </c>
    </row>
    <row r="4463" spans="12:13" x14ac:dyDescent="0.25">
      <c r="L4463" s="65">
        <v>912465</v>
      </c>
      <c r="M4463" t="s">
        <v>3356</v>
      </c>
    </row>
    <row r="4464" spans="12:13" x14ac:dyDescent="0.25">
      <c r="L4464" s="65">
        <v>912500</v>
      </c>
      <c r="M4464" t="s">
        <v>3357</v>
      </c>
    </row>
    <row r="4465" spans="12:13" x14ac:dyDescent="0.25">
      <c r="L4465" s="65">
        <v>912520</v>
      </c>
      <c r="M4465" t="s">
        <v>3358</v>
      </c>
    </row>
    <row r="4466" spans="12:13" x14ac:dyDescent="0.25">
      <c r="L4466" s="65">
        <v>912521</v>
      </c>
      <c r="M4466" t="s">
        <v>3358</v>
      </c>
    </row>
    <row r="4467" spans="12:13" x14ac:dyDescent="0.25">
      <c r="L4467" s="65">
        <v>912530</v>
      </c>
      <c r="M4467" t="s">
        <v>3359</v>
      </c>
    </row>
    <row r="4468" spans="12:13" x14ac:dyDescent="0.25">
      <c r="L4468" s="65">
        <v>912531</v>
      </c>
      <c r="M4468" t="s">
        <v>3360</v>
      </c>
    </row>
    <row r="4469" spans="12:13" x14ac:dyDescent="0.25">
      <c r="L4469" s="65">
        <v>912532</v>
      </c>
      <c r="M4469" t="s">
        <v>3361</v>
      </c>
    </row>
    <row r="4470" spans="12:13" x14ac:dyDescent="0.25">
      <c r="L4470" s="65">
        <v>912540</v>
      </c>
      <c r="M4470" t="s">
        <v>3362</v>
      </c>
    </row>
    <row r="4471" spans="12:13" x14ac:dyDescent="0.25">
      <c r="L4471" s="65">
        <v>912541</v>
      </c>
      <c r="M4471" t="s">
        <v>3362</v>
      </c>
    </row>
    <row r="4472" spans="12:13" x14ac:dyDescent="0.25">
      <c r="L4472" s="65">
        <v>912550</v>
      </c>
      <c r="M4472" t="s">
        <v>3363</v>
      </c>
    </row>
    <row r="4473" spans="12:13" x14ac:dyDescent="0.25">
      <c r="L4473" s="65">
        <v>912551</v>
      </c>
      <c r="M4473" t="s">
        <v>3363</v>
      </c>
    </row>
    <row r="4474" spans="12:13" x14ac:dyDescent="0.25">
      <c r="L4474" s="65">
        <v>912560</v>
      </c>
      <c r="M4474" t="s">
        <v>3364</v>
      </c>
    </row>
    <row r="4475" spans="12:13" x14ac:dyDescent="0.25">
      <c r="L4475" s="65">
        <v>912561</v>
      </c>
      <c r="M4475" t="s">
        <v>3365</v>
      </c>
    </row>
    <row r="4476" spans="12:13" x14ac:dyDescent="0.25">
      <c r="L4476" s="65">
        <v>912562</v>
      </c>
      <c r="M4476" t="s">
        <v>3366</v>
      </c>
    </row>
    <row r="4477" spans="12:13" x14ac:dyDescent="0.25">
      <c r="L4477" s="65">
        <v>912565</v>
      </c>
      <c r="M4477" t="s">
        <v>3367</v>
      </c>
    </row>
    <row r="4478" spans="12:13" x14ac:dyDescent="0.25">
      <c r="L4478" s="65">
        <v>912600</v>
      </c>
      <c r="M4478" t="s">
        <v>3368</v>
      </c>
    </row>
    <row r="4479" spans="12:13" x14ac:dyDescent="0.25">
      <c r="L4479" s="65">
        <v>912620</v>
      </c>
      <c r="M4479" t="s">
        <v>3369</v>
      </c>
    </row>
    <row r="4480" spans="12:13" x14ac:dyDescent="0.25">
      <c r="L4480" s="65">
        <v>912621</v>
      </c>
      <c r="M4480" t="s">
        <v>3369</v>
      </c>
    </row>
    <row r="4481" spans="12:13" x14ac:dyDescent="0.25">
      <c r="L4481" s="65">
        <v>912630</v>
      </c>
      <c r="M4481" t="s">
        <v>3370</v>
      </c>
    </row>
    <row r="4482" spans="12:13" x14ac:dyDescent="0.25">
      <c r="L4482" s="65">
        <v>912631</v>
      </c>
      <c r="M4482" t="s">
        <v>3370</v>
      </c>
    </row>
    <row r="4483" spans="12:13" x14ac:dyDescent="0.25">
      <c r="L4483" s="65">
        <v>912640</v>
      </c>
      <c r="M4483" t="s">
        <v>3371</v>
      </c>
    </row>
    <row r="4484" spans="12:13" x14ac:dyDescent="0.25">
      <c r="L4484" s="65">
        <v>912641</v>
      </c>
      <c r="M4484" t="s">
        <v>3371</v>
      </c>
    </row>
    <row r="4485" spans="12:13" x14ac:dyDescent="0.25">
      <c r="L4485" s="65">
        <v>912650</v>
      </c>
      <c r="M4485" t="s">
        <v>3372</v>
      </c>
    </row>
    <row r="4486" spans="12:13" x14ac:dyDescent="0.25">
      <c r="L4486" s="65">
        <v>912651</v>
      </c>
      <c r="M4486" t="s">
        <v>3372</v>
      </c>
    </row>
    <row r="4487" spans="12:13" x14ac:dyDescent="0.25">
      <c r="L4487" s="65">
        <v>912660</v>
      </c>
      <c r="M4487" t="s">
        <v>3373</v>
      </c>
    </row>
    <row r="4488" spans="12:13" x14ac:dyDescent="0.25">
      <c r="L4488" s="65">
        <v>912661</v>
      </c>
      <c r="M4488" t="s">
        <v>3374</v>
      </c>
    </row>
    <row r="4489" spans="12:13" x14ac:dyDescent="0.25">
      <c r="L4489" s="65">
        <v>912662</v>
      </c>
      <c r="M4489" t="s">
        <v>3375</v>
      </c>
    </row>
    <row r="4490" spans="12:13" x14ac:dyDescent="0.25">
      <c r="L4490" s="65">
        <v>912665</v>
      </c>
      <c r="M4490" t="s">
        <v>3376</v>
      </c>
    </row>
    <row r="4491" spans="12:13" x14ac:dyDescent="0.25">
      <c r="L4491" s="65">
        <v>912900</v>
      </c>
      <c r="M4491" t="s">
        <v>1993</v>
      </c>
    </row>
    <row r="4492" spans="12:13" x14ac:dyDescent="0.25">
      <c r="L4492" s="65">
        <v>912920</v>
      </c>
      <c r="M4492" t="s">
        <v>3377</v>
      </c>
    </row>
    <row r="4493" spans="12:13" x14ac:dyDescent="0.25">
      <c r="L4493" s="65">
        <v>912921</v>
      </c>
      <c r="M4493" t="s">
        <v>3377</v>
      </c>
    </row>
    <row r="4494" spans="12:13" x14ac:dyDescent="0.25">
      <c r="L4494" s="65">
        <v>912930</v>
      </c>
      <c r="M4494" t="s">
        <v>3378</v>
      </c>
    </row>
    <row r="4495" spans="12:13" x14ac:dyDescent="0.25">
      <c r="L4495" s="65">
        <v>912931</v>
      </c>
      <c r="M4495" t="s">
        <v>3379</v>
      </c>
    </row>
    <row r="4496" spans="12:13" x14ac:dyDescent="0.25">
      <c r="L4496" s="65">
        <v>912932</v>
      </c>
      <c r="M4496" t="s">
        <v>3380</v>
      </c>
    </row>
    <row r="4497" spans="12:13" x14ac:dyDescent="0.25">
      <c r="L4497" s="65">
        <v>912940</v>
      </c>
      <c r="M4497" t="s">
        <v>3381</v>
      </c>
    </row>
    <row r="4498" spans="12:13" x14ac:dyDescent="0.25">
      <c r="L4498" s="65">
        <v>912941</v>
      </c>
      <c r="M4498" t="s">
        <v>3381</v>
      </c>
    </row>
    <row r="4499" spans="12:13" x14ac:dyDescent="0.25">
      <c r="L4499" s="65">
        <v>912950</v>
      </c>
      <c r="M4499" t="s">
        <v>3382</v>
      </c>
    </row>
    <row r="4500" spans="12:13" x14ac:dyDescent="0.25">
      <c r="L4500" s="65">
        <v>912951</v>
      </c>
      <c r="M4500" t="s">
        <v>3382</v>
      </c>
    </row>
    <row r="4501" spans="12:13" x14ac:dyDescent="0.25">
      <c r="L4501" s="65">
        <v>912960</v>
      </c>
      <c r="M4501" t="s">
        <v>3383</v>
      </c>
    </row>
    <row r="4502" spans="12:13" x14ac:dyDescent="0.25">
      <c r="L4502" s="65">
        <v>912961</v>
      </c>
      <c r="M4502" t="s">
        <v>3384</v>
      </c>
    </row>
    <row r="4503" spans="12:13" x14ac:dyDescent="0.25">
      <c r="L4503" s="65">
        <v>912962</v>
      </c>
      <c r="M4503" t="s">
        <v>3385</v>
      </c>
    </row>
    <row r="4504" spans="12:13" x14ac:dyDescent="0.25">
      <c r="L4504" s="65">
        <v>912965</v>
      </c>
      <c r="M4504" t="s">
        <v>3386</v>
      </c>
    </row>
    <row r="4505" spans="12:13" x14ac:dyDescent="0.25">
      <c r="L4505" s="65">
        <v>920000</v>
      </c>
      <c r="M4505" t="s">
        <v>1211</v>
      </c>
    </row>
    <row r="4506" spans="12:13" x14ac:dyDescent="0.25">
      <c r="L4506" s="65">
        <v>921000</v>
      </c>
      <c r="M4506" t="s">
        <v>3388</v>
      </c>
    </row>
    <row r="4507" spans="12:13" x14ac:dyDescent="0.25">
      <c r="L4507" s="65">
        <v>921100</v>
      </c>
      <c r="M4507" t="s">
        <v>3389</v>
      </c>
    </row>
    <row r="4508" spans="12:13" x14ac:dyDescent="0.25">
      <c r="L4508" s="65">
        <v>921120</v>
      </c>
      <c r="M4508" t="s">
        <v>3390</v>
      </c>
    </row>
    <row r="4509" spans="12:13" x14ac:dyDescent="0.25">
      <c r="L4509" s="65">
        <v>921121</v>
      </c>
      <c r="M4509" t="s">
        <v>3390</v>
      </c>
    </row>
    <row r="4510" spans="12:13" x14ac:dyDescent="0.25">
      <c r="L4510" s="65">
        <v>921130</v>
      </c>
      <c r="M4510" t="s">
        <v>3391</v>
      </c>
    </row>
    <row r="4511" spans="12:13" x14ac:dyDescent="0.25">
      <c r="L4511" s="65">
        <v>921131</v>
      </c>
      <c r="M4511" t="s">
        <v>3392</v>
      </c>
    </row>
    <row r="4512" spans="12:13" x14ac:dyDescent="0.25">
      <c r="L4512" s="65">
        <v>921132</v>
      </c>
      <c r="M4512" t="s">
        <v>3393</v>
      </c>
    </row>
    <row r="4513" spans="12:13" x14ac:dyDescent="0.25">
      <c r="L4513" s="65">
        <v>921140</v>
      </c>
      <c r="M4513" t="s">
        <v>3394</v>
      </c>
    </row>
    <row r="4514" spans="12:13" x14ac:dyDescent="0.25">
      <c r="L4514" s="65">
        <v>921141</v>
      </c>
      <c r="M4514" t="s">
        <v>3394</v>
      </c>
    </row>
    <row r="4515" spans="12:13" x14ac:dyDescent="0.25">
      <c r="L4515" s="65">
        <v>921150</v>
      </c>
      <c r="M4515" t="s">
        <v>3395</v>
      </c>
    </row>
    <row r="4516" spans="12:13" x14ac:dyDescent="0.25">
      <c r="L4516" s="65">
        <v>921151</v>
      </c>
      <c r="M4516" t="s">
        <v>3395</v>
      </c>
    </row>
    <row r="4517" spans="12:13" x14ac:dyDescent="0.25">
      <c r="L4517" s="65">
        <v>921160</v>
      </c>
      <c r="M4517" t="s">
        <v>3396</v>
      </c>
    </row>
    <row r="4518" spans="12:13" x14ac:dyDescent="0.25">
      <c r="L4518" s="65">
        <v>921161</v>
      </c>
      <c r="M4518" t="s">
        <v>3397</v>
      </c>
    </row>
    <row r="4519" spans="12:13" x14ac:dyDescent="0.25">
      <c r="L4519" s="65">
        <v>921162</v>
      </c>
      <c r="M4519" t="s">
        <v>3398</v>
      </c>
    </row>
    <row r="4520" spans="12:13" x14ac:dyDescent="0.25">
      <c r="L4520" s="65">
        <v>921165</v>
      </c>
      <c r="M4520" t="s">
        <v>3399</v>
      </c>
    </row>
    <row r="4521" spans="12:13" x14ac:dyDescent="0.25">
      <c r="L4521" s="65">
        <v>921220</v>
      </c>
      <c r="M4521" t="s">
        <v>3400</v>
      </c>
    </row>
    <row r="4522" spans="12:13" x14ac:dyDescent="0.25">
      <c r="L4522" s="65">
        <v>921221</v>
      </c>
      <c r="M4522" t="s">
        <v>3400</v>
      </c>
    </row>
    <row r="4523" spans="12:13" x14ac:dyDescent="0.25">
      <c r="L4523" s="65">
        <v>921230</v>
      </c>
      <c r="M4523" t="s">
        <v>3401</v>
      </c>
    </row>
    <row r="4524" spans="12:13" x14ac:dyDescent="0.25">
      <c r="L4524" s="65">
        <v>921231</v>
      </c>
      <c r="M4524" t="s">
        <v>3402</v>
      </c>
    </row>
    <row r="4525" spans="12:13" x14ac:dyDescent="0.25">
      <c r="L4525" s="65">
        <v>921232</v>
      </c>
      <c r="M4525" t="s">
        <v>3403</v>
      </c>
    </row>
    <row r="4526" spans="12:13" x14ac:dyDescent="0.25">
      <c r="L4526" s="65">
        <v>921240</v>
      </c>
      <c r="M4526" t="s">
        <v>3404</v>
      </c>
    </row>
    <row r="4527" spans="12:13" x14ac:dyDescent="0.25">
      <c r="L4527" s="65">
        <v>921241</v>
      </c>
      <c r="M4527" t="s">
        <v>3404</v>
      </c>
    </row>
    <row r="4528" spans="12:13" x14ac:dyDescent="0.25">
      <c r="L4528" s="65">
        <v>921250</v>
      </c>
      <c r="M4528" t="s">
        <v>3405</v>
      </c>
    </row>
    <row r="4529" spans="12:13" x14ac:dyDescent="0.25">
      <c r="L4529" s="65">
        <v>921251</v>
      </c>
      <c r="M4529" t="s">
        <v>3405</v>
      </c>
    </row>
    <row r="4530" spans="12:13" x14ac:dyDescent="0.25">
      <c r="L4530" s="65">
        <v>921260</v>
      </c>
      <c r="M4530" t="s">
        <v>3406</v>
      </c>
    </row>
    <row r="4531" spans="12:13" x14ac:dyDescent="0.25">
      <c r="L4531" s="65">
        <v>921261</v>
      </c>
      <c r="M4531" t="s">
        <v>3407</v>
      </c>
    </row>
    <row r="4532" spans="12:13" x14ac:dyDescent="0.25">
      <c r="L4532" s="65">
        <v>921262</v>
      </c>
      <c r="M4532" t="s">
        <v>3408</v>
      </c>
    </row>
    <row r="4533" spans="12:13" x14ac:dyDescent="0.25">
      <c r="L4533" s="65">
        <v>921265</v>
      </c>
      <c r="M4533" t="s">
        <v>3409</v>
      </c>
    </row>
    <row r="4534" spans="12:13" x14ac:dyDescent="0.25">
      <c r="L4534" s="65">
        <v>921300</v>
      </c>
      <c r="M4534" t="s">
        <v>3410</v>
      </c>
    </row>
    <row r="4535" spans="12:13" x14ac:dyDescent="0.25">
      <c r="L4535" s="65">
        <v>921320</v>
      </c>
      <c r="M4535" t="s">
        <v>3411</v>
      </c>
    </row>
    <row r="4536" spans="12:13" x14ac:dyDescent="0.25">
      <c r="L4536" s="65">
        <v>921321</v>
      </c>
      <c r="M4536" t="s">
        <v>3411</v>
      </c>
    </row>
    <row r="4537" spans="12:13" x14ac:dyDescent="0.25">
      <c r="L4537" s="65">
        <v>921330</v>
      </c>
      <c r="M4537" t="s">
        <v>3412</v>
      </c>
    </row>
    <row r="4538" spans="12:13" x14ac:dyDescent="0.25">
      <c r="L4538" s="65">
        <v>921331</v>
      </c>
      <c r="M4538" t="s">
        <v>3412</v>
      </c>
    </row>
    <row r="4539" spans="12:13" x14ac:dyDescent="0.25">
      <c r="L4539" s="65">
        <v>921340</v>
      </c>
      <c r="M4539" t="s">
        <v>3413</v>
      </c>
    </row>
    <row r="4540" spans="12:13" x14ac:dyDescent="0.25">
      <c r="L4540" s="65">
        <v>921341</v>
      </c>
      <c r="M4540" t="s">
        <v>3413</v>
      </c>
    </row>
    <row r="4541" spans="12:13" x14ac:dyDescent="0.25">
      <c r="L4541" s="65">
        <v>921350</v>
      </c>
      <c r="M4541" t="s">
        <v>3414</v>
      </c>
    </row>
    <row r="4542" spans="12:13" x14ac:dyDescent="0.25">
      <c r="L4542" s="65">
        <v>921351</v>
      </c>
      <c r="M4542" t="s">
        <v>3414</v>
      </c>
    </row>
    <row r="4543" spans="12:13" x14ac:dyDescent="0.25">
      <c r="L4543" s="65">
        <v>921360</v>
      </c>
      <c r="M4543" t="s">
        <v>3415</v>
      </c>
    </row>
    <row r="4544" spans="12:13" x14ac:dyDescent="0.25">
      <c r="L4544" s="65">
        <v>921361</v>
      </c>
      <c r="M4544" t="s">
        <v>3416</v>
      </c>
    </row>
    <row r="4545" spans="12:13" x14ac:dyDescent="0.25">
      <c r="L4545" s="65">
        <v>921362</v>
      </c>
      <c r="M4545" t="s">
        <v>3417</v>
      </c>
    </row>
    <row r="4546" spans="12:13" x14ac:dyDescent="0.25">
      <c r="L4546" s="65">
        <v>921365</v>
      </c>
      <c r="M4546" t="s">
        <v>3418</v>
      </c>
    </row>
    <row r="4547" spans="12:13" x14ac:dyDescent="0.25">
      <c r="L4547" s="65">
        <v>921400</v>
      </c>
      <c r="M4547" t="s">
        <v>3419</v>
      </c>
    </row>
    <row r="4548" spans="12:13" x14ac:dyDescent="0.25">
      <c r="L4548" s="65">
        <v>921420</v>
      </c>
      <c r="M4548" t="s">
        <v>3420</v>
      </c>
    </row>
    <row r="4549" spans="12:13" x14ac:dyDescent="0.25">
      <c r="L4549" s="65">
        <v>921421</v>
      </c>
      <c r="M4549" t="s">
        <v>3420</v>
      </c>
    </row>
    <row r="4550" spans="12:13" x14ac:dyDescent="0.25">
      <c r="L4550" s="65">
        <v>921430</v>
      </c>
      <c r="M4550" t="s">
        <v>3421</v>
      </c>
    </row>
    <row r="4551" spans="12:13" x14ac:dyDescent="0.25">
      <c r="L4551" s="65">
        <v>921431</v>
      </c>
      <c r="M4551" t="s">
        <v>3421</v>
      </c>
    </row>
    <row r="4552" spans="12:13" x14ac:dyDescent="0.25">
      <c r="L4552" s="65">
        <v>921440</v>
      </c>
      <c r="M4552" t="s">
        <v>3422</v>
      </c>
    </row>
    <row r="4553" spans="12:13" x14ac:dyDescent="0.25">
      <c r="L4553" s="65">
        <v>921441</v>
      </c>
      <c r="M4553" t="s">
        <v>3422</v>
      </c>
    </row>
    <row r="4554" spans="12:13" x14ac:dyDescent="0.25">
      <c r="L4554" s="65">
        <v>921450</v>
      </c>
      <c r="M4554" t="s">
        <v>3423</v>
      </c>
    </row>
    <row r="4555" spans="12:13" x14ac:dyDescent="0.25">
      <c r="L4555" s="65">
        <v>921451</v>
      </c>
      <c r="M4555" t="s">
        <v>3423</v>
      </c>
    </row>
    <row r="4556" spans="12:13" x14ac:dyDescent="0.25">
      <c r="L4556" s="65">
        <v>921460</v>
      </c>
      <c r="M4556" t="s">
        <v>3424</v>
      </c>
    </row>
    <row r="4557" spans="12:13" x14ac:dyDescent="0.25">
      <c r="L4557" s="65">
        <v>921461</v>
      </c>
      <c r="M4557" t="s">
        <v>3425</v>
      </c>
    </row>
    <row r="4558" spans="12:13" x14ac:dyDescent="0.25">
      <c r="L4558" s="65">
        <v>921462</v>
      </c>
      <c r="M4558" t="s">
        <v>3426</v>
      </c>
    </row>
    <row r="4559" spans="12:13" x14ac:dyDescent="0.25">
      <c r="L4559" s="65">
        <v>921465</v>
      </c>
      <c r="M4559" t="s">
        <v>3427</v>
      </c>
    </row>
    <row r="4560" spans="12:13" x14ac:dyDescent="0.25">
      <c r="L4560" s="65">
        <v>921500</v>
      </c>
      <c r="M4560" t="s">
        <v>3428</v>
      </c>
    </row>
    <row r="4561" spans="12:13" x14ac:dyDescent="0.25">
      <c r="L4561" s="65">
        <v>921520</v>
      </c>
      <c r="M4561" t="s">
        <v>3429</v>
      </c>
    </row>
    <row r="4562" spans="12:13" x14ac:dyDescent="0.25">
      <c r="L4562" s="65">
        <v>921521</v>
      </c>
      <c r="M4562" t="s">
        <v>3429</v>
      </c>
    </row>
    <row r="4563" spans="12:13" x14ac:dyDescent="0.25">
      <c r="L4563" s="65">
        <v>921530</v>
      </c>
      <c r="M4563" t="s">
        <v>3430</v>
      </c>
    </row>
    <row r="4564" spans="12:13" x14ac:dyDescent="0.25">
      <c r="L4564" s="65">
        <v>921531</v>
      </c>
      <c r="M4564" t="s">
        <v>3431</v>
      </c>
    </row>
    <row r="4565" spans="12:13" x14ac:dyDescent="0.25">
      <c r="L4565" s="65">
        <v>921532</v>
      </c>
      <c r="M4565" t="s">
        <v>3432</v>
      </c>
    </row>
    <row r="4566" spans="12:13" x14ac:dyDescent="0.25">
      <c r="L4566" s="65">
        <v>921540</v>
      </c>
      <c r="M4566" t="s">
        <v>3433</v>
      </c>
    </row>
    <row r="4567" spans="12:13" x14ac:dyDescent="0.25">
      <c r="L4567" s="65">
        <v>921541</v>
      </c>
      <c r="M4567" t="s">
        <v>3433</v>
      </c>
    </row>
    <row r="4568" spans="12:13" x14ac:dyDescent="0.25">
      <c r="L4568" s="65">
        <v>921550</v>
      </c>
      <c r="M4568" t="s">
        <v>3434</v>
      </c>
    </row>
    <row r="4569" spans="12:13" x14ac:dyDescent="0.25">
      <c r="L4569" s="65">
        <v>921551</v>
      </c>
      <c r="M4569" t="s">
        <v>3434</v>
      </c>
    </row>
    <row r="4570" spans="12:13" x14ac:dyDescent="0.25">
      <c r="L4570" s="65">
        <v>921560</v>
      </c>
      <c r="M4570" t="s">
        <v>3435</v>
      </c>
    </row>
    <row r="4571" spans="12:13" x14ac:dyDescent="0.25">
      <c r="L4571" s="65">
        <v>921561</v>
      </c>
      <c r="M4571" t="s">
        <v>3436</v>
      </c>
    </row>
    <row r="4572" spans="12:13" x14ac:dyDescent="0.25">
      <c r="L4572" s="65">
        <v>921562</v>
      </c>
      <c r="M4572" t="s">
        <v>3437</v>
      </c>
    </row>
    <row r="4573" spans="12:13" x14ac:dyDescent="0.25">
      <c r="L4573" s="65">
        <v>921565</v>
      </c>
      <c r="M4573" t="s">
        <v>3438</v>
      </c>
    </row>
    <row r="4574" spans="12:13" x14ac:dyDescent="0.25">
      <c r="L4574" s="65">
        <v>921600</v>
      </c>
      <c r="M4574" t="s">
        <v>3439</v>
      </c>
    </row>
    <row r="4575" spans="12:13" x14ac:dyDescent="0.25">
      <c r="L4575" s="65">
        <v>921620</v>
      </c>
      <c r="M4575" t="s">
        <v>3440</v>
      </c>
    </row>
    <row r="4576" spans="12:13" x14ac:dyDescent="0.25">
      <c r="L4576" s="65">
        <v>921621</v>
      </c>
      <c r="M4576" t="s">
        <v>3440</v>
      </c>
    </row>
    <row r="4577" spans="12:13" x14ac:dyDescent="0.25">
      <c r="L4577" s="65">
        <v>921630</v>
      </c>
      <c r="M4577" t="s">
        <v>3441</v>
      </c>
    </row>
    <row r="4578" spans="12:13" x14ac:dyDescent="0.25">
      <c r="L4578" s="65">
        <v>921631</v>
      </c>
      <c r="M4578" t="s">
        <v>3442</v>
      </c>
    </row>
    <row r="4579" spans="12:13" x14ac:dyDescent="0.25">
      <c r="L4579" s="65">
        <v>921632</v>
      </c>
      <c r="M4579" t="s">
        <v>3443</v>
      </c>
    </row>
    <row r="4580" spans="12:13" x14ac:dyDescent="0.25">
      <c r="L4580" s="65">
        <v>921640</v>
      </c>
      <c r="M4580" t="s">
        <v>3444</v>
      </c>
    </row>
    <row r="4581" spans="12:13" x14ac:dyDescent="0.25">
      <c r="L4581" s="65">
        <v>921641</v>
      </c>
      <c r="M4581" t="s">
        <v>3444</v>
      </c>
    </row>
    <row r="4582" spans="12:13" x14ac:dyDescent="0.25">
      <c r="L4582" s="65">
        <v>921650</v>
      </c>
      <c r="M4582" t="s">
        <v>3445</v>
      </c>
    </row>
    <row r="4583" spans="12:13" x14ac:dyDescent="0.25">
      <c r="L4583" s="65">
        <v>921651</v>
      </c>
      <c r="M4583" t="s">
        <v>3445</v>
      </c>
    </row>
    <row r="4584" spans="12:13" x14ac:dyDescent="0.25">
      <c r="L4584" s="65">
        <v>921660</v>
      </c>
      <c r="M4584" t="s">
        <v>3446</v>
      </c>
    </row>
    <row r="4585" spans="12:13" x14ac:dyDescent="0.25">
      <c r="L4585" s="65">
        <v>921661</v>
      </c>
      <c r="M4585" t="s">
        <v>3447</v>
      </c>
    </row>
    <row r="4586" spans="12:13" x14ac:dyDescent="0.25">
      <c r="L4586" s="65">
        <v>921662</v>
      </c>
      <c r="M4586" t="s">
        <v>3448</v>
      </c>
    </row>
    <row r="4587" spans="12:13" x14ac:dyDescent="0.25">
      <c r="L4587" s="65">
        <v>921665</v>
      </c>
      <c r="M4587" t="s">
        <v>3449</v>
      </c>
    </row>
    <row r="4588" spans="12:13" x14ac:dyDescent="0.25">
      <c r="L4588" s="65">
        <v>921700</v>
      </c>
      <c r="M4588" t="s">
        <v>3450</v>
      </c>
    </row>
    <row r="4589" spans="12:13" x14ac:dyDescent="0.25">
      <c r="L4589" s="65">
        <v>921720</v>
      </c>
      <c r="M4589" t="s">
        <v>3451</v>
      </c>
    </row>
    <row r="4590" spans="12:13" x14ac:dyDescent="0.25">
      <c r="L4590" s="65">
        <v>921721</v>
      </c>
      <c r="M4590" t="s">
        <v>3451</v>
      </c>
    </row>
    <row r="4591" spans="12:13" x14ac:dyDescent="0.25">
      <c r="L4591" s="65">
        <v>921730</v>
      </c>
      <c r="M4591" t="s">
        <v>3452</v>
      </c>
    </row>
    <row r="4592" spans="12:13" x14ac:dyDescent="0.25">
      <c r="L4592" s="65">
        <v>921731</v>
      </c>
      <c r="M4592" t="s">
        <v>3453</v>
      </c>
    </row>
    <row r="4593" spans="12:13" x14ac:dyDescent="0.25">
      <c r="L4593" s="65">
        <v>921732</v>
      </c>
      <c r="M4593" t="s">
        <v>3454</v>
      </c>
    </row>
    <row r="4594" spans="12:13" x14ac:dyDescent="0.25">
      <c r="L4594" s="65">
        <v>921740</v>
      </c>
      <c r="M4594" t="s">
        <v>3455</v>
      </c>
    </row>
    <row r="4595" spans="12:13" x14ac:dyDescent="0.25">
      <c r="L4595" s="65">
        <v>921741</v>
      </c>
      <c r="M4595" t="s">
        <v>3455</v>
      </c>
    </row>
    <row r="4596" spans="12:13" x14ac:dyDescent="0.25">
      <c r="L4596" s="65">
        <v>921750</v>
      </c>
      <c r="M4596" t="s">
        <v>3456</v>
      </c>
    </row>
    <row r="4597" spans="12:13" x14ac:dyDescent="0.25">
      <c r="L4597" s="65">
        <v>921751</v>
      </c>
      <c r="M4597" t="s">
        <v>3456</v>
      </c>
    </row>
    <row r="4598" spans="12:13" x14ac:dyDescent="0.25">
      <c r="L4598" s="65">
        <v>921760</v>
      </c>
      <c r="M4598" t="s">
        <v>3457</v>
      </c>
    </row>
    <row r="4599" spans="12:13" x14ac:dyDescent="0.25">
      <c r="L4599" s="65">
        <v>921761</v>
      </c>
      <c r="M4599" t="s">
        <v>3458</v>
      </c>
    </row>
    <row r="4600" spans="12:13" x14ac:dyDescent="0.25">
      <c r="L4600" s="65">
        <v>921762</v>
      </c>
      <c r="M4600" t="s">
        <v>3459</v>
      </c>
    </row>
    <row r="4601" spans="12:13" x14ac:dyDescent="0.25">
      <c r="L4601" s="65">
        <v>921765</v>
      </c>
      <c r="M4601" t="s">
        <v>3460</v>
      </c>
    </row>
    <row r="4602" spans="12:13" x14ac:dyDescent="0.25">
      <c r="L4602" s="65">
        <v>921800</v>
      </c>
      <c r="M4602" t="s">
        <v>3461</v>
      </c>
    </row>
    <row r="4603" spans="12:13" x14ac:dyDescent="0.25">
      <c r="L4603" s="65">
        <v>921820</v>
      </c>
      <c r="M4603" t="s">
        <v>3462</v>
      </c>
    </row>
    <row r="4604" spans="12:13" x14ac:dyDescent="0.25">
      <c r="L4604" s="65">
        <v>921821</v>
      </c>
      <c r="M4604" t="s">
        <v>3462</v>
      </c>
    </row>
    <row r="4605" spans="12:13" x14ac:dyDescent="0.25">
      <c r="L4605" s="65">
        <v>921830</v>
      </c>
      <c r="M4605" t="s">
        <v>3463</v>
      </c>
    </row>
    <row r="4606" spans="12:13" x14ac:dyDescent="0.25">
      <c r="L4606" s="65">
        <v>921831</v>
      </c>
      <c r="M4606" t="s">
        <v>3463</v>
      </c>
    </row>
    <row r="4607" spans="12:13" x14ac:dyDescent="0.25">
      <c r="L4607" s="65">
        <v>921840</v>
      </c>
      <c r="M4607" t="s">
        <v>3464</v>
      </c>
    </row>
    <row r="4608" spans="12:13" x14ac:dyDescent="0.25">
      <c r="L4608" s="65">
        <v>921841</v>
      </c>
      <c r="M4608" t="s">
        <v>3464</v>
      </c>
    </row>
    <row r="4609" spans="12:13" x14ac:dyDescent="0.25">
      <c r="L4609" s="65">
        <v>921850</v>
      </c>
      <c r="M4609" t="s">
        <v>3465</v>
      </c>
    </row>
    <row r="4610" spans="12:13" x14ac:dyDescent="0.25">
      <c r="L4610" s="65">
        <v>921851</v>
      </c>
      <c r="M4610" t="s">
        <v>3465</v>
      </c>
    </row>
    <row r="4611" spans="12:13" x14ac:dyDescent="0.25">
      <c r="L4611" s="65">
        <v>921860</v>
      </c>
      <c r="M4611" t="s">
        <v>3466</v>
      </c>
    </row>
    <row r="4612" spans="12:13" x14ac:dyDescent="0.25">
      <c r="L4612" s="65">
        <v>921861</v>
      </c>
      <c r="M4612" t="s">
        <v>3467</v>
      </c>
    </row>
    <row r="4613" spans="12:13" x14ac:dyDescent="0.25">
      <c r="L4613" s="65">
        <v>921862</v>
      </c>
      <c r="M4613" t="s">
        <v>3468</v>
      </c>
    </row>
    <row r="4614" spans="12:13" x14ac:dyDescent="0.25">
      <c r="L4614" s="65">
        <v>921865</v>
      </c>
      <c r="M4614" t="s">
        <v>3469</v>
      </c>
    </row>
    <row r="4615" spans="12:13" x14ac:dyDescent="0.25">
      <c r="L4615" s="65">
        <v>921900</v>
      </c>
      <c r="M4615" t="s">
        <v>3470</v>
      </c>
    </row>
    <row r="4616" spans="12:13" x14ac:dyDescent="0.25">
      <c r="L4616" s="65">
        <v>921920</v>
      </c>
      <c r="M4616" t="s">
        <v>3471</v>
      </c>
    </row>
    <row r="4617" spans="12:13" x14ac:dyDescent="0.25">
      <c r="L4617" s="65">
        <v>921921</v>
      </c>
      <c r="M4617" t="s">
        <v>3472</v>
      </c>
    </row>
    <row r="4618" spans="12:13" x14ac:dyDescent="0.25">
      <c r="L4618" s="65">
        <v>921922</v>
      </c>
      <c r="M4618" t="s">
        <v>3473</v>
      </c>
    </row>
    <row r="4619" spans="12:13" x14ac:dyDescent="0.25">
      <c r="L4619" s="65">
        <v>921923</v>
      </c>
      <c r="M4619" t="s">
        <v>3474</v>
      </c>
    </row>
    <row r="4620" spans="12:13" x14ac:dyDescent="0.25">
      <c r="L4620" s="65">
        <v>921930</v>
      </c>
      <c r="M4620" t="s">
        <v>3475</v>
      </c>
    </row>
    <row r="4621" spans="12:13" x14ac:dyDescent="0.25">
      <c r="L4621" s="65">
        <v>921931</v>
      </c>
      <c r="M4621" t="s">
        <v>3476</v>
      </c>
    </row>
    <row r="4622" spans="12:13" x14ac:dyDescent="0.25">
      <c r="L4622" s="65">
        <v>921932</v>
      </c>
      <c r="M4622" t="s">
        <v>3477</v>
      </c>
    </row>
    <row r="4623" spans="12:13" x14ac:dyDescent="0.25">
      <c r="L4623" s="65">
        <v>921940</v>
      </c>
      <c r="M4623" t="s">
        <v>3478</v>
      </c>
    </row>
    <row r="4624" spans="12:13" x14ac:dyDescent="0.25">
      <c r="L4624" s="65">
        <v>921941</v>
      </c>
      <c r="M4624" t="s">
        <v>3478</v>
      </c>
    </row>
    <row r="4625" spans="12:13" x14ac:dyDescent="0.25">
      <c r="L4625" s="65">
        <v>921950</v>
      </c>
      <c r="M4625" t="s">
        <v>3480</v>
      </c>
    </row>
    <row r="4626" spans="12:13" x14ac:dyDescent="0.25">
      <c r="L4626" s="65">
        <v>921951</v>
      </c>
      <c r="M4626" t="s">
        <v>3480</v>
      </c>
    </row>
    <row r="4627" spans="12:13" x14ac:dyDescent="0.25">
      <c r="L4627" s="65">
        <v>921960</v>
      </c>
      <c r="M4627" t="s">
        <v>3481</v>
      </c>
    </row>
    <row r="4628" spans="12:13" x14ac:dyDescent="0.25">
      <c r="L4628" s="65">
        <v>921961</v>
      </c>
      <c r="M4628" t="s">
        <v>3482</v>
      </c>
    </row>
    <row r="4629" spans="12:13" x14ac:dyDescent="0.25">
      <c r="L4629" s="65">
        <v>921962</v>
      </c>
      <c r="M4629" t="s">
        <v>3483</v>
      </c>
    </row>
    <row r="4630" spans="12:13" x14ac:dyDescent="0.25">
      <c r="L4630" s="65">
        <v>921965</v>
      </c>
      <c r="M4630" t="s">
        <v>3484</v>
      </c>
    </row>
    <row r="4631" spans="12:13" x14ac:dyDescent="0.25">
      <c r="L4631" s="65">
        <v>922000</v>
      </c>
      <c r="M4631" t="s">
        <v>3485</v>
      </c>
    </row>
    <row r="4632" spans="12:13" x14ac:dyDescent="0.25">
      <c r="L4632" s="65">
        <v>922100</v>
      </c>
      <c r="M4632" t="s">
        <v>3486</v>
      </c>
    </row>
    <row r="4633" spans="12:13" x14ac:dyDescent="0.25">
      <c r="L4633" s="65">
        <v>922120</v>
      </c>
      <c r="M4633" t="s">
        <v>3487</v>
      </c>
    </row>
    <row r="4634" spans="12:13" x14ac:dyDescent="0.25">
      <c r="L4634" s="65">
        <v>922121</v>
      </c>
      <c r="M4634" t="s">
        <v>3487</v>
      </c>
    </row>
    <row r="4635" spans="12:13" x14ac:dyDescent="0.25">
      <c r="L4635" s="65">
        <v>922130</v>
      </c>
      <c r="M4635" t="s">
        <v>3488</v>
      </c>
    </row>
    <row r="4636" spans="12:13" x14ac:dyDescent="0.25">
      <c r="L4636" s="65">
        <v>922131</v>
      </c>
      <c r="M4636" t="s">
        <v>3489</v>
      </c>
    </row>
    <row r="4637" spans="12:13" x14ac:dyDescent="0.25">
      <c r="L4637" s="65">
        <v>922132</v>
      </c>
      <c r="M4637" t="s">
        <v>3490</v>
      </c>
    </row>
    <row r="4638" spans="12:13" x14ac:dyDescent="0.25">
      <c r="L4638" s="65">
        <v>922140</v>
      </c>
      <c r="M4638" t="s">
        <v>3491</v>
      </c>
    </row>
    <row r="4639" spans="12:13" x14ac:dyDescent="0.25">
      <c r="L4639" s="65">
        <v>922141</v>
      </c>
      <c r="M4639" t="s">
        <v>3491</v>
      </c>
    </row>
    <row r="4640" spans="12:13" x14ac:dyDescent="0.25">
      <c r="L4640" s="65">
        <v>922150</v>
      </c>
      <c r="M4640" t="s">
        <v>3492</v>
      </c>
    </row>
    <row r="4641" spans="12:13" x14ac:dyDescent="0.25">
      <c r="L4641" s="65">
        <v>922151</v>
      </c>
      <c r="M4641" t="s">
        <v>3492</v>
      </c>
    </row>
    <row r="4642" spans="12:13" x14ac:dyDescent="0.25">
      <c r="L4642" s="65">
        <v>922160</v>
      </c>
      <c r="M4642" t="s">
        <v>3493</v>
      </c>
    </row>
    <row r="4643" spans="12:13" x14ac:dyDescent="0.25">
      <c r="L4643" s="65">
        <v>922161</v>
      </c>
      <c r="M4643" t="s">
        <v>3494</v>
      </c>
    </row>
    <row r="4644" spans="12:13" x14ac:dyDescent="0.25">
      <c r="L4644" s="65">
        <v>922162</v>
      </c>
      <c r="M4644" t="s">
        <v>3495</v>
      </c>
    </row>
    <row r="4645" spans="12:13" x14ac:dyDescent="0.25">
      <c r="L4645" s="65">
        <v>922165</v>
      </c>
      <c r="M4645" t="s">
        <v>3496</v>
      </c>
    </row>
    <row r="4646" spans="12:13" x14ac:dyDescent="0.25">
      <c r="L4646" s="65">
        <v>922200</v>
      </c>
      <c r="M4646" t="s">
        <v>3497</v>
      </c>
    </row>
    <row r="4647" spans="12:13" x14ac:dyDescent="0.25">
      <c r="L4647" s="65">
        <v>922220</v>
      </c>
      <c r="M4647" t="s">
        <v>3498</v>
      </c>
    </row>
    <row r="4648" spans="12:13" x14ac:dyDescent="0.25">
      <c r="L4648" s="65">
        <v>922221</v>
      </c>
      <c r="M4648" t="s">
        <v>3498</v>
      </c>
    </row>
    <row r="4649" spans="12:13" x14ac:dyDescent="0.25">
      <c r="L4649" s="65">
        <v>922230</v>
      </c>
      <c r="M4649" t="s">
        <v>3499</v>
      </c>
    </row>
    <row r="4650" spans="12:13" x14ac:dyDescent="0.25">
      <c r="L4650" s="65">
        <v>922231</v>
      </c>
      <c r="M4650" t="s">
        <v>3499</v>
      </c>
    </row>
    <row r="4651" spans="12:13" x14ac:dyDescent="0.25">
      <c r="L4651" s="65">
        <v>922240</v>
      </c>
      <c r="M4651" t="s">
        <v>3500</v>
      </c>
    </row>
    <row r="4652" spans="12:13" x14ac:dyDescent="0.25">
      <c r="L4652" s="65">
        <v>922241</v>
      </c>
      <c r="M4652" t="s">
        <v>3500</v>
      </c>
    </row>
    <row r="4653" spans="12:13" x14ac:dyDescent="0.25">
      <c r="L4653" s="65">
        <v>922250</v>
      </c>
      <c r="M4653" t="s">
        <v>3501</v>
      </c>
    </row>
    <row r="4654" spans="12:13" x14ac:dyDescent="0.25">
      <c r="L4654" s="65">
        <v>922251</v>
      </c>
      <c r="M4654" t="s">
        <v>3501</v>
      </c>
    </row>
    <row r="4655" spans="12:13" x14ac:dyDescent="0.25">
      <c r="L4655" s="65">
        <v>922260</v>
      </c>
      <c r="M4655" t="s">
        <v>3502</v>
      </c>
    </row>
    <row r="4656" spans="12:13" x14ac:dyDescent="0.25">
      <c r="L4656" s="65">
        <v>922261</v>
      </c>
      <c r="M4656" t="s">
        <v>3503</v>
      </c>
    </row>
    <row r="4657" spans="12:13" x14ac:dyDescent="0.25">
      <c r="L4657" s="65">
        <v>922262</v>
      </c>
      <c r="M4657" t="s">
        <v>3504</v>
      </c>
    </row>
    <row r="4658" spans="12:13" x14ac:dyDescent="0.25">
      <c r="L4658" s="65">
        <v>922265</v>
      </c>
      <c r="M4658" t="s">
        <v>3505</v>
      </c>
    </row>
    <row r="4659" spans="12:13" x14ac:dyDescent="0.25">
      <c r="L4659" s="65">
        <v>922300</v>
      </c>
      <c r="M4659" t="s">
        <v>3506</v>
      </c>
    </row>
    <row r="4660" spans="12:13" x14ac:dyDescent="0.25">
      <c r="L4660" s="65">
        <v>922320</v>
      </c>
      <c r="M4660" t="s">
        <v>3507</v>
      </c>
    </row>
    <row r="4661" spans="12:13" x14ac:dyDescent="0.25">
      <c r="L4661" s="65">
        <v>922321</v>
      </c>
      <c r="M4661" t="s">
        <v>3507</v>
      </c>
    </row>
    <row r="4662" spans="12:13" x14ac:dyDescent="0.25">
      <c r="L4662" s="65">
        <v>922330</v>
      </c>
      <c r="M4662" t="s">
        <v>3508</v>
      </c>
    </row>
    <row r="4663" spans="12:13" x14ac:dyDescent="0.25">
      <c r="L4663" s="65">
        <v>922331</v>
      </c>
      <c r="M4663" t="s">
        <v>3508</v>
      </c>
    </row>
    <row r="4664" spans="12:13" x14ac:dyDescent="0.25">
      <c r="L4664" s="65">
        <v>922340</v>
      </c>
      <c r="M4664" t="s">
        <v>3509</v>
      </c>
    </row>
    <row r="4665" spans="12:13" x14ac:dyDescent="0.25">
      <c r="L4665" s="65">
        <v>922341</v>
      </c>
      <c r="M4665" t="s">
        <v>3509</v>
      </c>
    </row>
    <row r="4666" spans="12:13" x14ac:dyDescent="0.25">
      <c r="L4666" s="65">
        <v>922350</v>
      </c>
      <c r="M4666" t="s">
        <v>3510</v>
      </c>
    </row>
    <row r="4667" spans="12:13" x14ac:dyDescent="0.25">
      <c r="L4667" s="65">
        <v>922351</v>
      </c>
      <c r="M4667" t="s">
        <v>3510</v>
      </c>
    </row>
    <row r="4668" spans="12:13" x14ac:dyDescent="0.25">
      <c r="L4668" s="65">
        <v>922360</v>
      </c>
      <c r="M4668" t="s">
        <v>3511</v>
      </c>
    </row>
    <row r="4669" spans="12:13" x14ac:dyDescent="0.25">
      <c r="L4669" s="65">
        <v>922361</v>
      </c>
      <c r="M4669" t="s">
        <v>3512</v>
      </c>
    </row>
    <row r="4670" spans="12:13" x14ac:dyDescent="0.25">
      <c r="L4670" s="65">
        <v>922362</v>
      </c>
      <c r="M4670" t="s">
        <v>3513</v>
      </c>
    </row>
    <row r="4671" spans="12:13" x14ac:dyDescent="0.25">
      <c r="L4671" s="65">
        <v>922365</v>
      </c>
      <c r="M4671" t="s">
        <v>3514</v>
      </c>
    </row>
    <row r="4672" spans="12:13" x14ac:dyDescent="0.25">
      <c r="L4672" s="65">
        <v>922400</v>
      </c>
      <c r="M4672" t="s">
        <v>3515</v>
      </c>
    </row>
    <row r="4673" spans="12:13" x14ac:dyDescent="0.25">
      <c r="L4673" s="65">
        <v>922420</v>
      </c>
      <c r="M4673" t="s">
        <v>3516</v>
      </c>
    </row>
    <row r="4674" spans="12:13" x14ac:dyDescent="0.25">
      <c r="L4674" s="65">
        <v>922421</v>
      </c>
      <c r="M4674" t="s">
        <v>3516</v>
      </c>
    </row>
    <row r="4675" spans="12:13" x14ac:dyDescent="0.25">
      <c r="L4675" s="65">
        <v>922430</v>
      </c>
      <c r="M4675" t="s">
        <v>3517</v>
      </c>
    </row>
    <row r="4676" spans="12:13" x14ac:dyDescent="0.25">
      <c r="L4676" s="65">
        <v>922431</v>
      </c>
      <c r="M4676" t="s">
        <v>3517</v>
      </c>
    </row>
    <row r="4677" spans="12:13" x14ac:dyDescent="0.25">
      <c r="L4677" s="65">
        <v>922440</v>
      </c>
      <c r="M4677" t="s">
        <v>3518</v>
      </c>
    </row>
    <row r="4678" spans="12:13" x14ac:dyDescent="0.25">
      <c r="L4678" s="65">
        <v>922441</v>
      </c>
      <c r="M4678" t="s">
        <v>3518</v>
      </c>
    </row>
    <row r="4679" spans="12:13" x14ac:dyDescent="0.25">
      <c r="L4679" s="65">
        <v>922450</v>
      </c>
      <c r="M4679" t="s">
        <v>3519</v>
      </c>
    </row>
    <row r="4680" spans="12:13" x14ac:dyDescent="0.25">
      <c r="L4680" s="65">
        <v>922451</v>
      </c>
      <c r="M4680" t="s">
        <v>3519</v>
      </c>
    </row>
    <row r="4681" spans="12:13" x14ac:dyDescent="0.25">
      <c r="L4681" s="65">
        <v>922460</v>
      </c>
      <c r="M4681" t="s">
        <v>3520</v>
      </c>
    </row>
    <row r="4682" spans="12:13" x14ac:dyDescent="0.25">
      <c r="L4682" s="65">
        <v>922461</v>
      </c>
      <c r="M4682" t="s">
        <v>3521</v>
      </c>
    </row>
    <row r="4683" spans="12:13" x14ac:dyDescent="0.25">
      <c r="L4683" s="65">
        <v>922462</v>
      </c>
      <c r="M4683" t="s">
        <v>3522</v>
      </c>
    </row>
    <row r="4684" spans="12:13" x14ac:dyDescent="0.25">
      <c r="L4684" s="65">
        <v>922465</v>
      </c>
      <c r="M4684" t="s">
        <v>3523</v>
      </c>
    </row>
    <row r="4685" spans="12:13" x14ac:dyDescent="0.25">
      <c r="L4685" s="65">
        <v>922500</v>
      </c>
      <c r="M4685" t="s">
        <v>3524</v>
      </c>
    </row>
    <row r="4686" spans="12:13" x14ac:dyDescent="0.25">
      <c r="L4686" s="65">
        <v>922520</v>
      </c>
      <c r="M4686" t="s">
        <v>3525</v>
      </c>
    </row>
    <row r="4687" spans="12:13" x14ac:dyDescent="0.25">
      <c r="L4687" s="65">
        <v>922521</v>
      </c>
      <c r="M4687" t="s">
        <v>3525</v>
      </c>
    </row>
    <row r="4688" spans="12:13" x14ac:dyDescent="0.25">
      <c r="L4688" s="65">
        <v>922530</v>
      </c>
      <c r="M4688" t="s">
        <v>3526</v>
      </c>
    </row>
    <row r="4689" spans="12:13" x14ac:dyDescent="0.25">
      <c r="L4689" s="65">
        <v>922531</v>
      </c>
      <c r="M4689" t="s">
        <v>3526</v>
      </c>
    </row>
    <row r="4690" spans="12:13" x14ac:dyDescent="0.25">
      <c r="L4690" s="65">
        <v>922540</v>
      </c>
      <c r="M4690" t="s">
        <v>3527</v>
      </c>
    </row>
    <row r="4691" spans="12:13" x14ac:dyDescent="0.25">
      <c r="L4691" s="65">
        <v>922541</v>
      </c>
      <c r="M4691" t="s">
        <v>3527</v>
      </c>
    </row>
    <row r="4692" spans="12:13" x14ac:dyDescent="0.25">
      <c r="L4692" s="65">
        <v>922550</v>
      </c>
      <c r="M4692" t="s">
        <v>3528</v>
      </c>
    </row>
    <row r="4693" spans="12:13" x14ac:dyDescent="0.25">
      <c r="L4693" s="65">
        <v>922551</v>
      </c>
      <c r="M4693" t="s">
        <v>3528</v>
      </c>
    </row>
    <row r="4694" spans="12:13" x14ac:dyDescent="0.25">
      <c r="L4694" s="65">
        <v>922560</v>
      </c>
      <c r="M4694" t="s">
        <v>3529</v>
      </c>
    </row>
    <row r="4695" spans="12:13" x14ac:dyDescent="0.25">
      <c r="L4695" s="65">
        <v>922561</v>
      </c>
      <c r="M4695" t="s">
        <v>3530</v>
      </c>
    </row>
    <row r="4696" spans="12:13" x14ac:dyDescent="0.25">
      <c r="L4696" s="65">
        <v>922562</v>
      </c>
      <c r="M4696" t="s">
        <v>3531</v>
      </c>
    </row>
    <row r="4697" spans="12:13" x14ac:dyDescent="0.25">
      <c r="L4697" s="65">
        <v>922565</v>
      </c>
      <c r="M4697" t="s">
        <v>3532</v>
      </c>
    </row>
    <row r="4698" spans="12:13" x14ac:dyDescent="0.25">
      <c r="L4698" s="65">
        <v>922600</v>
      </c>
      <c r="M4698" t="s">
        <v>3533</v>
      </c>
    </row>
    <row r="4699" spans="12:13" x14ac:dyDescent="0.25">
      <c r="L4699" s="65">
        <v>922620</v>
      </c>
      <c r="M4699" t="s">
        <v>3534</v>
      </c>
    </row>
    <row r="4700" spans="12:13" x14ac:dyDescent="0.25">
      <c r="L4700" s="65">
        <v>922621</v>
      </c>
      <c r="M4700" t="s">
        <v>3534</v>
      </c>
    </row>
    <row r="4701" spans="12:13" x14ac:dyDescent="0.25">
      <c r="L4701" s="65">
        <v>922630</v>
      </c>
      <c r="M4701" t="s">
        <v>3535</v>
      </c>
    </row>
    <row r="4702" spans="12:13" x14ac:dyDescent="0.25">
      <c r="L4702" s="65">
        <v>922631</v>
      </c>
      <c r="M4702" t="s">
        <v>3535</v>
      </c>
    </row>
    <row r="4703" spans="12:13" x14ac:dyDescent="0.25">
      <c r="L4703" s="65">
        <v>922640</v>
      </c>
      <c r="M4703" t="s">
        <v>3536</v>
      </c>
    </row>
    <row r="4704" spans="12:13" x14ac:dyDescent="0.25">
      <c r="L4704" s="65">
        <v>922641</v>
      </c>
      <c r="M4704" t="s">
        <v>3536</v>
      </c>
    </row>
    <row r="4705" spans="12:13" x14ac:dyDescent="0.25">
      <c r="L4705" s="65">
        <v>922650</v>
      </c>
      <c r="M4705" t="s">
        <v>3537</v>
      </c>
    </row>
    <row r="4706" spans="12:13" x14ac:dyDescent="0.25">
      <c r="L4706" s="65">
        <v>922651</v>
      </c>
      <c r="M4706" t="s">
        <v>3537</v>
      </c>
    </row>
    <row r="4707" spans="12:13" x14ac:dyDescent="0.25">
      <c r="L4707" s="65">
        <v>922660</v>
      </c>
      <c r="M4707" t="s">
        <v>3538</v>
      </c>
    </row>
    <row r="4708" spans="12:13" x14ac:dyDescent="0.25">
      <c r="L4708" s="65">
        <v>922661</v>
      </c>
      <c r="M4708" t="s">
        <v>3539</v>
      </c>
    </row>
    <row r="4709" spans="12:13" x14ac:dyDescent="0.25">
      <c r="L4709" s="65">
        <v>922662</v>
      </c>
      <c r="M4709" t="s">
        <v>3540</v>
      </c>
    </row>
    <row r="4710" spans="12:13" x14ac:dyDescent="0.25">
      <c r="L4710" s="65">
        <v>922665</v>
      </c>
      <c r="M4710" t="s">
        <v>3541</v>
      </c>
    </row>
    <row r="4711" spans="12:13" x14ac:dyDescent="0.25">
      <c r="L4711" s="65">
        <v>922700</v>
      </c>
      <c r="M4711" t="s">
        <v>3542</v>
      </c>
    </row>
    <row r="4712" spans="12:13" x14ac:dyDescent="0.25">
      <c r="L4712" s="65">
        <v>922720</v>
      </c>
      <c r="M4712" t="s">
        <v>3543</v>
      </c>
    </row>
    <row r="4713" spans="12:13" x14ac:dyDescent="0.25">
      <c r="L4713" s="65">
        <v>922721</v>
      </c>
      <c r="M4713" t="s">
        <v>3543</v>
      </c>
    </row>
    <row r="4714" spans="12:13" x14ac:dyDescent="0.25">
      <c r="L4714" s="65">
        <v>922730</v>
      </c>
      <c r="M4714" t="s">
        <v>3544</v>
      </c>
    </row>
    <row r="4715" spans="12:13" x14ac:dyDescent="0.25">
      <c r="L4715" s="65">
        <v>922731</v>
      </c>
      <c r="M4715" t="s">
        <v>3545</v>
      </c>
    </row>
    <row r="4716" spans="12:13" x14ac:dyDescent="0.25">
      <c r="L4716" s="65">
        <v>922732</v>
      </c>
      <c r="M4716" t="s">
        <v>3546</v>
      </c>
    </row>
    <row r="4717" spans="12:13" x14ac:dyDescent="0.25">
      <c r="L4717" s="65">
        <v>922740</v>
      </c>
      <c r="M4717" t="s">
        <v>3547</v>
      </c>
    </row>
    <row r="4718" spans="12:13" x14ac:dyDescent="0.25">
      <c r="L4718" s="65">
        <v>922741</v>
      </c>
      <c r="M4718" t="s">
        <v>3547</v>
      </c>
    </row>
    <row r="4719" spans="12:13" x14ac:dyDescent="0.25">
      <c r="L4719" s="65">
        <v>922750</v>
      </c>
      <c r="M4719" t="s">
        <v>3548</v>
      </c>
    </row>
    <row r="4720" spans="12:13" x14ac:dyDescent="0.25">
      <c r="L4720" s="65">
        <v>922751</v>
      </c>
      <c r="M4720" t="s">
        <v>3548</v>
      </c>
    </row>
    <row r="4721" spans="12:13" x14ac:dyDescent="0.25">
      <c r="L4721" s="65">
        <v>922760</v>
      </c>
      <c r="M4721" t="s">
        <v>3549</v>
      </c>
    </row>
    <row r="4722" spans="12:13" x14ac:dyDescent="0.25">
      <c r="L4722" s="65">
        <v>922761</v>
      </c>
      <c r="M4722" t="s">
        <v>3550</v>
      </c>
    </row>
    <row r="4723" spans="12:13" x14ac:dyDescent="0.25">
      <c r="L4723" s="65">
        <v>922762</v>
      </c>
      <c r="M4723" t="s">
        <v>3551</v>
      </c>
    </row>
    <row r="4724" spans="12:13" x14ac:dyDescent="0.25">
      <c r="L4724" s="65">
        <v>922765</v>
      </c>
      <c r="M4724" t="s">
        <v>3552</v>
      </c>
    </row>
    <row r="4725" spans="12:13" x14ac:dyDescent="0.25">
      <c r="L4725" s="65">
        <v>922800</v>
      </c>
      <c r="M4725" t="s">
        <v>1213</v>
      </c>
    </row>
    <row r="4726" spans="12:13" x14ac:dyDescent="0.25">
      <c r="L4726" s="65">
        <v>922810</v>
      </c>
      <c r="M4726" t="s">
        <v>1213</v>
      </c>
    </row>
    <row r="4727" spans="12:13" x14ac:dyDescent="0.25">
      <c r="L4727" s="65">
        <v>922811</v>
      </c>
      <c r="M4727" t="s">
        <v>1213</v>
      </c>
    </row>
    <row r="4728" spans="12:13" x14ac:dyDescent="0.25">
      <c r="L4728" s="65">
        <v>990000</v>
      </c>
      <c r="M4728" t="s">
        <v>3553</v>
      </c>
    </row>
    <row r="4729" spans="12:13" x14ac:dyDescent="0.25">
      <c r="L4729" s="65">
        <v>999000</v>
      </c>
      <c r="M4729" t="s">
        <v>3553</v>
      </c>
    </row>
    <row r="4730" spans="12:13" x14ac:dyDescent="0.25">
      <c r="L4730" s="65">
        <v>999900</v>
      </c>
      <c r="M4730" t="s">
        <v>3553</v>
      </c>
    </row>
    <row r="4731" spans="12:13" x14ac:dyDescent="0.25">
      <c r="L4731" s="65">
        <v>999990</v>
      </c>
      <c r="M4731" t="s">
        <v>3553</v>
      </c>
    </row>
    <row r="4732" spans="12:13" x14ac:dyDescent="0.25">
      <c r="L4732" s="65">
        <v>999999</v>
      </c>
      <c r="M4732" t="s">
        <v>3553</v>
      </c>
    </row>
  </sheetData>
  <autoFilter ref="L2:M4732"/>
  <mergeCells count="3">
    <mergeCell ref="A1:B1"/>
    <mergeCell ref="G1:H1"/>
    <mergeCell ref="L1:M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election activeCell="E16" sqref="E16"/>
    </sheetView>
  </sheetViews>
  <sheetFormatPr defaultRowHeight="15" x14ac:dyDescent="0.25"/>
  <cols>
    <col min="2" max="2" width="11.85546875" customWidth="1"/>
  </cols>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74" t="s">
        <v>3756</v>
      </c>
      <c r="F1" s="74" t="s">
        <v>4124</v>
      </c>
    </row>
    <row r="2" spans="1:6" x14ac:dyDescent="0.25">
      <c r="A2" s="7">
        <v>1</v>
      </c>
      <c r="B2" s="6">
        <v>2</v>
      </c>
      <c r="C2" s="6">
        <v>3</v>
      </c>
      <c r="D2" s="6">
        <v>4</v>
      </c>
      <c r="E2" s="6">
        <v>5</v>
      </c>
      <c r="F2" s="250">
        <v>6</v>
      </c>
    </row>
    <row r="3" spans="1:6" ht="28.5" x14ac:dyDescent="0.25">
      <c r="A3" s="41" t="s">
        <v>25</v>
      </c>
      <c r="B3" s="18" t="s">
        <v>26</v>
      </c>
      <c r="C3" s="12" t="s">
        <v>27</v>
      </c>
      <c r="D3" s="19"/>
      <c r="E3" s="75"/>
      <c r="F3" s="75"/>
    </row>
    <row r="4" spans="1:6" x14ac:dyDescent="0.25">
      <c r="A4" s="42" t="s">
        <v>15</v>
      </c>
      <c r="B4" s="20" t="s">
        <v>28</v>
      </c>
      <c r="C4" s="21">
        <v>71</v>
      </c>
      <c r="D4" s="22"/>
      <c r="E4" s="76"/>
      <c r="F4" s="76"/>
    </row>
    <row r="5" spans="1:6" ht="30" x14ac:dyDescent="0.25">
      <c r="A5" s="13" t="s">
        <v>29</v>
      </c>
      <c r="B5" s="23" t="s">
        <v>30</v>
      </c>
      <c r="C5" s="17">
        <v>711</v>
      </c>
      <c r="D5" s="24"/>
      <c r="E5" s="77"/>
      <c r="F5" s="77"/>
    </row>
    <row r="6" spans="1:6" x14ac:dyDescent="0.25">
      <c r="A6" s="13" t="s">
        <v>31</v>
      </c>
      <c r="B6" s="23" t="s">
        <v>32</v>
      </c>
      <c r="C6" s="17">
        <v>711180</v>
      </c>
      <c r="D6" s="24"/>
      <c r="E6" s="77"/>
      <c r="F6" s="77"/>
    </row>
    <row r="7" spans="1:6" x14ac:dyDescent="0.25">
      <c r="A7" s="13" t="s">
        <v>33</v>
      </c>
      <c r="B7" s="23" t="s">
        <v>34</v>
      </c>
      <c r="C7" s="17">
        <v>713</v>
      </c>
      <c r="D7" s="24"/>
      <c r="E7" s="77"/>
      <c r="F7" s="77"/>
    </row>
    <row r="8" spans="1:6" x14ac:dyDescent="0.25">
      <c r="A8" s="13" t="s">
        <v>35</v>
      </c>
      <c r="B8" s="23" t="s">
        <v>36</v>
      </c>
      <c r="C8" s="17"/>
      <c r="D8" s="24"/>
      <c r="E8" s="77"/>
      <c r="F8" s="77"/>
    </row>
    <row r="9" spans="1:6" x14ac:dyDescent="0.25">
      <c r="A9" s="43" t="s">
        <v>16</v>
      </c>
      <c r="B9" s="25" t="s">
        <v>37</v>
      </c>
      <c r="C9" s="26">
        <v>74</v>
      </c>
      <c r="D9" s="27"/>
      <c r="E9" s="78"/>
      <c r="F9" s="78"/>
    </row>
    <row r="10" spans="1:6" x14ac:dyDescent="0.25">
      <c r="A10" s="44" t="s">
        <v>38</v>
      </c>
      <c r="B10" s="28" t="s">
        <v>39</v>
      </c>
      <c r="C10" s="29">
        <v>741510</v>
      </c>
      <c r="D10" s="30"/>
      <c r="E10" s="79"/>
      <c r="F10" s="79"/>
    </row>
    <row r="11" spans="1:6" x14ac:dyDescent="0.25">
      <c r="A11" s="45" t="s">
        <v>40</v>
      </c>
      <c r="B11" s="28" t="s">
        <v>41</v>
      </c>
      <c r="C11" s="29">
        <v>741520</v>
      </c>
      <c r="D11" s="30"/>
      <c r="E11" s="79"/>
      <c r="F11" s="79"/>
    </row>
    <row r="12" spans="1:6" x14ac:dyDescent="0.25">
      <c r="A12" s="45" t="s">
        <v>40</v>
      </c>
      <c r="B12" s="28" t="s">
        <v>42</v>
      </c>
      <c r="C12" s="29">
        <v>741534</v>
      </c>
      <c r="D12" s="30"/>
      <c r="E12" s="79"/>
      <c r="F12" s="79"/>
    </row>
    <row r="13" spans="1:6" x14ac:dyDescent="0.25">
      <c r="A13" s="45" t="s">
        <v>44</v>
      </c>
      <c r="B13" s="31" t="s">
        <v>43</v>
      </c>
      <c r="C13" s="29">
        <v>741542</v>
      </c>
      <c r="D13" s="30"/>
      <c r="E13" s="79"/>
      <c r="F13" s="79"/>
    </row>
    <row r="14" spans="1:6" x14ac:dyDescent="0.25">
      <c r="A14" s="45" t="s">
        <v>46</v>
      </c>
      <c r="B14" s="47" t="s">
        <v>45</v>
      </c>
      <c r="C14" s="48">
        <v>741411</v>
      </c>
      <c r="D14" s="30"/>
      <c r="E14" s="79"/>
      <c r="F14" s="79"/>
    </row>
    <row r="15" spans="1:6" x14ac:dyDescent="0.25">
      <c r="A15" s="45" t="s">
        <v>48</v>
      </c>
      <c r="B15" s="47" t="s">
        <v>47</v>
      </c>
      <c r="C15" s="49">
        <v>742252</v>
      </c>
      <c r="D15" s="30"/>
      <c r="E15" s="79"/>
      <c r="F15" s="79"/>
    </row>
    <row r="16" spans="1:6" x14ac:dyDescent="0.25">
      <c r="A16" s="45" t="s">
        <v>50</v>
      </c>
      <c r="B16" s="47" t="s">
        <v>49</v>
      </c>
      <c r="C16" s="49">
        <v>742253</v>
      </c>
      <c r="D16" s="30"/>
      <c r="E16" s="79"/>
      <c r="F16" s="79"/>
    </row>
    <row r="17" spans="1:6" ht="45" x14ac:dyDescent="0.25">
      <c r="A17" s="45" t="s">
        <v>91</v>
      </c>
      <c r="B17" s="50" t="s">
        <v>51</v>
      </c>
      <c r="C17" s="49">
        <v>742340</v>
      </c>
      <c r="D17" s="30"/>
      <c r="E17" s="79"/>
      <c r="F17" s="79"/>
    </row>
    <row r="18" spans="1:6" x14ac:dyDescent="0.25">
      <c r="A18" s="8" t="s">
        <v>92</v>
      </c>
      <c r="B18" s="50" t="s">
        <v>52</v>
      </c>
      <c r="C18" s="51"/>
      <c r="D18" s="30"/>
      <c r="E18" s="79"/>
      <c r="F18" s="79"/>
    </row>
    <row r="19" spans="1:6" x14ac:dyDescent="0.25">
      <c r="A19" s="46" t="s">
        <v>17</v>
      </c>
      <c r="B19" s="32" t="s">
        <v>53</v>
      </c>
      <c r="C19" s="33" t="s">
        <v>54</v>
      </c>
      <c r="D19" s="34"/>
      <c r="E19" s="80"/>
      <c r="F19" s="80"/>
    </row>
    <row r="20" spans="1:6" x14ac:dyDescent="0.25">
      <c r="A20" s="42" t="s">
        <v>18</v>
      </c>
      <c r="B20" s="20" t="s">
        <v>55</v>
      </c>
      <c r="C20" s="21">
        <v>733</v>
      </c>
      <c r="D20" s="22"/>
      <c r="E20" s="76"/>
      <c r="F20" s="76"/>
    </row>
    <row r="21" spans="1:6" x14ac:dyDescent="0.25">
      <c r="A21" s="42" t="s">
        <v>19</v>
      </c>
      <c r="B21" s="20" t="s">
        <v>56</v>
      </c>
      <c r="C21" s="21">
        <v>771</v>
      </c>
      <c r="D21" s="22"/>
      <c r="E21" s="76"/>
      <c r="F21" s="76"/>
    </row>
    <row r="22" spans="1:6" x14ac:dyDescent="0.25">
      <c r="A22" s="42" t="s">
        <v>20</v>
      </c>
      <c r="B22" s="20" t="s">
        <v>57</v>
      </c>
      <c r="C22" s="21">
        <v>8</v>
      </c>
      <c r="D22" s="22"/>
      <c r="E22" s="76"/>
      <c r="F22" s="76"/>
    </row>
    <row r="23" spans="1:6" ht="28.5" x14ac:dyDescent="0.25">
      <c r="A23" s="11" t="s">
        <v>58</v>
      </c>
      <c r="B23" s="18" t="s">
        <v>59</v>
      </c>
      <c r="C23" s="12" t="s">
        <v>60</v>
      </c>
      <c r="D23" s="19"/>
      <c r="E23" s="75"/>
      <c r="F23" s="75"/>
    </row>
    <row r="24" spans="1:6" x14ac:dyDescent="0.25">
      <c r="A24" s="42" t="s">
        <v>15</v>
      </c>
      <c r="B24" s="20" t="s">
        <v>61</v>
      </c>
      <c r="C24" s="21" t="s">
        <v>62</v>
      </c>
      <c r="D24" s="22"/>
      <c r="E24" s="76"/>
      <c r="F24" s="76"/>
    </row>
    <row r="25" spans="1:6" x14ac:dyDescent="0.25">
      <c r="A25" s="13" t="s">
        <v>29</v>
      </c>
      <c r="B25" s="23" t="s">
        <v>63</v>
      </c>
      <c r="C25" s="17">
        <v>41</v>
      </c>
      <c r="D25" s="24"/>
      <c r="E25" s="77"/>
      <c r="F25" s="77"/>
    </row>
    <row r="26" spans="1:6" x14ac:dyDescent="0.25">
      <c r="A26" s="13" t="s">
        <v>31</v>
      </c>
      <c r="B26" s="23" t="s">
        <v>64</v>
      </c>
      <c r="C26" s="17">
        <v>42</v>
      </c>
      <c r="D26" s="24"/>
      <c r="E26" s="77"/>
      <c r="F26" s="77"/>
    </row>
    <row r="27" spans="1:6" x14ac:dyDescent="0.25">
      <c r="A27" s="13" t="s">
        <v>33</v>
      </c>
      <c r="B27" s="23" t="s">
        <v>65</v>
      </c>
      <c r="C27" s="17">
        <v>43</v>
      </c>
      <c r="D27" s="24"/>
      <c r="E27" s="77"/>
      <c r="F27" s="77"/>
    </row>
    <row r="28" spans="1:6" x14ac:dyDescent="0.25">
      <c r="A28" s="13" t="s">
        <v>66</v>
      </c>
      <c r="B28" s="23" t="s">
        <v>67</v>
      </c>
      <c r="C28" s="17">
        <v>44</v>
      </c>
      <c r="D28" s="24"/>
      <c r="E28" s="77"/>
      <c r="F28" s="77"/>
    </row>
    <row r="29" spans="1:6" x14ac:dyDescent="0.25">
      <c r="A29" s="13" t="s">
        <v>68</v>
      </c>
      <c r="B29" s="23" t="s">
        <v>69</v>
      </c>
      <c r="C29" s="17">
        <v>45</v>
      </c>
      <c r="D29" s="24"/>
      <c r="E29" s="77"/>
      <c r="F29" s="77"/>
    </row>
    <row r="30" spans="1:6" x14ac:dyDescent="0.25">
      <c r="A30" s="13" t="s">
        <v>35</v>
      </c>
      <c r="B30" s="23" t="s">
        <v>70</v>
      </c>
      <c r="C30" s="17">
        <v>47</v>
      </c>
      <c r="D30" s="24"/>
      <c r="E30" s="77"/>
      <c r="F30" s="77"/>
    </row>
    <row r="31" spans="1:6" x14ac:dyDescent="0.25">
      <c r="A31" s="13" t="s">
        <v>71</v>
      </c>
      <c r="B31" s="23" t="s">
        <v>72</v>
      </c>
      <c r="C31" s="17" t="s">
        <v>73</v>
      </c>
      <c r="D31" s="24"/>
      <c r="E31" s="77"/>
      <c r="F31" s="77"/>
    </row>
    <row r="32" spans="1:6" x14ac:dyDescent="0.25">
      <c r="A32" s="42" t="s">
        <v>16</v>
      </c>
      <c r="B32" s="20" t="s">
        <v>55</v>
      </c>
      <c r="C32" s="21">
        <v>463</v>
      </c>
      <c r="D32" s="22"/>
      <c r="E32" s="76"/>
      <c r="F32" s="76"/>
    </row>
    <row r="33" spans="1:6" x14ac:dyDescent="0.25">
      <c r="A33" s="42" t="s">
        <v>17</v>
      </c>
      <c r="B33" s="20" t="s">
        <v>74</v>
      </c>
      <c r="C33" s="21">
        <v>5</v>
      </c>
      <c r="D33" s="22"/>
      <c r="E33" s="76"/>
      <c r="F33" s="76"/>
    </row>
    <row r="34" spans="1:6" x14ac:dyDescent="0.25">
      <c r="A34" s="42" t="s">
        <v>18</v>
      </c>
      <c r="B34" s="20" t="s">
        <v>75</v>
      </c>
      <c r="C34" s="21">
        <v>62</v>
      </c>
      <c r="D34" s="22"/>
      <c r="E34" s="76"/>
      <c r="F34" s="76"/>
    </row>
    <row r="35" spans="1:6" ht="28.5" x14ac:dyDescent="0.25">
      <c r="A35" s="11" t="s">
        <v>76</v>
      </c>
      <c r="B35" s="18" t="s">
        <v>77</v>
      </c>
      <c r="C35" s="12">
        <v>9</v>
      </c>
      <c r="D35" s="19"/>
      <c r="E35" s="75"/>
      <c r="F35" s="75"/>
    </row>
    <row r="36" spans="1:6" x14ac:dyDescent="0.25">
      <c r="A36" s="42" t="s">
        <v>15</v>
      </c>
      <c r="B36" s="20" t="s">
        <v>78</v>
      </c>
      <c r="C36" s="21">
        <v>91</v>
      </c>
      <c r="D36" s="22"/>
      <c r="E36" s="76"/>
      <c r="F36" s="76"/>
    </row>
    <row r="37" spans="1:6" x14ac:dyDescent="0.25">
      <c r="A37" s="13" t="s">
        <v>29</v>
      </c>
      <c r="B37" s="23" t="s">
        <v>79</v>
      </c>
      <c r="C37" s="17">
        <v>911</v>
      </c>
      <c r="D37" s="24"/>
      <c r="E37" s="77"/>
      <c r="F37" s="77"/>
    </row>
    <row r="38" spans="1:6" x14ac:dyDescent="0.25">
      <c r="A38" s="13" t="s">
        <v>31</v>
      </c>
      <c r="B38" s="23" t="s">
        <v>80</v>
      </c>
      <c r="C38" s="17">
        <v>912</v>
      </c>
      <c r="D38" s="24"/>
      <c r="E38" s="77"/>
      <c r="F38" s="77"/>
    </row>
    <row r="39" spans="1:6" ht="28.5" x14ac:dyDescent="0.25">
      <c r="A39" s="42" t="s">
        <v>16</v>
      </c>
      <c r="B39" s="20" t="s">
        <v>81</v>
      </c>
      <c r="C39" s="21">
        <v>92</v>
      </c>
      <c r="D39" s="22"/>
      <c r="E39" s="76"/>
      <c r="F39" s="76"/>
    </row>
    <row r="40" spans="1:6" ht="28.5" x14ac:dyDescent="0.25">
      <c r="A40" s="11" t="s">
        <v>82</v>
      </c>
      <c r="B40" s="18" t="s">
        <v>83</v>
      </c>
      <c r="C40" s="12">
        <v>6</v>
      </c>
      <c r="D40" s="19"/>
      <c r="E40" s="75"/>
      <c r="F40" s="75"/>
    </row>
    <row r="41" spans="1:6" x14ac:dyDescent="0.25">
      <c r="A41" s="42" t="s">
        <v>15</v>
      </c>
      <c r="B41" s="20" t="s">
        <v>84</v>
      </c>
      <c r="C41" s="21">
        <v>61</v>
      </c>
      <c r="D41" s="22"/>
      <c r="E41" s="76"/>
      <c r="F41" s="76"/>
    </row>
    <row r="42" spans="1:6" x14ac:dyDescent="0.25">
      <c r="A42" s="13" t="s">
        <v>29</v>
      </c>
      <c r="B42" s="23" t="s">
        <v>85</v>
      </c>
      <c r="C42" s="35">
        <v>611</v>
      </c>
      <c r="D42" s="36"/>
      <c r="E42" s="81"/>
      <c r="F42" s="81"/>
    </row>
    <row r="43" spans="1:6" x14ac:dyDescent="0.25">
      <c r="A43" s="13" t="s">
        <v>31</v>
      </c>
      <c r="B43" s="23" t="s">
        <v>86</v>
      </c>
      <c r="C43" s="35">
        <v>612</v>
      </c>
      <c r="D43" s="36"/>
      <c r="E43" s="81"/>
      <c r="F43" s="81"/>
    </row>
    <row r="44" spans="1:6" x14ac:dyDescent="0.25">
      <c r="A44" s="13" t="s">
        <v>33</v>
      </c>
      <c r="B44" s="23" t="s">
        <v>87</v>
      </c>
      <c r="C44" s="35">
        <v>613</v>
      </c>
      <c r="D44" s="36"/>
      <c r="E44" s="81"/>
      <c r="F44" s="81"/>
    </row>
    <row r="45" spans="1:6" x14ac:dyDescent="0.25">
      <c r="A45" s="42" t="s">
        <v>16</v>
      </c>
      <c r="B45" s="20" t="s">
        <v>88</v>
      </c>
      <c r="C45" s="37">
        <v>6211</v>
      </c>
      <c r="D45" s="38"/>
      <c r="E45" s="82"/>
      <c r="F45" s="82"/>
    </row>
    <row r="46" spans="1:6" x14ac:dyDescent="0.25">
      <c r="A46" s="10"/>
      <c r="B46" s="9"/>
      <c r="C46" s="39"/>
      <c r="D46" s="40"/>
      <c r="E46" s="83"/>
      <c r="F46" s="83"/>
    </row>
    <row r="47" spans="1:6" ht="28.5" x14ac:dyDescent="0.2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N103"/>
  <sheetViews>
    <sheetView workbookViewId="0">
      <selection activeCell="K6" sqref="K6"/>
    </sheetView>
  </sheetViews>
  <sheetFormatPr defaultColWidth="9.140625" defaultRowHeight="15" x14ac:dyDescent="0.25"/>
  <cols>
    <col min="1" max="1" width="10" style="84" customWidth="1"/>
    <col min="2" max="2" width="9.42578125" style="84" customWidth="1"/>
    <col min="3" max="3" width="51.7109375" style="84" customWidth="1"/>
    <col min="4" max="4" width="12.42578125" style="84" customWidth="1"/>
    <col min="5" max="5" width="6.7109375" style="84" customWidth="1"/>
    <col min="6" max="6" width="11.85546875" style="84" customWidth="1"/>
    <col min="7" max="7" width="12.7109375" style="84" customWidth="1"/>
    <col min="8" max="9" width="9.140625" style="84"/>
    <col min="10" max="10" width="8.140625" style="84" customWidth="1"/>
    <col min="11" max="11" width="36.7109375" style="84" customWidth="1"/>
    <col min="12" max="12" width="14.28515625" style="84" customWidth="1"/>
    <col min="13" max="13" width="14.42578125" style="84" customWidth="1"/>
    <col min="14" max="14" width="15.28515625" style="84" customWidth="1"/>
    <col min="15" max="51" width="9.140625" style="84" customWidth="1"/>
    <col min="52" max="16384" width="9.140625" style="84"/>
  </cols>
  <sheetData>
    <row r="1" spans="1:14" ht="15.75" x14ac:dyDescent="0.25">
      <c r="C1" s="1103" t="s">
        <v>5430</v>
      </c>
      <c r="D1" s="1103"/>
      <c r="E1" s="1103"/>
      <c r="F1" s="1103"/>
      <c r="G1" s="734"/>
    </row>
    <row r="2" spans="1:14" ht="54.75" customHeight="1" x14ac:dyDescent="0.25">
      <c r="A2" s="1102" t="s">
        <v>5728</v>
      </c>
      <c r="B2" s="1102"/>
      <c r="C2" s="1102"/>
      <c r="D2" s="1102"/>
      <c r="E2" s="1102"/>
      <c r="F2" s="1102"/>
      <c r="G2" s="1102"/>
    </row>
    <row r="3" spans="1:14" hidden="1" x14ac:dyDescent="0.25"/>
    <row r="4" spans="1:14" ht="15" customHeight="1" x14ac:dyDescent="0.25">
      <c r="A4" s="1109" t="s">
        <v>3678</v>
      </c>
      <c r="B4" s="1109" t="s">
        <v>3679</v>
      </c>
      <c r="C4" s="1109" t="s">
        <v>3680</v>
      </c>
      <c r="D4" s="1104" t="s">
        <v>5224</v>
      </c>
      <c r="E4" s="1105"/>
      <c r="F4" s="1106"/>
      <c r="G4" s="1107" t="s">
        <v>4127</v>
      </c>
    </row>
    <row r="5" spans="1:14" ht="35.25" customHeight="1" x14ac:dyDescent="0.25">
      <c r="A5" s="1110"/>
      <c r="B5" s="1110"/>
      <c r="C5" s="1110"/>
      <c r="D5" s="174" t="s">
        <v>24</v>
      </c>
      <c r="E5" s="233" t="s">
        <v>3681</v>
      </c>
      <c r="F5" s="174" t="s">
        <v>4126</v>
      </c>
      <c r="G5" s="1108"/>
      <c r="J5" s="262"/>
      <c r="K5" s="311"/>
      <c r="L5" s="693"/>
      <c r="M5" s="693"/>
      <c r="N5" s="693"/>
    </row>
    <row r="6" spans="1:14" x14ac:dyDescent="0.25">
      <c r="A6" s="175"/>
      <c r="B6" s="175"/>
      <c r="C6" s="176" t="s">
        <v>3682</v>
      </c>
      <c r="D6" s="177"/>
      <c r="E6" s="241">
        <f t="shared" ref="E6:E37" si="0">IFERROR(D6/$D$101,"-")</f>
        <v>0</v>
      </c>
      <c r="F6" s="177"/>
      <c r="G6" s="225">
        <f>SUM(D6,F6)</f>
        <v>0</v>
      </c>
      <c r="J6" s="311"/>
      <c r="K6" s="311"/>
      <c r="L6" s="694"/>
      <c r="M6" s="694"/>
      <c r="N6" s="694"/>
    </row>
    <row r="7" spans="1:14" x14ac:dyDescent="0.25">
      <c r="A7" s="178" t="s">
        <v>2205</v>
      </c>
      <c r="B7" s="179"/>
      <c r="C7" s="180" t="s">
        <v>3683</v>
      </c>
      <c r="D7" s="181">
        <f>SUM(D8,D43,D50,D83,D85)</f>
        <v>293987171</v>
      </c>
      <c r="E7" s="242">
        <f t="shared" si="0"/>
        <v>0.74004912328168004</v>
      </c>
      <c r="F7" s="181">
        <f>SUM(F8,F43,F50,F83,F85)</f>
        <v>15844273</v>
      </c>
      <c r="G7" s="226">
        <f>SUM(G8,G43,G50,G83,G85)</f>
        <v>309701444</v>
      </c>
      <c r="J7" s="698"/>
      <c r="K7" s="311"/>
      <c r="L7" s="695"/>
      <c r="M7" s="695"/>
      <c r="N7" s="695"/>
    </row>
    <row r="8" spans="1:14" x14ac:dyDescent="0.25">
      <c r="A8" s="182">
        <v>710000</v>
      </c>
      <c r="B8" s="182"/>
      <c r="C8" s="183" t="s">
        <v>3684</v>
      </c>
      <c r="D8" s="184">
        <f>SUM(D9,D22,D32,D41)</f>
        <v>72360000</v>
      </c>
      <c r="E8" s="243">
        <f t="shared" si="0"/>
        <v>0.18215065092300362</v>
      </c>
      <c r="F8" s="184">
        <f>SUM(F9,F22,F32,F41)</f>
        <v>0</v>
      </c>
      <c r="G8" s="227">
        <f>SUM(G9,G22,G32,G41)</f>
        <v>72360000</v>
      </c>
      <c r="J8" s="698"/>
      <c r="K8" s="311"/>
      <c r="L8" s="695"/>
      <c r="M8" s="695"/>
      <c r="N8" s="695"/>
    </row>
    <row r="9" spans="1:14" x14ac:dyDescent="0.25">
      <c r="A9" s="185">
        <v>711000</v>
      </c>
      <c r="B9" s="186"/>
      <c r="C9" s="187" t="s">
        <v>3685</v>
      </c>
      <c r="D9" s="188">
        <f>SUM(D10:D21)</f>
        <v>38250000</v>
      </c>
      <c r="E9" s="244">
        <f t="shared" si="0"/>
        <v>9.6286102788901165E-2</v>
      </c>
      <c r="F9" s="188">
        <f>SUM(F10:F21)</f>
        <v>0</v>
      </c>
      <c r="G9" s="228">
        <f>SUM(G10:G21)</f>
        <v>38250000</v>
      </c>
      <c r="J9" s="698"/>
      <c r="K9" s="505"/>
      <c r="L9" s="695"/>
      <c r="M9" s="695"/>
      <c r="N9" s="695"/>
    </row>
    <row r="10" spans="1:14" x14ac:dyDescent="0.25">
      <c r="A10" s="189"/>
      <c r="B10" s="524">
        <v>711111</v>
      </c>
      <c r="C10" s="190" t="s">
        <v>3686</v>
      </c>
      <c r="D10" s="191">
        <v>30000000</v>
      </c>
      <c r="E10" s="245">
        <f t="shared" si="0"/>
        <v>7.5518511991295029E-2</v>
      </c>
      <c r="F10" s="191"/>
      <c r="G10" s="229">
        <f>SUM(F10,D10)</f>
        <v>30000000</v>
      </c>
      <c r="J10" s="311"/>
      <c r="K10" s="311"/>
      <c r="L10" s="695"/>
      <c r="M10" s="695"/>
      <c r="N10" s="695"/>
    </row>
    <row r="11" spans="1:14" ht="0.75" customHeight="1" x14ac:dyDescent="0.25">
      <c r="A11" s="189"/>
      <c r="B11" s="524">
        <v>711121</v>
      </c>
      <c r="C11" s="190" t="s">
        <v>3687</v>
      </c>
      <c r="D11" s="191"/>
      <c r="E11" s="245">
        <f t="shared" si="0"/>
        <v>0</v>
      </c>
      <c r="F11" s="191"/>
      <c r="G11" s="229">
        <f t="shared" ref="G11:G42" si="1">SUM(F11,D11)</f>
        <v>0</v>
      </c>
      <c r="J11" s="311"/>
      <c r="K11" s="311"/>
      <c r="L11" s="685"/>
      <c r="M11" s="685"/>
      <c r="N11" s="685"/>
    </row>
    <row r="12" spans="1:14" ht="24" x14ac:dyDescent="0.25">
      <c r="A12" s="189"/>
      <c r="B12" s="524">
        <v>711122</v>
      </c>
      <c r="C12" s="190" t="s">
        <v>3688</v>
      </c>
      <c r="D12" s="191">
        <v>5000000</v>
      </c>
      <c r="E12" s="245">
        <f t="shared" si="0"/>
        <v>1.2586418665215839E-2</v>
      </c>
      <c r="F12" s="191"/>
      <c r="G12" s="229">
        <f t="shared" si="1"/>
        <v>5000000</v>
      </c>
      <c r="J12" s="311"/>
      <c r="K12" s="339"/>
      <c r="L12" s="696"/>
      <c r="M12" s="696"/>
      <c r="N12" s="696"/>
    </row>
    <row r="13" spans="1:14" ht="24" hidden="1" x14ac:dyDescent="0.25">
      <c r="A13" s="189"/>
      <c r="B13" s="524">
        <v>711123</v>
      </c>
      <c r="C13" s="190" t="s">
        <v>3751</v>
      </c>
      <c r="D13" s="191">
        <v>0</v>
      </c>
      <c r="E13" s="245">
        <f t="shared" si="0"/>
        <v>0</v>
      </c>
      <c r="F13" s="191"/>
      <c r="G13" s="229">
        <f t="shared" si="1"/>
        <v>0</v>
      </c>
      <c r="J13" s="311"/>
      <c r="K13" s="311"/>
      <c r="L13" s="697"/>
      <c r="M13" s="697"/>
      <c r="N13" s="697"/>
    </row>
    <row r="14" spans="1:14" x14ac:dyDescent="0.25">
      <c r="A14" s="189"/>
      <c r="B14" s="524">
        <v>711143</v>
      </c>
      <c r="C14" s="190" t="s">
        <v>3689</v>
      </c>
      <c r="D14" s="191">
        <v>50000</v>
      </c>
      <c r="E14" s="245">
        <f t="shared" si="0"/>
        <v>1.2586418665215838E-4</v>
      </c>
      <c r="F14" s="191"/>
      <c r="G14" s="229">
        <f t="shared" si="1"/>
        <v>50000</v>
      </c>
    </row>
    <row r="15" spans="1:14" ht="29.25" hidden="1" customHeight="1" x14ac:dyDescent="0.25">
      <c r="A15" s="189"/>
      <c r="B15" s="524">
        <v>711145</v>
      </c>
      <c r="C15" s="190" t="s">
        <v>3752</v>
      </c>
      <c r="D15" s="191">
        <v>0</v>
      </c>
      <c r="E15" s="245">
        <f t="shared" si="0"/>
        <v>0</v>
      </c>
      <c r="F15" s="191"/>
      <c r="G15" s="229">
        <f t="shared" si="1"/>
        <v>0</v>
      </c>
    </row>
    <row r="16" spans="1:14" ht="24" hidden="1" x14ac:dyDescent="0.25">
      <c r="A16" s="189"/>
      <c r="B16" s="524">
        <v>711146</v>
      </c>
      <c r="C16" s="190" t="s">
        <v>3690</v>
      </c>
      <c r="D16" s="191">
        <v>0</v>
      </c>
      <c r="E16" s="245">
        <f t="shared" si="0"/>
        <v>0</v>
      </c>
      <c r="F16" s="191"/>
      <c r="G16" s="229">
        <f t="shared" si="1"/>
        <v>0</v>
      </c>
    </row>
    <row r="17" spans="1:7" hidden="1" x14ac:dyDescent="0.25">
      <c r="A17" s="189"/>
      <c r="B17" s="524">
        <v>711147</v>
      </c>
      <c r="C17" s="190" t="s">
        <v>3691</v>
      </c>
      <c r="D17" s="191">
        <v>0</v>
      </c>
      <c r="E17" s="245">
        <f t="shared" si="0"/>
        <v>0</v>
      </c>
      <c r="F17" s="191"/>
      <c r="G17" s="229">
        <f t="shared" si="1"/>
        <v>0</v>
      </c>
    </row>
    <row r="18" spans="1:7" ht="14.25" hidden="1" customHeight="1" x14ac:dyDescent="0.25">
      <c r="A18" s="189"/>
      <c r="B18" s="524">
        <v>711148</v>
      </c>
      <c r="C18" s="190" t="s">
        <v>3692</v>
      </c>
      <c r="D18" s="191">
        <v>0</v>
      </c>
      <c r="E18" s="245">
        <f t="shared" si="0"/>
        <v>0</v>
      </c>
      <c r="F18" s="191"/>
      <c r="G18" s="229">
        <f t="shared" si="1"/>
        <v>0</v>
      </c>
    </row>
    <row r="19" spans="1:7" hidden="1" x14ac:dyDescent="0.25">
      <c r="A19" s="189"/>
      <c r="B19" s="524">
        <v>711161</v>
      </c>
      <c r="C19" s="190" t="s">
        <v>3693</v>
      </c>
      <c r="D19" s="191"/>
      <c r="E19" s="245">
        <f t="shared" si="0"/>
        <v>0</v>
      </c>
      <c r="F19" s="191"/>
      <c r="G19" s="229">
        <f t="shared" si="1"/>
        <v>0</v>
      </c>
    </row>
    <row r="20" spans="1:7" hidden="1" x14ac:dyDescent="0.25">
      <c r="A20" s="189"/>
      <c r="B20" s="522">
        <v>711181</v>
      </c>
      <c r="C20" s="190" t="s">
        <v>3694</v>
      </c>
      <c r="D20" s="191"/>
      <c r="E20" s="245">
        <f t="shared" si="0"/>
        <v>0</v>
      </c>
      <c r="F20" s="191"/>
      <c r="G20" s="229">
        <f t="shared" si="1"/>
        <v>0</v>
      </c>
    </row>
    <row r="21" spans="1:7" x14ac:dyDescent="0.25">
      <c r="A21" s="192"/>
      <c r="B21" s="524">
        <v>711190</v>
      </c>
      <c r="C21" s="190" t="s">
        <v>3695</v>
      </c>
      <c r="D21" s="191">
        <v>3200000</v>
      </c>
      <c r="E21" s="245">
        <f t="shared" si="0"/>
        <v>8.0553079457381365E-3</v>
      </c>
      <c r="F21" s="191"/>
      <c r="G21" s="229">
        <f t="shared" si="1"/>
        <v>3200000</v>
      </c>
    </row>
    <row r="22" spans="1:7" x14ac:dyDescent="0.25">
      <c r="A22" s="185">
        <v>713000</v>
      </c>
      <c r="B22" s="193"/>
      <c r="C22" s="187" t="s">
        <v>3696</v>
      </c>
      <c r="D22" s="188">
        <f>SUM(D23:D31)</f>
        <v>24510000</v>
      </c>
      <c r="E22" s="244">
        <f t="shared" si="0"/>
        <v>6.1698624296888042E-2</v>
      </c>
      <c r="F22" s="188">
        <f>SUM(F23:F31)</f>
        <v>0</v>
      </c>
      <c r="G22" s="228">
        <f>SUM(G23:G31)</f>
        <v>24510000</v>
      </c>
    </row>
    <row r="23" spans="1:7" ht="24" x14ac:dyDescent="0.25">
      <c r="A23" s="189"/>
      <c r="B23" s="522">
        <v>713121</v>
      </c>
      <c r="C23" s="190" t="s">
        <v>3697</v>
      </c>
      <c r="D23" s="191">
        <v>19000000</v>
      </c>
      <c r="E23" s="245">
        <f t="shared" si="0"/>
        <v>4.7828390927820187E-2</v>
      </c>
      <c r="F23" s="191"/>
      <c r="G23" s="229">
        <f t="shared" si="1"/>
        <v>19000000</v>
      </c>
    </row>
    <row r="24" spans="1:7" ht="24" hidden="1" x14ac:dyDescent="0.25">
      <c r="A24" s="189"/>
      <c r="B24" s="522">
        <v>713122</v>
      </c>
      <c r="C24" s="190" t="s">
        <v>3698</v>
      </c>
      <c r="D24" s="191">
        <v>0</v>
      </c>
      <c r="E24" s="245">
        <f t="shared" si="0"/>
        <v>0</v>
      </c>
      <c r="F24" s="191"/>
      <c r="G24" s="229">
        <f t="shared" si="1"/>
        <v>0</v>
      </c>
    </row>
    <row r="25" spans="1:7" ht="24" hidden="1" x14ac:dyDescent="0.25">
      <c r="A25" s="189"/>
      <c r="B25" s="522">
        <v>713126</v>
      </c>
      <c r="C25" s="190" t="s">
        <v>3753</v>
      </c>
      <c r="D25" s="191"/>
      <c r="E25" s="245">
        <f t="shared" si="0"/>
        <v>0</v>
      </c>
      <c r="F25" s="191"/>
      <c r="G25" s="229">
        <f t="shared" si="1"/>
        <v>0</v>
      </c>
    </row>
    <row r="26" spans="1:7" x14ac:dyDescent="0.25">
      <c r="A26" s="189"/>
      <c r="B26" s="524">
        <v>713311</v>
      </c>
      <c r="C26" s="190" t="s">
        <v>3699</v>
      </c>
      <c r="D26" s="191">
        <v>1610000</v>
      </c>
      <c r="E26" s="245">
        <f t="shared" si="0"/>
        <v>4.0528268101995002E-3</v>
      </c>
      <c r="F26" s="191"/>
      <c r="G26" s="229">
        <f t="shared" si="1"/>
        <v>1610000</v>
      </c>
    </row>
    <row r="27" spans="1:7" ht="24" x14ac:dyDescent="0.25">
      <c r="A27" s="189"/>
      <c r="B27" s="524">
        <v>713421</v>
      </c>
      <c r="C27" s="190" t="s">
        <v>3700</v>
      </c>
      <c r="D27" s="191">
        <v>3900000</v>
      </c>
      <c r="E27" s="245">
        <f t="shared" si="0"/>
        <v>9.8174065588683534E-3</v>
      </c>
      <c r="F27" s="191"/>
      <c r="G27" s="229">
        <f t="shared" si="1"/>
        <v>3900000</v>
      </c>
    </row>
    <row r="28" spans="1:7" ht="36" hidden="1" x14ac:dyDescent="0.25">
      <c r="A28" s="189"/>
      <c r="B28" s="524">
        <v>713422</v>
      </c>
      <c r="C28" s="190" t="s">
        <v>3701</v>
      </c>
      <c r="D28" s="191"/>
      <c r="E28" s="245">
        <f t="shared" si="0"/>
        <v>0</v>
      </c>
      <c r="F28" s="191"/>
      <c r="G28" s="229">
        <f t="shared" si="1"/>
        <v>0</v>
      </c>
    </row>
    <row r="29" spans="1:7" ht="23.25" hidden="1" customHeight="1" x14ac:dyDescent="0.25">
      <c r="A29" s="189"/>
      <c r="B29" s="524">
        <v>713423</v>
      </c>
      <c r="C29" s="190" t="s">
        <v>3754</v>
      </c>
      <c r="D29" s="191">
        <v>0</v>
      </c>
      <c r="E29" s="245">
        <f t="shared" si="0"/>
        <v>0</v>
      </c>
      <c r="F29" s="191"/>
      <c r="G29" s="229">
        <f t="shared" si="1"/>
        <v>0</v>
      </c>
    </row>
    <row r="30" spans="1:7" ht="24" hidden="1" x14ac:dyDescent="0.25">
      <c r="A30" s="189"/>
      <c r="B30" s="524">
        <v>713424</v>
      </c>
      <c r="C30" s="190" t="s">
        <v>3755</v>
      </c>
      <c r="D30" s="191"/>
      <c r="E30" s="245">
        <f t="shared" si="0"/>
        <v>0</v>
      </c>
      <c r="F30" s="191"/>
      <c r="G30" s="229">
        <f t="shared" si="1"/>
        <v>0</v>
      </c>
    </row>
    <row r="31" spans="1:7" hidden="1" x14ac:dyDescent="0.25">
      <c r="A31" s="189"/>
      <c r="B31" s="524">
        <v>713611</v>
      </c>
      <c r="C31" s="194" t="s">
        <v>3702</v>
      </c>
      <c r="D31" s="191"/>
      <c r="E31" s="245">
        <f t="shared" si="0"/>
        <v>0</v>
      </c>
      <c r="F31" s="191"/>
      <c r="G31" s="229">
        <f t="shared" si="1"/>
        <v>0</v>
      </c>
    </row>
    <row r="32" spans="1:7" x14ac:dyDescent="0.25">
      <c r="A32" s="185">
        <v>714000</v>
      </c>
      <c r="B32" s="186"/>
      <c r="C32" s="187" t="s">
        <v>3703</v>
      </c>
      <c r="D32" s="188">
        <f>SUM(D33:D40)</f>
        <v>7600000</v>
      </c>
      <c r="E32" s="244">
        <f t="shared" si="0"/>
        <v>1.9131356371128075E-2</v>
      </c>
      <c r="F32" s="188">
        <f>SUM(F33:F40)</f>
        <v>0</v>
      </c>
      <c r="G32" s="228">
        <f>SUM(G33:G40)</f>
        <v>7600000</v>
      </c>
    </row>
    <row r="33" spans="1:7" hidden="1" x14ac:dyDescent="0.25">
      <c r="A33" s="195"/>
      <c r="B33" s="524">
        <v>714441</v>
      </c>
      <c r="C33" s="190" t="s">
        <v>3704</v>
      </c>
      <c r="D33" s="191"/>
      <c r="E33" s="245">
        <f t="shared" si="0"/>
        <v>0</v>
      </c>
      <c r="F33" s="191"/>
      <c r="G33" s="229">
        <f t="shared" si="1"/>
        <v>0</v>
      </c>
    </row>
    <row r="34" spans="1:7" ht="48" hidden="1" x14ac:dyDescent="0.25">
      <c r="A34" s="195"/>
      <c r="B34" s="522">
        <v>714431</v>
      </c>
      <c r="C34" s="194" t="s">
        <v>3705</v>
      </c>
      <c r="D34" s="191">
        <v>0</v>
      </c>
      <c r="E34" s="245">
        <f t="shared" si="0"/>
        <v>0</v>
      </c>
      <c r="F34" s="191"/>
      <c r="G34" s="229">
        <f t="shared" si="1"/>
        <v>0</v>
      </c>
    </row>
    <row r="35" spans="1:7" ht="24" x14ac:dyDescent="0.25">
      <c r="A35" s="195"/>
      <c r="B35" s="522">
        <v>714513</v>
      </c>
      <c r="C35" s="190" t="s">
        <v>3706</v>
      </c>
      <c r="D35" s="191">
        <v>6500000</v>
      </c>
      <c r="E35" s="245">
        <f t="shared" si="0"/>
        <v>1.6362344264780591E-2</v>
      </c>
      <c r="F35" s="191"/>
      <c r="G35" s="229">
        <f t="shared" si="1"/>
        <v>6500000</v>
      </c>
    </row>
    <row r="36" spans="1:7" hidden="1" x14ac:dyDescent="0.25">
      <c r="A36" s="195"/>
      <c r="B36" s="524">
        <v>714543</v>
      </c>
      <c r="C36" s="190" t="s">
        <v>3707</v>
      </c>
      <c r="D36" s="191">
        <v>0</v>
      </c>
      <c r="E36" s="245">
        <f t="shared" si="0"/>
        <v>0</v>
      </c>
      <c r="F36" s="191"/>
      <c r="G36" s="229">
        <f t="shared" si="1"/>
        <v>0</v>
      </c>
    </row>
    <row r="37" spans="1:7" ht="0.75" customHeight="1" x14ac:dyDescent="0.25">
      <c r="A37" s="195"/>
      <c r="B37" s="524">
        <v>714549</v>
      </c>
      <c r="C37" s="190" t="s">
        <v>3708</v>
      </c>
      <c r="D37" s="191"/>
      <c r="E37" s="245">
        <f t="shared" si="0"/>
        <v>0</v>
      </c>
      <c r="F37" s="191"/>
      <c r="G37" s="229">
        <f t="shared" si="1"/>
        <v>0</v>
      </c>
    </row>
    <row r="38" spans="1:7" x14ac:dyDescent="0.25">
      <c r="A38" s="192"/>
      <c r="B38" s="522">
        <v>714552</v>
      </c>
      <c r="C38" s="194" t="s">
        <v>3709</v>
      </c>
      <c r="D38" s="191">
        <v>100000</v>
      </c>
      <c r="E38" s="245">
        <f t="shared" ref="E38:E68" si="2">IFERROR(D38/$D$101,"-")</f>
        <v>2.5172837330431677E-4</v>
      </c>
      <c r="F38" s="191"/>
      <c r="G38" s="229">
        <f t="shared" si="1"/>
        <v>100000</v>
      </c>
    </row>
    <row r="39" spans="1:7" x14ac:dyDescent="0.25">
      <c r="A39" s="195"/>
      <c r="B39" s="522">
        <v>714562</v>
      </c>
      <c r="C39" s="190" t="s">
        <v>3710</v>
      </c>
      <c r="D39" s="191">
        <v>1000000</v>
      </c>
      <c r="E39" s="245">
        <f t="shared" si="2"/>
        <v>2.5172837330431678E-3</v>
      </c>
      <c r="F39" s="191"/>
      <c r="G39" s="229">
        <f t="shared" si="1"/>
        <v>1000000</v>
      </c>
    </row>
    <row r="40" spans="1:7" hidden="1" x14ac:dyDescent="0.25">
      <c r="A40" s="195"/>
      <c r="B40" s="522">
        <v>714572</v>
      </c>
      <c r="C40" s="190" t="s">
        <v>3711</v>
      </c>
      <c r="D40" s="191">
        <v>0</v>
      </c>
      <c r="E40" s="245">
        <f t="shared" si="2"/>
        <v>0</v>
      </c>
      <c r="F40" s="191"/>
      <c r="G40" s="229">
        <f t="shared" si="1"/>
        <v>0</v>
      </c>
    </row>
    <row r="41" spans="1:7" x14ac:dyDescent="0.25">
      <c r="A41" s="196" t="s">
        <v>2389</v>
      </c>
      <c r="B41" s="197"/>
      <c r="C41" s="198" t="s">
        <v>3712</v>
      </c>
      <c r="D41" s="188">
        <f>SUM(D42:D42)</f>
        <v>2000000</v>
      </c>
      <c r="E41" s="244">
        <f t="shared" si="2"/>
        <v>5.0345674660863355E-3</v>
      </c>
      <c r="F41" s="188">
        <f>SUM(F42:F42)</f>
        <v>0</v>
      </c>
      <c r="G41" s="228">
        <f>SUM(G42:G42)</f>
        <v>2000000</v>
      </c>
    </row>
    <row r="42" spans="1:7" x14ac:dyDescent="0.25">
      <c r="A42" s="195"/>
      <c r="B42" s="523" t="s">
        <v>2393</v>
      </c>
      <c r="C42" s="190" t="s">
        <v>3713</v>
      </c>
      <c r="D42" s="191">
        <v>2000000</v>
      </c>
      <c r="E42" s="245">
        <f t="shared" si="2"/>
        <v>5.0345674660863355E-3</v>
      </c>
      <c r="F42" s="191"/>
      <c r="G42" s="229">
        <f t="shared" si="1"/>
        <v>2000000</v>
      </c>
    </row>
    <row r="43" spans="1:7" x14ac:dyDescent="0.25">
      <c r="A43" s="199" t="s">
        <v>2596</v>
      </c>
      <c r="B43" s="200"/>
      <c r="C43" s="201" t="s">
        <v>3714</v>
      </c>
      <c r="D43" s="184">
        <f>SUM(D44,D46)</f>
        <v>208437171</v>
      </c>
      <c r="E43" s="243">
        <f t="shared" si="2"/>
        <v>0.52469549991983711</v>
      </c>
      <c r="F43" s="184">
        <f>SUM(F44,F46)</f>
        <v>9283745</v>
      </c>
      <c r="G43" s="227">
        <f>SUM(G44,G46)</f>
        <v>217720916</v>
      </c>
    </row>
    <row r="44" spans="1:7" hidden="1" x14ac:dyDescent="0.25">
      <c r="A44" s="196" t="s">
        <v>2621</v>
      </c>
      <c r="B44" s="197"/>
      <c r="C44" s="198" t="s">
        <v>3715</v>
      </c>
      <c r="D44" s="188">
        <f>SUM(D45)</f>
        <v>0</v>
      </c>
      <c r="E44" s="244">
        <f t="shared" si="2"/>
        <v>0</v>
      </c>
      <c r="F44" s="188">
        <f>SUM(F45)</f>
        <v>0</v>
      </c>
      <c r="G44" s="228">
        <f>SUM(G45)</f>
        <v>0</v>
      </c>
    </row>
    <row r="45" spans="1:7" ht="24" hidden="1" x14ac:dyDescent="0.25">
      <c r="A45" s="195"/>
      <c r="B45" s="523" t="s">
        <v>2628</v>
      </c>
      <c r="C45" s="202" t="s">
        <v>3716</v>
      </c>
      <c r="D45" s="191"/>
      <c r="E45" s="245">
        <f t="shared" si="2"/>
        <v>0</v>
      </c>
      <c r="F45" s="191"/>
      <c r="G45" s="229">
        <f t="shared" ref="G45" si="3">SUM(F45,D45)</f>
        <v>0</v>
      </c>
    </row>
    <row r="46" spans="1:7" x14ac:dyDescent="0.25">
      <c r="A46" s="196" t="s">
        <v>2646</v>
      </c>
      <c r="B46" s="197"/>
      <c r="C46" s="198" t="s">
        <v>3717</v>
      </c>
      <c r="D46" s="188">
        <f>SUM(D47:D49)</f>
        <v>208437171</v>
      </c>
      <c r="E46" s="244">
        <f t="shared" si="2"/>
        <v>0.52469549991983711</v>
      </c>
      <c r="F46" s="188">
        <f>SUM(F47:F49)</f>
        <v>9283745</v>
      </c>
      <c r="G46" s="228">
        <f>SUM(G47:G49)</f>
        <v>217720916</v>
      </c>
    </row>
    <row r="47" spans="1:7" x14ac:dyDescent="0.25">
      <c r="A47" s="203"/>
      <c r="B47" s="204">
        <v>733151</v>
      </c>
      <c r="C47" s="205" t="s">
        <v>5008</v>
      </c>
      <c r="D47" s="191">
        <v>208437171</v>
      </c>
      <c r="E47" s="245">
        <f t="shared" si="2"/>
        <v>0.52469549991983711</v>
      </c>
      <c r="F47" s="191">
        <v>4875000</v>
      </c>
      <c r="G47" s="229">
        <f t="shared" ref="G47:G49" si="4">SUM(F47,D47)</f>
        <v>213312171</v>
      </c>
    </row>
    <row r="48" spans="1:7" ht="24" x14ac:dyDescent="0.25">
      <c r="A48" s="203"/>
      <c r="B48" s="195" t="s">
        <v>5009</v>
      </c>
      <c r="C48" s="202" t="s">
        <v>5010</v>
      </c>
      <c r="D48" s="191"/>
      <c r="E48" s="245">
        <f t="shared" si="2"/>
        <v>0</v>
      </c>
      <c r="F48" s="191">
        <v>4408745</v>
      </c>
      <c r="G48" s="229">
        <f t="shared" si="4"/>
        <v>4408745</v>
      </c>
    </row>
    <row r="49" spans="1:7" ht="24" x14ac:dyDescent="0.25">
      <c r="A49" s="203"/>
      <c r="B49" s="195" t="s">
        <v>5011</v>
      </c>
      <c r="C49" s="202" t="s">
        <v>5012</v>
      </c>
      <c r="D49" s="191"/>
      <c r="E49" s="245">
        <f t="shared" si="2"/>
        <v>0</v>
      </c>
      <c r="F49" s="191"/>
      <c r="G49" s="229">
        <f t="shared" si="4"/>
        <v>0</v>
      </c>
    </row>
    <row r="50" spans="1:7" x14ac:dyDescent="0.25">
      <c r="A50" s="199" t="s">
        <v>2704</v>
      </c>
      <c r="B50" s="200"/>
      <c r="C50" s="201" t="s">
        <v>3718</v>
      </c>
      <c r="D50" s="184">
        <f>SUM(D51,D63,D72,D76,D79)</f>
        <v>12840000</v>
      </c>
      <c r="E50" s="243">
        <f t="shared" si="2"/>
        <v>3.232192313227427E-2</v>
      </c>
      <c r="F50" s="184">
        <f>SUM(F51,F63,F72,F76,F79)</f>
        <v>6560528</v>
      </c>
      <c r="G50" s="227">
        <f>SUM(G51,G63,G72,G76,G79)</f>
        <v>19270528</v>
      </c>
    </row>
    <row r="51" spans="1:7" x14ac:dyDescent="0.25">
      <c r="A51" s="196" t="s">
        <v>2706</v>
      </c>
      <c r="B51" s="197"/>
      <c r="C51" s="198" t="s">
        <v>3719</v>
      </c>
      <c r="D51" s="188">
        <f>SUM(D52:D62)</f>
        <v>2100000</v>
      </c>
      <c r="E51" s="244">
        <f t="shared" si="2"/>
        <v>5.2862958393906524E-3</v>
      </c>
      <c r="F51" s="188">
        <f>SUM(F52:F62)</f>
        <v>0</v>
      </c>
      <c r="G51" s="228">
        <f>SUM(G52:G62)</f>
        <v>2100000</v>
      </c>
    </row>
    <row r="52" spans="1:7" ht="24" hidden="1" x14ac:dyDescent="0.25">
      <c r="A52" s="203"/>
      <c r="B52" s="523" t="s">
        <v>5013</v>
      </c>
      <c r="C52" s="190" t="s">
        <v>5014</v>
      </c>
      <c r="D52" s="191">
        <v>0</v>
      </c>
      <c r="E52" s="245">
        <f t="shared" si="2"/>
        <v>0</v>
      </c>
      <c r="F52" s="191"/>
      <c r="G52" s="229">
        <f t="shared" ref="G52:G86" si="5">SUM(F52,D52)</f>
        <v>0</v>
      </c>
    </row>
    <row r="53" spans="1:7" hidden="1" x14ac:dyDescent="0.25">
      <c r="A53" s="203"/>
      <c r="B53" s="523" t="s">
        <v>2744</v>
      </c>
      <c r="C53" s="202" t="s">
        <v>45</v>
      </c>
      <c r="D53" s="191"/>
      <c r="E53" s="245">
        <f t="shared" si="2"/>
        <v>0</v>
      </c>
      <c r="F53" s="191"/>
      <c r="G53" s="229">
        <f t="shared" si="5"/>
        <v>0</v>
      </c>
    </row>
    <row r="54" spans="1:7" hidden="1" x14ac:dyDescent="0.25">
      <c r="A54" s="203"/>
      <c r="B54" s="525" t="s">
        <v>2750</v>
      </c>
      <c r="C54" s="202" t="s">
        <v>39</v>
      </c>
      <c r="D54" s="191">
        <v>0</v>
      </c>
      <c r="E54" s="245">
        <f t="shared" si="2"/>
        <v>0</v>
      </c>
      <c r="F54" s="191"/>
      <c r="G54" s="229">
        <f t="shared" si="5"/>
        <v>0</v>
      </c>
    </row>
    <row r="55" spans="1:7" x14ac:dyDescent="0.25">
      <c r="A55" s="203"/>
      <c r="B55" s="525" t="s">
        <v>2759</v>
      </c>
      <c r="C55" s="202" t="s">
        <v>41</v>
      </c>
      <c r="D55" s="191">
        <v>2000000</v>
      </c>
      <c r="E55" s="245">
        <f t="shared" si="2"/>
        <v>5.0345674660863355E-3</v>
      </c>
      <c r="F55" s="191"/>
      <c r="G55" s="229">
        <f t="shared" si="5"/>
        <v>2000000</v>
      </c>
    </row>
    <row r="56" spans="1:7" ht="48" x14ac:dyDescent="0.25">
      <c r="A56" s="203"/>
      <c r="B56" s="523" t="s">
        <v>2771</v>
      </c>
      <c r="C56" s="202" t="s">
        <v>3720</v>
      </c>
      <c r="D56" s="191">
        <v>100000</v>
      </c>
      <c r="E56" s="245">
        <f t="shared" si="2"/>
        <v>2.5172837330431677E-4</v>
      </c>
      <c r="F56" s="191"/>
      <c r="G56" s="229">
        <f t="shared" si="5"/>
        <v>100000</v>
      </c>
    </row>
    <row r="57" spans="1:7" ht="0.75" customHeight="1" x14ac:dyDescent="0.25">
      <c r="A57" s="203"/>
      <c r="B57" s="523" t="s">
        <v>2773</v>
      </c>
      <c r="C57" s="202" t="s">
        <v>3721</v>
      </c>
      <c r="D57" s="191"/>
      <c r="E57" s="245">
        <f t="shared" si="2"/>
        <v>0</v>
      </c>
      <c r="F57" s="191"/>
      <c r="G57" s="229">
        <f t="shared" si="5"/>
        <v>0</v>
      </c>
    </row>
    <row r="58" spans="1:7" ht="24" hidden="1" x14ac:dyDescent="0.25">
      <c r="A58" s="203"/>
      <c r="B58" s="523" t="s">
        <v>2775</v>
      </c>
      <c r="C58" s="202" t="s">
        <v>3722</v>
      </c>
      <c r="D58" s="191"/>
      <c r="E58" s="245">
        <f t="shared" si="2"/>
        <v>0</v>
      </c>
      <c r="F58" s="191"/>
      <c r="G58" s="229">
        <f t="shared" si="5"/>
        <v>0</v>
      </c>
    </row>
    <row r="59" spans="1:7" hidden="1" x14ac:dyDescent="0.25">
      <c r="A59" s="203"/>
      <c r="B59" s="523" t="s">
        <v>2777</v>
      </c>
      <c r="C59" s="202" t="s">
        <v>42</v>
      </c>
      <c r="D59" s="191">
        <v>0</v>
      </c>
      <c r="E59" s="245">
        <f t="shared" si="2"/>
        <v>0</v>
      </c>
      <c r="F59" s="191"/>
      <c r="G59" s="229">
        <f t="shared" si="5"/>
        <v>0</v>
      </c>
    </row>
    <row r="60" spans="1:7" ht="24" hidden="1" x14ac:dyDescent="0.25">
      <c r="A60" s="203"/>
      <c r="B60" s="523" t="s">
        <v>2779</v>
      </c>
      <c r="C60" s="190" t="s">
        <v>3723</v>
      </c>
      <c r="D60" s="191">
        <v>0</v>
      </c>
      <c r="E60" s="245">
        <f t="shared" si="2"/>
        <v>0</v>
      </c>
      <c r="F60" s="191"/>
      <c r="G60" s="229">
        <f t="shared" si="5"/>
        <v>0</v>
      </c>
    </row>
    <row r="61" spans="1:7" ht="1.5" customHeight="1" x14ac:dyDescent="0.25">
      <c r="A61" s="203"/>
      <c r="B61" s="525" t="s">
        <v>2785</v>
      </c>
      <c r="C61" s="190" t="s">
        <v>43</v>
      </c>
      <c r="D61" s="191"/>
      <c r="E61" s="245">
        <f t="shared" si="2"/>
        <v>0</v>
      </c>
      <c r="F61" s="191"/>
      <c r="G61" s="229">
        <f t="shared" si="5"/>
        <v>0</v>
      </c>
    </row>
    <row r="62" spans="1:7" hidden="1" x14ac:dyDescent="0.25">
      <c r="A62" s="203"/>
      <c r="B62" s="525" t="s">
        <v>2789</v>
      </c>
      <c r="C62" s="190" t="s">
        <v>3724</v>
      </c>
      <c r="D62" s="191"/>
      <c r="E62" s="245">
        <f t="shared" si="2"/>
        <v>0</v>
      </c>
      <c r="F62" s="191"/>
      <c r="G62" s="229">
        <f t="shared" si="5"/>
        <v>0</v>
      </c>
    </row>
    <row r="63" spans="1:7" x14ac:dyDescent="0.25">
      <c r="A63" s="196" t="s">
        <v>2812</v>
      </c>
      <c r="B63" s="197"/>
      <c r="C63" s="198" t="s">
        <v>3725</v>
      </c>
      <c r="D63" s="188">
        <f>SUM(D64:D71)</f>
        <v>7000000</v>
      </c>
      <c r="E63" s="244">
        <f t="shared" si="2"/>
        <v>1.7620986131302176E-2</v>
      </c>
      <c r="F63" s="188">
        <f>SUM(F64:F71)</f>
        <v>2845000</v>
      </c>
      <c r="G63" s="228">
        <f>SUM(G64:G71)</f>
        <v>9845000</v>
      </c>
    </row>
    <row r="64" spans="1:7" ht="36" customHeight="1" x14ac:dyDescent="0.25">
      <c r="A64" s="203"/>
      <c r="B64" s="523" t="s">
        <v>5015</v>
      </c>
      <c r="C64" s="190" t="s">
        <v>5016</v>
      </c>
      <c r="D64" s="191">
        <v>4000000</v>
      </c>
      <c r="E64" s="245">
        <f t="shared" si="2"/>
        <v>1.0069134932172671E-2</v>
      </c>
      <c r="F64" s="191">
        <v>2845000</v>
      </c>
      <c r="G64" s="229">
        <f t="shared" si="5"/>
        <v>6845000</v>
      </c>
    </row>
    <row r="65" spans="1:7" ht="21" customHeight="1" x14ac:dyDescent="0.25">
      <c r="A65" s="203"/>
      <c r="B65" s="523" t="s">
        <v>5017</v>
      </c>
      <c r="C65" s="190" t="s">
        <v>3726</v>
      </c>
      <c r="D65" s="191"/>
      <c r="E65" s="245">
        <f t="shared" si="2"/>
        <v>0</v>
      </c>
      <c r="F65" s="191"/>
      <c r="G65" s="229">
        <f t="shared" si="5"/>
        <v>0</v>
      </c>
    </row>
    <row r="66" spans="1:7" ht="21" customHeight="1" x14ac:dyDescent="0.25">
      <c r="A66" s="203"/>
      <c r="B66" s="522">
        <v>742251</v>
      </c>
      <c r="C66" s="202" t="s">
        <v>5018</v>
      </c>
      <c r="D66" s="191">
        <v>2000000</v>
      </c>
      <c r="E66" s="245">
        <f t="shared" si="2"/>
        <v>5.0345674660863355E-3</v>
      </c>
      <c r="F66" s="191"/>
      <c r="G66" s="229">
        <f t="shared" si="5"/>
        <v>2000000</v>
      </c>
    </row>
    <row r="67" spans="1:7" ht="21" customHeight="1" x14ac:dyDescent="0.25">
      <c r="A67" s="203"/>
      <c r="B67" s="524">
        <v>742252</v>
      </c>
      <c r="C67" s="190" t="s">
        <v>47</v>
      </c>
      <c r="D67" s="191"/>
      <c r="E67" s="245">
        <f t="shared" si="2"/>
        <v>0</v>
      </c>
      <c r="F67" s="191"/>
      <c r="G67" s="229">
        <f t="shared" si="5"/>
        <v>0</v>
      </c>
    </row>
    <row r="68" spans="1:7" ht="21" customHeight="1" x14ac:dyDescent="0.25">
      <c r="A68" s="705"/>
      <c r="B68" s="706">
        <v>742253</v>
      </c>
      <c r="C68" s="707" t="s">
        <v>49</v>
      </c>
      <c r="D68" s="708">
        <v>1000000</v>
      </c>
      <c r="E68" s="709">
        <f t="shared" si="2"/>
        <v>2.5172837330431678E-3</v>
      </c>
      <c r="F68" s="708"/>
      <c r="G68" s="708">
        <f t="shared" si="5"/>
        <v>1000000</v>
      </c>
    </row>
    <row r="69" spans="1:7" ht="21" hidden="1" customHeight="1" x14ac:dyDescent="0.25">
      <c r="A69" s="715"/>
      <c r="B69" s="724"/>
      <c r="C69" s="716"/>
      <c r="D69" s="717"/>
      <c r="E69" s="718"/>
      <c r="F69" s="717"/>
      <c r="G69" s="717"/>
    </row>
    <row r="70" spans="1:7" ht="21" hidden="1" customHeight="1" x14ac:dyDescent="0.25">
      <c r="A70" s="719"/>
      <c r="B70" s="725"/>
      <c r="C70" s="720"/>
      <c r="D70" s="721"/>
      <c r="E70" s="722"/>
      <c r="F70" s="721"/>
      <c r="G70" s="723" t="s">
        <v>5151</v>
      </c>
    </row>
    <row r="71" spans="1:7" ht="20.25" customHeight="1" x14ac:dyDescent="0.25">
      <c r="A71" s="710"/>
      <c r="B71" s="711">
        <v>742351</v>
      </c>
      <c r="C71" s="712" t="s">
        <v>5019</v>
      </c>
      <c r="D71" s="713">
        <v>0</v>
      </c>
      <c r="E71" s="714">
        <f>IFERROR(D71/$D$101,"-")</f>
        <v>0</v>
      </c>
      <c r="F71" s="713">
        <v>0</v>
      </c>
      <c r="G71" s="713">
        <f t="shared" si="5"/>
        <v>0</v>
      </c>
    </row>
    <row r="72" spans="1:7" x14ac:dyDescent="0.25">
      <c r="A72" s="196" t="s">
        <v>2916</v>
      </c>
      <c r="B72" s="197"/>
      <c r="C72" s="198" t="s">
        <v>3727</v>
      </c>
      <c r="D72" s="188">
        <f>SUM(D73:D75)</f>
        <v>2640000</v>
      </c>
      <c r="E72" s="244">
        <f t="shared" ref="E72:E101" si="6">IFERROR(D72/$D$101,"-")</f>
        <v>6.6456290552339625E-3</v>
      </c>
      <c r="F72" s="188">
        <f>SUM(F73:F74)</f>
        <v>0</v>
      </c>
      <c r="G72" s="228">
        <f>SUM(G73:G74)</f>
        <v>2510000</v>
      </c>
    </row>
    <row r="73" spans="1:7" ht="31.5" customHeight="1" x14ac:dyDescent="0.25">
      <c r="A73" s="203"/>
      <c r="B73" s="525" t="s">
        <v>2940</v>
      </c>
      <c r="C73" s="190" t="s">
        <v>3728</v>
      </c>
      <c r="D73" s="191">
        <v>2500000</v>
      </c>
      <c r="E73" s="245">
        <f t="shared" si="6"/>
        <v>6.2932093326079196E-3</v>
      </c>
      <c r="F73" s="191"/>
      <c r="G73" s="229">
        <f t="shared" si="5"/>
        <v>2500000</v>
      </c>
    </row>
    <row r="74" spans="1:7" ht="31.5" customHeight="1" x14ac:dyDescent="0.25">
      <c r="A74" s="203"/>
      <c r="B74" s="523" t="s">
        <v>5397</v>
      </c>
      <c r="C74" s="190" t="s">
        <v>3729</v>
      </c>
      <c r="D74" s="191">
        <v>10000</v>
      </c>
      <c r="E74" s="245">
        <f t="shared" si="6"/>
        <v>2.5172837330431678E-5</v>
      </c>
      <c r="F74" s="191"/>
      <c r="G74" s="229">
        <f t="shared" si="5"/>
        <v>10000</v>
      </c>
    </row>
    <row r="75" spans="1:7" ht="31.5" customHeight="1" x14ac:dyDescent="0.25">
      <c r="A75" s="203"/>
      <c r="B75" s="523" t="s">
        <v>5398</v>
      </c>
      <c r="C75" s="190" t="s">
        <v>5399</v>
      </c>
      <c r="D75" s="191">
        <v>130000</v>
      </c>
      <c r="E75" s="245">
        <f t="shared" si="6"/>
        <v>3.2724688529561178E-4</v>
      </c>
      <c r="F75" s="191"/>
      <c r="G75" s="191">
        <f>SUM(D75,F75)</f>
        <v>130000</v>
      </c>
    </row>
    <row r="76" spans="1:7" ht="31.5" customHeight="1" x14ac:dyDescent="0.25">
      <c r="A76" s="196" t="s">
        <v>2989</v>
      </c>
      <c r="B76" s="197"/>
      <c r="C76" s="198" t="s">
        <v>3730</v>
      </c>
      <c r="D76" s="188">
        <f>SUM(D77:D78)</f>
        <v>1000000</v>
      </c>
      <c r="E76" s="244">
        <f t="shared" si="6"/>
        <v>2.5172837330431678E-3</v>
      </c>
      <c r="F76" s="188">
        <f>SUM(F77:F78)</f>
        <v>3715528</v>
      </c>
      <c r="G76" s="228">
        <f>SUM(G77:G78)</f>
        <v>4715528</v>
      </c>
    </row>
    <row r="77" spans="1:7" ht="0.75" customHeight="1" x14ac:dyDescent="0.25">
      <c r="A77" s="203"/>
      <c r="B77" s="523" t="s">
        <v>2998</v>
      </c>
      <c r="C77" s="190" t="s">
        <v>3731</v>
      </c>
      <c r="D77" s="191"/>
      <c r="E77" s="245">
        <f t="shared" si="6"/>
        <v>0</v>
      </c>
      <c r="F77" s="191"/>
      <c r="G77" s="229">
        <f t="shared" si="5"/>
        <v>0</v>
      </c>
    </row>
    <row r="78" spans="1:7" ht="22.5" customHeight="1" x14ac:dyDescent="0.25">
      <c r="A78" s="203"/>
      <c r="B78" s="523" t="s">
        <v>3011</v>
      </c>
      <c r="C78" s="190" t="s">
        <v>5427</v>
      </c>
      <c r="D78" s="191">
        <v>1000000</v>
      </c>
      <c r="E78" s="245">
        <f t="shared" si="6"/>
        <v>2.5172837330431678E-3</v>
      </c>
      <c r="F78" s="191">
        <v>3715528</v>
      </c>
      <c r="G78" s="229">
        <f t="shared" si="5"/>
        <v>4715528</v>
      </c>
    </row>
    <row r="79" spans="1:7" ht="19.5" customHeight="1" x14ac:dyDescent="0.25">
      <c r="A79" s="196" t="s">
        <v>3017</v>
      </c>
      <c r="B79" s="197"/>
      <c r="C79" s="198" t="s">
        <v>3732</v>
      </c>
      <c r="D79" s="188">
        <f>SUM(D80:D82)</f>
        <v>100000</v>
      </c>
      <c r="E79" s="244">
        <f t="shared" si="6"/>
        <v>2.5172837330431677E-4</v>
      </c>
      <c r="F79" s="188">
        <f>SUM(F80:F82)</f>
        <v>0</v>
      </c>
      <c r="G79" s="228">
        <f>SUM(G80:G82)</f>
        <v>100000</v>
      </c>
    </row>
    <row r="80" spans="1:7" x14ac:dyDescent="0.25">
      <c r="A80" s="203"/>
      <c r="B80" s="523" t="s">
        <v>5020</v>
      </c>
      <c r="C80" s="202" t="s">
        <v>5021</v>
      </c>
      <c r="D80" s="191">
        <v>100000</v>
      </c>
      <c r="E80" s="245">
        <f t="shared" si="6"/>
        <v>2.5172837330431677E-4</v>
      </c>
      <c r="F80" s="191"/>
      <c r="G80" s="229">
        <f t="shared" si="5"/>
        <v>100000</v>
      </c>
    </row>
    <row r="81" spans="1:7" x14ac:dyDescent="0.25">
      <c r="A81" s="203"/>
      <c r="B81" s="523" t="s">
        <v>5022</v>
      </c>
      <c r="C81" s="202" t="s">
        <v>5023</v>
      </c>
      <c r="D81" s="191"/>
      <c r="E81" s="245">
        <f t="shared" si="6"/>
        <v>0</v>
      </c>
      <c r="F81" s="191"/>
      <c r="G81" s="229">
        <f t="shared" si="5"/>
        <v>0</v>
      </c>
    </row>
    <row r="82" spans="1:7" ht="24" x14ac:dyDescent="0.25">
      <c r="A82" s="203"/>
      <c r="B82" s="523" t="s">
        <v>5024</v>
      </c>
      <c r="C82" s="202" t="s">
        <v>5025</v>
      </c>
      <c r="D82" s="191">
        <v>0</v>
      </c>
      <c r="E82" s="245">
        <f t="shared" si="6"/>
        <v>0</v>
      </c>
      <c r="F82" s="191"/>
      <c r="G82" s="229">
        <f t="shared" si="5"/>
        <v>0</v>
      </c>
    </row>
    <row r="83" spans="1:7" ht="0.75" customHeight="1" x14ac:dyDescent="0.25">
      <c r="A83" s="206" t="s">
        <v>3054</v>
      </c>
      <c r="B83" s="207"/>
      <c r="C83" s="208" t="s">
        <v>3733</v>
      </c>
      <c r="D83" s="209">
        <f>SUM(D84)</f>
        <v>350000</v>
      </c>
      <c r="E83" s="246">
        <f t="shared" si="6"/>
        <v>8.8104930656510865E-4</v>
      </c>
      <c r="F83" s="209">
        <f>SUM(F84)</f>
        <v>0</v>
      </c>
      <c r="G83" s="230">
        <f>SUM(G84)</f>
        <v>350000</v>
      </c>
    </row>
    <row r="84" spans="1:7" x14ac:dyDescent="0.25">
      <c r="A84" s="203"/>
      <c r="B84" s="525" t="s">
        <v>3056</v>
      </c>
      <c r="C84" s="202" t="s">
        <v>56</v>
      </c>
      <c r="D84" s="191">
        <v>350000</v>
      </c>
      <c r="E84" s="245">
        <f t="shared" si="6"/>
        <v>8.8104930656510865E-4</v>
      </c>
      <c r="F84" s="191"/>
      <c r="G84" s="229">
        <f t="shared" si="5"/>
        <v>350000</v>
      </c>
    </row>
    <row r="85" spans="1:7" x14ac:dyDescent="0.25">
      <c r="A85" s="206" t="s">
        <v>3086</v>
      </c>
      <c r="B85" s="207"/>
      <c r="C85" s="208" t="s">
        <v>3734</v>
      </c>
      <c r="D85" s="209">
        <f>SUM(D86)</f>
        <v>0</v>
      </c>
      <c r="E85" s="246">
        <f t="shared" si="6"/>
        <v>0</v>
      </c>
      <c r="F85" s="209">
        <f>SUM(F86)</f>
        <v>0</v>
      </c>
      <c r="G85" s="230">
        <f>SUM(G86)</f>
        <v>0</v>
      </c>
    </row>
    <row r="86" spans="1:7" x14ac:dyDescent="0.25">
      <c r="A86" s="203"/>
      <c r="B86" s="195" t="s">
        <v>3088</v>
      </c>
      <c r="C86" s="202" t="s">
        <v>235</v>
      </c>
      <c r="D86" s="191"/>
      <c r="E86" s="245">
        <f t="shared" si="6"/>
        <v>0</v>
      </c>
      <c r="F86" s="191"/>
      <c r="G86" s="229">
        <f t="shared" si="5"/>
        <v>0</v>
      </c>
    </row>
    <row r="87" spans="1:7" x14ac:dyDescent="0.25">
      <c r="A87" s="210" t="s">
        <v>3089</v>
      </c>
      <c r="B87" s="211"/>
      <c r="C87" s="212" t="s">
        <v>3735</v>
      </c>
      <c r="D87" s="213">
        <f>D88+D91</f>
        <v>0</v>
      </c>
      <c r="E87" s="247">
        <f t="shared" si="6"/>
        <v>0</v>
      </c>
      <c r="F87" s="213">
        <f>F88+F91</f>
        <v>0</v>
      </c>
      <c r="G87" s="231">
        <f>G88+G91</f>
        <v>0</v>
      </c>
    </row>
    <row r="88" spans="1:7" x14ac:dyDescent="0.25">
      <c r="A88" s="214">
        <v>810000</v>
      </c>
      <c r="B88" s="207"/>
      <c r="C88" s="215" t="s">
        <v>3736</v>
      </c>
      <c r="D88" s="209">
        <f>SUM(D89:D90)</f>
        <v>0</v>
      </c>
      <c r="E88" s="246">
        <f t="shared" si="6"/>
        <v>0</v>
      </c>
      <c r="F88" s="209">
        <f>SUM(F89:F90)</f>
        <v>0</v>
      </c>
      <c r="G88" s="230">
        <f>SUM(G89:G90)</f>
        <v>0</v>
      </c>
    </row>
    <row r="89" spans="1:7" x14ac:dyDescent="0.25">
      <c r="A89" s="203"/>
      <c r="B89" s="205">
        <v>811000</v>
      </c>
      <c r="C89" s="205" t="s">
        <v>3737</v>
      </c>
      <c r="D89" s="191"/>
      <c r="E89" s="245">
        <f t="shared" si="6"/>
        <v>0</v>
      </c>
      <c r="F89" s="191"/>
      <c r="G89" s="229">
        <f t="shared" ref="G89:G90" si="7">SUM(F89,D89)</f>
        <v>0</v>
      </c>
    </row>
    <row r="90" spans="1:7" x14ac:dyDescent="0.25">
      <c r="A90" s="203"/>
      <c r="B90" s="205">
        <v>812000</v>
      </c>
      <c r="C90" s="205" t="s">
        <v>3738</v>
      </c>
      <c r="D90" s="191"/>
      <c r="E90" s="245">
        <f t="shared" si="6"/>
        <v>0</v>
      </c>
      <c r="F90" s="191"/>
      <c r="G90" s="229">
        <f t="shared" si="7"/>
        <v>0</v>
      </c>
    </row>
    <row r="91" spans="1:7" x14ac:dyDescent="0.25">
      <c r="A91" s="214">
        <v>840000</v>
      </c>
      <c r="B91" s="216"/>
      <c r="C91" s="217" t="s">
        <v>3739</v>
      </c>
      <c r="D91" s="218">
        <f>SUM(D92)</f>
        <v>0</v>
      </c>
      <c r="E91" s="248">
        <f t="shared" si="6"/>
        <v>0</v>
      </c>
      <c r="F91" s="218">
        <f>SUM(F92)</f>
        <v>0</v>
      </c>
      <c r="G91" s="232">
        <f>SUM(G92)</f>
        <v>0</v>
      </c>
    </row>
    <row r="92" spans="1:7" x14ac:dyDescent="0.25">
      <c r="A92" s="203"/>
      <c r="B92" s="205">
        <v>841000</v>
      </c>
      <c r="C92" s="205" t="s">
        <v>3740</v>
      </c>
      <c r="D92" s="191"/>
      <c r="E92" s="245">
        <f t="shared" si="6"/>
        <v>0</v>
      </c>
      <c r="F92" s="191"/>
      <c r="G92" s="229">
        <f t="shared" ref="G92" si="8">SUM(F92,D92)</f>
        <v>0</v>
      </c>
    </row>
    <row r="93" spans="1:7" x14ac:dyDescent="0.25">
      <c r="A93" s="210" t="s">
        <v>3215</v>
      </c>
      <c r="B93" s="219"/>
      <c r="C93" s="220" t="s">
        <v>3741</v>
      </c>
      <c r="D93" s="213">
        <f>SUM(D94,D97)</f>
        <v>0</v>
      </c>
      <c r="E93" s="521">
        <f t="shared" si="6"/>
        <v>0</v>
      </c>
      <c r="F93" s="213">
        <f>SUM(F94,F97)</f>
        <v>0</v>
      </c>
      <c r="G93" s="231">
        <f>SUM(G94,G97)</f>
        <v>0</v>
      </c>
    </row>
    <row r="94" spans="1:7" x14ac:dyDescent="0.25">
      <c r="A94" s="206" t="s">
        <v>3217</v>
      </c>
      <c r="B94" s="207"/>
      <c r="C94" s="208" t="s">
        <v>3742</v>
      </c>
      <c r="D94" s="209">
        <f>SUM(D95:D96)</f>
        <v>0</v>
      </c>
      <c r="E94" s="246">
        <f t="shared" si="6"/>
        <v>0</v>
      </c>
      <c r="F94" s="209">
        <f>SUM(F95:F96)</f>
        <v>0</v>
      </c>
      <c r="G94" s="230">
        <f>SUM(G95:G96)</f>
        <v>0</v>
      </c>
    </row>
    <row r="95" spans="1:7" ht="24" x14ac:dyDescent="0.25">
      <c r="A95" s="195"/>
      <c r="B95" s="195" t="s">
        <v>3257</v>
      </c>
      <c r="C95" s="190" t="s">
        <v>3743</v>
      </c>
      <c r="D95" s="191"/>
      <c r="E95" s="245">
        <f t="shared" si="6"/>
        <v>0</v>
      </c>
      <c r="F95" s="191"/>
      <c r="G95" s="229">
        <f t="shared" ref="G95:G96" si="9">SUM(F95,D95)</f>
        <v>0</v>
      </c>
    </row>
    <row r="96" spans="1:7" x14ac:dyDescent="0.25">
      <c r="A96" s="203"/>
      <c r="B96" s="195" t="s">
        <v>3744</v>
      </c>
      <c r="C96" s="202" t="s">
        <v>3745</v>
      </c>
      <c r="D96" s="191"/>
      <c r="E96" s="245">
        <f t="shared" si="6"/>
        <v>0</v>
      </c>
      <c r="F96" s="191"/>
      <c r="G96" s="229">
        <f t="shared" si="9"/>
        <v>0</v>
      </c>
    </row>
    <row r="97" spans="1:7" x14ac:dyDescent="0.25">
      <c r="A97" s="206" t="s">
        <v>3387</v>
      </c>
      <c r="B97" s="207"/>
      <c r="C97" s="208" t="s">
        <v>3746</v>
      </c>
      <c r="D97" s="209">
        <f>SUM(D98)</f>
        <v>0</v>
      </c>
      <c r="E97" s="246">
        <f t="shared" si="6"/>
        <v>0</v>
      </c>
      <c r="F97" s="209">
        <f>SUM(F98)</f>
        <v>0</v>
      </c>
      <c r="G97" s="230">
        <f>SUM(G98)</f>
        <v>0</v>
      </c>
    </row>
    <row r="98" spans="1:7" ht="24" x14ac:dyDescent="0.25">
      <c r="A98" s="203"/>
      <c r="B98" s="195" t="s">
        <v>3479</v>
      </c>
      <c r="C98" s="194" t="s">
        <v>3747</v>
      </c>
      <c r="D98" s="191"/>
      <c r="E98" s="245">
        <f t="shared" si="6"/>
        <v>0</v>
      </c>
      <c r="F98" s="191"/>
      <c r="G98" s="229">
        <f t="shared" ref="G98" si="10">SUM(F98,D98)</f>
        <v>0</v>
      </c>
    </row>
    <row r="99" spans="1:7" ht="26.25" customHeight="1" x14ac:dyDescent="0.25">
      <c r="A99" s="221"/>
      <c r="B99" s="221" t="s">
        <v>3748</v>
      </c>
      <c r="C99" s="222" t="s">
        <v>3749</v>
      </c>
      <c r="D99" s="177">
        <f>SUM(D7,D87,D93)</f>
        <v>293987171</v>
      </c>
      <c r="E99" s="241">
        <f t="shared" si="6"/>
        <v>0.74004912328168004</v>
      </c>
      <c r="F99" s="177">
        <f>SUM(F7,F87,F93)</f>
        <v>15844273</v>
      </c>
      <c r="G99" s="225">
        <f>SUM(D99,F99)</f>
        <v>309831444</v>
      </c>
    </row>
    <row r="100" spans="1:7" ht="26.25" customHeight="1" x14ac:dyDescent="0.25">
      <c r="A100" s="221"/>
      <c r="B100" s="221" t="s">
        <v>4128</v>
      </c>
      <c r="C100" s="222" t="s">
        <v>3682</v>
      </c>
      <c r="D100" s="177">
        <v>103266419</v>
      </c>
      <c r="E100" s="241" t="s">
        <v>5400</v>
      </c>
      <c r="F100" s="177">
        <v>636000</v>
      </c>
      <c r="G100" s="177">
        <f>SUM(F100,D100)</f>
        <v>103902419</v>
      </c>
    </row>
    <row r="101" spans="1:7" ht="26.25" customHeight="1" x14ac:dyDescent="0.25">
      <c r="A101" s="236"/>
      <c r="B101" s="237" t="s">
        <v>3750</v>
      </c>
      <c r="C101" s="238" t="s">
        <v>4125</v>
      </c>
      <c r="D101" s="239">
        <f>SUM(D99,D100)</f>
        <v>397253590</v>
      </c>
      <c r="E101" s="249">
        <f t="shared" si="6"/>
        <v>1</v>
      </c>
      <c r="F101" s="239">
        <f>SUM(F6,F7,F87,F93,F100)</f>
        <v>16480273</v>
      </c>
      <c r="G101" s="240">
        <f>SUM(G99,G100)</f>
        <v>413733863</v>
      </c>
    </row>
    <row r="102" spans="1:7" x14ac:dyDescent="0.25">
      <c r="A102" s="223"/>
      <c r="B102" s="223"/>
      <c r="C102" s="224"/>
      <c r="D102" s="234"/>
      <c r="E102" s="235"/>
      <c r="F102" s="234"/>
      <c r="G102" s="234"/>
    </row>
    <row r="103" spans="1:7" x14ac:dyDescent="0.25">
      <c r="D103" s="668"/>
      <c r="E103" s="668"/>
      <c r="F103" s="668"/>
      <c r="G103" s="668"/>
    </row>
  </sheetData>
  <mergeCells count="7">
    <mergeCell ref="A2:G2"/>
    <mergeCell ref="C1:F1"/>
    <mergeCell ref="D4:F4"/>
    <mergeCell ref="G4:G5"/>
    <mergeCell ref="A4:A5"/>
    <mergeCell ref="B4:B5"/>
    <mergeCell ref="C4:C5"/>
  </mergeCells>
  <conditionalFormatting sqref="D103:G103">
    <cfRule type="cellIs" dxfId="7" priority="1" operator="notEqual">
      <formula>0</formula>
    </cfRule>
    <cfRule type="cellIs" dxfId="6" priority="2" operator="notEqual">
      <formula>0</formula>
    </cfRule>
    <cfRule type="cellIs" dxfId="5" priority="4" operator="lessThan">
      <formula>0</formula>
    </cfRule>
  </conditionalFormatting>
  <conditionalFormatting sqref="L13:N13">
    <cfRule type="cellIs" dxfId="4" priority="3" operator="notEqual">
      <formula>0</formula>
    </cfRule>
  </conditionalFormatting>
  <pageMargins left="0.51181102362204722" right="0.31496062992125984"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P69"/>
  <sheetViews>
    <sheetView topLeftCell="A51" workbookViewId="0">
      <selection activeCell="A2" sqref="A2:K2"/>
    </sheetView>
  </sheetViews>
  <sheetFormatPr defaultColWidth="9.140625" defaultRowHeight="15" x14ac:dyDescent="0.25"/>
  <cols>
    <col min="1" max="1" width="5.140625" style="84" customWidth="1"/>
    <col min="2" max="2" width="22.7109375" style="173" customWidth="1"/>
    <col min="3" max="3" width="9.7109375" style="173" customWidth="1"/>
    <col min="4" max="4" width="13.85546875" style="173" customWidth="1"/>
    <col min="5" max="5" width="7.42578125" style="84" customWidth="1"/>
    <col min="6" max="6" width="7" style="84" customWidth="1"/>
    <col min="7" max="7" width="7.5703125" style="84" customWidth="1"/>
    <col min="8" max="8" width="9.140625" style="84"/>
    <col min="9" max="9" width="10.28515625" style="84" customWidth="1"/>
    <col min="10" max="10" width="11.140625" style="84" customWidth="1"/>
    <col min="11" max="11" width="10.5703125" style="84" customWidth="1"/>
    <col min="12" max="13" width="9.5703125" style="84" customWidth="1"/>
    <col min="14" max="14" width="9.85546875" style="84" customWidth="1"/>
    <col min="15" max="16384" width="9.140625" style="84"/>
  </cols>
  <sheetData>
    <row r="1" spans="1:14" ht="15" customHeight="1" x14ac:dyDescent="0.25">
      <c r="A1" s="1112" t="s">
        <v>5712</v>
      </c>
      <c r="B1" s="1112"/>
      <c r="C1" s="1112"/>
      <c r="D1" s="1112"/>
      <c r="E1" s="535"/>
    </row>
    <row r="2" spans="1:14" s="1059" customFormat="1" ht="36" customHeight="1" x14ac:dyDescent="0.25">
      <c r="A2" s="1113" t="s">
        <v>5714</v>
      </c>
      <c r="B2" s="1114"/>
      <c r="C2" s="1114"/>
      <c r="D2" s="1114"/>
      <c r="E2" s="1114"/>
      <c r="F2" s="1114"/>
      <c r="G2" s="1114"/>
      <c r="H2" s="1114"/>
      <c r="I2" s="1114"/>
      <c r="J2" s="1114"/>
      <c r="K2" s="1114"/>
      <c r="L2" s="1070"/>
      <c r="M2" s="1070"/>
      <c r="N2" s="1059" t="s">
        <v>5713</v>
      </c>
    </row>
    <row r="3" spans="1:14" s="311" customFormat="1" ht="0.75" hidden="1" customHeight="1" x14ac:dyDescent="0.25">
      <c r="A3" s="171"/>
      <c r="B3" s="172"/>
      <c r="C3" s="172"/>
      <c r="D3" s="172"/>
    </row>
    <row r="4" spans="1:14" s="311" customFormat="1" ht="15.75" hidden="1" x14ac:dyDescent="0.25">
      <c r="A4" s="171"/>
      <c r="B4" s="172"/>
      <c r="C4" s="172"/>
      <c r="D4" s="172"/>
    </row>
    <row r="5" spans="1:14" s="311" customFormat="1" ht="18" hidden="1" customHeight="1" x14ac:dyDescent="0.25">
      <c r="A5" s="171"/>
      <c r="B5" s="172"/>
      <c r="C5" s="172"/>
      <c r="D5" s="172"/>
    </row>
    <row r="7" spans="1:14" s="1012" customFormat="1" ht="11.25" x14ac:dyDescent="0.2">
      <c r="A7" s="1111" t="s">
        <v>5614</v>
      </c>
      <c r="B7" s="1111"/>
      <c r="C7" s="1111"/>
      <c r="D7" s="1111"/>
      <c r="E7" s="1111"/>
      <c r="F7" s="1111"/>
      <c r="G7" s="1111"/>
      <c r="H7" s="1111"/>
      <c r="I7" s="1111"/>
      <c r="J7" s="1111"/>
      <c r="K7" s="1111"/>
      <c r="L7" s="1111"/>
      <c r="M7" s="1111"/>
      <c r="N7" s="1111"/>
    </row>
    <row r="8" spans="1:14" s="1012" customFormat="1" ht="26.25" customHeight="1" x14ac:dyDescent="0.2">
      <c r="A8" s="1021"/>
      <c r="B8" s="1021"/>
      <c r="C8" s="1021"/>
      <c r="D8" s="1021"/>
      <c r="E8" s="1021"/>
      <c r="F8" s="1021"/>
      <c r="G8" s="1021"/>
      <c r="H8" s="1052"/>
      <c r="I8" s="1053"/>
      <c r="J8" s="1053">
        <f>SUM(J13:J63)</f>
        <v>71180000</v>
      </c>
      <c r="K8" s="1053">
        <f>SUM(K13:K63)</f>
        <v>97939840</v>
      </c>
      <c r="L8" s="1053">
        <f>SUM(L13:L63)</f>
        <v>91200000</v>
      </c>
      <c r="M8" s="1053">
        <f>SUM(M13:M63)</f>
        <v>91200000</v>
      </c>
      <c r="N8" s="1053">
        <f>SUM(N13:N63)</f>
        <v>91200000</v>
      </c>
    </row>
    <row r="9" spans="1:14" s="1012" customFormat="1" ht="11.25" x14ac:dyDescent="0.2">
      <c r="A9" s="1021">
        <f>27*'[1]Списак капиталних пројеката'!A14</f>
        <v>108</v>
      </c>
      <c r="B9" s="1021"/>
      <c r="C9" s="1021"/>
      <c r="D9" s="1021"/>
      <c r="E9" s="1021"/>
      <c r="F9" s="1021"/>
      <c r="G9" s="1021"/>
      <c r="H9" s="1052"/>
      <c r="I9" s="1021"/>
      <c r="J9" s="1052"/>
      <c r="K9" s="1054" t="s">
        <v>5615</v>
      </c>
      <c r="L9" s="1055"/>
      <c r="M9" s="1056"/>
      <c r="N9" s="1021"/>
    </row>
    <row r="10" spans="1:14" s="1012" customFormat="1" ht="80.25" customHeight="1" x14ac:dyDescent="0.2">
      <c r="A10" s="1014" t="s">
        <v>21</v>
      </c>
      <c r="B10" s="1014" t="s">
        <v>5616</v>
      </c>
      <c r="C10" s="1014" t="s">
        <v>5617</v>
      </c>
      <c r="D10" s="1014" t="s">
        <v>5618</v>
      </c>
      <c r="E10" s="1014" t="s">
        <v>5619</v>
      </c>
      <c r="F10" s="1014" t="s">
        <v>5620</v>
      </c>
      <c r="G10" s="1014" t="s">
        <v>5621</v>
      </c>
      <c r="H10" s="1014" t="s">
        <v>5622</v>
      </c>
      <c r="I10" s="1014" t="s">
        <v>5623</v>
      </c>
      <c r="J10" s="1014" t="s">
        <v>5624</v>
      </c>
      <c r="K10" s="1014" t="s">
        <v>5625</v>
      </c>
      <c r="L10" s="1014" t="s">
        <v>5626</v>
      </c>
      <c r="M10" s="1014" t="s">
        <v>5627</v>
      </c>
      <c r="N10" s="1014" t="s">
        <v>5628</v>
      </c>
    </row>
    <row r="11" spans="1:14" s="1012" customFormat="1" ht="11.25" x14ac:dyDescent="0.2">
      <c r="A11" s="1015">
        <v>1</v>
      </c>
      <c r="B11" s="1016" t="s">
        <v>4041</v>
      </c>
      <c r="C11" s="1016" t="s">
        <v>4128</v>
      </c>
      <c r="D11" s="1016" t="s">
        <v>5362</v>
      </c>
      <c r="E11" s="1016" t="s">
        <v>5363</v>
      </c>
      <c r="F11" s="1016" t="s">
        <v>5038</v>
      </c>
      <c r="G11" s="1016" t="s">
        <v>5048</v>
      </c>
      <c r="H11" s="1016" t="s">
        <v>5152</v>
      </c>
      <c r="I11" s="1017" t="s">
        <v>5364</v>
      </c>
      <c r="J11" s="1016" t="s">
        <v>249</v>
      </c>
      <c r="K11" s="1016" t="s">
        <v>251</v>
      </c>
      <c r="L11" s="1016" t="s">
        <v>253</v>
      </c>
      <c r="M11" s="1016" t="s">
        <v>255</v>
      </c>
      <c r="N11" s="1016" t="s">
        <v>257</v>
      </c>
    </row>
    <row r="12" spans="1:14" s="1012" customFormat="1" ht="11.25" x14ac:dyDescent="0.2">
      <c r="A12" s="1018"/>
      <c r="B12" s="1019" t="s">
        <v>5629</v>
      </c>
      <c r="C12" s="1019"/>
      <c r="D12" s="1019"/>
      <c r="E12" s="1019" t="s">
        <v>5630</v>
      </c>
      <c r="F12" s="1019"/>
      <c r="G12" s="1019" t="s">
        <v>5631</v>
      </c>
      <c r="H12" s="1019" t="s">
        <v>5632</v>
      </c>
      <c r="I12" s="1020" t="s">
        <v>5633</v>
      </c>
      <c r="J12" s="1019" t="s">
        <v>5634</v>
      </c>
      <c r="K12" s="1019" t="s">
        <v>5635</v>
      </c>
      <c r="L12" s="1019" t="s">
        <v>5636</v>
      </c>
      <c r="M12" s="1021"/>
      <c r="N12" s="1021"/>
    </row>
    <row r="13" spans="1:14" s="1012" customFormat="1" ht="23.25" customHeight="1" x14ac:dyDescent="0.2">
      <c r="A13" s="1022">
        <v>1</v>
      </c>
      <c r="B13" s="1023" t="s">
        <v>5637</v>
      </c>
      <c r="C13" s="1024">
        <v>1101</v>
      </c>
      <c r="D13" s="1024" t="s">
        <v>5257</v>
      </c>
      <c r="E13" s="1025">
        <v>511</v>
      </c>
      <c r="F13" s="1025">
        <v>5112</v>
      </c>
      <c r="G13" s="1026">
        <v>1</v>
      </c>
      <c r="H13" s="1027"/>
      <c r="I13" s="1028">
        <v>1000000</v>
      </c>
      <c r="J13" s="1028">
        <v>1000000</v>
      </c>
      <c r="K13" s="1029">
        <v>500000</v>
      </c>
      <c r="L13" s="1029">
        <v>1000000</v>
      </c>
      <c r="M13" s="1029">
        <v>1000000</v>
      </c>
      <c r="N13" s="1029">
        <v>1000000</v>
      </c>
    </row>
    <row r="14" spans="1:14" s="1012" customFormat="1" ht="24.95" customHeight="1" x14ac:dyDescent="0.2">
      <c r="A14" s="1022">
        <v>2</v>
      </c>
      <c r="B14" s="1023" t="s">
        <v>5638</v>
      </c>
      <c r="C14" s="1024">
        <v>1101</v>
      </c>
      <c r="D14" s="1024" t="s">
        <v>5257</v>
      </c>
      <c r="E14" s="1047">
        <v>511</v>
      </c>
      <c r="F14" s="1025">
        <v>5112</v>
      </c>
      <c r="G14" s="1026">
        <v>1</v>
      </c>
      <c r="H14" s="1027"/>
      <c r="I14" s="1028">
        <v>500000</v>
      </c>
      <c r="J14" s="1028">
        <v>500000</v>
      </c>
      <c r="K14" s="1029">
        <v>500000</v>
      </c>
      <c r="L14" s="1029">
        <v>1000000</v>
      </c>
      <c r="M14" s="1029">
        <v>1000000</v>
      </c>
      <c r="N14" s="1029">
        <v>1000000</v>
      </c>
    </row>
    <row r="15" spans="1:14" s="1012" customFormat="1" ht="27" customHeight="1" x14ac:dyDescent="0.2">
      <c r="A15" s="1022">
        <v>3</v>
      </c>
      <c r="B15" s="1023" t="s">
        <v>5639</v>
      </c>
      <c r="C15" s="1024">
        <v>1101</v>
      </c>
      <c r="D15" s="1024" t="s">
        <v>5257</v>
      </c>
      <c r="E15" s="1025">
        <v>511</v>
      </c>
      <c r="F15" s="1025">
        <v>5112</v>
      </c>
      <c r="G15" s="1026">
        <v>1</v>
      </c>
      <c r="H15" s="1027"/>
      <c r="I15" s="1028">
        <v>3500000</v>
      </c>
      <c r="J15" s="1028">
        <v>3500000</v>
      </c>
      <c r="K15" s="1029">
        <v>500000</v>
      </c>
      <c r="L15" s="1029">
        <v>2500000</v>
      </c>
      <c r="M15" s="1029">
        <v>2500000</v>
      </c>
      <c r="N15" s="1029">
        <v>2500000</v>
      </c>
    </row>
    <row r="16" spans="1:14" s="1012" customFormat="1" ht="24.95" customHeight="1" x14ac:dyDescent="0.2">
      <c r="A16" s="1022">
        <v>4</v>
      </c>
      <c r="B16" s="1023" t="s">
        <v>5640</v>
      </c>
      <c r="C16" s="1024">
        <v>1101</v>
      </c>
      <c r="D16" s="1024" t="s">
        <v>5257</v>
      </c>
      <c r="E16" s="1025">
        <v>511</v>
      </c>
      <c r="F16" s="1025">
        <v>5112</v>
      </c>
      <c r="G16" s="1026">
        <v>1</v>
      </c>
      <c r="H16" s="1027"/>
      <c r="I16" s="1028">
        <v>500000</v>
      </c>
      <c r="J16" s="1028">
        <v>500000</v>
      </c>
      <c r="K16" s="1029">
        <v>500000</v>
      </c>
      <c r="L16" s="1029">
        <v>700000</v>
      </c>
      <c r="M16" s="1029">
        <v>700000</v>
      </c>
      <c r="N16" s="1029">
        <v>700000</v>
      </c>
    </row>
    <row r="17" spans="1:16" s="1012" customFormat="1" ht="24" customHeight="1" x14ac:dyDescent="0.2">
      <c r="A17" s="1022">
        <v>5</v>
      </c>
      <c r="B17" s="1023" t="s">
        <v>5641</v>
      </c>
      <c r="C17" s="1024">
        <v>1101</v>
      </c>
      <c r="D17" s="1024" t="s">
        <v>5257</v>
      </c>
      <c r="E17" s="1025">
        <v>511</v>
      </c>
      <c r="F17" s="1025">
        <v>5112</v>
      </c>
      <c r="G17" s="1026">
        <v>1</v>
      </c>
      <c r="H17" s="1027"/>
      <c r="I17" s="1028">
        <v>1000000</v>
      </c>
      <c r="J17" s="1028">
        <v>1000000</v>
      </c>
      <c r="K17" s="1029">
        <v>466000</v>
      </c>
      <c r="L17" s="1029">
        <v>500000</v>
      </c>
      <c r="M17" s="1029">
        <v>500000</v>
      </c>
      <c r="N17" s="1029">
        <v>500000</v>
      </c>
    </row>
    <row r="18" spans="1:16" s="1012" customFormat="1" ht="24.95" customHeight="1" x14ac:dyDescent="0.2">
      <c r="A18" s="1022">
        <v>6</v>
      </c>
      <c r="B18" s="1023" t="s">
        <v>5642</v>
      </c>
      <c r="C18" s="1024">
        <v>1101</v>
      </c>
      <c r="D18" s="1024" t="s">
        <v>5257</v>
      </c>
      <c r="E18" s="1025">
        <v>511</v>
      </c>
      <c r="F18" s="1025">
        <v>5112</v>
      </c>
      <c r="G18" s="1026">
        <v>1</v>
      </c>
      <c r="H18" s="1027"/>
      <c r="I18" s="1028">
        <v>500000</v>
      </c>
      <c r="J18" s="1028">
        <v>500000</v>
      </c>
      <c r="K18" s="1029">
        <v>500000</v>
      </c>
      <c r="L18" s="1029">
        <v>500000</v>
      </c>
      <c r="M18" s="1029">
        <v>500000</v>
      </c>
      <c r="N18" s="1029">
        <v>500000</v>
      </c>
    </row>
    <row r="19" spans="1:16" s="1012" customFormat="1" ht="24.95" customHeight="1" x14ac:dyDescent="0.2">
      <c r="A19" s="1022">
        <v>7</v>
      </c>
      <c r="B19" s="1023" t="s">
        <v>5643</v>
      </c>
      <c r="C19" s="1024">
        <v>1101</v>
      </c>
      <c r="D19" s="1024" t="s">
        <v>5257</v>
      </c>
      <c r="E19" s="1025">
        <v>511</v>
      </c>
      <c r="F19" s="1025">
        <v>5112</v>
      </c>
      <c r="G19" s="1026">
        <v>1</v>
      </c>
      <c r="H19" s="1027"/>
      <c r="I19" s="1031">
        <v>500000</v>
      </c>
      <c r="J19" s="1031">
        <v>500000</v>
      </c>
      <c r="K19" s="1029">
        <v>500000</v>
      </c>
      <c r="L19" s="1029">
        <v>1000000</v>
      </c>
      <c r="M19" s="1029">
        <v>1000000</v>
      </c>
      <c r="N19" s="1029">
        <v>1000000</v>
      </c>
    </row>
    <row r="20" spans="1:16" s="1012" customFormat="1" ht="24" customHeight="1" x14ac:dyDescent="0.2">
      <c r="A20" s="1022">
        <v>8</v>
      </c>
      <c r="B20" s="1023" t="s">
        <v>5644</v>
      </c>
      <c r="C20" s="1024">
        <v>1101</v>
      </c>
      <c r="D20" s="1024" t="s">
        <v>5257</v>
      </c>
      <c r="E20" s="1025">
        <v>511</v>
      </c>
      <c r="F20" s="1025">
        <v>5112</v>
      </c>
      <c r="G20" s="1026">
        <v>1</v>
      </c>
      <c r="H20" s="1027"/>
      <c r="I20" s="1028">
        <v>500000</v>
      </c>
      <c r="J20" s="1028">
        <v>500000</v>
      </c>
      <c r="K20" s="1029">
        <v>500000</v>
      </c>
      <c r="L20" s="1029">
        <v>500000</v>
      </c>
      <c r="M20" s="1029">
        <v>500000</v>
      </c>
      <c r="N20" s="1029">
        <v>500000</v>
      </c>
      <c r="P20" s="1032"/>
    </row>
    <row r="21" spans="1:16" s="1012" customFormat="1" ht="28.5" customHeight="1" x14ac:dyDescent="0.2">
      <c r="A21" s="1022">
        <v>9</v>
      </c>
      <c r="B21" s="1033" t="s">
        <v>5645</v>
      </c>
      <c r="C21" s="1024">
        <v>1101</v>
      </c>
      <c r="D21" s="1024" t="s">
        <v>5257</v>
      </c>
      <c r="E21" s="1025">
        <v>511</v>
      </c>
      <c r="F21" s="1025">
        <v>5112</v>
      </c>
      <c r="G21" s="1026">
        <v>1</v>
      </c>
      <c r="H21" s="1027"/>
      <c r="I21" s="1034">
        <v>2500000</v>
      </c>
      <c r="J21" s="1034">
        <v>2500000</v>
      </c>
      <c r="K21" s="1030">
        <v>500000</v>
      </c>
      <c r="L21" s="1030">
        <v>500000</v>
      </c>
      <c r="M21" s="1030">
        <v>500000</v>
      </c>
      <c r="N21" s="1030">
        <v>500000</v>
      </c>
      <c r="P21" s="1032"/>
    </row>
    <row r="22" spans="1:16" s="1012" customFormat="1" ht="39" customHeight="1" x14ac:dyDescent="0.2">
      <c r="A22" s="1022">
        <v>10</v>
      </c>
      <c r="B22" s="1033" t="s">
        <v>5646</v>
      </c>
      <c r="C22" s="1024">
        <v>1101</v>
      </c>
      <c r="D22" s="1024" t="s">
        <v>5257</v>
      </c>
      <c r="E22" s="1025">
        <v>511</v>
      </c>
      <c r="F22" s="1025">
        <v>5112</v>
      </c>
      <c r="G22" s="1026">
        <v>1</v>
      </c>
      <c r="H22" s="1027"/>
      <c r="I22" s="1035">
        <v>500000</v>
      </c>
      <c r="J22" s="1035">
        <v>500000</v>
      </c>
      <c r="K22" s="1030">
        <v>500000</v>
      </c>
      <c r="L22" s="1030">
        <v>500000</v>
      </c>
      <c r="M22" s="1030">
        <v>500000</v>
      </c>
      <c r="N22" s="1030">
        <v>500000</v>
      </c>
      <c r="P22" s="1032"/>
    </row>
    <row r="23" spans="1:16" s="1012" customFormat="1" ht="24.95" customHeight="1" x14ac:dyDescent="0.2">
      <c r="A23" s="1022">
        <v>11</v>
      </c>
      <c r="B23" s="1036" t="s">
        <v>5647</v>
      </c>
      <c r="C23" s="1024">
        <v>1101</v>
      </c>
      <c r="D23" s="1024" t="s">
        <v>5257</v>
      </c>
      <c r="E23" s="1025">
        <v>511</v>
      </c>
      <c r="F23" s="1025">
        <v>5112</v>
      </c>
      <c r="G23" s="1026">
        <v>1</v>
      </c>
      <c r="H23" s="1027"/>
      <c r="I23" s="1035">
        <v>4000000</v>
      </c>
      <c r="J23" s="1035">
        <v>4000000</v>
      </c>
      <c r="K23" s="1030">
        <v>500000</v>
      </c>
      <c r="L23" s="1030">
        <v>3000000</v>
      </c>
      <c r="M23" s="1030">
        <v>3000000</v>
      </c>
      <c r="N23" s="1030">
        <v>3000000</v>
      </c>
    </row>
    <row r="24" spans="1:16" s="1012" customFormat="1" ht="29.25" customHeight="1" x14ac:dyDescent="0.2">
      <c r="A24" s="1022">
        <v>12</v>
      </c>
      <c r="B24" s="1036" t="s">
        <v>5648</v>
      </c>
      <c r="C24" s="1024">
        <v>1101</v>
      </c>
      <c r="D24" s="1024" t="s">
        <v>5257</v>
      </c>
      <c r="E24" s="1025">
        <v>511</v>
      </c>
      <c r="F24" s="1025">
        <v>5112</v>
      </c>
      <c r="G24" s="1026">
        <v>1</v>
      </c>
      <c r="H24" s="1027"/>
      <c r="I24" s="1035">
        <v>1500000</v>
      </c>
      <c r="J24" s="1035">
        <v>1500000</v>
      </c>
      <c r="K24" s="1030">
        <v>500000</v>
      </c>
      <c r="L24" s="1030">
        <v>1000000</v>
      </c>
      <c r="M24" s="1030">
        <v>1000000</v>
      </c>
      <c r="N24" s="1030">
        <v>1000000</v>
      </c>
    </row>
    <row r="25" spans="1:16" s="1012" customFormat="1" ht="39" customHeight="1" x14ac:dyDescent="0.2">
      <c r="A25" s="1022">
        <v>13</v>
      </c>
      <c r="B25" s="1036" t="s">
        <v>5649</v>
      </c>
      <c r="C25" s="1024">
        <v>1101</v>
      </c>
      <c r="D25" s="1024" t="s">
        <v>5257</v>
      </c>
      <c r="E25" s="1025">
        <v>511</v>
      </c>
      <c r="F25" s="1025">
        <v>5112</v>
      </c>
      <c r="G25" s="1026">
        <v>1</v>
      </c>
      <c r="H25" s="1027"/>
      <c r="I25" s="1035">
        <v>3500000</v>
      </c>
      <c r="J25" s="1035">
        <v>3500000</v>
      </c>
      <c r="K25" s="1030">
        <v>500000</v>
      </c>
      <c r="L25" s="1030">
        <v>2000000</v>
      </c>
      <c r="M25" s="1030">
        <v>2000000</v>
      </c>
      <c r="N25" s="1030">
        <v>2000000</v>
      </c>
    </row>
    <row r="26" spans="1:16" s="1012" customFormat="1" ht="24.95" customHeight="1" x14ac:dyDescent="0.2">
      <c r="A26" s="1022">
        <v>14</v>
      </c>
      <c r="B26" s="1036" t="s">
        <v>5650</v>
      </c>
      <c r="C26" s="1024">
        <v>1101</v>
      </c>
      <c r="D26" s="1024" t="s">
        <v>5257</v>
      </c>
      <c r="E26" s="1025">
        <v>511</v>
      </c>
      <c r="F26" s="1025">
        <v>5112</v>
      </c>
      <c r="G26" s="1026">
        <v>1</v>
      </c>
      <c r="H26" s="1027"/>
      <c r="I26" s="1035">
        <v>1000000</v>
      </c>
      <c r="J26" s="1035">
        <v>1000000</v>
      </c>
      <c r="K26" s="1030">
        <v>500000</v>
      </c>
      <c r="L26" s="1030">
        <v>1000000</v>
      </c>
      <c r="M26" s="1030">
        <v>1000000</v>
      </c>
      <c r="N26" s="1030">
        <v>1000000</v>
      </c>
    </row>
    <row r="27" spans="1:16" s="1012" customFormat="1" ht="24.75" customHeight="1" x14ac:dyDescent="0.2">
      <c r="A27" s="1022">
        <v>15</v>
      </c>
      <c r="B27" s="1023" t="s">
        <v>5672</v>
      </c>
      <c r="C27" s="1044">
        <v>1101</v>
      </c>
      <c r="D27" s="1044" t="s">
        <v>5257</v>
      </c>
      <c r="E27" s="1025">
        <v>511</v>
      </c>
      <c r="F27" s="1025">
        <v>5112</v>
      </c>
      <c r="G27" s="1026">
        <v>1</v>
      </c>
      <c r="H27" s="1021"/>
      <c r="I27" s="1028"/>
      <c r="J27" s="1028"/>
      <c r="K27" s="1029">
        <v>3000000</v>
      </c>
      <c r="L27" s="1029">
        <v>3000000</v>
      </c>
      <c r="M27" s="1029">
        <v>3000000</v>
      </c>
      <c r="N27" s="1029">
        <v>3000000</v>
      </c>
    </row>
    <row r="28" spans="1:16" s="1012" customFormat="1" ht="17.25" customHeight="1" x14ac:dyDescent="0.2">
      <c r="A28" s="1022">
        <v>16</v>
      </c>
      <c r="B28" s="1023" t="s">
        <v>5651</v>
      </c>
      <c r="C28" s="1037" t="s">
        <v>5652</v>
      </c>
      <c r="D28" s="1037" t="s">
        <v>4391</v>
      </c>
      <c r="E28" s="1025">
        <v>511</v>
      </c>
      <c r="F28" s="1025">
        <v>5112</v>
      </c>
      <c r="G28" s="1026">
        <v>1</v>
      </c>
      <c r="H28" s="1027"/>
      <c r="I28" s="1028">
        <v>500000</v>
      </c>
      <c r="J28" s="1028">
        <v>500000</v>
      </c>
      <c r="K28" s="1029">
        <v>900000</v>
      </c>
      <c r="L28" s="1029">
        <v>900000</v>
      </c>
      <c r="M28" s="1029">
        <v>900000</v>
      </c>
      <c r="N28" s="1029">
        <v>900000</v>
      </c>
    </row>
    <row r="29" spans="1:16" s="1012" customFormat="1" ht="13.5" customHeight="1" x14ac:dyDescent="0.2">
      <c r="A29" s="1022">
        <v>17</v>
      </c>
      <c r="B29" s="1023" t="s">
        <v>5653</v>
      </c>
      <c r="C29" s="1037" t="s">
        <v>5652</v>
      </c>
      <c r="D29" s="1037" t="s">
        <v>4391</v>
      </c>
      <c r="E29" s="1025">
        <v>511</v>
      </c>
      <c r="F29" s="1025">
        <v>5112</v>
      </c>
      <c r="G29" s="1026">
        <v>1</v>
      </c>
      <c r="H29" s="1027"/>
      <c r="I29" s="1028">
        <v>1500000</v>
      </c>
      <c r="J29" s="1028">
        <v>1500000</v>
      </c>
      <c r="K29" s="1029">
        <v>3000000</v>
      </c>
      <c r="L29" s="1029">
        <v>3000000</v>
      </c>
      <c r="M29" s="1029">
        <v>3000000</v>
      </c>
      <c r="N29" s="1029">
        <v>3000000</v>
      </c>
    </row>
    <row r="30" spans="1:16" s="1012" customFormat="1" ht="59.25" customHeight="1" x14ac:dyDescent="0.2">
      <c r="A30" s="1022">
        <v>18</v>
      </c>
      <c r="B30" s="1023" t="s">
        <v>5654</v>
      </c>
      <c r="C30" s="1037" t="s">
        <v>5652</v>
      </c>
      <c r="D30" s="1037" t="s">
        <v>4391</v>
      </c>
      <c r="E30" s="1025">
        <v>511</v>
      </c>
      <c r="F30" s="1025">
        <v>5112</v>
      </c>
      <c r="G30" s="1026">
        <v>1</v>
      </c>
      <c r="H30" s="1027"/>
      <c r="I30" s="1028"/>
      <c r="J30" s="1028">
        <v>4000000</v>
      </c>
      <c r="K30" s="1029">
        <v>4700000</v>
      </c>
      <c r="L30" s="1029">
        <v>4700000</v>
      </c>
      <c r="M30" s="1029">
        <v>4700000</v>
      </c>
      <c r="N30" s="1029">
        <v>4700000</v>
      </c>
    </row>
    <row r="31" spans="1:16" s="1012" customFormat="1" ht="42" customHeight="1" x14ac:dyDescent="0.2">
      <c r="A31" s="1022">
        <v>19</v>
      </c>
      <c r="B31" s="1023" t="s">
        <v>5655</v>
      </c>
      <c r="C31" s="1037" t="s">
        <v>5652</v>
      </c>
      <c r="D31" s="1037" t="s">
        <v>4391</v>
      </c>
      <c r="E31" s="1025">
        <v>511</v>
      </c>
      <c r="F31" s="1025">
        <v>5112</v>
      </c>
      <c r="G31" s="1026">
        <v>1</v>
      </c>
      <c r="H31" s="1027"/>
      <c r="I31" s="1028"/>
      <c r="J31" s="1028">
        <v>2000000</v>
      </c>
      <c r="K31" s="1029">
        <v>2000000</v>
      </c>
      <c r="L31" s="1029">
        <v>2000000</v>
      </c>
      <c r="M31" s="1029">
        <v>2000000</v>
      </c>
      <c r="N31" s="1029">
        <v>2000000</v>
      </c>
    </row>
    <row r="32" spans="1:16" s="1012" customFormat="1" ht="28.5" customHeight="1" x14ac:dyDescent="0.2">
      <c r="A32" s="1022">
        <v>20</v>
      </c>
      <c r="B32" s="1023" t="s">
        <v>5656</v>
      </c>
      <c r="C32" s="1037" t="s">
        <v>5652</v>
      </c>
      <c r="D32" s="1037" t="s">
        <v>4391</v>
      </c>
      <c r="E32" s="1025">
        <v>511</v>
      </c>
      <c r="F32" s="1025">
        <v>5112</v>
      </c>
      <c r="G32" s="1026">
        <v>1</v>
      </c>
      <c r="H32" s="1027"/>
      <c r="I32" s="1028"/>
      <c r="J32" s="1028">
        <v>3000000</v>
      </c>
      <c r="K32" s="1038">
        <v>3000000</v>
      </c>
      <c r="L32" s="1038">
        <v>3000000</v>
      </c>
      <c r="M32" s="1038">
        <v>3000000</v>
      </c>
      <c r="N32" s="1038">
        <v>3000000</v>
      </c>
    </row>
    <row r="33" spans="1:15" s="1012" customFormat="1" ht="19.5" customHeight="1" x14ac:dyDescent="0.2">
      <c r="A33" s="1022">
        <v>21</v>
      </c>
      <c r="B33" s="1023" t="s">
        <v>5657</v>
      </c>
      <c r="C33" s="1037" t="s">
        <v>5652</v>
      </c>
      <c r="D33" s="1037" t="s">
        <v>4391</v>
      </c>
      <c r="E33" s="1025">
        <v>511</v>
      </c>
      <c r="F33" s="1025">
        <v>5112</v>
      </c>
      <c r="G33" s="1026">
        <v>1</v>
      </c>
      <c r="H33" s="1039"/>
      <c r="I33" s="1028"/>
      <c r="J33" s="1028">
        <v>1000000</v>
      </c>
      <c r="K33" s="1029">
        <v>2400000</v>
      </c>
      <c r="L33" s="1029">
        <v>2400000</v>
      </c>
      <c r="M33" s="1029">
        <v>2400000</v>
      </c>
      <c r="N33" s="1029">
        <v>2400000</v>
      </c>
    </row>
    <row r="34" spans="1:15" s="1012" customFormat="1" ht="25.5" customHeight="1" x14ac:dyDescent="0.2">
      <c r="A34" s="1022">
        <v>22</v>
      </c>
      <c r="B34" s="1023" t="s">
        <v>5658</v>
      </c>
      <c r="C34" s="1037" t="s">
        <v>5652</v>
      </c>
      <c r="D34" s="1037" t="s">
        <v>4391</v>
      </c>
      <c r="E34" s="1025">
        <v>511</v>
      </c>
      <c r="F34" s="1025">
        <v>5112</v>
      </c>
      <c r="G34" s="1026">
        <v>1</v>
      </c>
      <c r="H34" s="1039"/>
      <c r="I34" s="1028"/>
      <c r="J34" s="1028">
        <v>1000000</v>
      </c>
      <c r="K34" s="1029">
        <v>800000</v>
      </c>
      <c r="L34" s="1029">
        <v>800000</v>
      </c>
      <c r="M34" s="1029">
        <v>800000</v>
      </c>
      <c r="N34" s="1029">
        <v>800000</v>
      </c>
    </row>
    <row r="35" spans="1:15" s="1012" customFormat="1" ht="27" customHeight="1" x14ac:dyDescent="0.2">
      <c r="A35" s="1022">
        <v>23</v>
      </c>
      <c r="B35" s="1036" t="s">
        <v>5659</v>
      </c>
      <c r="C35" s="1037" t="s">
        <v>5652</v>
      </c>
      <c r="D35" s="1037" t="s">
        <v>4391</v>
      </c>
      <c r="E35" s="1025">
        <v>511</v>
      </c>
      <c r="F35" s="1025">
        <v>5112</v>
      </c>
      <c r="G35" s="1026">
        <v>1</v>
      </c>
      <c r="H35" s="1039"/>
      <c r="I35" s="1034"/>
      <c r="J35" s="1034">
        <v>1000000</v>
      </c>
      <c r="K35" s="1030">
        <v>2000000</v>
      </c>
      <c r="L35" s="1030">
        <v>2000000</v>
      </c>
      <c r="M35" s="1030">
        <v>2000000</v>
      </c>
      <c r="N35" s="1030">
        <v>2000000</v>
      </c>
    </row>
    <row r="36" spans="1:15" s="1012" customFormat="1" ht="39" customHeight="1" x14ac:dyDescent="0.2">
      <c r="A36" s="1022">
        <v>24</v>
      </c>
      <c r="B36" s="1036" t="s">
        <v>5660</v>
      </c>
      <c r="C36" s="1037" t="s">
        <v>5652</v>
      </c>
      <c r="D36" s="1037" t="s">
        <v>4391</v>
      </c>
      <c r="E36" s="1025">
        <v>511</v>
      </c>
      <c r="F36" s="1025">
        <v>5112</v>
      </c>
      <c r="G36" s="1026">
        <v>1</v>
      </c>
      <c r="H36" s="1039"/>
      <c r="I36" s="1034"/>
      <c r="J36" s="1034">
        <v>2500000</v>
      </c>
      <c r="K36" s="1030">
        <v>3600000</v>
      </c>
      <c r="L36" s="1030">
        <v>3600000</v>
      </c>
      <c r="M36" s="1030">
        <v>3600000</v>
      </c>
      <c r="N36" s="1030">
        <v>3600000</v>
      </c>
    </row>
    <row r="37" spans="1:15" s="1012" customFormat="1" ht="23.25" customHeight="1" x14ac:dyDescent="0.2">
      <c r="A37" s="1022">
        <v>25</v>
      </c>
      <c r="B37" s="1033" t="s">
        <v>5661</v>
      </c>
      <c r="C37" s="1037" t="s">
        <v>5652</v>
      </c>
      <c r="D37" s="1037" t="s">
        <v>4391</v>
      </c>
      <c r="E37" s="1025">
        <v>511</v>
      </c>
      <c r="F37" s="1025">
        <v>5112</v>
      </c>
      <c r="G37" s="1026">
        <v>1</v>
      </c>
      <c r="H37" s="1039"/>
      <c r="I37" s="1035"/>
      <c r="J37" s="1035">
        <v>1000000</v>
      </c>
      <c r="K37" s="1030">
        <v>1200000</v>
      </c>
      <c r="L37" s="1030">
        <v>1200000</v>
      </c>
      <c r="M37" s="1030">
        <v>1200000</v>
      </c>
      <c r="N37" s="1030">
        <v>1200000</v>
      </c>
    </row>
    <row r="38" spans="1:15" s="1012" customFormat="1" ht="19.5" customHeight="1" x14ac:dyDescent="0.2">
      <c r="A38" s="1022">
        <v>26</v>
      </c>
      <c r="B38" s="1036" t="s">
        <v>5662</v>
      </c>
      <c r="C38" s="1037" t="s">
        <v>5652</v>
      </c>
      <c r="D38" s="1037" t="s">
        <v>4391</v>
      </c>
      <c r="E38" s="1025">
        <v>511</v>
      </c>
      <c r="F38" s="1025">
        <v>5112</v>
      </c>
      <c r="G38" s="1026">
        <v>1</v>
      </c>
      <c r="H38" s="1039"/>
      <c r="I38" s="1035"/>
      <c r="J38" s="1035">
        <v>2500000</v>
      </c>
      <c r="K38" s="1030">
        <v>2000000</v>
      </c>
      <c r="L38" s="1030">
        <v>2000000</v>
      </c>
      <c r="M38" s="1030">
        <v>2000000</v>
      </c>
      <c r="N38" s="1030">
        <v>2000000</v>
      </c>
    </row>
    <row r="39" spans="1:15" s="1012" customFormat="1" ht="30.75" customHeight="1" x14ac:dyDescent="0.2">
      <c r="A39" s="1022">
        <v>27</v>
      </c>
      <c r="B39" s="1033" t="s">
        <v>5663</v>
      </c>
      <c r="C39" s="1037" t="s">
        <v>5652</v>
      </c>
      <c r="D39" s="1037" t="s">
        <v>4391</v>
      </c>
      <c r="E39" s="1025">
        <v>511</v>
      </c>
      <c r="F39" s="1025">
        <v>5112</v>
      </c>
      <c r="G39" s="1026">
        <v>1</v>
      </c>
      <c r="H39" s="1021"/>
      <c r="I39" s="1035"/>
      <c r="J39" s="1035">
        <v>1500000</v>
      </c>
      <c r="K39" s="1030">
        <v>1500000</v>
      </c>
      <c r="L39" s="1030">
        <v>1500000</v>
      </c>
      <c r="M39" s="1030">
        <v>1500000</v>
      </c>
      <c r="N39" s="1030">
        <v>1500000</v>
      </c>
    </row>
    <row r="40" spans="1:15" s="1012" customFormat="1" ht="25.5" customHeight="1" x14ac:dyDescent="0.2">
      <c r="A40" s="1022">
        <v>28</v>
      </c>
      <c r="B40" s="1033" t="s">
        <v>5664</v>
      </c>
      <c r="C40" s="1037" t="s">
        <v>5652</v>
      </c>
      <c r="D40" s="1037" t="s">
        <v>4391</v>
      </c>
      <c r="E40" s="1025">
        <v>511</v>
      </c>
      <c r="F40" s="1025">
        <v>5112</v>
      </c>
      <c r="G40" s="1026">
        <v>1</v>
      </c>
      <c r="H40" s="1021"/>
      <c r="I40" s="1035"/>
      <c r="J40" s="1035">
        <v>1500000</v>
      </c>
      <c r="K40" s="1030">
        <v>3000000</v>
      </c>
      <c r="L40" s="1030">
        <v>3000000</v>
      </c>
      <c r="M40" s="1030">
        <v>3000000</v>
      </c>
      <c r="N40" s="1030">
        <v>3000000</v>
      </c>
      <c r="O40" s="1041"/>
    </row>
    <row r="41" spans="1:15" s="1012" customFormat="1" ht="29.25" customHeight="1" x14ac:dyDescent="0.2">
      <c r="A41" s="1022">
        <v>29</v>
      </c>
      <c r="B41" s="1036" t="s">
        <v>5665</v>
      </c>
      <c r="C41" s="1037" t="s">
        <v>5652</v>
      </c>
      <c r="D41" s="1037" t="s">
        <v>4391</v>
      </c>
      <c r="E41" s="1025">
        <v>511</v>
      </c>
      <c r="F41" s="1025">
        <v>5112</v>
      </c>
      <c r="G41" s="1026">
        <v>1</v>
      </c>
      <c r="H41" s="1021"/>
      <c r="I41" s="1035"/>
      <c r="J41" s="1035">
        <v>1500000</v>
      </c>
      <c r="K41" s="1030">
        <v>4000000</v>
      </c>
      <c r="L41" s="1030">
        <v>4000000</v>
      </c>
      <c r="M41" s="1030">
        <v>4000000</v>
      </c>
      <c r="N41" s="1030">
        <v>4000000</v>
      </c>
    </row>
    <row r="42" spans="1:15" s="1012" customFormat="1" ht="39" customHeight="1" x14ac:dyDescent="0.2">
      <c r="A42" s="1022">
        <v>30</v>
      </c>
      <c r="B42" s="1036" t="s">
        <v>5666</v>
      </c>
      <c r="C42" s="1037" t="s">
        <v>5652</v>
      </c>
      <c r="D42" s="1037" t="s">
        <v>4391</v>
      </c>
      <c r="E42" s="1025">
        <v>511</v>
      </c>
      <c r="F42" s="1025">
        <v>5112</v>
      </c>
      <c r="G42" s="1026">
        <v>1</v>
      </c>
      <c r="H42" s="1021"/>
      <c r="I42" s="1035"/>
      <c r="J42" s="1035">
        <v>2000000</v>
      </c>
      <c r="K42" s="1030">
        <v>3000000</v>
      </c>
      <c r="L42" s="1030">
        <v>3000000</v>
      </c>
      <c r="M42" s="1030">
        <v>3000000</v>
      </c>
      <c r="N42" s="1030">
        <v>3000000</v>
      </c>
    </row>
    <row r="43" spans="1:15" s="1012" customFormat="1" ht="22.5" x14ac:dyDescent="0.2">
      <c r="A43" s="1022">
        <v>31</v>
      </c>
      <c r="B43" s="1033" t="s">
        <v>5667</v>
      </c>
      <c r="C43" s="1037" t="s">
        <v>5652</v>
      </c>
      <c r="D43" s="1037" t="s">
        <v>4391</v>
      </c>
      <c r="E43" s="1025">
        <v>511</v>
      </c>
      <c r="F43" s="1025">
        <v>5112</v>
      </c>
      <c r="G43" s="1026">
        <v>1</v>
      </c>
      <c r="H43" s="1021"/>
      <c r="I43" s="1035"/>
      <c r="J43" s="1035">
        <v>3000000</v>
      </c>
      <c r="K43" s="1042">
        <v>3000000</v>
      </c>
      <c r="L43" s="1042">
        <v>3000000</v>
      </c>
      <c r="M43" s="1042">
        <v>3000000</v>
      </c>
      <c r="N43" s="1042">
        <v>3000000</v>
      </c>
    </row>
    <row r="44" spans="1:15" s="1012" customFormat="1" ht="35.25" customHeight="1" x14ac:dyDescent="0.2">
      <c r="A44" s="1022">
        <v>32</v>
      </c>
      <c r="B44" s="1043" t="s">
        <v>5668</v>
      </c>
      <c r="C44" s="1037" t="s">
        <v>5652</v>
      </c>
      <c r="D44" s="1037" t="s">
        <v>4391</v>
      </c>
      <c r="E44" s="1025">
        <v>511</v>
      </c>
      <c r="F44" s="1025">
        <v>5112</v>
      </c>
      <c r="G44" s="1026">
        <v>1</v>
      </c>
      <c r="H44" s="1021"/>
      <c r="I44" s="1035"/>
      <c r="J44" s="1035">
        <v>4500000</v>
      </c>
      <c r="K44" s="1057">
        <v>3000000</v>
      </c>
      <c r="L44" s="1057">
        <v>3000000</v>
      </c>
      <c r="M44" s="1057">
        <v>3000000</v>
      </c>
      <c r="N44" s="1057">
        <v>3000000</v>
      </c>
    </row>
    <row r="45" spans="1:15" s="1012" customFormat="1" ht="21" customHeight="1" x14ac:dyDescent="0.2">
      <c r="A45" s="1022">
        <v>33</v>
      </c>
      <c r="B45" s="1043" t="s">
        <v>5669</v>
      </c>
      <c r="C45" s="1037" t="s">
        <v>5652</v>
      </c>
      <c r="D45" s="1037" t="s">
        <v>4391</v>
      </c>
      <c r="E45" s="1025">
        <v>511</v>
      </c>
      <c r="F45" s="1025">
        <v>5112</v>
      </c>
      <c r="G45" s="1026">
        <v>1</v>
      </c>
      <c r="H45" s="1021"/>
      <c r="I45" s="1035"/>
      <c r="J45" s="1035">
        <v>2500000</v>
      </c>
      <c r="K45" s="1042">
        <v>2500000</v>
      </c>
      <c r="L45" s="1042">
        <v>2500000</v>
      </c>
      <c r="M45" s="1042">
        <v>2500000</v>
      </c>
      <c r="N45" s="1042">
        <v>2500000</v>
      </c>
    </row>
    <row r="46" spans="1:15" s="1012" customFormat="1" ht="22.5" x14ac:dyDescent="0.2">
      <c r="A46" s="1022">
        <v>34</v>
      </c>
      <c r="B46" s="1043" t="s">
        <v>5670</v>
      </c>
      <c r="C46" s="1037" t="s">
        <v>5652</v>
      </c>
      <c r="D46" s="1037" t="s">
        <v>4391</v>
      </c>
      <c r="E46" s="1025">
        <v>511</v>
      </c>
      <c r="F46" s="1025">
        <v>5112</v>
      </c>
      <c r="G46" s="1026">
        <v>1</v>
      </c>
      <c r="H46" s="1021"/>
      <c r="I46" s="1035"/>
      <c r="J46" s="1035">
        <v>500000</v>
      </c>
      <c r="K46" s="1042">
        <v>2500000</v>
      </c>
      <c r="L46" s="1042">
        <v>2500000</v>
      </c>
      <c r="M46" s="1042">
        <v>2500000</v>
      </c>
      <c r="N46" s="1042">
        <v>2500000</v>
      </c>
    </row>
    <row r="47" spans="1:15" s="1012" customFormat="1" ht="42" customHeight="1" x14ac:dyDescent="0.2">
      <c r="A47" s="1022">
        <v>35</v>
      </c>
      <c r="B47" s="1036" t="s">
        <v>5671</v>
      </c>
      <c r="C47" s="1044">
        <v>1101</v>
      </c>
      <c r="D47" s="1044" t="s">
        <v>5257</v>
      </c>
      <c r="E47" s="1025">
        <v>511</v>
      </c>
      <c r="F47" s="1025">
        <v>5112</v>
      </c>
      <c r="G47" s="1026">
        <v>1</v>
      </c>
      <c r="H47" s="1021"/>
      <c r="I47" s="1034"/>
      <c r="J47" s="1034">
        <v>500000</v>
      </c>
      <c r="K47" s="1030">
        <v>300000</v>
      </c>
      <c r="L47" s="1030">
        <v>300000</v>
      </c>
      <c r="M47" s="1030">
        <v>300000</v>
      </c>
      <c r="N47" s="1030">
        <v>300000</v>
      </c>
    </row>
    <row r="48" spans="1:15" s="1012" customFormat="1" ht="25.5" customHeight="1" x14ac:dyDescent="0.2">
      <c r="A48" s="1022">
        <v>36</v>
      </c>
      <c r="B48" s="1033" t="s">
        <v>5673</v>
      </c>
      <c r="C48" s="1044">
        <v>1102</v>
      </c>
      <c r="D48" s="1044" t="s">
        <v>5083</v>
      </c>
      <c r="E48" s="1025">
        <v>511</v>
      </c>
      <c r="F48" s="1025">
        <v>5112</v>
      </c>
      <c r="G48" s="1026">
        <v>1</v>
      </c>
      <c r="H48" s="1021"/>
      <c r="I48" s="1034"/>
      <c r="J48" s="1034">
        <v>1500000</v>
      </c>
      <c r="K48" s="1030">
        <v>6000000</v>
      </c>
      <c r="L48" s="1030">
        <v>6000000</v>
      </c>
      <c r="M48" s="1030">
        <v>6000000</v>
      </c>
      <c r="N48" s="1030">
        <v>6000000</v>
      </c>
    </row>
    <row r="49" spans="1:14" s="1012" customFormat="1" ht="39" customHeight="1" x14ac:dyDescent="0.2">
      <c r="A49" s="1022">
        <v>37</v>
      </c>
      <c r="B49" s="1036" t="s">
        <v>5674</v>
      </c>
      <c r="C49" s="1044">
        <v>1102</v>
      </c>
      <c r="D49" s="1044" t="s">
        <v>5083</v>
      </c>
      <c r="E49" s="1025">
        <v>511</v>
      </c>
      <c r="F49" s="1025">
        <v>5112</v>
      </c>
      <c r="G49" s="1026">
        <v>1</v>
      </c>
      <c r="H49" s="1021"/>
      <c r="I49" s="1035"/>
      <c r="J49" s="1035">
        <v>3000000</v>
      </c>
      <c r="K49" s="1030">
        <v>6000000</v>
      </c>
      <c r="L49" s="1030">
        <v>6000000</v>
      </c>
      <c r="M49" s="1030">
        <v>6000000</v>
      </c>
      <c r="N49" s="1030">
        <v>6000000</v>
      </c>
    </row>
    <row r="50" spans="1:14" s="1012" customFormat="1" ht="37.5" customHeight="1" x14ac:dyDescent="0.2">
      <c r="A50" s="1022">
        <v>38</v>
      </c>
      <c r="B50" s="1023" t="s">
        <v>5675</v>
      </c>
      <c r="C50" s="1044">
        <v>1102</v>
      </c>
      <c r="D50" s="1044" t="s">
        <v>5083</v>
      </c>
      <c r="E50" s="1025">
        <v>511</v>
      </c>
      <c r="F50" s="1025">
        <v>5112</v>
      </c>
      <c r="G50" s="1026">
        <v>1</v>
      </c>
      <c r="H50" s="1021"/>
      <c r="I50" s="1028"/>
      <c r="J50" s="1028">
        <v>5000000</v>
      </c>
      <c r="K50" s="1029">
        <v>5000000</v>
      </c>
      <c r="L50" s="1029">
        <v>5000000</v>
      </c>
      <c r="M50" s="1029">
        <v>5000000</v>
      </c>
      <c r="N50" s="1029">
        <v>5000000</v>
      </c>
    </row>
    <row r="51" spans="1:14" s="1012" customFormat="1" ht="24.75" customHeight="1" x14ac:dyDescent="0.2">
      <c r="A51" s="1022">
        <v>39</v>
      </c>
      <c r="B51" s="1043" t="s">
        <v>5676</v>
      </c>
      <c r="C51" s="1044" t="s">
        <v>5652</v>
      </c>
      <c r="D51" s="1044" t="s">
        <v>5677</v>
      </c>
      <c r="E51" s="1025">
        <v>511</v>
      </c>
      <c r="F51" s="1025">
        <v>5112</v>
      </c>
      <c r="G51" s="1026">
        <v>1</v>
      </c>
      <c r="H51" s="1021"/>
      <c r="I51" s="1035"/>
      <c r="J51" s="1035">
        <v>1000000</v>
      </c>
      <c r="K51" s="1057">
        <v>2900000</v>
      </c>
      <c r="L51" s="1057">
        <v>2900000</v>
      </c>
      <c r="M51" s="1057">
        <v>2900000</v>
      </c>
      <c r="N51" s="1057">
        <v>2900000</v>
      </c>
    </row>
    <row r="52" spans="1:14" s="1012" customFormat="1" ht="31.5" customHeight="1" x14ac:dyDescent="0.2">
      <c r="A52" s="1022">
        <v>40</v>
      </c>
      <c r="B52" s="1045" t="s">
        <v>5678</v>
      </c>
      <c r="C52" s="1044">
        <v>1101</v>
      </c>
      <c r="D52" s="1044" t="s">
        <v>5257</v>
      </c>
      <c r="E52" s="1025">
        <v>511</v>
      </c>
      <c r="F52" s="1025">
        <v>5112</v>
      </c>
      <c r="G52" s="1026">
        <v>1</v>
      </c>
      <c r="H52" s="1021"/>
      <c r="I52" s="1035"/>
      <c r="J52" s="1035">
        <v>1400000</v>
      </c>
      <c r="K52" s="1057">
        <v>1000000</v>
      </c>
      <c r="L52" s="1057">
        <v>1000000</v>
      </c>
      <c r="M52" s="1057">
        <v>1000000</v>
      </c>
      <c r="N52" s="1057">
        <v>1000000</v>
      </c>
    </row>
    <row r="53" spans="1:14" s="1012" customFormat="1" ht="36" customHeight="1" x14ac:dyDescent="0.2">
      <c r="A53" s="1022">
        <v>41</v>
      </c>
      <c r="B53" s="1043" t="s">
        <v>5679</v>
      </c>
      <c r="C53" s="1044">
        <v>1102</v>
      </c>
      <c r="D53" s="1044" t="s">
        <v>5083</v>
      </c>
      <c r="E53" s="1025">
        <v>511</v>
      </c>
      <c r="F53" s="1025">
        <v>5114</v>
      </c>
      <c r="G53" s="1026">
        <v>1</v>
      </c>
      <c r="H53" s="1021"/>
      <c r="I53" s="1035"/>
      <c r="J53" s="1035">
        <v>200000</v>
      </c>
      <c r="K53" s="1057">
        <v>2000000</v>
      </c>
      <c r="L53" s="1057">
        <v>2000000</v>
      </c>
      <c r="M53" s="1057">
        <v>2000000</v>
      </c>
      <c r="N53" s="1057">
        <v>2000000</v>
      </c>
    </row>
    <row r="54" spans="1:14" s="1012" customFormat="1" ht="29.25" customHeight="1" x14ac:dyDescent="0.2">
      <c r="A54" s="1022">
        <v>42</v>
      </c>
      <c r="B54" s="1045" t="s">
        <v>5680</v>
      </c>
      <c r="C54" s="1044" t="s">
        <v>5681</v>
      </c>
      <c r="D54" s="1044" t="s">
        <v>5682</v>
      </c>
      <c r="E54" s="1025">
        <v>511</v>
      </c>
      <c r="F54" s="1025">
        <v>5114</v>
      </c>
      <c r="G54" s="1026">
        <v>1</v>
      </c>
      <c r="H54" s="1021"/>
      <c r="I54" s="1035"/>
      <c r="J54" s="1035">
        <v>200000</v>
      </c>
      <c r="K54" s="1058">
        <v>200000</v>
      </c>
      <c r="L54" s="1057">
        <v>200000</v>
      </c>
      <c r="M54" s="1057">
        <v>200000</v>
      </c>
      <c r="N54" s="1057">
        <v>200000</v>
      </c>
    </row>
    <row r="55" spans="1:14" s="1012" customFormat="1" ht="21" customHeight="1" x14ac:dyDescent="0.2">
      <c r="A55" s="1046">
        <v>43</v>
      </c>
      <c r="B55" s="1021" t="s">
        <v>5683</v>
      </c>
      <c r="C55" s="1044">
        <v>2002</v>
      </c>
      <c r="D55" s="1044" t="s">
        <v>4076</v>
      </c>
      <c r="E55" s="1025">
        <v>511</v>
      </c>
      <c r="F55" s="1047">
        <v>5112</v>
      </c>
      <c r="G55" s="1026">
        <v>1</v>
      </c>
      <c r="H55" s="1021"/>
      <c r="I55" s="1035"/>
      <c r="J55" s="1035">
        <v>380000</v>
      </c>
      <c r="K55" s="1042">
        <v>650000</v>
      </c>
      <c r="L55" s="1042">
        <v>1000000</v>
      </c>
      <c r="M55" s="1042">
        <v>1000000</v>
      </c>
      <c r="N55" s="1042">
        <v>1000000</v>
      </c>
    </row>
    <row r="56" spans="1:14" s="1012" customFormat="1" ht="25.5" customHeight="1" x14ac:dyDescent="0.2">
      <c r="A56" s="1046">
        <v>44</v>
      </c>
      <c r="B56" s="1048" t="s">
        <v>5684</v>
      </c>
      <c r="C56" s="1044" t="s">
        <v>5685</v>
      </c>
      <c r="D56" s="1044" t="s">
        <v>5686</v>
      </c>
      <c r="E56" s="1025">
        <v>511</v>
      </c>
      <c r="F56" s="1047">
        <v>5112</v>
      </c>
      <c r="G56" s="1026">
        <v>1</v>
      </c>
      <c r="H56" s="1021"/>
      <c r="I56" s="1049"/>
      <c r="J56" s="1049"/>
      <c r="K56" s="1042">
        <v>3615840</v>
      </c>
      <c r="L56" s="1042"/>
      <c r="M56" s="1040"/>
      <c r="N56" s="1040"/>
    </row>
    <row r="57" spans="1:14" s="1012" customFormat="1" ht="12.75" customHeight="1" x14ac:dyDescent="0.2">
      <c r="A57" s="1046">
        <v>45</v>
      </c>
      <c r="B57" s="1021" t="s">
        <v>5687</v>
      </c>
      <c r="C57" s="1044" t="s">
        <v>5685</v>
      </c>
      <c r="D57" s="1044" t="s">
        <v>5686</v>
      </c>
      <c r="E57" s="1025">
        <v>511</v>
      </c>
      <c r="F57" s="1047">
        <v>5112</v>
      </c>
      <c r="G57" s="1026">
        <v>1</v>
      </c>
      <c r="H57" s="1021"/>
      <c r="I57" s="1049"/>
      <c r="J57" s="1049"/>
      <c r="K57" s="1042">
        <v>1500000</v>
      </c>
      <c r="L57" s="1040"/>
      <c r="M57" s="1040"/>
      <c r="N57" s="1040"/>
    </row>
    <row r="58" spans="1:14" s="1012" customFormat="1" ht="12" customHeight="1" x14ac:dyDescent="0.2">
      <c r="A58" s="1046">
        <v>46</v>
      </c>
      <c r="B58" s="1021" t="s">
        <v>5688</v>
      </c>
      <c r="C58" s="1044" t="s">
        <v>5685</v>
      </c>
      <c r="D58" s="1044" t="s">
        <v>5689</v>
      </c>
      <c r="E58" s="1025">
        <v>511</v>
      </c>
      <c r="F58" s="1047">
        <v>5112</v>
      </c>
      <c r="G58" s="1026">
        <v>1</v>
      </c>
      <c r="H58" s="1021"/>
      <c r="I58" s="1049"/>
      <c r="J58" s="1049"/>
      <c r="K58" s="1042">
        <v>1500000</v>
      </c>
      <c r="L58" s="1040"/>
      <c r="M58" s="1040"/>
      <c r="N58" s="1040"/>
    </row>
    <row r="59" spans="1:14" s="1012" customFormat="1" ht="18" customHeight="1" x14ac:dyDescent="0.2">
      <c r="A59" s="1046">
        <v>47</v>
      </c>
      <c r="B59" s="1021" t="s">
        <v>5690</v>
      </c>
      <c r="C59" s="1044">
        <v>1201</v>
      </c>
      <c r="D59" s="1044" t="s">
        <v>4744</v>
      </c>
      <c r="E59" s="1025">
        <v>511</v>
      </c>
      <c r="F59" s="1047">
        <v>5112</v>
      </c>
      <c r="G59" s="1026">
        <v>1</v>
      </c>
      <c r="H59" s="1021"/>
      <c r="I59" s="1049"/>
      <c r="J59" s="1049"/>
      <c r="K59" s="1042">
        <v>1050000</v>
      </c>
      <c r="L59" s="1040"/>
      <c r="M59" s="1040"/>
      <c r="N59" s="1040"/>
    </row>
    <row r="60" spans="1:14" s="1012" customFormat="1" ht="16.5" customHeight="1" x14ac:dyDescent="0.2">
      <c r="A60" s="1046">
        <v>48</v>
      </c>
      <c r="B60" s="1021" t="s">
        <v>5691</v>
      </c>
      <c r="C60" s="1044">
        <v>2002</v>
      </c>
      <c r="D60" s="1044" t="s">
        <v>4076</v>
      </c>
      <c r="E60" s="1025">
        <v>511</v>
      </c>
      <c r="F60" s="1047">
        <v>5112</v>
      </c>
      <c r="G60" s="1026">
        <v>1</v>
      </c>
      <c r="H60" s="1021"/>
      <c r="I60" s="1049"/>
      <c r="J60" s="1049"/>
      <c r="K60" s="1042">
        <v>1390000</v>
      </c>
      <c r="L60" s="1040"/>
      <c r="M60" s="1040"/>
      <c r="N60" s="1040"/>
    </row>
    <row r="61" spans="1:14" s="1012" customFormat="1" ht="15.75" customHeight="1" x14ac:dyDescent="0.2">
      <c r="A61" s="1046">
        <v>49</v>
      </c>
      <c r="B61" s="1021" t="s">
        <v>5692</v>
      </c>
      <c r="C61" s="1044">
        <v>2002</v>
      </c>
      <c r="D61" s="1044" t="s">
        <v>4076</v>
      </c>
      <c r="E61" s="1025">
        <v>511</v>
      </c>
      <c r="F61" s="1047">
        <v>5112</v>
      </c>
      <c r="G61" s="1026">
        <v>1</v>
      </c>
      <c r="H61" s="1021"/>
      <c r="I61" s="1049"/>
      <c r="J61" s="1049"/>
      <c r="K61" s="1042">
        <v>4000000</v>
      </c>
      <c r="L61" s="1040"/>
      <c r="M61" s="1040"/>
      <c r="N61" s="1040"/>
    </row>
    <row r="62" spans="1:14" s="1012" customFormat="1" ht="25.5" customHeight="1" x14ac:dyDescent="0.2">
      <c r="A62" s="1046">
        <v>50</v>
      </c>
      <c r="B62" s="1048" t="s">
        <v>5693</v>
      </c>
      <c r="C62" s="1044">
        <v>2002</v>
      </c>
      <c r="D62" s="1044" t="s">
        <v>4076</v>
      </c>
      <c r="E62" s="1025">
        <v>511</v>
      </c>
      <c r="F62" s="1047">
        <v>5112</v>
      </c>
      <c r="G62" s="1026">
        <v>1</v>
      </c>
      <c r="H62" s="1021"/>
      <c r="I62" s="1049"/>
      <c r="J62" s="1049"/>
      <c r="K62" s="1042">
        <v>568000</v>
      </c>
      <c r="L62" s="1040"/>
      <c r="M62" s="1040"/>
      <c r="N62" s="1040"/>
    </row>
    <row r="63" spans="1:14" s="1012" customFormat="1" ht="22.5" customHeight="1" x14ac:dyDescent="0.2">
      <c r="A63" s="1046">
        <v>51</v>
      </c>
      <c r="B63" s="1048" t="s">
        <v>5694</v>
      </c>
      <c r="C63" s="1044">
        <v>2002</v>
      </c>
      <c r="D63" s="1044" t="s">
        <v>4076</v>
      </c>
      <c r="E63" s="1025">
        <v>511</v>
      </c>
      <c r="F63" s="1047">
        <v>5112</v>
      </c>
      <c r="G63" s="1026">
        <v>1</v>
      </c>
      <c r="H63" s="1021"/>
      <c r="I63" s="1049"/>
      <c r="J63" s="1049"/>
      <c r="K63" s="1042">
        <v>2200000</v>
      </c>
      <c r="L63" s="1040"/>
      <c r="M63" s="1040"/>
      <c r="N63" s="1040"/>
    </row>
    <row r="64" spans="1:14" s="1012" customFormat="1" ht="11.25" x14ac:dyDescent="0.2">
      <c r="A64" s="1050"/>
    </row>
    <row r="65" spans="1:12" s="1012" customFormat="1" ht="11.25" x14ac:dyDescent="0.2">
      <c r="A65" s="1050"/>
    </row>
    <row r="66" spans="1:12" s="1012" customFormat="1" ht="11.25" x14ac:dyDescent="0.2">
      <c r="A66" s="1050"/>
    </row>
    <row r="67" spans="1:12" s="1012" customFormat="1" ht="11.25" x14ac:dyDescent="0.2">
      <c r="A67" s="1050"/>
      <c r="B67" s="1012" t="s">
        <v>5695</v>
      </c>
      <c r="K67" s="1012" t="s">
        <v>5696</v>
      </c>
      <c r="L67" s="1012" t="s">
        <v>5697</v>
      </c>
    </row>
    <row r="68" spans="1:12" s="1012" customFormat="1" ht="11.25" x14ac:dyDescent="0.2">
      <c r="A68" s="1050"/>
      <c r="B68" s="1051" t="s">
        <v>5698</v>
      </c>
      <c r="L68" s="1013" t="s">
        <v>5699</v>
      </c>
    </row>
    <row r="69" spans="1:12" s="1010" customFormat="1" ht="20.25" x14ac:dyDescent="0.3">
      <c r="A69" s="1011"/>
    </row>
  </sheetData>
  <mergeCells count="3">
    <mergeCell ref="A7:N7"/>
    <mergeCell ref="A1:D1"/>
    <mergeCell ref="A2:K2"/>
  </mergeCells>
  <dataValidations count="1">
    <dataValidation type="list" allowBlank="1" showInputMessage="1" showErrorMessage="1" sqref="WLG28:WLH46 WBK28:WBL46 VRO28:VRP46 VHS28:VHT46 UXW28:UXX46 UOA28:UOB46 UEE28:UEF46 TUI28:TUJ46 TKM28:TKN46 TAQ28:TAR46 SQU28:SQV46 SGY28:SGZ46 RXC28:RXD46 RNG28:RNH46 RDK28:RDL46 QTO28:QTP46 QJS28:QJT46 PZW28:PZX46 PQA28:PQB46 PGE28:PGF46 OWI28:OWJ46 OMM28:OMN46 OCQ28:OCR46 NSU28:NSV46 NIY28:NIZ46 MZC28:MZD46 MPG28:MPH46 MFK28:MFL46 LVO28:LVP46 LLS28:LLT46 LBW28:LBX46 KSA28:KSB46 KIE28:KIF46 JYI28:JYJ46 JOM28:JON46 JEQ28:JER46 IUU28:IUV46 IKY28:IKZ46 IBC28:IBD46 HRG28:HRH46 HHK28:HHL46 GXO28:GXP46 GNS28:GNT46 GDW28:GDX46 FUA28:FUB46 FKE28:FKF46 FAI28:FAJ46 EQM28:EQN46 EGQ28:EGR46 DWU28:DWV46 DMY28:DMZ46 DDC28:DDD46 CTG28:CTH46 CJK28:CJL46 BZO28:BZP46 BPS28:BPT46 BFW28:BFX46 AWA28:AWB46 AME28:AMF46 ACI28:ACJ46 SM28:SN46 IQ28:IR46 C28:D46 C13:D26 IQ13:IR26 SM13:SN26 ACI13:ACJ26 AME13:AMF26 AWA13:AWB26 BFW13:BFX26 BPS13:BPT26 BZO13:BZP26 CJK13:CJL26 CTG13:CTH26 DDC13:DDD26 DMY13:DMZ26 DWU13:DWV26 EGQ13:EGR26 EQM13:EQN26 FAI13:FAJ26 FKE13:FKF26 FUA13:FUB26 GDW13:GDX26 GNS13:GNT26 GXO13:GXP26 HHK13:HHL26 HRG13:HRH26 IBC13:IBD26 IKY13:IKZ26 IUU13:IUV26 JEQ13:JER26 JOM13:JON26 JYI13:JYJ26 KIE13:KIF26 KSA13:KSB26 LBW13:LBX26 LLS13:LLT26 LVO13:LVP26 MFK13:MFL26 MPG13:MPH26 MZC13:MZD26 NIY13:NIZ26 NSU13:NSV26 OCQ13:OCR26 OMM13:OMN26 OWI13:OWJ26 PGE13:PGF26 PQA13:PQB26 PZW13:PZX26 QJS13:QJT26 QTO13:QTP26 RDK13:RDL26 RNG13:RNH26 RXC13:RXD26 SGY13:SGZ26 SQU13:SQV26 TAQ13:TAR26 TKM13:TKN26 TUI13:TUJ26 UEE13:UEF26 UOA13:UOB26 UXW13:UXX26 VHS13:VHT26 VRO13:VRP26 WBK13:WBL26 WLG13:WLH26 WVC13:WVD26 WVC28:WVD46 B13:B47 B48:B54 IP13:IP47 IP48:IP54 SL13:SL47 SL48:SL54 ACH13:ACH47 ACH48:ACH54 AMD13:AMD47 AMD48:AMD54 AVZ13:AVZ47 AVZ48:AVZ54 BFV13:BFV47 BFV48:BFV54 BPR13:BPR47 BPR48:BPR54 BZN13:BZN47 BZN48:BZN54 CJJ13:CJJ47 CJJ48:CJJ54 CTF13:CTF47 CTF48:CTF54 DDB13:DDB47 DDB48:DDB54 DMX13:DMX47 DMX48:DMX54 DWT13:DWT47 DWT48:DWT54 EGP13:EGP47 EGP48:EGP54 EQL13:EQL47 EQL48:EQL54 FAH13:FAH47 FAH48:FAH54 FKD13:FKD47 FKD48:FKD54 FTZ13:FTZ47 FTZ48:FTZ54 GDV13:GDV47 GDV48:GDV54 GNR13:GNR47 GNR48:GNR54 GXN13:GXN47 GXN48:GXN54 HHJ13:HHJ47 HHJ48:HHJ54 HRF13:HRF47 HRF48:HRF54 IBB13:IBB47 IBB48:IBB54 IKX13:IKX47 IKX48:IKX54 IUT13:IUT47 IUT48:IUT54 JEP13:JEP47 JEP48:JEP54 JOL13:JOL47 JOL48:JOL54 JYH13:JYH47 JYH48:JYH54 KID13:KID47 KID48:KID54 KRZ13:KRZ47 KRZ48:KRZ54 LBV13:LBV47 LBV48:LBV54 LLR13:LLR47 LLR48:LLR54 LVN13:LVN47 LVN48:LVN54 MFJ13:MFJ47 MFJ48:MFJ54 MPF13:MPF47 MPF48:MPF54 MZB13:MZB47 MZB48:MZB54 NIX13:NIX47 NIX48:NIX54 NST13:NST47 NST48:NST54 OCP13:OCP47 OCP48:OCP54 OML13:OML47 OML48:OML54 OWH13:OWH47 OWH48:OWH54 PGD13:PGD47 PGD48:PGD54 PPZ13:PPZ47 PPZ48:PPZ54 PZV13:PZV47 PZV48:PZV54 QJR13:QJR47 QJR48:QJR54 QTN13:QTN47 QTN48:QTN54 RDJ13:RDJ47 RDJ48:RDJ54 RNF13:RNF47 RNF48:RNF54 RXB13:RXB47 RXB48:RXB54 SGX13:SGX47 SGX48:SGX54 SQT13:SQT47 SQT48:SQT54 TAP13:TAP47 TAP48:TAP54 TKL13:TKL47 TKL48:TKL54 TUH13:TUH47 TUH48:TUH54 UED13:UED47 UED48:UED54 UNZ13:UNZ47 UNZ48:UNZ54 UXV13:UXV47 UXV48:UXV54 VHR13:VHR47 VHR48:VHR54 VRN13:VRN47 VRN48:VRN54 WBJ13:WBJ47 WBJ48:WBJ54 WLF13:WLF47 WLF48:WLF54 WVB13:WVB47 WVB48:WVB54">
      <formula1>Programi</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G89"/>
  <sheetViews>
    <sheetView workbookViewId="0">
      <selection activeCell="H4" sqref="H4"/>
    </sheetView>
  </sheetViews>
  <sheetFormatPr defaultColWidth="9.140625" defaultRowHeight="15" x14ac:dyDescent="0.25"/>
  <cols>
    <col min="1" max="1" width="7" style="84" customWidth="1"/>
    <col min="2" max="2" width="39.85546875" style="84" customWidth="1"/>
    <col min="3" max="3" width="15.42578125" style="84" customWidth="1"/>
    <col min="4" max="4" width="7.28515625" style="84" customWidth="1"/>
    <col min="5" max="5" width="15.140625" style="84" customWidth="1"/>
    <col min="6" max="6" width="15.5703125" style="84" customWidth="1"/>
    <col min="7" max="7" width="9.140625" style="858"/>
    <col min="8" max="16384" width="9.140625" style="84"/>
  </cols>
  <sheetData>
    <row r="1" spans="1:6" x14ac:dyDescent="0.25">
      <c r="B1" s="1115" t="s">
        <v>5402</v>
      </c>
      <c r="C1" s="1115"/>
      <c r="D1" s="1115"/>
      <c r="E1" s="1115"/>
      <c r="F1" s="1115"/>
    </row>
    <row r="2" spans="1:6" ht="30.75" customHeight="1" x14ac:dyDescent="0.25">
      <c r="A2" s="1113" t="s">
        <v>5709</v>
      </c>
      <c r="B2" s="1113"/>
      <c r="C2" s="1113"/>
      <c r="D2" s="1113"/>
      <c r="E2" s="1113"/>
      <c r="F2" s="1113"/>
    </row>
    <row r="3" spans="1:6" x14ac:dyDescent="0.25">
      <c r="A3" s="124"/>
      <c r="B3" s="125"/>
      <c r="C3" s="126"/>
      <c r="D3" s="126"/>
      <c r="E3" s="126"/>
      <c r="F3" s="126"/>
    </row>
    <row r="4" spans="1:6" ht="31.5" x14ac:dyDescent="0.25">
      <c r="A4" s="127" t="s">
        <v>3757</v>
      </c>
      <c r="B4" s="127" t="s">
        <v>3758</v>
      </c>
      <c r="C4" s="128" t="s">
        <v>24</v>
      </c>
      <c r="D4" s="128" t="s">
        <v>3759</v>
      </c>
      <c r="E4" s="128" t="s">
        <v>3756</v>
      </c>
      <c r="F4" s="128" t="s">
        <v>4121</v>
      </c>
    </row>
    <row r="5" spans="1:6" x14ac:dyDescent="0.25">
      <c r="A5" s="129" t="s">
        <v>3762</v>
      </c>
      <c r="B5" s="130">
        <v>2</v>
      </c>
      <c r="C5" s="131">
        <v>3</v>
      </c>
      <c r="D5" s="131">
        <v>4</v>
      </c>
      <c r="E5" s="131">
        <v>5</v>
      </c>
      <c r="F5" s="131">
        <v>6</v>
      </c>
    </row>
    <row r="6" spans="1:6" x14ac:dyDescent="0.25">
      <c r="A6" s="514" t="s">
        <v>3916</v>
      </c>
      <c r="B6" s="513" t="s">
        <v>4389</v>
      </c>
      <c r="C6" s="520">
        <f>SUM(C7,C16,C23,C29,C34,C40,C47,C49,C56)</f>
        <v>283814750</v>
      </c>
      <c r="D6" s="519">
        <f>IFERROR(C6/$C$88,"-")</f>
        <v>0.71444225337271339</v>
      </c>
      <c r="E6" s="520">
        <f>SUM(E7,E16,E23,E29,E34,E40,E47,E49,E56)</f>
        <v>11539745</v>
      </c>
      <c r="F6" s="520">
        <f>SUM(E6,C6)</f>
        <v>295354495</v>
      </c>
    </row>
    <row r="7" spans="1:6" x14ac:dyDescent="0.25">
      <c r="A7" s="132" t="s">
        <v>3763</v>
      </c>
      <c r="B7" s="133" t="s">
        <v>3764</v>
      </c>
      <c r="C7" s="134">
        <f>SUM(C8:C15)</f>
        <v>64451200</v>
      </c>
      <c r="D7" s="135">
        <f>IFERROR(C7/$C$88,"-")</f>
        <v>0.16224195733511182</v>
      </c>
      <c r="E7" s="134">
        <f>SUM(E8:E15)</f>
        <v>4525000</v>
      </c>
      <c r="F7" s="134">
        <f>C7+E7</f>
        <v>68976200</v>
      </c>
    </row>
    <row r="8" spans="1:6" x14ac:dyDescent="0.25">
      <c r="A8" s="136">
        <v>411</v>
      </c>
      <c r="B8" s="137" t="s">
        <v>3765</v>
      </c>
      <c r="C8" s="138">
        <f>SUMIF('ПО КОРИСНИЦИМА'!$F$7:$F$15001,'По основ. нам.'!A8,'ПО КОРИСНИЦИМА'!$H$7:$H$15001)</f>
        <v>47484500</v>
      </c>
      <c r="D8" s="139">
        <f t="shared" ref="D8:D77" si="0">IFERROR(C8/$C$88,"-")</f>
        <v>0.1195319594216883</v>
      </c>
      <c r="E8" s="138">
        <f>SUMIF('ПО КОРИСНИЦИМА'!$F$7:$F$15001,'По основ. нам.'!A8,'ПО КОРИСНИЦИМА'!$I$7:$I$15001)</f>
        <v>3840000</v>
      </c>
      <c r="F8" s="138">
        <f>C8+E8</f>
        <v>51324500</v>
      </c>
    </row>
    <row r="9" spans="1:6" x14ac:dyDescent="0.25">
      <c r="A9" s="136">
        <v>412</v>
      </c>
      <c r="B9" s="137" t="s">
        <v>3766</v>
      </c>
      <c r="C9" s="138">
        <f>SUMIF('ПО КОРИСНИЦИМА'!$F$7:$F$15001,'По основ. нам.'!A9,'ПО КОРИСНИЦИМА'!$H$7:$H$15001)</f>
        <v>8500700</v>
      </c>
      <c r="D9" s="139">
        <f t="shared" si="0"/>
        <v>2.1398673829480054E-2</v>
      </c>
      <c r="E9" s="138">
        <f>SUMIF('ПО КОРИСНИЦИМА'!$F$7:$F$15001,'По основ. нам.'!A9,'ПО КОРИСНИЦИМА'!$I$7:$I$15001)</f>
        <v>685000</v>
      </c>
      <c r="F9" s="138">
        <f t="shared" ref="F9:F78" si="1">C9+E9</f>
        <v>9185700</v>
      </c>
    </row>
    <row r="10" spans="1:6" x14ac:dyDescent="0.25">
      <c r="A10" s="140">
        <v>413</v>
      </c>
      <c r="B10" s="137" t="s">
        <v>3767</v>
      </c>
      <c r="C10" s="138">
        <f>SUMIF('ПО КОРИСНИЦИМА'!$F$7:$F$15001,'По основ. нам.'!A10,'ПО КОРИСНИЦИМА'!$H$7:$H$15001)</f>
        <v>630000</v>
      </c>
      <c r="D10" s="139">
        <f t="shared" si="0"/>
        <v>1.5858887518171957E-3</v>
      </c>
      <c r="E10" s="138">
        <f>SUMIF('ПО КОРИСНИЦИМА'!$F$7:$F$15001,'По основ. нам.'!A10,'ПО КОРИСНИЦИМА'!$I$7:$I$15001)</f>
        <v>0</v>
      </c>
      <c r="F10" s="138">
        <f t="shared" si="1"/>
        <v>630000</v>
      </c>
    </row>
    <row r="11" spans="1:6" x14ac:dyDescent="0.25">
      <c r="A11" s="136" t="s">
        <v>3768</v>
      </c>
      <c r="B11" s="137" t="s">
        <v>3769</v>
      </c>
      <c r="C11" s="138">
        <f>SUMIF('ПО КОРИСНИЦИМА'!$F$7:$F$15001,'По основ. нам.'!A11,'ПО КОРИСНИЦИМА'!$H$7:$H$15001)</f>
        <v>1480000</v>
      </c>
      <c r="D11" s="139">
        <f t="shared" si="0"/>
        <v>3.7255799249038884E-3</v>
      </c>
      <c r="E11" s="138">
        <f>SUMIF('ПО КОРИСНИЦИМА'!$F$7:$F$15001,'По основ. нам.'!A11,'ПО КОРИСНИЦИМА'!$I$7:$I$15001)</f>
        <v>0</v>
      </c>
      <c r="F11" s="138">
        <f t="shared" si="1"/>
        <v>1480000</v>
      </c>
    </row>
    <row r="12" spans="1:6" x14ac:dyDescent="0.25">
      <c r="A12" s="136" t="s">
        <v>3770</v>
      </c>
      <c r="B12" s="137" t="s">
        <v>3771</v>
      </c>
      <c r="C12" s="138">
        <f>SUMIF('ПО КОРИСНИЦИМА'!$F$7:$F$15001,'По основ. нам.'!A12,'ПО КОРИСНИЦИМА'!$H$7:$H$15001)</f>
        <v>5371000</v>
      </c>
      <c r="D12" s="139">
        <f t="shared" si="0"/>
        <v>1.3520330930174854E-2</v>
      </c>
      <c r="E12" s="138">
        <f>SUMIF('ПО КОРИСНИЦИМА'!$F$7:$F$15001,'По основ. нам.'!A12,'ПО КОРИСНИЦИМА'!$I$7:$I$15001)</f>
        <v>0</v>
      </c>
      <c r="F12" s="138">
        <f t="shared" si="1"/>
        <v>5371000</v>
      </c>
    </row>
    <row r="13" spans="1:6" x14ac:dyDescent="0.25">
      <c r="A13" s="136" t="s">
        <v>3772</v>
      </c>
      <c r="B13" s="137" t="s">
        <v>3773</v>
      </c>
      <c r="C13" s="138">
        <f>SUMIF('ПО КОРИСНИЦИМА'!$F$7:$F$15001,'По основ. нам.'!A13,'ПО КОРИСНИЦИМА'!$H$7:$H$15001)</f>
        <v>985000</v>
      </c>
      <c r="D13" s="139">
        <f t="shared" si="0"/>
        <v>2.4795244770475203E-3</v>
      </c>
      <c r="E13" s="138">
        <f>SUMIF('ПО КОРИСНИЦИМА'!$F$7:$F$15001,'По основ. нам.'!A13,'ПО КОРИСНИЦИМА'!$I$7:$I$15001)</f>
        <v>0</v>
      </c>
      <c r="F13" s="138">
        <f t="shared" si="1"/>
        <v>985000</v>
      </c>
    </row>
    <row r="14" spans="1:6" hidden="1" x14ac:dyDescent="0.25">
      <c r="A14" s="136">
        <v>417</v>
      </c>
      <c r="B14" s="137" t="s">
        <v>3774</v>
      </c>
      <c r="C14" s="138">
        <f>SUMIF('ПО КОРИСНИЦИМА'!$F$7:$F$15001,'По основ. нам.'!A14,'ПО КОРИСНИЦИМА'!$H$7:$H$15001)</f>
        <v>0</v>
      </c>
      <c r="D14" s="139">
        <f t="shared" si="0"/>
        <v>0</v>
      </c>
      <c r="E14" s="138">
        <f>SUMIF('ПО КОРИСНИЦИМА'!$F$7:$F$15001,'По основ. нам.'!A14,'ПО КОРИСНИЦИМА'!$I$7:$I$15001)</f>
        <v>0</v>
      </c>
      <c r="F14" s="138">
        <f t="shared" si="1"/>
        <v>0</v>
      </c>
    </row>
    <row r="15" spans="1:6" hidden="1" x14ac:dyDescent="0.25">
      <c r="A15" s="136">
        <v>418</v>
      </c>
      <c r="B15" s="137" t="s">
        <v>3775</v>
      </c>
      <c r="C15" s="138">
        <f>SUMIF('ПО КОРИСНИЦИМА'!$F$7:$F$15001,'По основ. нам.'!A15,'ПО КОРИСНИЦИМА'!$H$7:$H$15001)</f>
        <v>0</v>
      </c>
      <c r="D15" s="139">
        <f t="shared" si="0"/>
        <v>0</v>
      </c>
      <c r="E15" s="138">
        <f>SUMIF('ПО КОРИСНИЦИМА'!$F$7:$F$15001,'По основ. нам.'!A15,'ПО КОРИСНИЦИМА'!$I$7:$I$15001)</f>
        <v>0</v>
      </c>
      <c r="F15" s="141">
        <f t="shared" si="1"/>
        <v>0</v>
      </c>
    </row>
    <row r="16" spans="1:6" x14ac:dyDescent="0.25">
      <c r="A16" s="132" t="s">
        <v>3776</v>
      </c>
      <c r="B16" s="133" t="s">
        <v>3777</v>
      </c>
      <c r="C16" s="134">
        <f>SUM(C17:C22)</f>
        <v>115116000</v>
      </c>
      <c r="D16" s="135">
        <f t="shared" si="0"/>
        <v>0.28977963421299729</v>
      </c>
      <c r="E16" s="134">
        <f>SUM(E17:E22)</f>
        <v>4782000</v>
      </c>
      <c r="F16" s="134">
        <f t="shared" si="1"/>
        <v>119898000</v>
      </c>
    </row>
    <row r="17" spans="1:6" x14ac:dyDescent="0.25">
      <c r="A17" s="136" t="s">
        <v>3778</v>
      </c>
      <c r="B17" s="137" t="s">
        <v>3779</v>
      </c>
      <c r="C17" s="138">
        <f>SUMIF('ПО КОРИСНИЦИМА'!$F$7:$F$15001,'По основ. нам.'!A17,'ПО КОРИСНИЦИМА'!$H$7:$H$15001)</f>
        <v>17215000</v>
      </c>
      <c r="D17" s="139">
        <f t="shared" si="0"/>
        <v>4.3335039464338129E-2</v>
      </c>
      <c r="E17" s="138">
        <f>SUMIF('ПО КОРИСНИЦИМА'!$F$7:$F$15001,'По основ. нам.'!A17,'ПО КОРИСНИЦИМА'!$I$7:$I$15001)</f>
        <v>117780</v>
      </c>
      <c r="F17" s="138">
        <f t="shared" si="1"/>
        <v>17332780</v>
      </c>
    </row>
    <row r="18" spans="1:6" x14ac:dyDescent="0.25">
      <c r="A18" s="136">
        <v>422</v>
      </c>
      <c r="B18" s="137" t="s">
        <v>3780</v>
      </c>
      <c r="C18" s="138">
        <f>SUMIF('ПО КОРИСНИЦИМА'!$F$7:$F$15001,'По основ. нам.'!A18,'ПО КОРИСНИЦИМА'!$H$7:$H$15001)</f>
        <v>1660000</v>
      </c>
      <c r="D18" s="139">
        <f t="shared" si="0"/>
        <v>4.1786909968516582E-3</v>
      </c>
      <c r="E18" s="138">
        <f>SUMIF('ПО КОРИСНИЦИМА'!$F$7:$F$15001,'По основ. нам.'!A18,'ПО КОРИСНИЦИМА'!$I$7:$I$15001)</f>
        <v>150000</v>
      </c>
      <c r="F18" s="138">
        <f t="shared" si="1"/>
        <v>1810000</v>
      </c>
    </row>
    <row r="19" spans="1:6" x14ac:dyDescent="0.25">
      <c r="A19" s="136">
        <v>423</v>
      </c>
      <c r="B19" s="137" t="s">
        <v>3781</v>
      </c>
      <c r="C19" s="138">
        <f>SUMIF('ПО КОРИСНИЦИМА'!$F$7:$F$15001,'По основ. нам.'!A19,'ПО КОРИСНИЦИМА'!$H$7:$H$15001)</f>
        <v>35936000</v>
      </c>
      <c r="D19" s="139">
        <f t="shared" si="0"/>
        <v>9.046110823063927E-2</v>
      </c>
      <c r="E19" s="138">
        <f>SUMIF('ПО КОРИСНИЦИМА'!$F$7:$F$15001,'По основ. нам.'!A19,'ПО КОРИСНИЦИМА'!$I$7:$I$15001)</f>
        <v>2411350</v>
      </c>
      <c r="F19" s="138">
        <f t="shared" si="1"/>
        <v>38347350</v>
      </c>
    </row>
    <row r="20" spans="1:6" x14ac:dyDescent="0.25">
      <c r="A20" s="136" t="s">
        <v>3782</v>
      </c>
      <c r="B20" s="137" t="s">
        <v>3783</v>
      </c>
      <c r="C20" s="138">
        <f>SUMIF('ПО КОРИСНИЦИМА'!$F$7:$F$15001,'По основ. нам.'!A20,'ПО КОРИСНИЦИМА'!$H$7:$H$15001)</f>
        <v>12840000</v>
      </c>
      <c r="D20" s="139">
        <f t="shared" si="0"/>
        <v>3.232192313227427E-2</v>
      </c>
      <c r="E20" s="138">
        <f>SUMIF('ПО КОРИСНИЦИМА'!$F$7:$F$15001,'По основ. нам.'!A20,'ПО КОРИСНИЦИМА'!$I$7:$I$15001)</f>
        <v>0</v>
      </c>
      <c r="F20" s="138">
        <f t="shared" si="1"/>
        <v>12840000</v>
      </c>
    </row>
    <row r="21" spans="1:6" x14ac:dyDescent="0.25">
      <c r="A21" s="136" t="s">
        <v>3784</v>
      </c>
      <c r="B21" s="137" t="s">
        <v>3785</v>
      </c>
      <c r="C21" s="138">
        <f>SUMIF('ПО КОРИСНИЦИМА'!$F$7:$F$15001,'По основ. нам.'!A21,'ПО КОРИСНИЦИМА'!$H$7:$H$15001)</f>
        <v>42530000</v>
      </c>
      <c r="D21" s="139">
        <f t="shared" si="0"/>
        <v>0.10706007716632593</v>
      </c>
      <c r="E21" s="138">
        <f>SUMIF('ПО КОРИСНИЦИМА'!$F$7:$F$15001,'По основ. нам.'!A21,'ПО КОРИСНИЦИМА'!$I$7:$I$15001)</f>
        <v>86000</v>
      </c>
      <c r="F21" s="138">
        <f t="shared" si="1"/>
        <v>42616000</v>
      </c>
    </row>
    <row r="22" spans="1:6" x14ac:dyDescent="0.25">
      <c r="A22" s="136" t="s">
        <v>3786</v>
      </c>
      <c r="B22" s="137" t="s">
        <v>3787</v>
      </c>
      <c r="C22" s="138">
        <f>SUMIF('ПО КОРИСНИЦИМА'!$F$7:$F$15001,'По основ. нам.'!A22,'ПО КОРИСНИЦИМА'!$H$7:$H$15001)</f>
        <v>4935000</v>
      </c>
      <c r="D22" s="139">
        <f t="shared" si="0"/>
        <v>1.2422795222568032E-2</v>
      </c>
      <c r="E22" s="138">
        <f>SUMIF('ПО КОРИСНИЦИМА'!$F$7:$F$15001,'По основ. нам.'!A22,'ПО КОРИСНИЦИМА'!$I$7:$I$15001)</f>
        <v>2016870</v>
      </c>
      <c r="F22" s="138">
        <f t="shared" si="1"/>
        <v>6951870</v>
      </c>
    </row>
    <row r="23" spans="1:6" hidden="1" x14ac:dyDescent="0.25">
      <c r="A23" s="132" t="s">
        <v>3788</v>
      </c>
      <c r="B23" s="133" t="s">
        <v>3789</v>
      </c>
      <c r="C23" s="134">
        <f>SUM(C24:C28)</f>
        <v>0</v>
      </c>
      <c r="D23" s="135">
        <f t="shared" si="0"/>
        <v>0</v>
      </c>
      <c r="E23" s="134">
        <f>SUM(E24:E28)</f>
        <v>0</v>
      </c>
      <c r="F23" s="134">
        <f t="shared" si="1"/>
        <v>0</v>
      </c>
    </row>
    <row r="24" spans="1:6" ht="0.75" customHeight="1" x14ac:dyDescent="0.25">
      <c r="A24" s="136">
        <v>431</v>
      </c>
      <c r="B24" s="137" t="s">
        <v>3790</v>
      </c>
      <c r="C24" s="138">
        <f>SUMIF('ПО КОРИСНИЦИМА'!$F$7:$F$15001,'По основ. нам.'!A24,'ПО КОРИСНИЦИМА'!$H$7:$H$15001)</f>
        <v>0</v>
      </c>
      <c r="D24" s="139">
        <f t="shared" si="0"/>
        <v>0</v>
      </c>
      <c r="E24" s="138">
        <f>SUMIF('ПО КОРИСНИЦИМА'!$F$7:$F$15001,'По основ. нам.'!A24,'ПО КОРИСНИЦИМА'!$I$7:$I$15001)</f>
        <v>0</v>
      </c>
      <c r="F24" s="138">
        <f t="shared" si="1"/>
        <v>0</v>
      </c>
    </row>
    <row r="25" spans="1:6" hidden="1" x14ac:dyDescent="0.25">
      <c r="A25" s="136">
        <v>432</v>
      </c>
      <c r="B25" s="137" t="s">
        <v>3791</v>
      </c>
      <c r="C25" s="138">
        <f>SUMIF('ПО КОРИСНИЦИМА'!$F$7:$F$15001,'По основ. нам.'!A25,'ПО КОРИСНИЦИМА'!$H$7:$H$15001)</f>
        <v>0</v>
      </c>
      <c r="D25" s="139">
        <f t="shared" si="0"/>
        <v>0</v>
      </c>
      <c r="E25" s="138">
        <f>SUMIF('ПО КОРИСНИЦИМА'!$F$7:$F$15001,'По основ. нам.'!A25,'ПО КОРИСНИЦИМА'!$I$7:$I$15001)</f>
        <v>0</v>
      </c>
      <c r="F25" s="141">
        <f t="shared" si="1"/>
        <v>0</v>
      </c>
    </row>
    <row r="26" spans="1:6" hidden="1" x14ac:dyDescent="0.25">
      <c r="A26" s="136">
        <v>433</v>
      </c>
      <c r="B26" s="137" t="s">
        <v>3792</v>
      </c>
      <c r="C26" s="138">
        <f>SUMIF('ПО КОРИСНИЦИМА'!$F$7:$F$15001,'По основ. нам.'!A26,'ПО КОРИСНИЦИМА'!$H$7:$H$15001)</f>
        <v>0</v>
      </c>
      <c r="D26" s="139">
        <f t="shared" si="0"/>
        <v>0</v>
      </c>
      <c r="E26" s="138">
        <f>SUMIF('ПО КОРИСНИЦИМА'!$F$7:$F$15001,'По основ. нам.'!A26,'ПО КОРИСНИЦИМА'!$I$7:$I$15001)</f>
        <v>0</v>
      </c>
      <c r="F26" s="141">
        <f t="shared" si="1"/>
        <v>0</v>
      </c>
    </row>
    <row r="27" spans="1:6" hidden="1" x14ac:dyDescent="0.25">
      <c r="A27" s="136">
        <v>434</v>
      </c>
      <c r="B27" s="137" t="s">
        <v>3793</v>
      </c>
      <c r="C27" s="138">
        <f>SUMIF('ПО КОРИСНИЦИМА'!$F$7:$F$15001,'По основ. нам.'!A27,'ПО КОРИСНИЦИМА'!$H$7:$H$15001)</f>
        <v>0</v>
      </c>
      <c r="D27" s="139">
        <f t="shared" si="0"/>
        <v>0</v>
      </c>
      <c r="E27" s="138">
        <f>SUMIF('ПО КОРИСНИЦИМА'!$F$7:$F$15001,'По основ. нам.'!A27,'ПО КОРИСНИЦИМА'!$I$7:$I$15001)</f>
        <v>0</v>
      </c>
      <c r="F27" s="138">
        <f t="shared" si="1"/>
        <v>0</v>
      </c>
    </row>
    <row r="28" spans="1:6" hidden="1" x14ac:dyDescent="0.25">
      <c r="A28" s="136">
        <v>435</v>
      </c>
      <c r="B28" s="137" t="s">
        <v>3794</v>
      </c>
      <c r="C28" s="138">
        <f>SUMIF('ПО КОРИСНИЦИМА'!$F$7:$F$15001,'По основ. нам.'!A28,'ПО КОРИСНИЦИМА'!$H$7:$H$15001)</f>
        <v>0</v>
      </c>
      <c r="D28" s="139">
        <f t="shared" si="0"/>
        <v>0</v>
      </c>
      <c r="E28" s="138">
        <f>SUMIF('ПО КОРИСНИЦИМА'!$F$7:$F$15001,'По основ. нам.'!A28,'ПО КОРИСНИЦИМА'!$I$7:$I$15001)</f>
        <v>0</v>
      </c>
      <c r="F28" s="141">
        <f t="shared" si="1"/>
        <v>0</v>
      </c>
    </row>
    <row r="29" spans="1:6" x14ac:dyDescent="0.25">
      <c r="A29" s="132" t="s">
        <v>3795</v>
      </c>
      <c r="B29" s="133" t="s">
        <v>3796</v>
      </c>
      <c r="C29" s="134">
        <f>SUM(C30:C33)</f>
        <v>1000</v>
      </c>
      <c r="D29" s="135">
        <f t="shared" si="0"/>
        <v>2.5172837330431675E-6</v>
      </c>
      <c r="E29" s="134">
        <f>SUM(E30:E33)</f>
        <v>0</v>
      </c>
      <c r="F29" s="134">
        <f t="shared" si="1"/>
        <v>1000</v>
      </c>
    </row>
    <row r="30" spans="1:6" hidden="1" x14ac:dyDescent="0.25">
      <c r="A30" s="136">
        <v>441</v>
      </c>
      <c r="B30" s="137" t="s">
        <v>3797</v>
      </c>
      <c r="C30" s="138">
        <f>SUMIF('ПО КОРИСНИЦИМА'!$F$7:$F$15001,'По основ. нам.'!A30,'ПО КОРИСНИЦИМА'!$H$7:$H$15001)</f>
        <v>1000</v>
      </c>
      <c r="D30" s="139">
        <f t="shared" si="0"/>
        <v>2.5172837330431675E-6</v>
      </c>
      <c r="E30" s="138">
        <f>SUMIF('ПО КОРИСНИЦИМА'!$F$7:$F$15001,'По основ. нам.'!A30,'ПО КОРИСНИЦИМА'!$I$7:$I$15001)</f>
        <v>0</v>
      </c>
      <c r="F30" s="138">
        <f t="shared" si="1"/>
        <v>1000</v>
      </c>
    </row>
    <row r="31" spans="1:6" hidden="1" x14ac:dyDescent="0.25">
      <c r="A31" s="136">
        <v>442</v>
      </c>
      <c r="B31" s="137" t="s">
        <v>3798</v>
      </c>
      <c r="C31" s="138">
        <f>SUMIF('ПО КОРИСНИЦИМА'!$F$7:$F$15001,'По основ. нам.'!A31,'ПО КОРИСНИЦИМА'!$H$7:$H$15001)</f>
        <v>0</v>
      </c>
      <c r="D31" s="139">
        <f t="shared" si="0"/>
        <v>0</v>
      </c>
      <c r="E31" s="138">
        <f>SUMIF('ПО КОРИСНИЦИМА'!$F$7:$F$15001,'По основ. нам.'!A31,'ПО КОРИСНИЦИМА'!$I$7:$I$15001)</f>
        <v>0</v>
      </c>
      <c r="F31" s="141">
        <f t="shared" si="1"/>
        <v>0</v>
      </c>
    </row>
    <row r="32" spans="1:6" hidden="1" x14ac:dyDescent="0.25">
      <c r="A32" s="136">
        <v>443</v>
      </c>
      <c r="B32" s="137" t="s">
        <v>3799</v>
      </c>
      <c r="C32" s="138">
        <f>SUMIF('ПО КОРИСНИЦИМА'!$F$7:$F$15001,'По основ. нам.'!A32,'ПО КОРИСНИЦИМА'!$H$7:$H$15001)</f>
        <v>0</v>
      </c>
      <c r="D32" s="139">
        <f t="shared" si="0"/>
        <v>0</v>
      </c>
      <c r="E32" s="138">
        <f>SUMIF('ПО КОРИСНИЦИМА'!$F$7:$F$15001,'По основ. нам.'!A32,'ПО КОРИСНИЦИМА'!$I$7:$I$15001)</f>
        <v>0</v>
      </c>
      <c r="F32" s="141">
        <f t="shared" si="1"/>
        <v>0</v>
      </c>
    </row>
    <row r="33" spans="1:6" hidden="1" x14ac:dyDescent="0.25">
      <c r="A33" s="142">
        <v>444</v>
      </c>
      <c r="B33" s="143" t="s">
        <v>3800</v>
      </c>
      <c r="C33" s="138">
        <f>SUMIF('ПО КОРИСНИЦИМА'!$F$7:$F$15001,'По основ. нам.'!A33,'ПО КОРИСНИЦИМА'!$H$7:$H$15001)</f>
        <v>0</v>
      </c>
      <c r="D33" s="139">
        <f t="shared" si="0"/>
        <v>0</v>
      </c>
      <c r="E33" s="138">
        <f>SUMIF('ПО КОРИСНИЦИМА'!$F$7:$F$15001,'По основ. нам.'!A33,'ПО КОРИСНИЦИМА'!$I$7:$I$15001)</f>
        <v>0</v>
      </c>
      <c r="F33" s="141">
        <f t="shared" si="1"/>
        <v>0</v>
      </c>
    </row>
    <row r="34" spans="1:6" x14ac:dyDescent="0.25">
      <c r="A34" s="132" t="s">
        <v>3801</v>
      </c>
      <c r="B34" s="133" t="s">
        <v>3802</v>
      </c>
      <c r="C34" s="134">
        <f>SUM(C35:C39)</f>
        <v>11600000</v>
      </c>
      <c r="D34" s="135">
        <f t="shared" si="0"/>
        <v>2.9200491303300744E-2</v>
      </c>
      <c r="E34" s="134">
        <f>SUM(E35:E39)</f>
        <v>0</v>
      </c>
      <c r="F34" s="134">
        <f t="shared" si="1"/>
        <v>11600000</v>
      </c>
    </row>
    <row r="35" spans="1:6" x14ac:dyDescent="0.25">
      <c r="A35" s="136" t="s">
        <v>3856</v>
      </c>
      <c r="B35" s="144" t="s">
        <v>1690</v>
      </c>
      <c r="C35" s="138">
        <f>SUMIF('ПО КОРИСНИЦИМА'!$F$7:$F$15001,'По основ. нам.'!A35,'ПО КОРИСНИЦИМА'!$H$7:$H$15001)</f>
        <v>11466000</v>
      </c>
      <c r="D35" s="139">
        <f t="shared" si="0"/>
        <v>2.8863175283072962E-2</v>
      </c>
      <c r="E35" s="138">
        <f>SUMIF('ПО КОРИСНИЦИМА'!$F$7:$F$15001,'По основ. нам.'!A35,'ПО КОРИСНИЦИМА'!$I$7:$I$15001)</f>
        <v>0</v>
      </c>
      <c r="F35" s="138">
        <f t="shared" si="1"/>
        <v>11466000</v>
      </c>
    </row>
    <row r="36" spans="1:6" x14ac:dyDescent="0.25">
      <c r="A36" s="136" t="s">
        <v>3857</v>
      </c>
      <c r="B36" s="144" t="s">
        <v>1699</v>
      </c>
      <c r="C36" s="138">
        <f>SUMIF('ПО КОРИСНИЦИМА'!$F$7:$F$15001,'По основ. нам.'!A36,'ПО КОРИСНИЦИМА'!$H$7:$H$15001)</f>
        <v>134000</v>
      </c>
      <c r="D36" s="139">
        <f t="shared" si="0"/>
        <v>3.3731602022778445E-4</v>
      </c>
      <c r="E36" s="138">
        <f>SUMIF('ПО КОРИСНИЦИМА'!$F$7:$F$15001,'По основ. нам.'!A36,'ПО КОРИСНИЦИМА'!$I$7:$I$15001)</f>
        <v>0</v>
      </c>
      <c r="F36" s="141">
        <f t="shared" si="1"/>
        <v>134000</v>
      </c>
    </row>
    <row r="37" spans="1:6" ht="0.75" customHeight="1" x14ac:dyDescent="0.25">
      <c r="A37" s="136" t="s">
        <v>3858</v>
      </c>
      <c r="B37" s="137" t="s">
        <v>3803</v>
      </c>
      <c r="C37" s="138">
        <f>SUMIF('ПО КОРИСНИЦИМА'!$F$7:$F$15001,'По основ. нам.'!A37,'ПО КОРИСНИЦИМА'!$H$7:$H$15001)</f>
        <v>0</v>
      </c>
      <c r="D37" s="139">
        <f t="shared" si="0"/>
        <v>0</v>
      </c>
      <c r="E37" s="138">
        <f>SUMIF('ПО КОРИСНИЦИМА'!$F$7:$F$15001,'По основ. нам.'!A37,'ПО КОРИСНИЦИМА'!$I$7:$I$15001)</f>
        <v>0</v>
      </c>
      <c r="F37" s="141"/>
    </row>
    <row r="38" spans="1:6" hidden="1" x14ac:dyDescent="0.25">
      <c r="A38" s="136">
        <v>453</v>
      </c>
      <c r="B38" s="137" t="s">
        <v>3804</v>
      </c>
      <c r="C38" s="138">
        <f>SUMIF('ПО КОРИСНИЦИМА'!$F$7:$F$15001,'По основ. нам.'!A38,'ПО КОРИСНИЦИМА'!$H$7:$H$15001)</f>
        <v>0</v>
      </c>
      <c r="D38" s="139">
        <f t="shared" si="0"/>
        <v>0</v>
      </c>
      <c r="E38" s="138">
        <f>SUMIF('ПО КОРИСНИЦИМА'!$F$7:$F$15001,'По основ. нам.'!A38,'ПО КОРИСНИЦИМА'!$I$7:$I$15001)</f>
        <v>0</v>
      </c>
      <c r="F38" s="141">
        <f t="shared" si="1"/>
        <v>0</v>
      </c>
    </row>
    <row r="39" spans="1:6" hidden="1" x14ac:dyDescent="0.25">
      <c r="A39" s="136">
        <v>454</v>
      </c>
      <c r="B39" s="137" t="s">
        <v>3805</v>
      </c>
      <c r="C39" s="138">
        <f>SUMIF('ПО КОРИСНИЦИМА'!$F$7:$F$15001,'По основ. нам.'!A39,'ПО КОРИСНИЦИМА'!$H$7:$H$15001)</f>
        <v>0</v>
      </c>
      <c r="D39" s="139">
        <f t="shared" si="0"/>
        <v>0</v>
      </c>
      <c r="E39" s="138">
        <f>SUMIF('ПО КОРИСНИЦИМА'!$F$7:$F$15001,'По основ. нам.'!A39,'ПО КОРИСНИЦИМА'!$I$7:$I$15001)</f>
        <v>0</v>
      </c>
      <c r="F39" s="141">
        <f t="shared" si="1"/>
        <v>0</v>
      </c>
    </row>
    <row r="40" spans="1:6" x14ac:dyDescent="0.25">
      <c r="A40" s="132" t="s">
        <v>3806</v>
      </c>
      <c r="B40" s="133" t="s">
        <v>3714</v>
      </c>
      <c r="C40" s="134">
        <f>SUM(C41:C46)</f>
        <v>64578550</v>
      </c>
      <c r="D40" s="135">
        <f t="shared" si="0"/>
        <v>0.16256253341851487</v>
      </c>
      <c r="E40" s="134">
        <f>SUM(E41:E46)</f>
        <v>0</v>
      </c>
      <c r="F40" s="134">
        <f t="shared" si="1"/>
        <v>64578550</v>
      </c>
    </row>
    <row r="41" spans="1:6" hidden="1" x14ac:dyDescent="0.25">
      <c r="A41" s="145">
        <v>461</v>
      </c>
      <c r="B41" s="146" t="s">
        <v>3807</v>
      </c>
      <c r="C41" s="138">
        <f>SUMIF('ПО КОРИСНИЦИМА'!$F$7:$F$15001,'По основ. нам.'!A41,'ПО КОРИСНИЦИМА'!$H$7:$H$15001)</f>
        <v>0</v>
      </c>
      <c r="D41" s="139">
        <f t="shared" si="0"/>
        <v>0</v>
      </c>
      <c r="E41" s="138">
        <f>SUMIF('ПО КОРИСНИЦИМА'!$F$7:$F$15001,'По основ. нам.'!A41,'ПО КОРИСНИЦИМА'!$I$7:$I$15001)</f>
        <v>0</v>
      </c>
      <c r="F41" s="141">
        <f t="shared" si="1"/>
        <v>0</v>
      </c>
    </row>
    <row r="42" spans="1:6" hidden="1" x14ac:dyDescent="0.25">
      <c r="A42" s="145">
        <v>462</v>
      </c>
      <c r="B42" s="146" t="s">
        <v>3808</v>
      </c>
      <c r="C42" s="138">
        <f>SUMIF('ПО КОРИСНИЦИМА'!$F$7:$F$15001,'По основ. нам.'!A42,'ПО КОРИСНИЦИМА'!$H$7:$H$15001)</f>
        <v>0</v>
      </c>
      <c r="D42" s="139">
        <f t="shared" si="0"/>
        <v>0</v>
      </c>
      <c r="E42" s="138">
        <f>SUMIF('ПО КОРИСНИЦИМА'!$F$7:$F$15001,'По основ. нам.'!A42,'ПО КОРИСНИЦИМА'!$I$7:$I$15001)</f>
        <v>0</v>
      </c>
      <c r="F42" s="141">
        <f t="shared" si="1"/>
        <v>0</v>
      </c>
    </row>
    <row r="43" spans="1:6" x14ac:dyDescent="0.25">
      <c r="A43" s="145">
        <v>4631</v>
      </c>
      <c r="B43" s="146" t="s">
        <v>3809</v>
      </c>
      <c r="C43" s="138">
        <f>SUMIF('ПО КОРИСНИЦИМА'!$F$7:$F$15001,'По основ. нам.'!A43,'ПО КОРИСНИЦИМА'!$H$7:$H$15001)</f>
        <v>39019000</v>
      </c>
      <c r="D43" s="139">
        <f t="shared" si="0"/>
        <v>9.8221893979611355E-2</v>
      </c>
      <c r="E43" s="138">
        <f>SUMIF('ПО КОРИСНИЦИМА'!$F$7:$F$15001,'По основ. нам.'!A43,'ПО КОРИСНИЦИМА'!$I$7:$I$15001)</f>
        <v>0</v>
      </c>
      <c r="F43" s="138">
        <f t="shared" si="1"/>
        <v>39019000</v>
      </c>
    </row>
    <row r="44" spans="1:6" x14ac:dyDescent="0.25">
      <c r="A44" s="145">
        <v>4632</v>
      </c>
      <c r="B44" s="146" t="s">
        <v>3810</v>
      </c>
      <c r="C44" s="138">
        <f>SUMIF('ПО КОРИСНИЦИМА'!$F$7:$F$15001,'По основ. нам.'!A44,'ПО КОРИСНИЦИМА'!$H$7:$H$15001)</f>
        <v>8330000</v>
      </c>
      <c r="D44" s="139">
        <f t="shared" si="0"/>
        <v>2.0968973496249588E-2</v>
      </c>
      <c r="E44" s="138">
        <f>SUMIF('ПО КОРИСНИЦИМА'!$F$7:$F$15001,'По основ. нам.'!A44,'ПО КОРИСНИЦИМА'!$I$7:$I$15001)</f>
        <v>0</v>
      </c>
      <c r="F44" s="138">
        <f t="shared" si="1"/>
        <v>8330000</v>
      </c>
    </row>
    <row r="45" spans="1:6" ht="22.5" x14ac:dyDescent="0.25">
      <c r="A45" s="145">
        <v>464</v>
      </c>
      <c r="B45" s="146" t="s">
        <v>3811</v>
      </c>
      <c r="C45" s="138">
        <f>SUMIF('ПО КОРИСНИЦИМА'!$F$7:$F$15001,'По основ. нам.'!A45,'ПО КОРИСНИЦИМА'!$H$7:$H$15001)</f>
        <v>10989550</v>
      </c>
      <c r="D45" s="139">
        <f t="shared" si="0"/>
        <v>2.7663815448464545E-2</v>
      </c>
      <c r="E45" s="138">
        <f>SUMIF('ПО КОРИСНИЦИМА'!$F$7:$F$15001,'По основ. нам.'!A45,'ПО КОРИСНИЦИМА'!$I$7:$I$15001)</f>
        <v>0</v>
      </c>
      <c r="F45" s="141">
        <f t="shared" si="1"/>
        <v>10989550</v>
      </c>
    </row>
    <row r="46" spans="1:6" x14ac:dyDescent="0.25">
      <c r="A46" s="145">
        <v>465</v>
      </c>
      <c r="B46" s="146" t="s">
        <v>3812</v>
      </c>
      <c r="C46" s="138">
        <f>SUMIF('ПО КОРИСНИЦИМА'!$F$7:$F$15001,'По основ. нам.'!A46,'ПО КОРИСНИЦИМА'!$H$7:$H$15001)</f>
        <v>6240000</v>
      </c>
      <c r="D46" s="139">
        <f t="shared" si="0"/>
        <v>1.5707850494189365E-2</v>
      </c>
      <c r="E46" s="138">
        <f>SUMIF('ПО КОРИСНИЦИМА'!$F$7:$F$15001,'По основ. нам.'!A46,'ПО КОРИСНИЦИМА'!$I$7:$I$15001)</f>
        <v>0</v>
      </c>
      <c r="F46" s="141">
        <f t="shared" si="1"/>
        <v>6240000</v>
      </c>
    </row>
    <row r="47" spans="1:6" x14ac:dyDescent="0.25">
      <c r="A47" s="132" t="s">
        <v>3813</v>
      </c>
      <c r="B47" s="133" t="s">
        <v>3814</v>
      </c>
      <c r="C47" s="134">
        <f>SUM(C48)</f>
        <v>8680000</v>
      </c>
      <c r="D47" s="135">
        <f t="shared" si="0"/>
        <v>2.1850022802814697E-2</v>
      </c>
      <c r="E47" s="134">
        <f>SUM(E48)</f>
        <v>2232745</v>
      </c>
      <c r="F47" s="134">
        <f t="shared" si="1"/>
        <v>10912745</v>
      </c>
    </row>
    <row r="48" spans="1:6" x14ac:dyDescent="0.25">
      <c r="A48" s="136">
        <v>472</v>
      </c>
      <c r="B48" s="137" t="s">
        <v>3815</v>
      </c>
      <c r="C48" s="138">
        <f>SUMIF('ПО КОРИСНИЦИМА'!$F$7:$F$15001,'По основ. нам.'!A48,'ПО КОРИСНИЦИМА'!$H$7:$H$15001)</f>
        <v>8680000</v>
      </c>
      <c r="D48" s="139">
        <f t="shared" si="0"/>
        <v>2.1850022802814697E-2</v>
      </c>
      <c r="E48" s="138">
        <f>SUMIF('ПО КОРИСНИЦИМА'!$F$7:$F$15001,'По основ. нам.'!A48,'ПО КОРИСНИЦИМА'!$I$7:$I$15001)</f>
        <v>2232745</v>
      </c>
      <c r="F48" s="138">
        <f t="shared" si="1"/>
        <v>10912745</v>
      </c>
    </row>
    <row r="49" spans="1:6" x14ac:dyDescent="0.25">
      <c r="A49" s="132" t="s">
        <v>3816</v>
      </c>
      <c r="B49" s="133" t="s">
        <v>3817</v>
      </c>
      <c r="C49" s="134">
        <f>SUM(C50:C55)</f>
        <v>12638000</v>
      </c>
      <c r="D49" s="135">
        <f t="shared" si="0"/>
        <v>3.1813431818199553E-2</v>
      </c>
      <c r="E49" s="134">
        <f>SUM(E50:E55)</f>
        <v>0</v>
      </c>
      <c r="F49" s="134">
        <f>C49+E49</f>
        <v>12638000</v>
      </c>
    </row>
    <row r="50" spans="1:6" x14ac:dyDescent="0.25">
      <c r="A50" s="136">
        <v>481</v>
      </c>
      <c r="B50" s="137" t="s">
        <v>3818</v>
      </c>
      <c r="C50" s="138">
        <f>SUMIF('ПО КОРИСНИЦИМА'!$F$7:$F$15001,'По основ. нам.'!A50,'ПО КОРИСНИЦИМА'!$H$7:$H$15001)</f>
        <v>9781000</v>
      </c>
      <c r="D50" s="139">
        <f t="shared" si="0"/>
        <v>2.4621552192895222E-2</v>
      </c>
      <c r="E50" s="138">
        <f>SUMIF('ПО КОРИСНИЦИМА'!$F$7:$F$15001,'По основ. нам.'!A50,'ПО КОРИСНИЦИМА'!$I$7:$I$15001)</f>
        <v>0</v>
      </c>
      <c r="F50" s="138">
        <f>C50+E50</f>
        <v>9781000</v>
      </c>
    </row>
    <row r="51" spans="1:6" x14ac:dyDescent="0.25">
      <c r="A51" s="136">
        <v>482</v>
      </c>
      <c r="B51" s="137" t="s">
        <v>3819</v>
      </c>
      <c r="C51" s="138">
        <f>SUMIF('ПО КОРИСНИЦИМА'!$F$7:$F$15001,'По основ. нам.'!A51,'ПО КОРИСНИЦИМА'!$H$7:$H$15001)</f>
        <v>857000</v>
      </c>
      <c r="D51" s="139">
        <f t="shared" si="0"/>
        <v>2.1573121592179949E-3</v>
      </c>
      <c r="E51" s="138">
        <f>SUMIF('ПО КОРИСНИЦИМА'!$F$7:$F$15001,'По основ. нам.'!A51,'ПО КОРИСНИЦИМА'!$I$7:$I$15001)</f>
        <v>0</v>
      </c>
      <c r="F51" s="138">
        <f>C51+E51</f>
        <v>857000</v>
      </c>
    </row>
    <row r="52" spans="1:6" hidden="1" x14ac:dyDescent="0.25">
      <c r="A52" s="136">
        <v>483</v>
      </c>
      <c r="B52" s="137" t="s">
        <v>3820</v>
      </c>
      <c r="C52" s="138">
        <f>SUMIF('ПО КОРИСНИЦИМА'!$F$7:$F$15001,'По основ. нам.'!A52,'ПО КОРИСНИЦИМА'!$H$7:$H$15001)</f>
        <v>0</v>
      </c>
      <c r="D52" s="139">
        <f t="shared" si="0"/>
        <v>0</v>
      </c>
      <c r="E52" s="138"/>
      <c r="F52" s="138">
        <f t="shared" si="1"/>
        <v>0</v>
      </c>
    </row>
    <row r="53" spans="1:6" ht="12" customHeight="1" x14ac:dyDescent="0.25">
      <c r="A53" s="136">
        <v>484</v>
      </c>
      <c r="B53" s="137" t="s">
        <v>3821</v>
      </c>
      <c r="C53" s="138">
        <f>SUMIF('ПО КОРИСНИЦИМА'!$F$7:$F$15001,'По основ. нам.'!A53,'ПО КОРИСНИЦИМА'!$H$7:$H$15001)</f>
        <v>500000</v>
      </c>
      <c r="D53" s="139">
        <f t="shared" si="0"/>
        <v>1.2586418665215839E-3</v>
      </c>
      <c r="E53" s="138">
        <f>SUMIF('ПО КОРИСНИЦИМА'!$F$7:$F$15001,'По основ. нам.'!A53,'ПО КОРИСНИЦИМА'!$I$7:$I$15001)</f>
        <v>0</v>
      </c>
      <c r="F53" s="138">
        <f t="shared" si="1"/>
        <v>500000</v>
      </c>
    </row>
    <row r="54" spans="1:6" x14ac:dyDescent="0.25">
      <c r="A54" s="136">
        <v>485</v>
      </c>
      <c r="B54" s="137" t="s">
        <v>3822</v>
      </c>
      <c r="C54" s="138">
        <f>SUMIF('ПО КОРИСНИЦИМА'!$F$7:$F$15001,'По основ. нам.'!A54,'ПО КОРИСНИЦИМА'!$H$7:$H$15001)</f>
        <v>1500000</v>
      </c>
      <c r="D54" s="139">
        <f t="shared" si="0"/>
        <v>3.7759255995647514E-3</v>
      </c>
      <c r="E54" s="138">
        <f>SUMIF('ПО КОРИСНИЦИМА'!$F$7:$F$15001,'По основ. нам.'!A54,'ПО КОРИСНИЦИМА'!$I$7:$I$15001)</f>
        <v>0</v>
      </c>
      <c r="F54" s="138">
        <f t="shared" si="1"/>
        <v>1500000</v>
      </c>
    </row>
    <row r="55" spans="1:6" ht="0.75" customHeight="1" x14ac:dyDescent="0.25">
      <c r="A55" s="136">
        <v>489</v>
      </c>
      <c r="B55" s="137" t="s">
        <v>3823</v>
      </c>
      <c r="C55" s="138">
        <f>SUMIF('ПО КОРИСНИЦИМА'!$F$7:$F$15001,'По основ. нам.'!A55,'ПО КОРИСНИЦИМА'!$H$7:$H$15001)</f>
        <v>0</v>
      </c>
      <c r="D55" s="139">
        <f t="shared" si="0"/>
        <v>0</v>
      </c>
      <c r="E55" s="138">
        <f>SUMIF('ПО КОРИСНИЦИМА'!$F$7:$F$15001,'По основ. нам.'!A55,'ПО КОРИСНИЦИМА'!$I$7:$I$15001)</f>
        <v>0</v>
      </c>
      <c r="F55" s="138">
        <f t="shared" si="1"/>
        <v>0</v>
      </c>
    </row>
    <row r="56" spans="1:6" x14ac:dyDescent="0.25">
      <c r="A56" s="147">
        <v>490</v>
      </c>
      <c r="B56" s="148" t="s">
        <v>3824</v>
      </c>
      <c r="C56" s="134">
        <f>SUM(C57:C62)</f>
        <v>6750000</v>
      </c>
      <c r="D56" s="135">
        <f t="shared" si="0"/>
        <v>1.6991665198041381E-2</v>
      </c>
      <c r="E56" s="134">
        <f>SUM(E61:E62)</f>
        <v>0</v>
      </c>
      <c r="F56" s="134">
        <f t="shared" si="1"/>
        <v>6750000</v>
      </c>
    </row>
    <row r="57" spans="1:6" ht="0.75" customHeight="1" x14ac:dyDescent="0.25">
      <c r="A57" s="149">
        <v>494</v>
      </c>
      <c r="B57" s="150" t="s">
        <v>4135</v>
      </c>
      <c r="C57" s="138">
        <f>SUMIF('ПО КОРИСНИЦИМА'!$F$7:$F$15001,'По основ. нам.'!A57,'ПО КОРИСНИЦИМА'!$H$7:$H$15001)</f>
        <v>0</v>
      </c>
      <c r="D57" s="139">
        <f t="shared" si="0"/>
        <v>0</v>
      </c>
      <c r="E57" s="138">
        <f>SUMIF('ПО КОРИСНИЦИМА'!$F$7:$F$15001,'По основ. нам.'!A57,'ПО КОРИСНИЦИМА'!$I$7:$I$15001)</f>
        <v>0</v>
      </c>
      <c r="F57" s="138">
        <f t="shared" si="1"/>
        <v>0</v>
      </c>
    </row>
    <row r="58" spans="1:6" ht="23.25" hidden="1" x14ac:dyDescent="0.25">
      <c r="A58" s="149">
        <v>495</v>
      </c>
      <c r="B58" s="150" t="s">
        <v>4136</v>
      </c>
      <c r="C58" s="138">
        <f>SUMIF('ПО КОРИСНИЦИМА'!$F$7:$F$15001,'По основ. нам.'!A58,'ПО КОРИСНИЦИМА'!$H$7:$H$15001)</f>
        <v>0</v>
      </c>
      <c r="D58" s="139">
        <f t="shared" si="0"/>
        <v>0</v>
      </c>
      <c r="E58" s="138">
        <f>SUMIF('ПО КОРИСНИЦИМА'!$F$7:$F$15001,'По основ. нам.'!A58,'ПО КОРИСНИЦИМА'!$I$7:$I$15001)</f>
        <v>0</v>
      </c>
      <c r="F58" s="138">
        <f t="shared" si="1"/>
        <v>0</v>
      </c>
    </row>
    <row r="59" spans="1:6" ht="23.25" hidden="1" x14ac:dyDescent="0.25">
      <c r="A59" s="149">
        <v>496</v>
      </c>
      <c r="B59" s="150" t="s">
        <v>4137</v>
      </c>
      <c r="C59" s="138">
        <f>SUMIF('ПО КОРИСНИЦИМА'!$F$7:$F$15001,'По основ. нам.'!A59,'ПО КОРИСНИЦИМА'!$H$7:$H$15001)</f>
        <v>0</v>
      </c>
      <c r="D59" s="139">
        <f t="shared" si="0"/>
        <v>0</v>
      </c>
      <c r="E59" s="138">
        <f>SUMIF('ПО КОРИСНИЦИМА'!$F$7:$F$15001,'По основ. нам.'!A59,'ПО КОРИСНИЦИМА'!$I$7:$I$15001)</f>
        <v>0</v>
      </c>
      <c r="F59" s="138">
        <f t="shared" si="1"/>
        <v>0</v>
      </c>
    </row>
    <row r="60" spans="1:6" ht="23.25" hidden="1" x14ac:dyDescent="0.25">
      <c r="A60" s="149">
        <v>499</v>
      </c>
      <c r="B60" s="150" t="s">
        <v>4138</v>
      </c>
      <c r="C60" s="138">
        <f>SUMIF('ПО КОРИСНИЦИМА'!$F$7:$F$15001,'По основ. нам.'!A60,'ПО КОРИСНИЦИМА'!$H$7:$H$15001)</f>
        <v>0</v>
      </c>
      <c r="D60" s="139">
        <f t="shared" si="0"/>
        <v>0</v>
      </c>
      <c r="E60" s="138">
        <f>SUMIF('ПО КОРИСНИЦИМА'!$F$7:$F$15001,'По основ. нам.'!A60,'ПО КОРИСНИЦИМА'!$I$7:$I$15001)</f>
        <v>0</v>
      </c>
      <c r="F60" s="138">
        <f t="shared" si="1"/>
        <v>0</v>
      </c>
    </row>
    <row r="61" spans="1:6" x14ac:dyDescent="0.25">
      <c r="A61" s="149">
        <v>49911</v>
      </c>
      <c r="B61" s="150" t="s">
        <v>3825</v>
      </c>
      <c r="C61" s="138">
        <f>SUMIF('ПО КОРИСНИЦИМА'!$F$7:$F$15001,'По основ. нам.'!A61,'ПО КОРИСНИЦИМА'!$H$7:$H$15001)</f>
        <v>1000000</v>
      </c>
      <c r="D61" s="139">
        <f t="shared" si="0"/>
        <v>2.5172837330431678E-3</v>
      </c>
      <c r="E61" s="138">
        <f>SUMIF('ПО КОРИСНИЦИМА'!$F$7:$F$15001,'По основ. нам.'!A61,'ПО КОРИСНИЦИМА'!$I$7:$I$15001)</f>
        <v>0</v>
      </c>
      <c r="F61" s="138">
        <f t="shared" si="1"/>
        <v>1000000</v>
      </c>
    </row>
    <row r="62" spans="1:6" x14ac:dyDescent="0.25">
      <c r="A62" s="136" t="s">
        <v>3826</v>
      </c>
      <c r="B62" s="137" t="s">
        <v>3827</v>
      </c>
      <c r="C62" s="138">
        <f>SUMIF('ПО КОРИСНИЦИМА'!$F$7:$F$15001,'По основ. нам.'!A62,'ПО КОРИСНИЦИМА'!$H$7:$H$15001)</f>
        <v>5750000</v>
      </c>
      <c r="D62" s="139">
        <f t="shared" si="0"/>
        <v>1.4474381464998215E-2</v>
      </c>
      <c r="E62" s="138">
        <f>SUMIF('ПО КОРИСНИЦИМА'!$F$7:$F$15001,'По основ. нам.'!A62,'ПО КОРИСНИЦИМА'!$I$7:$I$15001)</f>
        <v>0</v>
      </c>
      <c r="F62" s="138">
        <f t="shared" si="1"/>
        <v>5750000</v>
      </c>
    </row>
    <row r="63" spans="1:6" x14ac:dyDescent="0.25">
      <c r="A63" s="516" t="s">
        <v>3954</v>
      </c>
      <c r="B63" s="517" t="s">
        <v>4390</v>
      </c>
      <c r="C63" s="518">
        <f>SUM(C64,C70,C75,C79)</f>
        <v>113283840</v>
      </c>
      <c r="D63" s="515">
        <f>IFERROR(C63/$C$88,"-")</f>
        <v>0.28516756764866491</v>
      </c>
      <c r="E63" s="518">
        <f>SUM(E64,E70,E75,E79)</f>
        <v>4940528</v>
      </c>
      <c r="F63" s="518">
        <f>SUM(C63,E63)</f>
        <v>118224368</v>
      </c>
    </row>
    <row r="64" spans="1:6" x14ac:dyDescent="0.25">
      <c r="A64" s="132" t="s">
        <v>3828</v>
      </c>
      <c r="B64" s="133" t="s">
        <v>3829</v>
      </c>
      <c r="C64" s="134">
        <f>SUM(C65:C69)</f>
        <v>113283840</v>
      </c>
      <c r="D64" s="135">
        <f t="shared" si="0"/>
        <v>0.28516756764866491</v>
      </c>
      <c r="E64" s="134">
        <f>SUM(E65:E69)</f>
        <v>4940528</v>
      </c>
      <c r="F64" s="134">
        <f t="shared" si="1"/>
        <v>118224368</v>
      </c>
    </row>
    <row r="65" spans="1:6" ht="13.5" customHeight="1" x14ac:dyDescent="0.25">
      <c r="A65" s="136">
        <v>511</v>
      </c>
      <c r="B65" s="137" t="s">
        <v>3830</v>
      </c>
      <c r="C65" s="138">
        <f>SUMIF('ПО КОРИСНИЦИМА'!$F$7:$F$15001,'По основ. нам.'!A65,'ПО КОРИСНИЦИМА'!$H$7:$H$15001)</f>
        <v>103952840</v>
      </c>
      <c r="D65" s="139">
        <f t="shared" si="0"/>
        <v>0.26167879313563913</v>
      </c>
      <c r="E65" s="138">
        <f>SUMIF('ПО КОРИСНИЦИМА'!$F$7:$F$15001,'По основ. нам.'!A65,'ПО КОРИСНИЦИМА'!$I$7:$I$15001)</f>
        <v>4215528</v>
      </c>
      <c r="F65" s="138">
        <f t="shared" si="1"/>
        <v>108168368</v>
      </c>
    </row>
    <row r="66" spans="1:6" ht="14.25" customHeight="1" x14ac:dyDescent="0.25">
      <c r="A66" s="136">
        <v>512</v>
      </c>
      <c r="B66" s="137" t="s">
        <v>3831</v>
      </c>
      <c r="C66" s="138">
        <f>SUMIF('ПО КОРИСНИЦИМА'!$F$7:$F$15001,'По основ. нам.'!A66,'ПО КОРИСНИЦИМА'!$H$7:$H$15001)</f>
        <v>4131000</v>
      </c>
      <c r="D66" s="139">
        <f t="shared" si="0"/>
        <v>1.0398899101201326E-2</v>
      </c>
      <c r="E66" s="138">
        <f>SUMIF('ПО КОРИСНИЦИМА'!$F$7:$F$15001,'По основ. нам.'!A66,'ПО КОРИСНИЦИМА'!$I$7:$I$15001)</f>
        <v>500000</v>
      </c>
      <c r="F66" s="138">
        <f t="shared" si="1"/>
        <v>4631000</v>
      </c>
    </row>
    <row r="67" spans="1:6" ht="12" customHeight="1" x14ac:dyDescent="0.25">
      <c r="A67" s="136">
        <v>513</v>
      </c>
      <c r="B67" s="137" t="s">
        <v>3832</v>
      </c>
      <c r="C67" s="138">
        <f>SUMIF('ПО КОРИСНИЦИМА'!$F$7:$F$15001,'По основ. нам.'!A67,'ПО КОРИСНИЦИМА'!$H$7:$H$15001)</f>
        <v>700000</v>
      </c>
      <c r="D67" s="139">
        <f t="shared" si="0"/>
        <v>1.7620986131302173E-3</v>
      </c>
      <c r="E67" s="138">
        <f>SUMIF('ПО КОРИСНИЦИМА'!$F$7:$F$15001,'По основ. нам.'!A67,'ПО КОРИСНИЦИМА'!$I$7:$I$15001)</f>
        <v>200000</v>
      </c>
      <c r="F67" s="141">
        <f t="shared" si="1"/>
        <v>900000</v>
      </c>
    </row>
    <row r="68" spans="1:6" ht="15.75" customHeight="1" x14ac:dyDescent="0.25">
      <c r="A68" s="136">
        <v>514</v>
      </c>
      <c r="B68" s="137" t="s">
        <v>3833</v>
      </c>
      <c r="C68" s="138">
        <f>SUMIF('ПО КОРИСНИЦИМА'!$F$7:$F$15001,'По основ. нам.'!A68,'ПО КОРИСНИЦИМА'!$H$7:$H$15001)</f>
        <v>4000000</v>
      </c>
      <c r="D68" s="139">
        <f t="shared" si="0"/>
        <v>1.0069134932172671E-2</v>
      </c>
      <c r="E68" s="138">
        <f>SUMIF('ПО КОРИСНИЦИМА'!$F$7:$F$15001,'По основ. нам.'!A68,'ПО КОРИСНИЦИМА'!$I$7:$I$15001)</f>
        <v>0</v>
      </c>
      <c r="F68" s="138">
        <f t="shared" si="1"/>
        <v>4000000</v>
      </c>
    </row>
    <row r="69" spans="1:6" x14ac:dyDescent="0.25">
      <c r="A69" s="136">
        <v>515</v>
      </c>
      <c r="B69" s="137" t="s">
        <v>3834</v>
      </c>
      <c r="C69" s="138">
        <f>SUMIF('ПО КОРИСНИЦИМА'!$F$7:$F$15001,'По основ. нам.'!A69,'ПО КОРИСНИЦИМА'!$H$7:$H$15001)</f>
        <v>500000</v>
      </c>
      <c r="D69" s="139">
        <f t="shared" si="0"/>
        <v>1.2586418665215839E-3</v>
      </c>
      <c r="E69" s="138">
        <f>SUMIF('ПО КОРИСНИЦИМА'!$F$7:$F$15001,'По основ. нам.'!A69,'ПО КОРИСНИЦИМА'!$I$7:$I$15001)</f>
        <v>25000</v>
      </c>
      <c r="F69" s="138">
        <f t="shared" si="1"/>
        <v>525000</v>
      </c>
    </row>
    <row r="70" spans="1:6" ht="14.25" customHeight="1" x14ac:dyDescent="0.25">
      <c r="A70" s="132" t="s">
        <v>3835</v>
      </c>
      <c r="B70" s="133" t="s">
        <v>3836</v>
      </c>
      <c r="C70" s="134">
        <f>SUM(C71:C74)</f>
        <v>0</v>
      </c>
      <c r="D70" s="135">
        <f t="shared" si="0"/>
        <v>0</v>
      </c>
      <c r="E70" s="134">
        <f>SUM(E71:E73)</f>
        <v>0</v>
      </c>
      <c r="F70" s="134">
        <f t="shared" si="1"/>
        <v>0</v>
      </c>
    </row>
    <row r="71" spans="1:6" hidden="1" x14ac:dyDescent="0.25">
      <c r="A71" s="145">
        <v>521</v>
      </c>
      <c r="B71" s="151" t="s">
        <v>3837</v>
      </c>
      <c r="C71" s="138">
        <f>SUMIF('ПО КОРИСНИЦИМА'!$F$7:$F$15001,'По основ. нам.'!A71,'ПО КОРИСНИЦИМА'!$H$7:$H$15001)</f>
        <v>0</v>
      </c>
      <c r="D71" s="152">
        <f t="shared" si="0"/>
        <v>0</v>
      </c>
      <c r="E71" s="138">
        <f>SUMIF('ПО КОРИСНИЦИМА'!$F$7:$F$15001,'По основ. нам.'!A71,'ПО КОРИСНИЦИМА'!$I$7:$I$15001)</f>
        <v>0</v>
      </c>
      <c r="F71" s="138">
        <f t="shared" si="1"/>
        <v>0</v>
      </c>
    </row>
    <row r="72" spans="1:6" hidden="1" x14ac:dyDescent="0.25">
      <c r="A72" s="145">
        <v>522</v>
      </c>
      <c r="B72" s="151" t="s">
        <v>3838</v>
      </c>
      <c r="C72" s="138">
        <f>SUMIF('ПО КОРИСНИЦИМА'!$F$7:$F$15001,'По основ. нам.'!A72,'ПО КОРИСНИЦИМА'!$H$7:$H$15001)</f>
        <v>0</v>
      </c>
      <c r="D72" s="152">
        <f t="shared" si="0"/>
        <v>0</v>
      </c>
      <c r="E72" s="138">
        <f>SUMIF('ПО КОРИСНИЦИМА'!$F$7:$F$15001,'По основ. нам.'!A72,'ПО КОРИСНИЦИМА'!$I$7:$I$15001)</f>
        <v>0</v>
      </c>
      <c r="F72" s="138">
        <f t="shared" si="1"/>
        <v>0</v>
      </c>
    </row>
    <row r="73" spans="1:6" hidden="1" x14ac:dyDescent="0.25">
      <c r="A73" s="145">
        <v>523</v>
      </c>
      <c r="B73" s="153" t="s">
        <v>3839</v>
      </c>
      <c r="C73" s="138">
        <f>SUMIF('ПО КОРИСНИЦИМА'!$F$7:$F$15001,'По основ. нам.'!A73,'ПО КОРИСНИЦИМА'!$H$7:$H$15001)</f>
        <v>0</v>
      </c>
      <c r="D73" s="152">
        <f t="shared" si="0"/>
        <v>0</v>
      </c>
      <c r="E73" s="138">
        <f>SUMIF('ПО КОРИСНИЦИМА'!$F$7:$F$15001,'По основ. нам.'!A73,'ПО КОРИСНИЦИМА'!$I$7:$I$15001)</f>
        <v>0</v>
      </c>
      <c r="F73" s="138">
        <f t="shared" si="1"/>
        <v>0</v>
      </c>
    </row>
    <row r="74" spans="1:6" hidden="1" x14ac:dyDescent="0.25">
      <c r="A74" s="145">
        <v>531</v>
      </c>
      <c r="B74" s="153" t="s">
        <v>4139</v>
      </c>
      <c r="C74" s="138">
        <f>SUMIF('ПО КОРИСНИЦИМА'!$F$7:$F$15001,'По основ. нам.'!A74,'ПО КОРИСНИЦИМА'!$H$7:$H$15001)</f>
        <v>0</v>
      </c>
      <c r="D74" s="152">
        <f t="shared" si="0"/>
        <v>0</v>
      </c>
      <c r="E74" s="138"/>
      <c r="F74" s="138"/>
    </row>
    <row r="75" spans="1:6" ht="15.75" customHeight="1" x14ac:dyDescent="0.25">
      <c r="A75" s="132" t="s">
        <v>3840</v>
      </c>
      <c r="B75" s="133" t="s">
        <v>3841</v>
      </c>
      <c r="C75" s="154">
        <f>SUM(C76:C78)</f>
        <v>0</v>
      </c>
      <c r="D75" s="155">
        <f t="shared" si="0"/>
        <v>0</v>
      </c>
      <c r="E75" s="156">
        <f>SUM(E76:E78)</f>
        <v>0</v>
      </c>
      <c r="F75" s="134">
        <f t="shared" si="1"/>
        <v>0</v>
      </c>
    </row>
    <row r="76" spans="1:6" hidden="1" x14ac:dyDescent="0.25">
      <c r="A76" s="145">
        <v>541</v>
      </c>
      <c r="B76" s="151" t="s">
        <v>3842</v>
      </c>
      <c r="C76" s="138">
        <f>SUMIF('ПО КОРИСНИЦИМА'!$F$7:$F$15001,'По основ. нам.'!A76,'ПО КОРИСНИЦИМА'!$H$7:$H$15001)</f>
        <v>0</v>
      </c>
      <c r="D76" s="152">
        <f t="shared" si="0"/>
        <v>0</v>
      </c>
      <c r="E76" s="138">
        <f>SUMIF('ПО КОРИСНИЦИМА'!$F$7:$F$15001,'По основ. нам.'!A76,'ПО КОРИСНИЦИМА'!$I$7:$I$15001)</f>
        <v>0</v>
      </c>
      <c r="F76" s="138">
        <f t="shared" si="1"/>
        <v>0</v>
      </c>
    </row>
    <row r="77" spans="1:6" hidden="1" x14ac:dyDescent="0.25">
      <c r="A77" s="145">
        <v>542</v>
      </c>
      <c r="B77" s="151" t="s">
        <v>3843</v>
      </c>
      <c r="C77" s="138">
        <f>SUMIF('ПО КОРИСНИЦИМА'!$F$7:$F$15001,'По основ. нам.'!A77,'ПО КОРИСНИЦИМА'!$H$7:$H$15001)</f>
        <v>0</v>
      </c>
      <c r="D77" s="152">
        <f t="shared" si="0"/>
        <v>0</v>
      </c>
      <c r="E77" s="138">
        <f>SUMIF('ПО КОРИСНИЦИМА'!$F$7:$F$15001,'По основ. нам.'!A77,'ПО КОРИСНИЦИМА'!$I$7:$I$15001)</f>
        <v>0</v>
      </c>
      <c r="F77" s="141">
        <f t="shared" si="1"/>
        <v>0</v>
      </c>
    </row>
    <row r="78" spans="1:6" hidden="1" x14ac:dyDescent="0.25">
      <c r="A78" s="145">
        <v>543</v>
      </c>
      <c r="B78" s="153" t="s">
        <v>3844</v>
      </c>
      <c r="C78" s="138">
        <f>SUMIF('ПО КОРИСНИЦИМА'!$F$7:$F$15001,'По основ. нам.'!A78,'ПО КОРИСНИЦИМА'!$H$7:$H$15001)</f>
        <v>0</v>
      </c>
      <c r="D78" s="152">
        <f t="shared" ref="D78:D88" si="2">IFERROR(C78/$C$88,"-")</f>
        <v>0</v>
      </c>
      <c r="E78" s="138">
        <f>SUMIF('ПО КОРИСНИЦИМА'!$F$7:$F$15001,'По основ. нам.'!A78,'ПО КОРИСНИЦИМА'!$I$7:$I$15001)</f>
        <v>0</v>
      </c>
      <c r="F78" s="141">
        <f t="shared" si="1"/>
        <v>0</v>
      </c>
    </row>
    <row r="79" spans="1:6" x14ac:dyDescent="0.25">
      <c r="A79" s="157">
        <v>550</v>
      </c>
      <c r="B79" s="158" t="s">
        <v>3845</v>
      </c>
      <c r="C79" s="156">
        <f>SUM(C80)</f>
        <v>0</v>
      </c>
      <c r="D79" s="159">
        <f t="shared" si="2"/>
        <v>0</v>
      </c>
      <c r="E79" s="156">
        <f>SUM(E80)</f>
        <v>0</v>
      </c>
      <c r="F79" s="134">
        <f>C79+E79</f>
        <v>0</v>
      </c>
    </row>
    <row r="80" spans="1:6" hidden="1" x14ac:dyDescent="0.25">
      <c r="A80" s="145">
        <v>551</v>
      </c>
      <c r="B80" s="160" t="s">
        <v>3846</v>
      </c>
      <c r="C80" s="138">
        <f>SUMIF('ПО КОРИСНИЦИМА'!$F$7:$F$15001,'По основ. нам.'!A80,'ПО КОРИСНИЦИМА'!$H$7:$H$15001)</f>
        <v>0</v>
      </c>
      <c r="D80" s="152">
        <f t="shared" si="2"/>
        <v>0</v>
      </c>
      <c r="E80" s="138">
        <f>SUMIF('ПО КОРИСНИЦИМА'!$F$7:$F$15001,'По основ. нам.'!A80,'ПО КОРИСНИЦИМА'!$I$7:$I$15001)</f>
        <v>0</v>
      </c>
      <c r="F80" s="141">
        <f t="shared" ref="F80:F82" si="3">C80+E80</f>
        <v>0</v>
      </c>
    </row>
    <row r="81" spans="1:6" x14ac:dyDescent="0.25">
      <c r="A81" s="132" t="s">
        <v>3847</v>
      </c>
      <c r="B81" s="133" t="s">
        <v>3848</v>
      </c>
      <c r="C81" s="156">
        <f>SUM(C82:C84)</f>
        <v>0</v>
      </c>
      <c r="D81" s="155">
        <f t="shared" si="2"/>
        <v>0</v>
      </c>
      <c r="E81" s="156">
        <f>SUM(E82:E84)</f>
        <v>0</v>
      </c>
      <c r="F81" s="134">
        <f t="shared" si="3"/>
        <v>0</v>
      </c>
    </row>
    <row r="82" spans="1:6" hidden="1" x14ac:dyDescent="0.25">
      <c r="A82" s="136" t="s">
        <v>3849</v>
      </c>
      <c r="B82" s="137" t="s">
        <v>3850</v>
      </c>
      <c r="C82" s="138">
        <f>SUMIF('ПО КОРИСНИЦИМА'!$F$7:$F$15001,'По основ. нам.'!A82,'ПО КОРИСНИЦИМА'!$H$7:$H$15001)</f>
        <v>0</v>
      </c>
      <c r="D82" s="152">
        <f t="shared" si="2"/>
        <v>0</v>
      </c>
      <c r="E82" s="138">
        <f>SUMIF('ПО КОРИСНИЦИМА'!$F$7:$F$15001,'По основ. нам.'!A82,'ПО КОРИСНИЦИМА'!$I$7:$I$15001)</f>
        <v>0</v>
      </c>
      <c r="F82" s="138">
        <f t="shared" si="3"/>
        <v>0</v>
      </c>
    </row>
    <row r="83" spans="1:6" hidden="1" x14ac:dyDescent="0.25">
      <c r="A83" s="161" t="s">
        <v>3851</v>
      </c>
      <c r="B83" s="162" t="s">
        <v>3852</v>
      </c>
      <c r="C83" s="138">
        <f>SUMIF('ПО КОРИСНИЦИМА'!$F$7:$F$15001,'По основ. нам.'!A83,'ПО КОРИСНИЦИМА'!$H$7:$H$15001)</f>
        <v>0</v>
      </c>
      <c r="D83" s="163">
        <f t="shared" si="2"/>
        <v>0</v>
      </c>
      <c r="E83" s="138">
        <f>SUMIF('ПО КОРИСНИЦИМА'!$F$7:$F$15001,'По основ. нам.'!A83,'ПО КОРИСНИЦИМА'!$I$7:$I$15001)</f>
        <v>0</v>
      </c>
      <c r="F83" s="141"/>
    </row>
    <row r="84" spans="1:6" hidden="1" x14ac:dyDescent="0.25">
      <c r="A84" s="161" t="s">
        <v>3853</v>
      </c>
      <c r="B84" s="162" t="s">
        <v>87</v>
      </c>
      <c r="C84" s="138">
        <f>SUMIF('ПО КОРИСНИЦИМА'!$F$7:$F$15001,'По основ. нам.'!A84,'ПО КОРИСНИЦИМА'!$H$7:$H$15001)</f>
        <v>0</v>
      </c>
      <c r="D84" s="163">
        <f t="shared" si="2"/>
        <v>0</v>
      </c>
      <c r="E84" s="138">
        <f>SUMIF('ПО КОРИСНИЦИМА'!$F$7:$F$15001,'По основ. нам.'!A84,'ПО КОРИСНИЦИМА'!$I$7:$I$15001)</f>
        <v>0</v>
      </c>
      <c r="F84" s="141"/>
    </row>
    <row r="85" spans="1:6" x14ac:dyDescent="0.25">
      <c r="A85" s="161" t="s">
        <v>5358</v>
      </c>
      <c r="B85" s="162"/>
      <c r="C85" s="138">
        <f>SUMIF('ПО КОРИСНИЦИМА'!$F$7:$F$15001,'По основ. нам.'!A85,'ПО КОРИСНИЦИМА'!$H$7:$H$15001)</f>
        <v>155000</v>
      </c>
      <c r="D85" s="163">
        <f t="shared" si="2"/>
        <v>3.9017897862169098E-4</v>
      </c>
      <c r="E85" s="138"/>
      <c r="F85" s="141">
        <f>C85+E85</f>
        <v>155000</v>
      </c>
    </row>
    <row r="86" spans="1:6" x14ac:dyDescent="0.25">
      <c r="A86" s="132" t="s">
        <v>3854</v>
      </c>
      <c r="B86" s="133" t="s">
        <v>88</v>
      </c>
      <c r="C86" s="156">
        <f>SUMIF('ПО КОРИСНИЦИМА'!$F$7:$F$15001,'По основ. нам.'!A86,'ПО КОРИСНИЦИМА'!$H$7:$H$15001)</f>
        <v>0</v>
      </c>
      <c r="D86" s="159">
        <f t="shared" si="2"/>
        <v>0</v>
      </c>
      <c r="E86" s="156">
        <f>SUM(E87)</f>
        <v>0</v>
      </c>
      <c r="F86" s="134">
        <f>C86+E86</f>
        <v>0</v>
      </c>
    </row>
    <row r="87" spans="1:6" ht="0.75" customHeight="1" x14ac:dyDescent="0.25">
      <c r="A87" s="161" t="s">
        <v>4999</v>
      </c>
      <c r="B87" s="144" t="s">
        <v>1998</v>
      </c>
      <c r="C87" s="138">
        <f>SUMIF('ПО КОРИСНИЦИМА'!$F$7:$F$15001,'По основ. нам.'!A87,'ПО КОРИСНИЦИМА'!$H$7:$H$15001)</f>
        <v>0</v>
      </c>
      <c r="D87" s="163">
        <f t="shared" si="2"/>
        <v>0</v>
      </c>
      <c r="E87" s="138">
        <f>SUMIF('ПО КОРИСНИЦИМА'!$F$7:$F$15001,'По основ. нам.'!A87,'ПО КОРИСНИЦИМА'!$I$7:$I$15001)</f>
        <v>0</v>
      </c>
      <c r="F87" s="141">
        <f>C87+E87</f>
        <v>0</v>
      </c>
    </row>
    <row r="88" spans="1:6" x14ac:dyDescent="0.25">
      <c r="A88" s="164"/>
      <c r="B88" s="165" t="s">
        <v>3855</v>
      </c>
      <c r="C88" s="166">
        <f>SUM(C7,C16,C23,C29,C34,C40,C47,C49,C56,C64,C70,C75,C79,C81,C85)</f>
        <v>397253590</v>
      </c>
      <c r="D88" s="167">
        <f t="shared" si="2"/>
        <v>1</v>
      </c>
      <c r="E88" s="166">
        <f>SUM(E64,E47,E49,E16,E7)</f>
        <v>16480273</v>
      </c>
      <c r="F88" s="168">
        <f>C88+E88</f>
        <v>413733863</v>
      </c>
    </row>
    <row r="89" spans="1:6" x14ac:dyDescent="0.25">
      <c r="A89" s="169"/>
      <c r="B89" s="169"/>
      <c r="C89" s="170"/>
      <c r="D89" s="169"/>
      <c r="E89" s="170"/>
      <c r="F89" s="170"/>
    </row>
  </sheetData>
  <mergeCells count="2">
    <mergeCell ref="B1:F1"/>
    <mergeCell ref="A2:F2"/>
  </mergeCells>
  <conditionalFormatting sqref="C89 E89:F89">
    <cfRule type="cellIs" dxfId="3" priority="5" stopIfTrue="1" operator="notEqual">
      <formula>0</formula>
    </cfRule>
  </conditionalFormatting>
  <conditionalFormatting sqref="C8:C15 C17:C22 C24:C28 C30:C33 C35:C39 C41:C46 C48 C50:C55 C61:C63 C65:C69 C76:C78 C80 C87 E8:E15 E17:E22 E24:E28 E30:E33 E35:E39 E41:E46 E48 E50:E55 E65:E69 E71:E74 E76:E78 E80 E82:E85 E87 C71:C74 E61:E63 C82:C85">
    <cfRule type="expression" priority="4" stopIfTrue="1">
      <formula>NOT(ISERROR(SEARCH("411",C8)))</formula>
    </cfRule>
  </conditionalFormatting>
  <conditionalFormatting sqref="C57:C62">
    <cfRule type="expression" priority="3" stopIfTrue="1">
      <formula>NOT(ISERROR(SEARCH("411",C57)))</formula>
    </cfRule>
  </conditionalFormatting>
  <conditionalFormatting sqref="E57:E62">
    <cfRule type="expression" priority="2" stopIfTrue="1">
      <formula>NOT(ISERROR(SEARCH("411",E57)))</formula>
    </cfRule>
  </conditionalFormatting>
  <conditionalFormatting sqref="C89:F89">
    <cfRule type="cellIs" dxfId="2" priority="1" operator="notEqual">
      <formula>0</formula>
    </cfRule>
  </conditionalFormatting>
  <pageMargins left="0.51181102362204722" right="0.31496062992125984" top="0.74803149606299213" bottom="0.74803149606299213" header="0.31496062992125984" footer="0.31496062992125984"/>
  <pageSetup paperSize="9" scale="90" orientation="portrait" r:id="rId1"/>
  <cellWatches>
    <cellWatch r="C89"/>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H635"/>
  <sheetViews>
    <sheetView workbookViewId="0">
      <selection activeCell="A3" sqref="A3:XFD3"/>
    </sheetView>
  </sheetViews>
  <sheetFormatPr defaultColWidth="9.140625" defaultRowHeight="12.75" x14ac:dyDescent="0.2"/>
  <cols>
    <col min="1" max="1" width="6.5703125" style="599" customWidth="1"/>
    <col min="2" max="2" width="11.7109375" style="599" customWidth="1"/>
    <col min="3" max="3" width="45.42578125" style="617" customWidth="1"/>
    <col min="4" max="4" width="15.140625" style="619" customWidth="1"/>
    <col min="5" max="5" width="7.85546875" style="599" customWidth="1"/>
    <col min="6" max="6" width="11.42578125" style="599" customWidth="1"/>
    <col min="7" max="7" width="11" style="619" customWidth="1"/>
    <col min="8" max="8" width="13.5703125" style="599" customWidth="1"/>
    <col min="9" max="16384" width="9.140625" style="599"/>
  </cols>
  <sheetData>
    <row r="1" spans="1:8" ht="15" x14ac:dyDescent="0.25">
      <c r="C1" s="1115" t="s">
        <v>5026</v>
      </c>
      <c r="D1" s="1115"/>
      <c r="E1" s="1115"/>
      <c r="F1" s="1115"/>
      <c r="G1" s="1115"/>
    </row>
    <row r="2" spans="1:8" ht="48.75" customHeight="1" x14ac:dyDescent="0.2">
      <c r="A2" s="1120" t="s">
        <v>5711</v>
      </c>
      <c r="B2" s="1120"/>
      <c r="C2" s="1120"/>
      <c r="D2" s="1120"/>
      <c r="E2" s="1120"/>
      <c r="F2" s="1120"/>
      <c r="G2" s="1120"/>
      <c r="H2" s="1120"/>
    </row>
    <row r="3" spans="1:8" ht="67.5" customHeight="1" x14ac:dyDescent="0.2">
      <c r="A3" s="1116" t="s">
        <v>3602</v>
      </c>
      <c r="B3" s="1117"/>
      <c r="C3" s="1118" t="s">
        <v>4115</v>
      </c>
      <c r="D3" s="1119" t="s">
        <v>24</v>
      </c>
      <c r="E3" s="1118" t="s">
        <v>3681</v>
      </c>
      <c r="F3" s="1118" t="s">
        <v>3760</v>
      </c>
      <c r="G3" s="1119" t="s">
        <v>3761</v>
      </c>
      <c r="H3" s="1118" t="s">
        <v>4129</v>
      </c>
    </row>
    <row r="4" spans="1:8" ht="36" customHeight="1" x14ac:dyDescent="0.2">
      <c r="A4" s="600" t="s">
        <v>4040</v>
      </c>
      <c r="B4" s="600" t="s">
        <v>4114</v>
      </c>
      <c r="C4" s="1118"/>
      <c r="D4" s="1119"/>
      <c r="E4" s="1118"/>
      <c r="F4" s="1118"/>
      <c r="G4" s="1119"/>
      <c r="H4" s="1118"/>
    </row>
    <row r="5" spans="1:8" x14ac:dyDescent="0.2">
      <c r="A5" s="85" t="s">
        <v>3762</v>
      </c>
      <c r="B5" s="85" t="s">
        <v>4041</v>
      </c>
      <c r="C5" s="85" t="s">
        <v>4128</v>
      </c>
      <c r="D5" s="627">
        <v>4</v>
      </c>
      <c r="E5" s="628">
        <v>5</v>
      </c>
      <c r="F5" s="628">
        <v>6</v>
      </c>
      <c r="G5" s="627">
        <v>7</v>
      </c>
      <c r="H5" s="601">
        <v>8</v>
      </c>
    </row>
    <row r="6" spans="1:8" x14ac:dyDescent="0.2">
      <c r="A6" s="602" t="s">
        <v>5049</v>
      </c>
      <c r="B6" s="603"/>
      <c r="C6" s="536" t="s">
        <v>5050</v>
      </c>
      <c r="D6" s="629">
        <f>SUM(D7:D32)</f>
        <v>15014200</v>
      </c>
      <c r="E6" s="630">
        <f>IFERROR(D6/$D$615,"-")</f>
        <v>3.7795001424656728E-2</v>
      </c>
      <c r="F6" s="631">
        <f>SUM(F7:F32)</f>
        <v>0</v>
      </c>
      <c r="G6" s="629">
        <f>D6+F6</f>
        <v>15014200</v>
      </c>
      <c r="H6" s="632"/>
    </row>
    <row r="7" spans="1:8" x14ac:dyDescent="0.2">
      <c r="A7" s="604"/>
      <c r="B7" s="604" t="s">
        <v>5051</v>
      </c>
      <c r="C7" s="537" t="s">
        <v>5052</v>
      </c>
      <c r="D7" s="633">
        <f>SUM('ПО КОРИСНИЦИМА'!H506)</f>
        <v>6679000</v>
      </c>
      <c r="E7" s="634">
        <f>IFERROR(D7/$D$615,"-")</f>
        <v>1.6812938052995316E-2</v>
      </c>
      <c r="F7" s="635">
        <f>SUMIF('ПО КОРИСНИЦИМА'!$G$6:$G$15001,"Свега за програмску активност 1101-0001:",'ПО КОРИСНИЦИМА'!$I$6:$I$15001)</f>
        <v>0</v>
      </c>
      <c r="G7" s="633">
        <f>D7+F7</f>
        <v>6679000</v>
      </c>
      <c r="H7" s="636"/>
    </row>
    <row r="8" spans="1:8" x14ac:dyDescent="0.2">
      <c r="A8" s="606"/>
      <c r="B8" s="606" t="s">
        <v>5053</v>
      </c>
      <c r="C8" s="538" t="s">
        <v>5054</v>
      </c>
      <c r="D8" s="637">
        <f>SUM('ПО КОРИСНИЦИМА'!H651,'ПО КОРИСНИЦИМА'!H770)</f>
        <v>8335200</v>
      </c>
      <c r="E8" s="638">
        <f>IFERROR(D8/$D$615,"-")</f>
        <v>2.0982063371661412E-2</v>
      </c>
      <c r="F8" s="639">
        <f>SUMIF('ПО КОРИСНИЦИМА'!$G$6:$G$15001,"Свега за програмску активност 1101-0002:",'ПО КОРИСНИЦИМА'!$I$6:$I$15001)</f>
        <v>0</v>
      </c>
      <c r="G8" s="637">
        <f t="shared" ref="G8:G195" si="0">D8+F8</f>
        <v>8335200</v>
      </c>
      <c r="H8" s="640"/>
    </row>
    <row r="9" spans="1:8" hidden="1" x14ac:dyDescent="0.2">
      <c r="A9" s="606"/>
      <c r="B9" s="606" t="s">
        <v>4393</v>
      </c>
      <c r="C9" s="538" t="str">
        <f>IFERROR(VLOOKUP(B9,'ПО КОРИСНИЦИМА'!$C$6:$J$15001,5,FALSE),"")</f>
        <v/>
      </c>
      <c r="D9" s="641">
        <f>SUMIF('ПО КОРИСНИЦИМА'!$G$6:$G$15001,"Свега за пројекат 1101-П1:",'ПО КОРИСНИЦИМА'!$H$6:$H$15001)</f>
        <v>0</v>
      </c>
      <c r="E9" s="638">
        <f>IFERROR(D9/$D$615,"-")</f>
        <v>0</v>
      </c>
      <c r="F9" s="642">
        <f>SUMIF('ПО КОРИСНИЦИМА'!$G$6:$G$15001,"Свега за пројекат 1101-П1:",'ПО КОРИСНИЦИМА'!$I$6:$I$15001)</f>
        <v>0</v>
      </c>
      <c r="G9" s="637">
        <f t="shared" si="0"/>
        <v>0</v>
      </c>
      <c r="H9" s="640"/>
    </row>
    <row r="10" spans="1:8" hidden="1" x14ac:dyDescent="0.2">
      <c r="A10" s="606"/>
      <c r="B10" s="606" t="s">
        <v>4394</v>
      </c>
      <c r="C10" s="538" t="str">
        <f>IFERROR(VLOOKUP(B10,'ПО КОРИСНИЦИМА'!$C$6:$J$15001,5,FALSE),"")</f>
        <v/>
      </c>
      <c r="D10" s="641">
        <f>SUMIF('ПО КОРИСНИЦИМА'!$G$6:$G$15001,"Свега за пројекат 1101-П2:",'ПО КОРИСНИЦИМА'!$H$6:$H$15001)</f>
        <v>0</v>
      </c>
      <c r="E10" s="638">
        <f t="shared" ref="E10:E32" si="1">IFERROR(D10/$D$615,"-")</f>
        <v>0</v>
      </c>
      <c r="F10" s="642">
        <f>SUMIF('ПО КОРИСНИЦИМА'!$G$6:$G$15001,"Свега за пројекат 1101-П2:",'ПО КОРИСНИЦИМА'!$I$6:$I$15001)</f>
        <v>0</v>
      </c>
      <c r="G10" s="637">
        <f t="shared" si="0"/>
        <v>0</v>
      </c>
      <c r="H10" s="643"/>
    </row>
    <row r="11" spans="1:8" hidden="1" x14ac:dyDescent="0.2">
      <c r="A11" s="606"/>
      <c r="B11" s="606" t="s">
        <v>4395</v>
      </c>
      <c r="C11" s="538" t="str">
        <f>IFERROR(VLOOKUP(B11,'ПО КОРИСНИЦИМА'!$C$6:$J$15001,5,FALSE),"")</f>
        <v/>
      </c>
      <c r="D11" s="641">
        <f>SUMIF('ПО КОРИСНИЦИМА'!$G$6:$G$15001,"Свега за пројекат 1101-П3:",'ПО КОРИСНИЦИМА'!$H$6:$H$15001)</f>
        <v>0</v>
      </c>
      <c r="E11" s="638">
        <f t="shared" si="1"/>
        <v>0</v>
      </c>
      <c r="F11" s="642">
        <f>SUMIF('ПО КОРИСНИЦИМА'!$G$6:$G$15001,"Свега за пројекат 1101-П3:",'ПО КОРИСНИЦИМА'!$I$6:$I$15001)</f>
        <v>0</v>
      </c>
      <c r="G11" s="637">
        <f t="shared" si="0"/>
        <v>0</v>
      </c>
      <c r="H11" s="643"/>
    </row>
    <row r="12" spans="1:8" hidden="1" x14ac:dyDescent="0.2">
      <c r="A12" s="606"/>
      <c r="B12" s="606" t="s">
        <v>4396</v>
      </c>
      <c r="C12" s="538" t="str">
        <f>IFERROR(VLOOKUP(B12,'ПО КОРИСНИЦИМА'!$C$6:$J$15001,5,FALSE),"")</f>
        <v/>
      </c>
      <c r="D12" s="641">
        <f>SUMIF('ПО КОРИСНИЦИМА'!$G$6:$G$15001,"Свега за пројекат 1101-П4:",'ПО КОРИСНИЦИМА'!$H$6:$H$15001)</f>
        <v>0</v>
      </c>
      <c r="E12" s="638">
        <f t="shared" si="1"/>
        <v>0</v>
      </c>
      <c r="F12" s="642">
        <f>SUMIF('ПО КОРИСНИЦИМА'!$G$6:$G$15001,"Свега за пројекат 1101-П4:",'ПО КОРИСНИЦИМА'!$I$6:$I$15001)</f>
        <v>0</v>
      </c>
      <c r="G12" s="637">
        <f t="shared" si="0"/>
        <v>0</v>
      </c>
      <c r="H12" s="643"/>
    </row>
    <row r="13" spans="1:8" hidden="1" x14ac:dyDescent="0.2">
      <c r="A13" s="606"/>
      <c r="B13" s="606" t="s">
        <v>4397</v>
      </c>
      <c r="C13" s="538" t="str">
        <f>IFERROR(VLOOKUP(B13,'ПО КОРИСНИЦИМА'!$C$6:$J$15001,5,FALSE),"")</f>
        <v/>
      </c>
      <c r="D13" s="641">
        <f>SUMIF('ПО КОРИСНИЦИМА'!$G$6:$G$15001,"Свега за пројекат 1101-П5:",'ПО КОРИСНИЦИМА'!$H$6:$H$15001)</f>
        <v>0</v>
      </c>
      <c r="E13" s="638">
        <f t="shared" si="1"/>
        <v>0</v>
      </c>
      <c r="F13" s="642">
        <f>SUMIF('ПО КОРИСНИЦИМА'!$G$6:$G$15001,"Свега за пројекат 1101-П5:",'ПО КОРИСНИЦИМА'!$I$6:$I$15001)</f>
        <v>0</v>
      </c>
      <c r="G13" s="637">
        <f t="shared" si="0"/>
        <v>0</v>
      </c>
      <c r="H13" s="643"/>
    </row>
    <row r="14" spans="1:8" hidden="1" x14ac:dyDescent="0.2">
      <c r="A14" s="606"/>
      <c r="B14" s="606" t="s">
        <v>4398</v>
      </c>
      <c r="C14" s="538" t="str">
        <f>IFERROR(VLOOKUP(B14,'ПО КОРИСНИЦИМА'!$C$6:$J$15001,5,FALSE),"")</f>
        <v/>
      </c>
      <c r="D14" s="641">
        <f>SUMIF('ПО КОРИСНИЦИМА'!$G$6:$G$15001,"Свега за пројекат 1101-П6:",'ПО КОРИСНИЦИМА'!$H$6:$H$15001)</f>
        <v>0</v>
      </c>
      <c r="E14" s="638">
        <f t="shared" si="1"/>
        <v>0</v>
      </c>
      <c r="F14" s="642">
        <f>SUMIF('ПО КОРИСНИЦИМА'!$G$6:$G$15001,"Свега за пројекат 1101-П6:",'ПО КОРИСНИЦИМА'!$I$6:$I$15001)</f>
        <v>0</v>
      </c>
      <c r="G14" s="637">
        <f>D14+F14</f>
        <v>0</v>
      </c>
      <c r="H14" s="643"/>
    </row>
    <row r="15" spans="1:8" hidden="1" x14ac:dyDescent="0.2">
      <c r="A15" s="606"/>
      <c r="B15" s="606" t="s">
        <v>4399</v>
      </c>
      <c r="C15" s="538" t="str">
        <f>IFERROR(VLOOKUP(B15,'ПО КОРИСНИЦИМА'!$C$6:$J$15001,5,FALSE),"")</f>
        <v/>
      </c>
      <c r="D15" s="641">
        <f>SUMIF('ПО КОРИСНИЦИМА'!$G$6:$G$15001,"Свега за пројекат 1101-П7:",'ПО КОРИСНИЦИМА'!$H$6:$H$15001)</f>
        <v>0</v>
      </c>
      <c r="E15" s="638">
        <f t="shared" si="1"/>
        <v>0</v>
      </c>
      <c r="F15" s="642">
        <f>SUMIF('ПО КОРИСНИЦИМА'!$G$6:$G$15001,"Свега за пројекат 1101-П7:",'ПО КОРИСНИЦИМА'!$I$6:$I$15001)</f>
        <v>0</v>
      </c>
      <c r="G15" s="637">
        <f t="shared" si="0"/>
        <v>0</v>
      </c>
      <c r="H15" s="643"/>
    </row>
    <row r="16" spans="1:8" hidden="1" x14ac:dyDescent="0.2">
      <c r="A16" s="606"/>
      <c r="B16" s="606" t="s">
        <v>4400</v>
      </c>
      <c r="C16" s="538" t="str">
        <f>IFERROR(VLOOKUP(B16,'ПО КОРИСНИЦИМА'!$C$6:$J$15001,5,FALSE),"")</f>
        <v/>
      </c>
      <c r="D16" s="641">
        <f>SUMIF('ПО КОРИСНИЦИМА'!$G$6:$G$15001,"Свега за пројекат 1101-П8:",'ПО КОРИСНИЦИМА'!$H$6:$H$15001)</f>
        <v>0</v>
      </c>
      <c r="E16" s="638">
        <f t="shared" si="1"/>
        <v>0</v>
      </c>
      <c r="F16" s="642">
        <f>SUMIF('ПО КОРИСНИЦИМА'!$G$6:$G$15001,"Свега за пројекат 1101-П8:",'ПО КОРИСНИЦИМА'!$I$6:$I$15001)</f>
        <v>0</v>
      </c>
      <c r="G16" s="637">
        <f t="shared" si="0"/>
        <v>0</v>
      </c>
      <c r="H16" s="643"/>
    </row>
    <row r="17" spans="1:8" hidden="1" x14ac:dyDescent="0.2">
      <c r="A17" s="606"/>
      <c r="B17" s="606" t="s">
        <v>4401</v>
      </c>
      <c r="C17" s="538" t="str">
        <f>IFERROR(VLOOKUP(B17,'ПО КОРИСНИЦИМА'!$C$6:$J$15001,5,FALSE),"")</f>
        <v/>
      </c>
      <c r="D17" s="641">
        <f>SUMIF('ПО КОРИСНИЦИМА'!$G$6:$G$15001,"Свега за пројекат 1101-П9:",'ПО КОРИСНИЦИМА'!$H$6:$H$15001)</f>
        <v>0</v>
      </c>
      <c r="E17" s="638">
        <f t="shared" si="1"/>
        <v>0</v>
      </c>
      <c r="F17" s="642">
        <f>SUMIF('ПО КОРИСНИЦИМА'!$G$6:$G$15001,"Свега за пројекат 1101-П9:",'ПО КОРИСНИЦИМА'!$I$6:$I$15001)</f>
        <v>0</v>
      </c>
      <c r="G17" s="637">
        <f t="shared" si="0"/>
        <v>0</v>
      </c>
      <c r="H17" s="643"/>
    </row>
    <row r="18" spans="1:8" hidden="1" x14ac:dyDescent="0.2">
      <c r="A18" s="606"/>
      <c r="B18" s="606" t="s">
        <v>4402</v>
      </c>
      <c r="C18" s="538" t="str">
        <f>IFERROR(VLOOKUP(B18,'ПО КОРИСНИЦИМА'!$C$6:$J$15001,5,FALSE),"")</f>
        <v/>
      </c>
      <c r="D18" s="641">
        <f>SUMIF('ПО КОРИСНИЦИМА'!$G$6:$G$15001,"Свега за пројекат 1101-П10:",'ПО КОРИСНИЦИМА'!$H$6:$H$15001)</f>
        <v>0</v>
      </c>
      <c r="E18" s="638">
        <f t="shared" si="1"/>
        <v>0</v>
      </c>
      <c r="F18" s="642">
        <f>SUMIF('ПО КОРИСНИЦИМА'!$G$6:$G$15001,"Свега за пројекат 1101-П10:",'ПО КОРИСНИЦИМА'!$I$6:$I$15001)</f>
        <v>0</v>
      </c>
      <c r="G18" s="637">
        <f t="shared" si="0"/>
        <v>0</v>
      </c>
      <c r="H18" s="643"/>
    </row>
    <row r="19" spans="1:8" hidden="1" x14ac:dyDescent="0.2">
      <c r="A19" s="606"/>
      <c r="B19" s="606" t="s">
        <v>4403</v>
      </c>
      <c r="C19" s="538" t="str">
        <f>IFERROR(VLOOKUP(B19,'ПО КОРИСНИЦИМА'!$C$6:$J$15001,5,FALSE),"")</f>
        <v/>
      </c>
      <c r="D19" s="641">
        <f>SUMIF('ПО КОРИСНИЦИМА'!$G$6:$G$15001,"Свега за пројекат 1101-П11:",'ПО КОРИСНИЦИМА'!$H$6:$H$15001)</f>
        <v>0</v>
      </c>
      <c r="E19" s="638">
        <f t="shared" si="1"/>
        <v>0</v>
      </c>
      <c r="F19" s="642">
        <f>SUMIF('ПО КОРИСНИЦИМА'!$G$6:$G$15001,"Свега за пројекат 1101-П11:",'ПО КОРИСНИЦИМА'!$I$6:$I$15001)</f>
        <v>0</v>
      </c>
      <c r="G19" s="637">
        <f t="shared" si="0"/>
        <v>0</v>
      </c>
      <c r="H19" s="643"/>
    </row>
    <row r="20" spans="1:8" hidden="1" x14ac:dyDescent="0.2">
      <c r="A20" s="606"/>
      <c r="B20" s="606" t="s">
        <v>4404</v>
      </c>
      <c r="C20" s="538" t="str">
        <f>IFERROR(VLOOKUP(B20,'ПО КОРИСНИЦИМА'!$C$6:$J$15001,5,FALSE),"")</f>
        <v/>
      </c>
      <c r="D20" s="641">
        <f>SUMIF('ПО КОРИСНИЦИМА'!$G$6:$G$15001,"Свега за пројекат 1101-П12:",'ПО КОРИСНИЦИМА'!$H$6:$H$15001)</f>
        <v>0</v>
      </c>
      <c r="E20" s="638">
        <f t="shared" si="1"/>
        <v>0</v>
      </c>
      <c r="F20" s="642">
        <f>SUMIF('ПО КОРИСНИЦИМА'!$G$6:$G$15001,"Свега за пројекат 1101-П12:",'ПО КОРИСНИЦИМА'!$I$6:$I$15001)</f>
        <v>0</v>
      </c>
      <c r="G20" s="637">
        <f t="shared" si="0"/>
        <v>0</v>
      </c>
      <c r="H20" s="643"/>
    </row>
    <row r="21" spans="1:8" hidden="1" x14ac:dyDescent="0.2">
      <c r="A21" s="606"/>
      <c r="B21" s="606" t="s">
        <v>4405</v>
      </c>
      <c r="C21" s="538" t="str">
        <f>IFERROR(VLOOKUP(B21,'ПО КОРИСНИЦИМА'!$C$6:$J$15001,5,FALSE),"")</f>
        <v/>
      </c>
      <c r="D21" s="641">
        <f>SUMIF('ПО КОРИСНИЦИМА'!$G$6:$G$15001,"Свега за пројекат 1101-П13:",'ПО КОРИСНИЦИМА'!$H$6:$H$15001)</f>
        <v>0</v>
      </c>
      <c r="E21" s="638">
        <f t="shared" si="1"/>
        <v>0</v>
      </c>
      <c r="F21" s="642">
        <f>SUMIF('ПО КОРИСНИЦИМА'!$G$6:$G$15001,"Свега за пројекат 1101-П13:",'ПО КОРИСНИЦИМА'!$I$6:$I$15001)</f>
        <v>0</v>
      </c>
      <c r="G21" s="637">
        <f t="shared" si="0"/>
        <v>0</v>
      </c>
      <c r="H21" s="643"/>
    </row>
    <row r="22" spans="1:8" hidden="1" x14ac:dyDescent="0.2">
      <c r="A22" s="606"/>
      <c r="B22" s="606" t="s">
        <v>4406</v>
      </c>
      <c r="C22" s="538" t="str">
        <f>IFERROR(VLOOKUP(B22,'ПО КОРИСНИЦИМА'!$C$6:$J$15001,5,FALSE),"")</f>
        <v/>
      </c>
      <c r="D22" s="641">
        <f>SUMIF('ПО КОРИСНИЦИМА'!$G$6:$G$15001,"Свега за пројекат 1101-П14:",'ПО КОРИСНИЦИМА'!$H$6:$H$15001)</f>
        <v>0</v>
      </c>
      <c r="E22" s="638">
        <f t="shared" si="1"/>
        <v>0</v>
      </c>
      <c r="F22" s="642">
        <f>SUMIF('ПО КОРИСНИЦИМА'!$G$6:$G$15001,"Свега за пројекат 1101-П14:",'ПО КОРИСНИЦИМА'!$I$6:$I$15001)</f>
        <v>0</v>
      </c>
      <c r="G22" s="637">
        <f t="shared" si="0"/>
        <v>0</v>
      </c>
      <c r="H22" s="640"/>
    </row>
    <row r="23" spans="1:8" hidden="1" x14ac:dyDescent="0.2">
      <c r="A23" s="606"/>
      <c r="B23" s="606" t="s">
        <v>4407</v>
      </c>
      <c r="C23" s="538" t="str">
        <f>IFERROR(VLOOKUP(B23,'ПО КОРИСНИЦИМА'!$C$6:$J$15001,5,FALSE),"")</f>
        <v/>
      </c>
      <c r="D23" s="641">
        <f>SUMIF('ПО КОРИСНИЦИМА'!$G$6:$G$15001,"Свега за пројекат 1101-П15:",'ПО КОРИСНИЦИМА'!$H$6:$H$15001)</f>
        <v>0</v>
      </c>
      <c r="E23" s="638">
        <f t="shared" si="1"/>
        <v>0</v>
      </c>
      <c r="F23" s="642">
        <f>SUMIF('ПО КОРИСНИЦИМА'!$G$6:$G$15001,"Свега за пројекат 1101-П15:",'ПО КОРИСНИЦИМА'!$I$6:$I$15001)</f>
        <v>0</v>
      </c>
      <c r="G23" s="637">
        <f t="shared" si="0"/>
        <v>0</v>
      </c>
      <c r="H23" s="640"/>
    </row>
    <row r="24" spans="1:8" hidden="1" x14ac:dyDescent="0.2">
      <c r="A24" s="606"/>
      <c r="B24" s="606" t="s">
        <v>4408</v>
      </c>
      <c r="C24" s="538" t="str">
        <f>IFERROR(VLOOKUP(B24,'ПО КОРИСНИЦИМА'!$C$6:$J$15001,5,FALSE),"")</f>
        <v/>
      </c>
      <c r="D24" s="641">
        <f>SUMIF('ПО КОРИСНИЦИМА'!$G$6:$G$15001,"Свега за пројекат 1101-П16:",'ПО КОРИСНИЦИМА'!$H$6:$H$15001)</f>
        <v>0</v>
      </c>
      <c r="E24" s="638">
        <f t="shared" si="1"/>
        <v>0</v>
      </c>
      <c r="F24" s="642">
        <f>SUMIF('ПО КОРИСНИЦИМА'!$G$6:$G$15001,"Свега за пројекат 1101-П16:",'ПО КОРИСНИЦИМА'!$I$6:$I$15001)</f>
        <v>0</v>
      </c>
      <c r="G24" s="637">
        <f t="shared" si="0"/>
        <v>0</v>
      </c>
      <c r="H24" s="643"/>
    </row>
    <row r="25" spans="1:8" hidden="1" x14ac:dyDescent="0.2">
      <c r="A25" s="606"/>
      <c r="B25" s="606" t="s">
        <v>4409</v>
      </c>
      <c r="C25" s="538" t="str">
        <f>IFERROR(VLOOKUP(B25,'ПО КОРИСНИЦИМА'!$C$6:$J$15001,5,FALSE),"")</f>
        <v/>
      </c>
      <c r="D25" s="641">
        <f>SUMIF('ПО КОРИСНИЦИМА'!$G$6:$G$15001,"Свега за пројекат 1101-П17:",'ПО КОРИСНИЦИМА'!$H$6:$H$15001)</f>
        <v>0</v>
      </c>
      <c r="E25" s="638">
        <f t="shared" si="1"/>
        <v>0</v>
      </c>
      <c r="F25" s="642">
        <f>SUMIF('ПО КОРИСНИЦИМА'!$G$6:$G$15001,"Свега за пројекат 1101-П17:",'ПО КОРИСНИЦИМА'!$I$6:$I$15001)</f>
        <v>0</v>
      </c>
      <c r="G25" s="637">
        <f t="shared" si="0"/>
        <v>0</v>
      </c>
      <c r="H25" s="643"/>
    </row>
    <row r="26" spans="1:8" hidden="1" x14ac:dyDescent="0.2">
      <c r="A26" s="606"/>
      <c r="B26" s="606" t="s">
        <v>4410</v>
      </c>
      <c r="C26" s="538" t="str">
        <f>IFERROR(VLOOKUP(B26,'ПО КОРИСНИЦИМА'!$C$6:$J$15001,5,FALSE),"")</f>
        <v/>
      </c>
      <c r="D26" s="641">
        <f>SUMIF('ПО КОРИСНИЦИМА'!$G$6:$G$15001,"Свега за пројекат 1101-П18:",'ПО КОРИСНИЦИМА'!$H$6:$H$15001)</f>
        <v>0</v>
      </c>
      <c r="E26" s="638">
        <f t="shared" si="1"/>
        <v>0</v>
      </c>
      <c r="F26" s="642">
        <f>SUMIF('ПО КОРИСНИЦИМА'!$G$6:$G$15001,"Свега за пројекат 1101-П18:",'ПО КОРИСНИЦИМА'!$I$6:$I$15001)</f>
        <v>0</v>
      </c>
      <c r="G26" s="637">
        <f t="shared" si="0"/>
        <v>0</v>
      </c>
      <c r="H26" s="643"/>
    </row>
    <row r="27" spans="1:8" hidden="1" x14ac:dyDescent="0.2">
      <c r="A27" s="606"/>
      <c r="B27" s="606" t="s">
        <v>4411</v>
      </c>
      <c r="C27" s="538" t="str">
        <f>IFERROR(VLOOKUP(B27,'ПО КОРИСНИЦИМА'!$C$6:$J$15001,5,FALSE),"")</f>
        <v/>
      </c>
      <c r="D27" s="641">
        <f>SUMIF('ПО КОРИСНИЦИМА'!$G$6:$G$15001,"Свега за пројекат 1101-П19:",'ПО КОРИСНИЦИМА'!$H$6:$H$15001)</f>
        <v>0</v>
      </c>
      <c r="E27" s="638">
        <f t="shared" si="1"/>
        <v>0</v>
      </c>
      <c r="F27" s="642">
        <f>SUMIF('ПО КОРИСНИЦИМА'!$G$6:$G$15001,"Свега за пројекат 1101-П19:",'ПО КОРИСНИЦИМА'!$I$6:$I$15001)</f>
        <v>0</v>
      </c>
      <c r="G27" s="637">
        <f t="shared" si="0"/>
        <v>0</v>
      </c>
      <c r="H27" s="643"/>
    </row>
    <row r="28" spans="1:8" hidden="1" x14ac:dyDescent="0.2">
      <c r="A28" s="606"/>
      <c r="B28" s="606" t="s">
        <v>4412</v>
      </c>
      <c r="C28" s="538" t="str">
        <f>IFERROR(VLOOKUP(B28,'ПО КОРИСНИЦИМА'!$C$6:$J$15001,5,FALSE),"")</f>
        <v/>
      </c>
      <c r="D28" s="641">
        <f>SUMIF('ПО КОРИСНИЦИМА'!$G$6:$G$15001,"Свега за пројекат 1101-П20:",'ПО КОРИСНИЦИМА'!$H$6:$H$15001)</f>
        <v>0</v>
      </c>
      <c r="E28" s="638">
        <f t="shared" si="1"/>
        <v>0</v>
      </c>
      <c r="F28" s="642">
        <f>SUMIF('ПО КОРИСНИЦИМА'!$G$6:$G$15001,"Свега за пројекат 1101-П20:",'ПО КОРИСНИЦИМА'!$I$6:$I$15001)</f>
        <v>0</v>
      </c>
      <c r="G28" s="637">
        <f t="shared" si="0"/>
        <v>0</v>
      </c>
      <c r="H28" s="643"/>
    </row>
    <row r="29" spans="1:8" hidden="1" x14ac:dyDescent="0.2">
      <c r="A29" s="606"/>
      <c r="B29" s="606" t="s">
        <v>4413</v>
      </c>
      <c r="C29" s="538" t="str">
        <f>IFERROR(VLOOKUP(B29,'ПО КОРИСНИЦИМА'!$C$6:$J$15001,5,FALSE),"")</f>
        <v/>
      </c>
      <c r="D29" s="641">
        <f>SUMIF('ПО КОРИСНИЦИМА'!$G$6:$G$15001,"Свега за пројекат 1101-П21:",'ПО КОРИСНИЦИМА'!$H$6:$H$15001)</f>
        <v>0</v>
      </c>
      <c r="E29" s="638">
        <f t="shared" si="1"/>
        <v>0</v>
      </c>
      <c r="F29" s="642">
        <f>SUMIF('ПО КОРИСНИЦИМА'!$G$6:$G$15001,"Свега за пројекат 1101-П21:",'ПО КОРИСНИЦИМА'!$I$6:$I$15001)</f>
        <v>0</v>
      </c>
      <c r="G29" s="637">
        <f t="shared" si="0"/>
        <v>0</v>
      </c>
      <c r="H29" s="643"/>
    </row>
    <row r="30" spans="1:8" hidden="1" x14ac:dyDescent="0.2">
      <c r="A30" s="606"/>
      <c r="B30" s="606" t="s">
        <v>4414</v>
      </c>
      <c r="C30" s="538" t="str">
        <f>IFERROR(VLOOKUP(B30,'ПО КОРИСНИЦИМА'!$C$6:$J$15001,5,FALSE),"")</f>
        <v/>
      </c>
      <c r="D30" s="641">
        <f>SUMIF('ПО КОРИСНИЦИМА'!$G$6:$G$15001,"Свега за пројекат 1101-П22:",'ПО КОРИСНИЦИМА'!$H$6:$H$15001)</f>
        <v>0</v>
      </c>
      <c r="E30" s="638">
        <f t="shared" si="1"/>
        <v>0</v>
      </c>
      <c r="F30" s="642">
        <f>SUMIF('ПО КОРИСНИЦИМА'!$G$6:$G$15001,"Свега за пројекат 1101-П22:",'ПО КОРИСНИЦИМА'!$I$6:$I$15001)</f>
        <v>0</v>
      </c>
      <c r="G30" s="637">
        <f t="shared" si="0"/>
        <v>0</v>
      </c>
      <c r="H30" s="643"/>
    </row>
    <row r="31" spans="1:8" hidden="1" x14ac:dyDescent="0.2">
      <c r="A31" s="606"/>
      <c r="B31" s="606" t="s">
        <v>4415</v>
      </c>
      <c r="C31" s="538" t="str">
        <f>IFERROR(VLOOKUP(B31,'ПО КОРИСНИЦИМА'!$C$6:$J$15001,5,FALSE),"")</f>
        <v/>
      </c>
      <c r="D31" s="641">
        <f>SUMIF('ПО КОРИСНИЦИМА'!$G$6:$G$15001,"Свега за пројекат 1101-П23:",'ПО КОРИСНИЦИМА'!$H$6:$H$15001)</f>
        <v>0</v>
      </c>
      <c r="E31" s="638">
        <f t="shared" si="1"/>
        <v>0</v>
      </c>
      <c r="F31" s="642">
        <f>SUMIF('ПО КОРИСНИЦИМА'!$G$6:$G$15001,"Свега за пројекат 1101-П23:",'ПО КОРИСНИЦИМА'!$I$6:$I$15001)</f>
        <v>0</v>
      </c>
      <c r="G31" s="637">
        <f t="shared" si="0"/>
        <v>0</v>
      </c>
      <c r="H31" s="643"/>
    </row>
    <row r="32" spans="1:8" hidden="1" x14ac:dyDescent="0.2">
      <c r="A32" s="620"/>
      <c r="B32" s="620" t="s">
        <v>4416</v>
      </c>
      <c r="C32" s="621" t="str">
        <f>IFERROR(VLOOKUP(B32,'ПО КОРИСНИЦИМА'!$C$6:$J$15001,5,FALSE),"")</f>
        <v/>
      </c>
      <c r="D32" s="644">
        <f>SUMIF('ПО КОРИСНИЦИМА'!$G$6:$G$15001,"Свега за пројекат 1101-П24:",'ПО КОРИСНИЦИМА'!$H$6:$H$15001)</f>
        <v>0</v>
      </c>
      <c r="E32" s="645">
        <f t="shared" si="1"/>
        <v>0</v>
      </c>
      <c r="F32" s="646">
        <f>SUMIF('ПО КОРИСНИЦИМА'!$G$6:$G$15001,"Свега за пројекат 1101-П24:",'ПО КОРИСНИЦИМА'!$I$6:$I$15001)</f>
        <v>0</v>
      </c>
      <c r="G32" s="647">
        <f t="shared" si="0"/>
        <v>0</v>
      </c>
      <c r="H32" s="648"/>
    </row>
    <row r="33" spans="1:8" s="867" customFormat="1" x14ac:dyDescent="0.2">
      <c r="A33" s="860">
        <v>1101</v>
      </c>
      <c r="B33" s="860"/>
      <c r="C33" s="861" t="s">
        <v>5359</v>
      </c>
      <c r="D33" s="862">
        <f>SUM(D34:D35)</f>
        <v>24466000</v>
      </c>
      <c r="E33" s="863">
        <f t="shared" ref="E33" si="2">SUM(E5:E32)</f>
        <v>5.0755900028493137</v>
      </c>
      <c r="F33" s="864">
        <f>SUM(F34:F35)</f>
        <v>950000</v>
      </c>
      <c r="G33" s="865">
        <f>SUM(D33+F33)</f>
        <v>25416000</v>
      </c>
      <c r="H33" s="866"/>
    </row>
    <row r="34" spans="1:8" x14ac:dyDescent="0.2">
      <c r="A34" s="854"/>
      <c r="B34" s="854" t="s">
        <v>5257</v>
      </c>
      <c r="C34" s="855" t="s">
        <v>5360</v>
      </c>
      <c r="D34" s="633">
        <f>SUM('ПО КОРИСНИЦИМА'!H2414)</f>
        <v>23466000</v>
      </c>
      <c r="E34" s="634">
        <f t="shared" ref="E34:E35" si="3">IFERROR(D34/$D$615,"-")</f>
        <v>5.907058007959097E-2</v>
      </c>
      <c r="F34" s="635">
        <f>SUMIF('ПО КОРИСНИЦИМА'!$G$6:$G$15001,"Свега за програмску активност 1101-0001:",'ПО КОРИСНИЦИМА'!$I$6:$I$15001)</f>
        <v>0</v>
      </c>
      <c r="G34" s="856">
        <f>SUM(F34+D34)</f>
        <v>23466000</v>
      </c>
      <c r="H34" s="857"/>
    </row>
    <row r="35" spans="1:8" x14ac:dyDescent="0.2">
      <c r="A35" s="854"/>
      <c r="B35" s="854" t="s">
        <v>5259</v>
      </c>
      <c r="C35" s="855" t="s">
        <v>5361</v>
      </c>
      <c r="D35" s="633">
        <f>SUM('ПО КОРИСНИЦИМА'!H2512)</f>
        <v>1000000</v>
      </c>
      <c r="E35" s="634">
        <f t="shared" si="3"/>
        <v>2.5172837330431678E-3</v>
      </c>
      <c r="F35" s="635">
        <f>SUMIF('ПО КОРИСНИЦИМА'!$G$6:$G$15001,"Свега за програмску активност 1101-0004:",'ПО КОРИСНИЦИМА'!$I$6:$I$15001)</f>
        <v>950000</v>
      </c>
      <c r="G35" s="856">
        <f>SUM(D35+F35)</f>
        <v>1950000</v>
      </c>
      <c r="H35" s="857"/>
    </row>
    <row r="36" spans="1:8" x14ac:dyDescent="0.2">
      <c r="A36" s="602" t="s">
        <v>5082</v>
      </c>
      <c r="B36" s="603"/>
      <c r="C36" s="536" t="s">
        <v>5153</v>
      </c>
      <c r="D36" s="629">
        <f>SUM(D37:D100)</f>
        <v>30450000</v>
      </c>
      <c r="E36" s="630">
        <f t="shared" ref="E36:E67" si="4">IFERROR(D36/$D$615,"-")</f>
        <v>7.6651289671164455E-2</v>
      </c>
      <c r="F36" s="631">
        <f>SUM(F37:F100)</f>
        <v>0</v>
      </c>
      <c r="G36" s="629">
        <f>D36+F36</f>
        <v>30450000</v>
      </c>
      <c r="H36" s="632"/>
    </row>
    <row r="37" spans="1:8" x14ac:dyDescent="0.2">
      <c r="A37" s="604"/>
      <c r="B37" s="604" t="s">
        <v>5089</v>
      </c>
      <c r="C37" s="539" t="s">
        <v>5090</v>
      </c>
      <c r="D37" s="633"/>
      <c r="E37" s="634">
        <f t="shared" si="4"/>
        <v>0</v>
      </c>
      <c r="F37" s="635">
        <f>SUMIF('ПО КОРИСНИЦИМА'!$G$6:$G$15001,"Свега за програмску активност 0601-0001:",'ПО КОРИСНИЦИМА'!$I$6:$I$15001)</f>
        <v>0</v>
      </c>
      <c r="G37" s="633">
        <f t="shared" si="0"/>
        <v>0</v>
      </c>
      <c r="H37" s="636"/>
    </row>
    <row r="38" spans="1:8" x14ac:dyDescent="0.2">
      <c r="A38" s="606"/>
      <c r="B38" s="606" t="s">
        <v>5084</v>
      </c>
      <c r="C38" s="540" t="s">
        <v>5085</v>
      </c>
      <c r="D38" s="637">
        <f>SUM('ПО КОРИСНИЦИМА'!H3497)</f>
        <v>800000</v>
      </c>
      <c r="E38" s="638">
        <f t="shared" si="4"/>
        <v>2.0138269864345341E-3</v>
      </c>
      <c r="F38" s="639">
        <f>SUMIF('ПО КОРИСНИЦИМА'!$G$6:$G$15001,"Свега за програмску активност 0601-0002:",'ПО КОРИСНИЦИМА'!$I$6:$I$15001)</f>
        <v>0</v>
      </c>
      <c r="G38" s="637">
        <f t="shared" si="0"/>
        <v>800000</v>
      </c>
      <c r="H38" s="640"/>
    </row>
    <row r="39" spans="1:8" x14ac:dyDescent="0.2">
      <c r="A39" s="606"/>
      <c r="B39" s="606" t="s">
        <v>5091</v>
      </c>
      <c r="C39" s="540" t="s">
        <v>5092</v>
      </c>
      <c r="D39" s="637">
        <f>SUMIF('ПО КОРИСНИЦИМА'!$G$6:$G$15001,"Свега за програмску активност 1102-0003:",'ПО КОРИСНИЦИМА'!$H$6:$H$15001)</f>
        <v>950000</v>
      </c>
      <c r="E39" s="638">
        <f t="shared" si="4"/>
        <v>2.3914195463910094E-3</v>
      </c>
      <c r="F39" s="639">
        <f>SUMIF('ПО КОРИСНИЦИМА'!$G$6:$G$15001,"Свега за програмску активност 0601-0003:",'ПО КОРИСНИЦИМА'!$I$6:$I$15001)</f>
        <v>0</v>
      </c>
      <c r="G39" s="637">
        <f t="shared" si="0"/>
        <v>950000</v>
      </c>
      <c r="H39" s="640"/>
    </row>
    <row r="40" spans="1:8" x14ac:dyDescent="0.2">
      <c r="A40" s="606"/>
      <c r="B40" s="606" t="s">
        <v>5093</v>
      </c>
      <c r="C40" s="540" t="s">
        <v>5094</v>
      </c>
      <c r="D40" s="637">
        <f>SUMIF('ПО КОРИСНИЦИМА'!$G$6:$G$15001,"Свега за програмску активност 1102-0004:",'ПО КОРИСНИЦИМА'!$H$6:$H$15001)</f>
        <v>2750000</v>
      </c>
      <c r="E40" s="638">
        <f t="shared" si="4"/>
        <v>6.9225302658687113E-3</v>
      </c>
      <c r="F40" s="639">
        <f>SUMIF('ПО КОРИСНИЦИМА'!$G$6:$G$15001,"Свега за програмску активност 0601-0004:",'ПО КОРИСНИЦИМА'!$I$6:$I$15001)</f>
        <v>0</v>
      </c>
      <c r="G40" s="637">
        <f t="shared" si="0"/>
        <v>2750000</v>
      </c>
      <c r="H40" s="640"/>
    </row>
    <row r="41" spans="1:8" x14ac:dyDescent="0.2">
      <c r="A41" s="606"/>
      <c r="B41" s="606" t="s">
        <v>5095</v>
      </c>
      <c r="C41" s="540" t="s">
        <v>5096</v>
      </c>
      <c r="D41" s="637">
        <f>SUMIF('ПО КОРИСНИЦИМА'!$G$6:$G$15001,"Свега за програмску активност 1102-0005:",'ПО КОРИСНИЦИМА'!$H$6:$H$15001)</f>
        <v>150000</v>
      </c>
      <c r="E41" s="638">
        <f t="shared" si="4"/>
        <v>3.7759255995647518E-4</v>
      </c>
      <c r="F41" s="639">
        <f>SUMIF('ПО КОРИСНИЦИМА'!$G$6:$G$15001,"Свега за програмску активност 0601-0005:",'ПО КОРИСНИЦИМА'!$I$6:$I$15001)</f>
        <v>0</v>
      </c>
      <c r="G41" s="637">
        <f t="shared" si="0"/>
        <v>150000</v>
      </c>
      <c r="H41" s="640"/>
    </row>
    <row r="42" spans="1:8" x14ac:dyDescent="0.2">
      <c r="A42" s="606"/>
      <c r="B42" s="606" t="s">
        <v>5097</v>
      </c>
      <c r="C42" s="540" t="s">
        <v>4047</v>
      </c>
      <c r="D42" s="637">
        <f>SUMIF('ПО КОРИСНИЦИМА'!$G$6:$G$15001,"Свега за програмску активност 1102-0006:",'ПО КОРИСНИЦИМА'!$H$6:$H$15001)</f>
        <v>1200000</v>
      </c>
      <c r="E42" s="638">
        <f t="shared" si="4"/>
        <v>3.0207404796518014E-3</v>
      </c>
      <c r="F42" s="639">
        <f>SUMIF('ПО КОРИСНИЦИМА'!$G$6:$G$15001,"Свега за програмску активност 0601-0006:",'ПО КОРИСНИЦИМА'!$I$6:$I$15001)</f>
        <v>0</v>
      </c>
      <c r="G42" s="637">
        <f t="shared" si="0"/>
        <v>1200000</v>
      </c>
      <c r="H42" s="640"/>
    </row>
    <row r="43" spans="1:8" ht="14.25" customHeight="1" x14ac:dyDescent="0.2">
      <c r="A43" s="606"/>
      <c r="B43" s="606" t="s">
        <v>5098</v>
      </c>
      <c r="C43" s="540" t="s">
        <v>5099</v>
      </c>
      <c r="D43" s="637">
        <f>SUMIF('ПО КОРИСНИЦИМА'!$G$6:$G$15001,"Свега за програмску активност 1102-0007:",'ПО КОРИСНИЦИМА'!$H$6:$H$15001)</f>
        <v>0</v>
      </c>
      <c r="E43" s="638">
        <f t="shared" si="4"/>
        <v>0</v>
      </c>
      <c r="F43" s="639">
        <f>SUMIF('ПО КОРИСНИЦИМА'!$G$6:$G$15001,"Свега за програмску активност 0601-0007:",'ПО КОРИСНИЦИМА'!$I$6:$I$15001)</f>
        <v>0</v>
      </c>
      <c r="G43" s="637">
        <f t="shared" si="0"/>
        <v>0</v>
      </c>
      <c r="H43" s="640"/>
    </row>
    <row r="44" spans="1:8" x14ac:dyDescent="0.2">
      <c r="A44" s="606"/>
      <c r="B44" s="606" t="s">
        <v>5083</v>
      </c>
      <c r="C44" s="540" t="s">
        <v>5081</v>
      </c>
      <c r="D44" s="637">
        <f>SUMIF('ПО КОРИСНИЦИМА'!$G$6:$G$15001,"Свега за програмску активност 1102-0008:",'ПО КОРИСНИЦИМА'!$H$6:$H$15001)</f>
        <v>23100000</v>
      </c>
      <c r="E44" s="638">
        <f t="shared" si="4"/>
        <v>5.8149254233297178E-2</v>
      </c>
      <c r="F44" s="639">
        <f>SUMIF('ПО КОРИСНИЦИМА'!$G$6:$G$15001,"Свега за програмску активност 0601-0008:",'ПО КОРИСНИЦИМА'!$I$6:$I$15001)</f>
        <v>0</v>
      </c>
      <c r="G44" s="637">
        <f t="shared" si="0"/>
        <v>23100000</v>
      </c>
      <c r="H44" s="640"/>
    </row>
    <row r="45" spans="1:8" x14ac:dyDescent="0.2">
      <c r="A45" s="606"/>
      <c r="B45" s="606" t="s">
        <v>5100</v>
      </c>
      <c r="C45" s="540" t="s">
        <v>4048</v>
      </c>
      <c r="D45" s="637">
        <f>SUMIF('ПО КОРИСНИЦИМА'!$G$6:$G$15001,"Свега за програмску активност 1102-0009:",'ПО КОРИСНИЦИМА'!$H$6:$H$15001)</f>
        <v>500000</v>
      </c>
      <c r="E45" s="638">
        <f t="shared" si="4"/>
        <v>1.2586418665215839E-3</v>
      </c>
      <c r="F45" s="639">
        <f>SUMIF('ПО КОРИСНИЦИМА'!$G$6:$G$15001,"Свега за програмску активност 0601-0009:",'ПО КОРИСНИЦИМА'!$I$6:$I$15001)</f>
        <v>0</v>
      </c>
      <c r="G45" s="637">
        <f t="shared" si="0"/>
        <v>500000</v>
      </c>
      <c r="H45" s="640"/>
    </row>
    <row r="46" spans="1:8" x14ac:dyDescent="0.2">
      <c r="A46" s="606"/>
      <c r="B46" s="606" t="s">
        <v>5217</v>
      </c>
      <c r="C46" s="540" t="s">
        <v>5286</v>
      </c>
      <c r="D46" s="637">
        <f>SUM('ПО КОРИСНИЦИМА'!H3399)</f>
        <v>1000000</v>
      </c>
      <c r="E46" s="638">
        <f t="shared" si="4"/>
        <v>2.5172837330431678E-3</v>
      </c>
      <c r="F46" s="639">
        <f>SUMIF('ПО КОРИСНИЦИМА'!$G$6:$G$15001,"Свега за програмску активност 0601-0010:",'ПО КОРИСНИЦИМА'!$I$6:$I$15001)</f>
        <v>0</v>
      </c>
      <c r="G46" s="637">
        <f t="shared" si="0"/>
        <v>1000000</v>
      </c>
      <c r="H46" s="640"/>
    </row>
    <row r="47" spans="1:8" hidden="1" x14ac:dyDescent="0.2">
      <c r="A47" s="606"/>
      <c r="B47" s="606" t="s">
        <v>5220</v>
      </c>
      <c r="C47" s="540"/>
      <c r="D47" s="637">
        <f>SUM('ПО КОРИСНИЦИМА'!H6931)</f>
        <v>0</v>
      </c>
      <c r="E47" s="638">
        <f t="shared" si="4"/>
        <v>0</v>
      </c>
      <c r="F47" s="639">
        <f>SUMIF('ПО КОРИСНИЦИМА'!$G$6:$G$15001,"Свега за програмску активност 0601-0011:",'ПО КОРИСНИЦИМА'!$I$6:$I$15001)</f>
        <v>0</v>
      </c>
      <c r="G47" s="637">
        <f t="shared" si="0"/>
        <v>0</v>
      </c>
      <c r="H47" s="640"/>
    </row>
    <row r="48" spans="1:8" hidden="1" x14ac:dyDescent="0.2">
      <c r="A48" s="606"/>
      <c r="B48" s="606" t="s">
        <v>5220</v>
      </c>
      <c r="C48" s="540"/>
      <c r="D48" s="637"/>
      <c r="E48" s="638">
        <f t="shared" si="4"/>
        <v>0</v>
      </c>
      <c r="F48" s="639">
        <f>SUMIF('ПО КОРИСНИЦИМА'!$G$6:$G$15001,"Свега за програмску активност 0601-0012:",'ПО КОРИСНИЦИМА'!$I$6:$I$15001)</f>
        <v>0</v>
      </c>
      <c r="G48" s="637">
        <f t="shared" si="0"/>
        <v>0</v>
      </c>
      <c r="H48" s="640"/>
    </row>
    <row r="49" spans="1:8" hidden="1" x14ac:dyDescent="0.2">
      <c r="A49" s="606"/>
      <c r="B49" s="606"/>
      <c r="C49" s="540"/>
      <c r="D49" s="637">
        <f>SUMIF('ПО КОРИСНИЦИМА'!$G$6:$G$15001,"Свега за програмску активност 0601-0013:",'ПО КОРИСНИЦИМА'!$H$6:$H$15001)</f>
        <v>0</v>
      </c>
      <c r="E49" s="638">
        <f t="shared" si="4"/>
        <v>0</v>
      </c>
      <c r="F49" s="639">
        <f>SUMIF('ПО КОРИСНИЦИМА'!$G$6:$G$15001,"Свега за програмску активност 0601-0013:",'ПО КОРИСНИЦИМА'!$I$6:$I$15001)</f>
        <v>0</v>
      </c>
      <c r="G49" s="637">
        <f t="shared" si="0"/>
        <v>0</v>
      </c>
      <c r="H49" s="640"/>
    </row>
    <row r="50" spans="1:8" hidden="1" x14ac:dyDescent="0.2">
      <c r="A50" s="606"/>
      <c r="B50" s="606"/>
      <c r="C50" s="540"/>
      <c r="D50" s="637">
        <f>SUMIF('ПО КОРИСНИЦИМА'!$G$6:$G$15001,"Свега за програмску активност 0601-0014:",'ПО КОРИСНИЦИМА'!$H$6:$H$15001)</f>
        <v>0</v>
      </c>
      <c r="E50" s="638">
        <f t="shared" si="4"/>
        <v>0</v>
      </c>
      <c r="F50" s="639">
        <f>SUMIF('ПО КОРИСНИЦИМА'!$G$6:$G$15001,"Свега за програмску активност 0601-0014:",'ПО КОРИСНИЦИМА'!$I$6:$I$15001)</f>
        <v>0</v>
      </c>
      <c r="G50" s="637">
        <f t="shared" si="0"/>
        <v>0</v>
      </c>
      <c r="H50" s="640"/>
    </row>
    <row r="51" spans="1:8" hidden="1" x14ac:dyDescent="0.2">
      <c r="A51" s="606"/>
      <c r="B51" s="606" t="s">
        <v>4417</v>
      </c>
      <c r="C51" s="538" t="str">
        <f>IFERROR(VLOOKUP(B51,'ПО КОРИСНИЦИМА'!$C$6:$J$15001,5,FALSE),"")</f>
        <v/>
      </c>
      <c r="D51" s="641">
        <f>SUMIF('ПО КОРИСНИЦИМА'!$G$6:$G$15001,"Свега за пројекат 0601-П1:",'ПО КОРИСНИЦИМА'!$H$6:$H$15001)</f>
        <v>0</v>
      </c>
      <c r="E51" s="638">
        <f t="shared" si="4"/>
        <v>0</v>
      </c>
      <c r="F51" s="642">
        <f>SUMIF('ПО КОРИСНИЦИМА'!$G$6:$G$15001,"Свега за пројекат 0601-П1:",'ПО КОРИСНИЦИМА'!$I$6:$I$15001)</f>
        <v>0</v>
      </c>
      <c r="G51" s="637">
        <f t="shared" si="0"/>
        <v>0</v>
      </c>
      <c r="H51" s="640"/>
    </row>
    <row r="52" spans="1:8" hidden="1" x14ac:dyDescent="0.2">
      <c r="A52" s="606"/>
      <c r="B52" s="606" t="s">
        <v>4418</v>
      </c>
      <c r="C52" s="538" t="str">
        <f>IFERROR(VLOOKUP(B52,'ПО КОРИСНИЦИМА'!$C$6:$J$15001,5,FALSE),"")</f>
        <v/>
      </c>
      <c r="D52" s="641">
        <f>SUMIF('ПО КОРИСНИЦИМА'!$G$6:$G$15001,"Свега за пројекат 0601-П2:",'ПО КОРИСНИЦИМА'!$H$6:$H$15001)</f>
        <v>0</v>
      </c>
      <c r="E52" s="638">
        <f t="shared" si="4"/>
        <v>0</v>
      </c>
      <c r="F52" s="642">
        <f>SUMIF('ПО КОРИСНИЦИМА'!$G$6:$G$15001,"Свега за пројекат 0601-П2:",'ПО КОРИСНИЦИМА'!$I$6:$I$15001)</f>
        <v>0</v>
      </c>
      <c r="G52" s="637">
        <f t="shared" si="0"/>
        <v>0</v>
      </c>
      <c r="H52" s="640"/>
    </row>
    <row r="53" spans="1:8" hidden="1" x14ac:dyDescent="0.2">
      <c r="A53" s="606"/>
      <c r="B53" s="606" t="s">
        <v>4419</v>
      </c>
      <c r="C53" s="538" t="str">
        <f>IFERROR(VLOOKUP(B53,'ПО КОРИСНИЦИМА'!$C$6:$J$15001,5,FALSE),"")</f>
        <v/>
      </c>
      <c r="D53" s="641">
        <f>SUMIF('ПО КОРИСНИЦИМА'!$G$6:$G$15001,"Свега за пројекат 0601-П3:",'ПО КОРИСНИЦИМА'!$H$6:$H$15001)</f>
        <v>0</v>
      </c>
      <c r="E53" s="638">
        <f t="shared" si="4"/>
        <v>0</v>
      </c>
      <c r="F53" s="642">
        <f>SUMIF('ПО КОРИСНИЦИМА'!$G$6:$G$15001,"Свега за пројекат 0601-П3:",'ПО КОРИСНИЦИМА'!$I$6:$I$15001)</f>
        <v>0</v>
      </c>
      <c r="G53" s="637">
        <f t="shared" si="0"/>
        <v>0</v>
      </c>
      <c r="H53" s="640"/>
    </row>
    <row r="54" spans="1:8" hidden="1" x14ac:dyDescent="0.2">
      <c r="A54" s="606"/>
      <c r="B54" s="606" t="s">
        <v>4420</v>
      </c>
      <c r="C54" s="538" t="str">
        <f>IFERROR(VLOOKUP(B54,'ПО КОРИСНИЦИМА'!$C$6:$J$15001,5,FALSE),"")</f>
        <v/>
      </c>
      <c r="D54" s="641">
        <f>SUMIF('ПО КОРИСНИЦИМА'!$G$6:$G$15001,"Свега за пројекат 0601-П4:",'ПО КОРИСНИЦИМА'!$H$6:$H$15001)</f>
        <v>0</v>
      </c>
      <c r="E54" s="638">
        <f t="shared" si="4"/>
        <v>0</v>
      </c>
      <c r="F54" s="642">
        <f>SUMIF('ПО КОРИСНИЦИМА'!$G$6:$G$15001,"Свега за пројекат 0601-П4:",'ПО КОРИСНИЦИМА'!$I$6:$I$15001)</f>
        <v>0</v>
      </c>
      <c r="G54" s="637">
        <f t="shared" si="0"/>
        <v>0</v>
      </c>
      <c r="H54" s="640"/>
    </row>
    <row r="55" spans="1:8" hidden="1" x14ac:dyDescent="0.2">
      <c r="A55" s="606"/>
      <c r="B55" s="606" t="s">
        <v>4421</v>
      </c>
      <c r="C55" s="538" t="str">
        <f>IFERROR(VLOOKUP(B55,'ПО КОРИСНИЦИМА'!$C$6:$J$15001,5,FALSE),"")</f>
        <v/>
      </c>
      <c r="D55" s="641">
        <f>SUMIF('ПО КОРИСНИЦИМА'!$G$6:$G$15001,"Свега за пројекат 0601-П5:",'ПО КОРИСНИЦИМА'!$H$6:$H$15001)</f>
        <v>0</v>
      </c>
      <c r="E55" s="638">
        <f t="shared" si="4"/>
        <v>0</v>
      </c>
      <c r="F55" s="642">
        <f>SUMIF('ПО КОРИСНИЦИМА'!$G$6:$G$15001,"Свега за пројекат 0601-П5:",'ПО КОРИСНИЦИМА'!$I$6:$I$15001)</f>
        <v>0</v>
      </c>
      <c r="G55" s="637">
        <f t="shared" si="0"/>
        <v>0</v>
      </c>
      <c r="H55" s="643"/>
    </row>
    <row r="56" spans="1:8" hidden="1" x14ac:dyDescent="0.2">
      <c r="A56" s="606"/>
      <c r="B56" s="606" t="s">
        <v>4422</v>
      </c>
      <c r="C56" s="538" t="str">
        <f>IFERROR(VLOOKUP(B56,'ПО КОРИСНИЦИМА'!$C$6:$J$15001,5,FALSE),"")</f>
        <v/>
      </c>
      <c r="D56" s="641">
        <f>SUMIF('ПО КОРИСНИЦИМА'!$G$6:$G$15001,"Свега за пројекат 0601-П6:",'ПО КОРИСНИЦИМА'!$H$6:$H$15001)</f>
        <v>0</v>
      </c>
      <c r="E56" s="638">
        <f t="shared" si="4"/>
        <v>0</v>
      </c>
      <c r="F56" s="642">
        <f>SUMIF('ПО КОРИСНИЦИМА'!$G$6:$G$15001,"Свега за пројекат 0601-П6:",'ПО КОРИСНИЦИМА'!$I$6:$I$15001)</f>
        <v>0</v>
      </c>
      <c r="G56" s="637">
        <f t="shared" si="0"/>
        <v>0</v>
      </c>
      <c r="H56" s="643"/>
    </row>
    <row r="57" spans="1:8" hidden="1" x14ac:dyDescent="0.2">
      <c r="A57" s="606"/>
      <c r="B57" s="606" t="s">
        <v>4423</v>
      </c>
      <c r="C57" s="538" t="str">
        <f>IFERROR(VLOOKUP(B57,'ПО КОРИСНИЦИМА'!$C$6:$J$15001,5,FALSE),"")</f>
        <v/>
      </c>
      <c r="D57" s="641">
        <f>SUMIF('ПО КОРИСНИЦИМА'!$G$6:$G$15001,"Свега за пројекат 0601-П7:",'ПО КОРИСНИЦИМА'!$H$6:$H$15001)</f>
        <v>0</v>
      </c>
      <c r="E57" s="638">
        <f t="shared" si="4"/>
        <v>0</v>
      </c>
      <c r="F57" s="642">
        <f>SUMIF('ПО КОРИСНИЦИМА'!$G$6:$G$15001,"Свега за пројекат 0601-П7:",'ПО КОРИСНИЦИМА'!$I$6:$I$15001)</f>
        <v>0</v>
      </c>
      <c r="G57" s="637">
        <f t="shared" si="0"/>
        <v>0</v>
      </c>
      <c r="H57" s="643"/>
    </row>
    <row r="58" spans="1:8" hidden="1" x14ac:dyDescent="0.2">
      <c r="A58" s="606"/>
      <c r="B58" s="606" t="s">
        <v>4424</v>
      </c>
      <c r="C58" s="538" t="str">
        <f>IFERROR(VLOOKUP(B58,'ПО КОРИСНИЦИМА'!$C$6:$J$15001,5,FALSE),"")</f>
        <v/>
      </c>
      <c r="D58" s="641">
        <f>SUMIF('ПО КОРИСНИЦИМА'!$G$6:$G$15001,"Свега за пројекат 0601-П8:",'ПО КОРИСНИЦИМА'!$H$6:$H$15001)</f>
        <v>0</v>
      </c>
      <c r="E58" s="638">
        <f t="shared" si="4"/>
        <v>0</v>
      </c>
      <c r="F58" s="642">
        <f>SUMIF('ПО КОРИСНИЦИМА'!$G$6:$G$15001,"Свега за пројекат 0601-П8:",'ПО КОРИСНИЦИМА'!$I$6:$I$15001)</f>
        <v>0</v>
      </c>
      <c r="G58" s="637">
        <f t="shared" si="0"/>
        <v>0</v>
      </c>
      <c r="H58" s="643"/>
    </row>
    <row r="59" spans="1:8" hidden="1" x14ac:dyDescent="0.2">
      <c r="A59" s="606"/>
      <c r="B59" s="606" t="s">
        <v>4425</v>
      </c>
      <c r="C59" s="538" t="str">
        <f>IFERROR(VLOOKUP(B59,'ПО КОРИСНИЦИМА'!$C$6:$J$15001,5,FALSE),"")</f>
        <v/>
      </c>
      <c r="D59" s="641">
        <f>SUMIF('ПО КОРИСНИЦИМА'!$G$6:$G$15001,"Свега за пројекат 0601-П9:",'ПО КОРИСНИЦИМА'!$H$6:$H$15001)</f>
        <v>0</v>
      </c>
      <c r="E59" s="638">
        <f t="shared" si="4"/>
        <v>0</v>
      </c>
      <c r="F59" s="642">
        <f>SUMIF('ПО КОРИСНИЦИМА'!$G$6:$G$15001,"Свега за пројекат 0601-П9:",'ПО КОРИСНИЦИМА'!$I$6:$I$15001)</f>
        <v>0</v>
      </c>
      <c r="G59" s="637">
        <f t="shared" si="0"/>
        <v>0</v>
      </c>
      <c r="H59" s="643"/>
    </row>
    <row r="60" spans="1:8" hidden="1" x14ac:dyDescent="0.2">
      <c r="A60" s="606"/>
      <c r="B60" s="606" t="s">
        <v>4426</v>
      </c>
      <c r="C60" s="538" t="str">
        <f>IFERROR(VLOOKUP(B60,'ПО КОРИСНИЦИМА'!$C$6:$J$15001,5,FALSE),"")</f>
        <v/>
      </c>
      <c r="D60" s="641">
        <f>SUMIF('ПО КОРИСНИЦИМА'!$G$6:$G$15001,"Свега за пројекат 0601-П10:",'ПО КОРИСНИЦИМА'!$H$6:$H$15001)</f>
        <v>0</v>
      </c>
      <c r="E60" s="638">
        <f t="shared" si="4"/>
        <v>0</v>
      </c>
      <c r="F60" s="642">
        <f>SUMIF('ПО КОРИСНИЦИМА'!$G$6:$G$15001,"Свега за пројекат 0601-П10:",'ПО КОРИСНИЦИМА'!$I$6:$I$15001)</f>
        <v>0</v>
      </c>
      <c r="G60" s="637">
        <f t="shared" si="0"/>
        <v>0</v>
      </c>
      <c r="H60" s="643"/>
    </row>
    <row r="61" spans="1:8" hidden="1" x14ac:dyDescent="0.2">
      <c r="A61" s="606"/>
      <c r="B61" s="606" t="s">
        <v>4427</v>
      </c>
      <c r="C61" s="538" t="str">
        <f>IFERROR(VLOOKUP(B61,'ПО КОРИСНИЦИМА'!$C$6:$J$15001,5,FALSE),"")</f>
        <v/>
      </c>
      <c r="D61" s="641">
        <f>SUMIF('ПО КОРИСНИЦИМА'!$G$6:$G$15001,"Свега за пројекат 0601-П11:",'ПО КОРИСНИЦИМА'!$H$6:$H$15001)</f>
        <v>0</v>
      </c>
      <c r="E61" s="638">
        <f t="shared" si="4"/>
        <v>0</v>
      </c>
      <c r="F61" s="642">
        <f>SUMIF('ПО КОРИСНИЦИМА'!$G$6:$G$15001,"Свега за пројекат 0601-П11:",'ПО КОРИСНИЦИМА'!$I$6:$I$15001)</f>
        <v>0</v>
      </c>
      <c r="G61" s="637">
        <f t="shared" si="0"/>
        <v>0</v>
      </c>
      <c r="H61" s="643"/>
    </row>
    <row r="62" spans="1:8" hidden="1" x14ac:dyDescent="0.2">
      <c r="A62" s="606"/>
      <c r="B62" s="606" t="s">
        <v>4428</v>
      </c>
      <c r="C62" s="538" t="str">
        <f>IFERROR(VLOOKUP(B62,'ПО КОРИСНИЦИМА'!$C$6:$J$15001,5,FALSE),"")</f>
        <v/>
      </c>
      <c r="D62" s="641">
        <f>SUMIF('ПО КОРИСНИЦИМА'!$G$6:$G$15001,"Свега за пројекат 0601-П12:",'ПО КОРИСНИЦИМА'!$H$6:$H$15001)</f>
        <v>0</v>
      </c>
      <c r="E62" s="638">
        <f t="shared" si="4"/>
        <v>0</v>
      </c>
      <c r="F62" s="642">
        <f>SUMIF('ПО КОРИСНИЦИМА'!$G$6:$G$15001,"Свега за пројекат 0601-П12:",'ПО КОРИСНИЦИМА'!$I$6:$I$15001)</f>
        <v>0</v>
      </c>
      <c r="G62" s="637">
        <f t="shared" si="0"/>
        <v>0</v>
      </c>
      <c r="H62" s="643"/>
    </row>
    <row r="63" spans="1:8" hidden="1" x14ac:dyDescent="0.2">
      <c r="A63" s="606"/>
      <c r="B63" s="606" t="s">
        <v>4429</v>
      </c>
      <c r="C63" s="538" t="str">
        <f>IFERROR(VLOOKUP(B63,'ПО КОРИСНИЦИМА'!$C$6:$J$15001,5,FALSE),"")</f>
        <v/>
      </c>
      <c r="D63" s="641">
        <f>SUMIF('ПО КОРИСНИЦИМА'!$G$6:$G$15001,"Свега за пројекат 0601-П13:",'ПО КОРИСНИЦИМА'!$H$6:$H$15001)</f>
        <v>0</v>
      </c>
      <c r="E63" s="638">
        <f t="shared" si="4"/>
        <v>0</v>
      </c>
      <c r="F63" s="642">
        <f>SUMIF('ПО КОРИСНИЦИМА'!$G$6:$G$15001,"Свега за пројекат 0601-П13:",'ПО КОРИСНИЦИМА'!$I$6:$I$15001)</f>
        <v>0</v>
      </c>
      <c r="G63" s="637">
        <f t="shared" si="0"/>
        <v>0</v>
      </c>
      <c r="H63" s="643"/>
    </row>
    <row r="64" spans="1:8" hidden="1" x14ac:dyDescent="0.2">
      <c r="A64" s="606"/>
      <c r="B64" s="606" t="s">
        <v>4430</v>
      </c>
      <c r="C64" s="538" t="str">
        <f>IFERROR(VLOOKUP(B64,'ПО КОРИСНИЦИМА'!$C$6:$J$15001,5,FALSE),"")</f>
        <v/>
      </c>
      <c r="D64" s="641">
        <f>SUMIF('ПО КОРИСНИЦИМА'!$G$6:$G$15001,"Свега за пројекат 0601-П14:",'ПО КОРИСНИЦИМА'!$H$6:$H$15001)</f>
        <v>0</v>
      </c>
      <c r="E64" s="638">
        <f t="shared" si="4"/>
        <v>0</v>
      </c>
      <c r="F64" s="642">
        <f>SUMIF('ПО КОРИСНИЦИМА'!$G$6:$G$15001,"Свега за пројекат 0601-П14:",'ПО КОРИСНИЦИМА'!$I$6:$I$15001)</f>
        <v>0</v>
      </c>
      <c r="G64" s="637">
        <f t="shared" si="0"/>
        <v>0</v>
      </c>
      <c r="H64" s="643"/>
    </row>
    <row r="65" spans="1:8" hidden="1" x14ac:dyDescent="0.2">
      <c r="A65" s="606"/>
      <c r="B65" s="606" t="s">
        <v>4431</v>
      </c>
      <c r="C65" s="538" t="str">
        <f>IFERROR(VLOOKUP(B65,'ПО КОРИСНИЦИМА'!$C$6:$J$15001,5,FALSE),"")</f>
        <v/>
      </c>
      <c r="D65" s="641">
        <f>SUMIF('ПО КОРИСНИЦИМА'!$G$6:$G$15001,"Свега за пројекат 0601-П15:",'ПО КОРИСНИЦИМА'!$H$6:$H$15001)</f>
        <v>0</v>
      </c>
      <c r="E65" s="638">
        <f t="shared" si="4"/>
        <v>0</v>
      </c>
      <c r="F65" s="642">
        <f>SUMIF('ПО КОРИСНИЦИМА'!$G$6:$G$15001,"Свега за пројекат 0601-П15:",'ПО КОРИСНИЦИМА'!$I$6:$I$15001)</f>
        <v>0</v>
      </c>
      <c r="G65" s="637">
        <f t="shared" si="0"/>
        <v>0</v>
      </c>
      <c r="H65" s="643"/>
    </row>
    <row r="66" spans="1:8" hidden="1" x14ac:dyDescent="0.2">
      <c r="A66" s="606"/>
      <c r="B66" s="606" t="s">
        <v>4432</v>
      </c>
      <c r="C66" s="538" t="str">
        <f>IFERROR(VLOOKUP(B66,'ПО КОРИСНИЦИМА'!$C$6:$J$15001,5,FALSE),"")</f>
        <v/>
      </c>
      <c r="D66" s="641">
        <f>SUMIF('ПО КОРИСНИЦИМА'!$G$6:$G$15001,"Свега за пројекат 0601-П16:",'ПО КОРИСНИЦИМА'!$H$6:$H$15001)</f>
        <v>0</v>
      </c>
      <c r="E66" s="638">
        <f t="shared" si="4"/>
        <v>0</v>
      </c>
      <c r="F66" s="642">
        <f>SUMIF('ПО КОРИСНИЦИМА'!$G$6:$G$15001,"Свега за пројекат 0601-П16:",'ПО КОРИСНИЦИМА'!$I$6:$I$15001)</f>
        <v>0</v>
      </c>
      <c r="G66" s="637">
        <f t="shared" si="0"/>
        <v>0</v>
      </c>
      <c r="H66" s="643"/>
    </row>
    <row r="67" spans="1:8" hidden="1" x14ac:dyDescent="0.2">
      <c r="A67" s="606"/>
      <c r="B67" s="606" t="s">
        <v>4433</v>
      </c>
      <c r="C67" s="538" t="str">
        <f>IFERROR(VLOOKUP(B67,'ПО КОРИСНИЦИМА'!$C$6:$J$15001,5,FALSE),"")</f>
        <v/>
      </c>
      <c r="D67" s="641">
        <f>SUMIF('ПО КОРИСНИЦИМА'!$G$6:$G$15001,"Свега за пројекат 0601-П17:",'ПО КОРИСНИЦИМА'!$H$6:$H$15001)</f>
        <v>0</v>
      </c>
      <c r="E67" s="638">
        <f t="shared" si="4"/>
        <v>0</v>
      </c>
      <c r="F67" s="642">
        <f>SUMIF('ПО КОРИСНИЦИМА'!$G$6:$G$15001,"Свега за пројекат 0601-П17:",'ПО КОРИСНИЦИМА'!$I$6:$I$15001)</f>
        <v>0</v>
      </c>
      <c r="G67" s="637">
        <f t="shared" si="0"/>
        <v>0</v>
      </c>
      <c r="H67" s="643"/>
    </row>
    <row r="68" spans="1:8" hidden="1" x14ac:dyDescent="0.2">
      <c r="A68" s="606"/>
      <c r="B68" s="606" t="s">
        <v>4434</v>
      </c>
      <c r="C68" s="538" t="str">
        <f>IFERROR(VLOOKUP(B68,'ПО КОРИСНИЦИМА'!$C$6:$J$15001,5,FALSE),"")</f>
        <v/>
      </c>
      <c r="D68" s="641">
        <f>SUMIF('ПО КОРИСНИЦИМА'!$G$6:$G$15001,"Свега за пројекат 0601-П18:",'ПО КОРИСНИЦИМА'!$H$6:$H$15001)</f>
        <v>0</v>
      </c>
      <c r="E68" s="638">
        <f t="shared" ref="E68:E99" si="5">IFERROR(D68/$D$615,"-")</f>
        <v>0</v>
      </c>
      <c r="F68" s="642">
        <f>SUMIF('ПО КОРИСНИЦИМА'!$G$6:$G$15001,"Свега за пројекат 0601-П18:",'ПО КОРИСНИЦИМА'!$I$6:$I$15001)</f>
        <v>0</v>
      </c>
      <c r="G68" s="637">
        <f t="shared" si="0"/>
        <v>0</v>
      </c>
      <c r="H68" s="643"/>
    </row>
    <row r="69" spans="1:8" hidden="1" x14ac:dyDescent="0.2">
      <c r="A69" s="606"/>
      <c r="B69" s="606" t="s">
        <v>4435</v>
      </c>
      <c r="C69" s="538" t="str">
        <f>IFERROR(VLOOKUP(B69,'ПО КОРИСНИЦИМА'!$C$6:$J$15001,5,FALSE),"")</f>
        <v/>
      </c>
      <c r="D69" s="641">
        <f>SUMIF('ПО КОРИСНИЦИМА'!$G$6:$G$15001,"Свега за пројекат 0601-П19:",'ПО КОРИСНИЦИМА'!$H$6:$H$15001)</f>
        <v>0</v>
      </c>
      <c r="E69" s="638">
        <f t="shared" si="5"/>
        <v>0</v>
      </c>
      <c r="F69" s="642">
        <f>SUMIF('ПО КОРИСНИЦИМА'!$G$6:$G$15001,"Свега за пројекат 0601-П19:",'ПО КОРИСНИЦИМА'!$I$6:$I$15001)</f>
        <v>0</v>
      </c>
      <c r="G69" s="637">
        <f t="shared" si="0"/>
        <v>0</v>
      </c>
      <c r="H69" s="643"/>
    </row>
    <row r="70" spans="1:8" hidden="1" x14ac:dyDescent="0.2">
      <c r="A70" s="606"/>
      <c r="B70" s="606" t="s">
        <v>4436</v>
      </c>
      <c r="C70" s="538" t="str">
        <f>IFERROR(VLOOKUP(B70,'ПО КОРИСНИЦИМА'!$C$6:$J$15001,5,FALSE),"")</f>
        <v/>
      </c>
      <c r="D70" s="641">
        <f>SUMIF('ПО КОРИСНИЦИМА'!$G$6:$G$15001,"Свега за пројекат 0601-П20:",'ПО КОРИСНИЦИМА'!$H$6:$H$15001)</f>
        <v>0</v>
      </c>
      <c r="E70" s="638">
        <f t="shared" si="5"/>
        <v>0</v>
      </c>
      <c r="F70" s="642">
        <f>SUMIF('ПО КОРИСНИЦИМА'!$G$6:$G$15001,"Свега за пројекат 0601-П20:",'ПО КОРИСНИЦИМА'!$I$6:$I$15001)</f>
        <v>0</v>
      </c>
      <c r="G70" s="637">
        <f t="shared" si="0"/>
        <v>0</v>
      </c>
      <c r="H70" s="643"/>
    </row>
    <row r="71" spans="1:8" hidden="1" x14ac:dyDescent="0.2">
      <c r="A71" s="606"/>
      <c r="B71" s="606" t="s">
        <v>4437</v>
      </c>
      <c r="C71" s="538" t="str">
        <f>IFERROR(VLOOKUP(B71,'ПО КОРИСНИЦИМА'!$C$6:$J$15001,5,FALSE),"")</f>
        <v/>
      </c>
      <c r="D71" s="641">
        <f>SUMIF('ПО КОРИСНИЦИМА'!$G$6:$G$15001,"Свега за пројекат 0601-П21:",'ПО КОРИСНИЦИМА'!$H$6:$H$15001)</f>
        <v>0</v>
      </c>
      <c r="E71" s="638">
        <f t="shared" si="5"/>
        <v>0</v>
      </c>
      <c r="F71" s="642">
        <f>SUMIF('ПО КОРИСНИЦИМА'!$G$6:$G$15001,"Свега за пројекат 0601-П21:",'ПО КОРИСНИЦИМА'!$I$6:$I$15001)</f>
        <v>0</v>
      </c>
      <c r="G71" s="637">
        <f t="shared" si="0"/>
        <v>0</v>
      </c>
      <c r="H71" s="643"/>
    </row>
    <row r="72" spans="1:8" hidden="1" x14ac:dyDescent="0.2">
      <c r="A72" s="606"/>
      <c r="B72" s="606" t="s">
        <v>4438</v>
      </c>
      <c r="C72" s="538" t="str">
        <f>IFERROR(VLOOKUP(B72,'ПО КОРИСНИЦИМА'!$C$6:$J$15001,5,FALSE),"")</f>
        <v/>
      </c>
      <c r="D72" s="641">
        <f>SUMIF('ПО КОРИСНИЦИМА'!$G$6:$G$15001,"Свега за пројекат 0601-П22:",'ПО КОРИСНИЦИМА'!$H$6:$H$15001)</f>
        <v>0</v>
      </c>
      <c r="E72" s="638">
        <f t="shared" si="5"/>
        <v>0</v>
      </c>
      <c r="F72" s="642">
        <f>SUMIF('ПО КОРИСНИЦИМА'!$G$6:$G$15001,"Свега за пројекат 0601-П22:",'ПО КОРИСНИЦИМА'!$I$6:$I$15001)</f>
        <v>0</v>
      </c>
      <c r="G72" s="637">
        <f t="shared" si="0"/>
        <v>0</v>
      </c>
      <c r="H72" s="643"/>
    </row>
    <row r="73" spans="1:8" hidden="1" x14ac:dyDescent="0.2">
      <c r="A73" s="606"/>
      <c r="B73" s="606" t="s">
        <v>4439</v>
      </c>
      <c r="C73" s="538" t="str">
        <f>IFERROR(VLOOKUP(B73,'ПО КОРИСНИЦИМА'!$C$6:$J$15001,5,FALSE),"")</f>
        <v/>
      </c>
      <c r="D73" s="641">
        <f>SUMIF('ПО КОРИСНИЦИМА'!$G$6:$G$15001,"Свега за пројекат 0601-П23:",'ПО КОРИСНИЦИМА'!$H$6:$H$15001)</f>
        <v>0</v>
      </c>
      <c r="E73" s="638">
        <f t="shared" si="5"/>
        <v>0</v>
      </c>
      <c r="F73" s="642">
        <f>SUMIF('ПО КОРИСНИЦИМА'!$G$6:$G$15001,"Свега за пројекат 0601-П23:",'ПО КОРИСНИЦИМА'!$I$6:$I$15001)</f>
        <v>0</v>
      </c>
      <c r="G73" s="637">
        <f t="shared" si="0"/>
        <v>0</v>
      </c>
      <c r="H73" s="643"/>
    </row>
    <row r="74" spans="1:8" hidden="1" x14ac:dyDescent="0.2">
      <c r="A74" s="606"/>
      <c r="B74" s="606" t="s">
        <v>4440</v>
      </c>
      <c r="C74" s="538" t="str">
        <f>IFERROR(VLOOKUP(B74,'ПО КОРИСНИЦИМА'!$C$6:$J$15001,5,FALSE),"")</f>
        <v/>
      </c>
      <c r="D74" s="641">
        <f>SUMIF('ПО КОРИСНИЦИМА'!$G$6:$G$15001,"Свега за пројекат 0601-П24:",'ПО КОРИСНИЦИМА'!$H$6:$H$15001)</f>
        <v>0</v>
      </c>
      <c r="E74" s="638">
        <f t="shared" si="5"/>
        <v>0</v>
      </c>
      <c r="F74" s="642">
        <f>SUMIF('ПО КОРИСНИЦИМА'!$G$6:$G$15001,"Свега за пројекат 0601-П24:",'ПО КОРИСНИЦИМА'!$I$6:$I$15001)</f>
        <v>0</v>
      </c>
      <c r="G74" s="637">
        <f t="shared" si="0"/>
        <v>0</v>
      </c>
      <c r="H74" s="643"/>
    </row>
    <row r="75" spans="1:8" hidden="1" x14ac:dyDescent="0.2">
      <c r="A75" s="606"/>
      <c r="B75" s="606" t="s">
        <v>4441</v>
      </c>
      <c r="C75" s="538" t="str">
        <f>IFERROR(VLOOKUP(B75,'ПО КОРИСНИЦИМА'!$C$6:$J$15001,5,FALSE),"")</f>
        <v/>
      </c>
      <c r="D75" s="641">
        <f>SUMIF('ПО КОРИСНИЦИМА'!$G$6:$G$15001,"Свега за пројекат 0601-П25:",'ПО КОРИСНИЦИМА'!$H$6:$H$15001)</f>
        <v>0</v>
      </c>
      <c r="E75" s="638">
        <f t="shared" si="5"/>
        <v>0</v>
      </c>
      <c r="F75" s="642">
        <f>SUMIF('ПО КОРИСНИЦИМА'!$G$6:$G$15001,"Свега за пројекат 0601-П25:",'ПО КОРИСНИЦИМА'!$I$6:$I$15001)</f>
        <v>0</v>
      </c>
      <c r="G75" s="637">
        <f t="shared" si="0"/>
        <v>0</v>
      </c>
      <c r="H75" s="643"/>
    </row>
    <row r="76" spans="1:8" hidden="1" x14ac:dyDescent="0.2">
      <c r="A76" s="606"/>
      <c r="B76" s="606" t="s">
        <v>4442</v>
      </c>
      <c r="C76" s="538" t="str">
        <f>IFERROR(VLOOKUP(B76,'ПО КОРИСНИЦИМА'!$C$6:$J$15001,5,FALSE),"")</f>
        <v/>
      </c>
      <c r="D76" s="641">
        <f>SUMIF('ПО КОРИСНИЦИМА'!$G$6:$G$15001,"Свега за пројекат 0601-П26:",'ПО КОРИСНИЦИМА'!$H$6:$H$15001)</f>
        <v>0</v>
      </c>
      <c r="E76" s="638">
        <f t="shared" si="5"/>
        <v>0</v>
      </c>
      <c r="F76" s="642">
        <f>SUMIF('ПО КОРИСНИЦИМА'!$G$6:$G$15001,"Свега за пројекат 0601-П26:",'ПО КОРИСНИЦИМА'!$I$6:$I$15001)</f>
        <v>0</v>
      </c>
      <c r="G76" s="637">
        <f t="shared" si="0"/>
        <v>0</v>
      </c>
      <c r="H76" s="643"/>
    </row>
    <row r="77" spans="1:8" hidden="1" x14ac:dyDescent="0.2">
      <c r="A77" s="606"/>
      <c r="B77" s="606" t="s">
        <v>4443</v>
      </c>
      <c r="C77" s="538" t="str">
        <f>IFERROR(VLOOKUP(B77,'ПО КОРИСНИЦИМА'!$C$6:$J$15001,5,FALSE),"")</f>
        <v/>
      </c>
      <c r="D77" s="641">
        <f>SUMIF('ПО КОРИСНИЦИМА'!$G$6:$G$15001,"Свега за пројекат 0601-П27:",'ПО КОРИСНИЦИМА'!$H$6:$H$15001)</f>
        <v>0</v>
      </c>
      <c r="E77" s="638">
        <f t="shared" si="5"/>
        <v>0</v>
      </c>
      <c r="F77" s="642">
        <f>SUMIF('ПО КОРИСНИЦИМА'!$G$6:$G$15001,"Свега за пројекат 0601-П27:",'ПО КОРИСНИЦИМА'!$I$6:$I$15001)</f>
        <v>0</v>
      </c>
      <c r="G77" s="637">
        <f t="shared" si="0"/>
        <v>0</v>
      </c>
      <c r="H77" s="643"/>
    </row>
    <row r="78" spans="1:8" hidden="1" x14ac:dyDescent="0.2">
      <c r="A78" s="606"/>
      <c r="B78" s="606" t="s">
        <v>4444</v>
      </c>
      <c r="C78" s="538" t="str">
        <f>IFERROR(VLOOKUP(B78,'ПО КОРИСНИЦИМА'!$C$6:$J$15001,5,FALSE),"")</f>
        <v/>
      </c>
      <c r="D78" s="641">
        <f>SUMIF('ПО КОРИСНИЦИМА'!$G$6:$G$15001,"Свега за пројекат 0601-П28:",'ПО КОРИСНИЦИМА'!$H$6:$H$15001)</f>
        <v>0</v>
      </c>
      <c r="E78" s="638">
        <f t="shared" si="5"/>
        <v>0</v>
      </c>
      <c r="F78" s="642">
        <f>SUMIF('ПО КОРИСНИЦИМА'!$G$6:$G$15001,"Свега за пројекат 0601-П28:",'ПО КОРИСНИЦИМА'!$I$6:$I$15001)</f>
        <v>0</v>
      </c>
      <c r="G78" s="637">
        <f t="shared" si="0"/>
        <v>0</v>
      </c>
      <c r="H78" s="643"/>
    </row>
    <row r="79" spans="1:8" hidden="1" x14ac:dyDescent="0.2">
      <c r="A79" s="606"/>
      <c r="B79" s="606" t="s">
        <v>4445</v>
      </c>
      <c r="C79" s="538" t="str">
        <f>IFERROR(VLOOKUP(B79,'ПО КОРИСНИЦИМА'!$C$6:$J$15001,5,FALSE),"")</f>
        <v/>
      </c>
      <c r="D79" s="641">
        <f>SUMIF('ПО КОРИСНИЦИМА'!$G$6:$G$15001,"Свега за пројекат 0601-П29:",'ПО КОРИСНИЦИМА'!$H$6:$H$15001)</f>
        <v>0</v>
      </c>
      <c r="E79" s="638">
        <f t="shared" si="5"/>
        <v>0</v>
      </c>
      <c r="F79" s="642">
        <f>SUMIF('ПО КОРИСНИЦИМА'!$G$6:$G$15001,"Свега за пројекат 0601-П29:",'ПО КОРИСНИЦИМА'!$I$6:$I$15001)</f>
        <v>0</v>
      </c>
      <c r="G79" s="637">
        <f t="shared" si="0"/>
        <v>0</v>
      </c>
      <c r="H79" s="643"/>
    </row>
    <row r="80" spans="1:8" hidden="1" x14ac:dyDescent="0.2">
      <c r="A80" s="606"/>
      <c r="B80" s="606" t="s">
        <v>4446</v>
      </c>
      <c r="C80" s="538" t="str">
        <f>IFERROR(VLOOKUP(B80,'ПО КОРИСНИЦИМА'!$C$6:$J$15001,5,FALSE),"")</f>
        <v/>
      </c>
      <c r="D80" s="641">
        <f>SUMIF('ПО КОРИСНИЦИМА'!$G$6:$G$15001,"Свега за пројекат 0601-П30:",'ПО КОРИСНИЦИМА'!$H$6:$H$15001)</f>
        <v>0</v>
      </c>
      <c r="E80" s="638">
        <f t="shared" si="5"/>
        <v>0</v>
      </c>
      <c r="F80" s="642">
        <f>SUMIF('ПО КОРИСНИЦИМА'!$G$6:$G$15001,"Свега за пројекат 0601-П30:",'ПО КОРИСНИЦИМА'!$I$6:$I$15001)</f>
        <v>0</v>
      </c>
      <c r="G80" s="637">
        <f t="shared" si="0"/>
        <v>0</v>
      </c>
      <c r="H80" s="643"/>
    </row>
    <row r="81" spans="1:8" hidden="1" x14ac:dyDescent="0.2">
      <c r="A81" s="606"/>
      <c r="B81" s="606" t="s">
        <v>4447</v>
      </c>
      <c r="C81" s="538" t="str">
        <f>IFERROR(VLOOKUP(B81,'ПО КОРИСНИЦИМА'!$C$6:$J$15001,5,FALSE),"")</f>
        <v/>
      </c>
      <c r="D81" s="641">
        <f>SUMIF('ПО КОРИСНИЦИМА'!$G$6:$G$15001,"Свега за пројекат 0601-П31:",'ПО КОРИСНИЦИМА'!$H$6:$H$15001)</f>
        <v>0</v>
      </c>
      <c r="E81" s="638">
        <f t="shared" si="5"/>
        <v>0</v>
      </c>
      <c r="F81" s="642">
        <f>SUMIF('ПО КОРИСНИЦИМА'!$G$6:$G$15001,"Свега за пројекат 0601-П31:",'ПО КОРИСНИЦИМА'!$I$6:$I$15001)</f>
        <v>0</v>
      </c>
      <c r="G81" s="637">
        <f t="shared" si="0"/>
        <v>0</v>
      </c>
      <c r="H81" s="643"/>
    </row>
    <row r="82" spans="1:8" hidden="1" x14ac:dyDescent="0.2">
      <c r="A82" s="606"/>
      <c r="B82" s="606" t="s">
        <v>4448</v>
      </c>
      <c r="C82" s="538" t="str">
        <f>IFERROR(VLOOKUP(B82,'ПО КОРИСНИЦИМА'!$C$6:$J$15001,5,FALSE),"")</f>
        <v/>
      </c>
      <c r="D82" s="641">
        <f>SUMIF('ПО КОРИСНИЦИМА'!$G$6:$G$15001,"Свега за пројекат 0601-П32:",'ПО КОРИСНИЦИМА'!$H$6:$H$15001)</f>
        <v>0</v>
      </c>
      <c r="E82" s="638">
        <f t="shared" si="5"/>
        <v>0</v>
      </c>
      <c r="F82" s="642">
        <f>SUMIF('ПО КОРИСНИЦИМА'!$G$6:$G$15001,"Свега за пројекат 0601-П32:",'ПО КОРИСНИЦИМА'!$I$6:$I$15001)</f>
        <v>0</v>
      </c>
      <c r="G82" s="637">
        <f t="shared" si="0"/>
        <v>0</v>
      </c>
      <c r="H82" s="643"/>
    </row>
    <row r="83" spans="1:8" hidden="1" x14ac:dyDescent="0.2">
      <c r="A83" s="606"/>
      <c r="B83" s="606" t="s">
        <v>4449</v>
      </c>
      <c r="C83" s="538" t="str">
        <f>IFERROR(VLOOKUP(B83,'ПО КОРИСНИЦИМА'!$C$6:$J$15001,5,FALSE),"")</f>
        <v/>
      </c>
      <c r="D83" s="641">
        <f>SUMIF('ПО КОРИСНИЦИМА'!$G$6:$G$15001,"Свега за пројекат 0601-П33:",'ПО КОРИСНИЦИМА'!$H$6:$H$15001)</f>
        <v>0</v>
      </c>
      <c r="E83" s="638">
        <f t="shared" si="5"/>
        <v>0</v>
      </c>
      <c r="F83" s="642">
        <f>SUMIF('ПО КОРИСНИЦИМА'!$G$6:$G$15001,"Свега за пројекат 0601-П33:",'ПО КОРИСНИЦИМА'!$I$6:$I$15001)</f>
        <v>0</v>
      </c>
      <c r="G83" s="637">
        <f t="shared" si="0"/>
        <v>0</v>
      </c>
      <c r="H83" s="643"/>
    </row>
    <row r="84" spans="1:8" hidden="1" x14ac:dyDescent="0.2">
      <c r="A84" s="606"/>
      <c r="B84" s="606" t="s">
        <v>4450</v>
      </c>
      <c r="C84" s="538" t="str">
        <f>IFERROR(VLOOKUP(B84,'ПО КОРИСНИЦИМА'!$C$6:$J$15001,5,FALSE),"")</f>
        <v/>
      </c>
      <c r="D84" s="641">
        <f>SUMIF('ПО КОРИСНИЦИМА'!$G$6:$G$15001,"Свега за пројекат 0601-П34:",'ПО КОРИСНИЦИМА'!$H$6:$H$15001)</f>
        <v>0</v>
      </c>
      <c r="E84" s="638">
        <f t="shared" si="5"/>
        <v>0</v>
      </c>
      <c r="F84" s="642">
        <f>SUMIF('ПО КОРИСНИЦИМА'!$G$6:$G$15001,"Свега за пројекат 0601-П34:",'ПО КОРИСНИЦИМА'!$I$6:$I$15001)</f>
        <v>0</v>
      </c>
      <c r="G84" s="637">
        <f t="shared" si="0"/>
        <v>0</v>
      </c>
      <c r="H84" s="643"/>
    </row>
    <row r="85" spans="1:8" hidden="1" x14ac:dyDescent="0.2">
      <c r="A85" s="606"/>
      <c r="B85" s="606" t="s">
        <v>4451</v>
      </c>
      <c r="C85" s="538" t="str">
        <f>IFERROR(VLOOKUP(B85,'ПО КОРИСНИЦИМА'!$C$6:$J$15001,5,FALSE),"")</f>
        <v/>
      </c>
      <c r="D85" s="641">
        <f>SUMIF('ПО КОРИСНИЦИМА'!$G$6:$G$15001,"Свега за пројекат 0601-П35:",'ПО КОРИСНИЦИМА'!$H$6:$H$15001)</f>
        <v>0</v>
      </c>
      <c r="E85" s="638">
        <f t="shared" si="5"/>
        <v>0</v>
      </c>
      <c r="F85" s="642">
        <f>SUMIF('ПО КОРИСНИЦИМА'!$G$6:$G$15001,"Свега за пројекат 0601-П35:",'ПО КОРИСНИЦИМА'!$I$6:$I$15001)</f>
        <v>0</v>
      </c>
      <c r="G85" s="637">
        <f t="shared" si="0"/>
        <v>0</v>
      </c>
      <c r="H85" s="643"/>
    </row>
    <row r="86" spans="1:8" hidden="1" x14ac:dyDescent="0.2">
      <c r="A86" s="606"/>
      <c r="B86" s="606" t="s">
        <v>4452</v>
      </c>
      <c r="C86" s="538" t="str">
        <f>IFERROR(VLOOKUP(B86,'ПО КОРИСНИЦИМА'!$C$6:$J$15001,5,FALSE),"")</f>
        <v/>
      </c>
      <c r="D86" s="641">
        <f>SUMIF('ПО КОРИСНИЦИМА'!$G$6:$G$15001,"Свега за пројекат 0601-П36:",'ПО КОРИСНИЦИМА'!$H$6:$H$15001)</f>
        <v>0</v>
      </c>
      <c r="E86" s="638">
        <f t="shared" si="5"/>
        <v>0</v>
      </c>
      <c r="F86" s="642">
        <f>SUMIF('ПО КОРИСНИЦИМА'!$G$6:$G$15001,"Свега за пројекат 0601-П36:",'ПО КОРИСНИЦИМА'!$I$6:$I$15001)</f>
        <v>0</v>
      </c>
      <c r="G86" s="637">
        <f t="shared" si="0"/>
        <v>0</v>
      </c>
      <c r="H86" s="643"/>
    </row>
    <row r="87" spans="1:8" hidden="1" x14ac:dyDescent="0.2">
      <c r="A87" s="606"/>
      <c r="B87" s="606" t="s">
        <v>4453</v>
      </c>
      <c r="C87" s="538" t="str">
        <f>IFERROR(VLOOKUP(B87,'ПО КОРИСНИЦИМА'!$C$6:$J$15001,5,FALSE),"")</f>
        <v/>
      </c>
      <c r="D87" s="641">
        <f>SUMIF('ПО КОРИСНИЦИМА'!$G$6:$G$15001,"Свега за пројекат 0601-П37:",'ПО КОРИСНИЦИМА'!$H$6:$H$15001)</f>
        <v>0</v>
      </c>
      <c r="E87" s="638">
        <f t="shared" si="5"/>
        <v>0</v>
      </c>
      <c r="F87" s="642">
        <f>SUMIF('ПО КОРИСНИЦИМА'!$G$6:$G$15001,"Свега за пројекат 0601-П37:",'ПО КОРИСНИЦИМА'!$I$6:$I$15001)</f>
        <v>0</v>
      </c>
      <c r="G87" s="637">
        <f t="shared" si="0"/>
        <v>0</v>
      </c>
      <c r="H87" s="640"/>
    </row>
    <row r="88" spans="1:8" hidden="1" x14ac:dyDescent="0.2">
      <c r="A88" s="608"/>
      <c r="B88" s="606" t="s">
        <v>4454</v>
      </c>
      <c r="C88" s="538" t="str">
        <f>IFERROR(VLOOKUP(B88,'ПО КОРИСНИЦИМА'!$C$6:$J$15001,5,FALSE),"")</f>
        <v/>
      </c>
      <c r="D88" s="641">
        <f>SUMIF('ПО КОРИСНИЦИМА'!$G$6:$G$15001,"Свега за пројекат 0601-П38:",'ПО КОРИСНИЦИМА'!$H$6:$H$15001)</f>
        <v>0</v>
      </c>
      <c r="E88" s="638">
        <f t="shared" si="5"/>
        <v>0</v>
      </c>
      <c r="F88" s="642">
        <f>SUMIF('ПО КОРИСНИЦИМА'!$G$6:$G$15001,"Свега за пројекат 0601-П38:",'ПО КОРИСНИЦИМА'!$I$6:$I$15001)</f>
        <v>0</v>
      </c>
      <c r="G88" s="637">
        <f t="shared" si="0"/>
        <v>0</v>
      </c>
      <c r="H88" s="649"/>
    </row>
    <row r="89" spans="1:8" hidden="1" x14ac:dyDescent="0.2">
      <c r="A89" s="606"/>
      <c r="B89" s="606" t="s">
        <v>4455</v>
      </c>
      <c r="C89" s="538" t="str">
        <f>IFERROR(VLOOKUP(B89,'ПО КОРИСНИЦИМА'!$C$6:$J$15001,5,FALSE),"")</f>
        <v/>
      </c>
      <c r="D89" s="641">
        <f>SUMIF('ПО КОРИСНИЦИМА'!$G$6:$G$15001,"Свега за пројекат 0601-П39:",'ПО КОРИСНИЦИМА'!$H$6:$H$15001)</f>
        <v>0</v>
      </c>
      <c r="E89" s="638">
        <f t="shared" si="5"/>
        <v>0</v>
      </c>
      <c r="F89" s="642">
        <f>SUMIF('ПО КОРИСНИЦИМА'!$G$6:$G$15001,"Свега за пројекат 0601-П39:",'ПО КОРИСНИЦИМА'!$I$6:$I$15001)</f>
        <v>0</v>
      </c>
      <c r="G89" s="637">
        <f t="shared" si="0"/>
        <v>0</v>
      </c>
      <c r="H89" s="643"/>
    </row>
    <row r="90" spans="1:8" hidden="1" x14ac:dyDescent="0.2">
      <c r="A90" s="606"/>
      <c r="B90" s="606" t="s">
        <v>4456</v>
      </c>
      <c r="C90" s="538" t="str">
        <f>IFERROR(VLOOKUP(B90,'ПО КОРИСНИЦИМА'!$C$6:$J$15001,5,FALSE),"")</f>
        <v/>
      </c>
      <c r="D90" s="641">
        <f>SUMIF('ПО КОРИСНИЦИМА'!$G$6:$G$15001,"Свега за пројекат 0601-П40:",'ПО КОРИСНИЦИМА'!$H$6:$H$15001)</f>
        <v>0</v>
      </c>
      <c r="E90" s="638">
        <f t="shared" si="5"/>
        <v>0</v>
      </c>
      <c r="F90" s="642">
        <f>SUMIF('ПО КОРИСНИЦИМА'!$G$6:$G$15001,"Свега за пројекат 0601-П40:",'ПО КОРИСНИЦИМА'!$I$6:$I$15001)</f>
        <v>0</v>
      </c>
      <c r="G90" s="637">
        <f t="shared" si="0"/>
        <v>0</v>
      </c>
      <c r="H90" s="643"/>
    </row>
    <row r="91" spans="1:8" hidden="1" x14ac:dyDescent="0.2">
      <c r="A91" s="606"/>
      <c r="B91" s="606" t="s">
        <v>4457</v>
      </c>
      <c r="C91" s="538" t="str">
        <f>IFERROR(VLOOKUP(B91,'ПО КОРИСНИЦИМА'!$C$6:$J$15001,5,FALSE),"")</f>
        <v/>
      </c>
      <c r="D91" s="641">
        <f>SUMIF('ПО КОРИСНИЦИМА'!$G$6:$G$15001,"Свега за пројекат 0601-П41:",'ПО КОРИСНИЦИМА'!$H$6:$H$15001)</f>
        <v>0</v>
      </c>
      <c r="E91" s="638">
        <f t="shared" si="5"/>
        <v>0</v>
      </c>
      <c r="F91" s="642">
        <f>SUMIF('ПО КОРИСНИЦИМА'!$G$6:$G$15001,"Свега за пројекат 0601-П41:",'ПО КОРИСНИЦИМА'!$I$6:$I$15001)</f>
        <v>0</v>
      </c>
      <c r="G91" s="637">
        <f t="shared" si="0"/>
        <v>0</v>
      </c>
      <c r="H91" s="643"/>
    </row>
    <row r="92" spans="1:8" hidden="1" x14ac:dyDescent="0.2">
      <c r="A92" s="606"/>
      <c r="B92" s="606" t="s">
        <v>4458</v>
      </c>
      <c r="C92" s="538" t="str">
        <f>IFERROR(VLOOKUP(B92,'ПО КОРИСНИЦИМА'!$C$6:$J$15001,5,FALSE),"")</f>
        <v/>
      </c>
      <c r="D92" s="641">
        <f>SUMIF('ПО КОРИСНИЦИМА'!$G$6:$G$15001,"Свега за пројекат 0601-П42:",'ПО КОРИСНИЦИМА'!$H$6:$H$15001)</f>
        <v>0</v>
      </c>
      <c r="E92" s="638">
        <f t="shared" si="5"/>
        <v>0</v>
      </c>
      <c r="F92" s="642">
        <f>SUMIF('ПО КОРИСНИЦИМА'!$G$6:$G$15001,"Свега за пројекат 0601-П42:",'ПО КОРИСНИЦИМА'!$I$6:$I$15001)</f>
        <v>0</v>
      </c>
      <c r="G92" s="637">
        <f t="shared" si="0"/>
        <v>0</v>
      </c>
      <c r="H92" s="643"/>
    </row>
    <row r="93" spans="1:8" hidden="1" x14ac:dyDescent="0.2">
      <c r="A93" s="606"/>
      <c r="B93" s="606" t="s">
        <v>4459</v>
      </c>
      <c r="C93" s="538" t="str">
        <f>IFERROR(VLOOKUP(B93,'ПО КОРИСНИЦИМА'!$C$6:$J$15001,5,FALSE),"")</f>
        <v/>
      </c>
      <c r="D93" s="641">
        <f>SUMIF('ПО КОРИСНИЦИМА'!$G$6:$G$15001,"Свега за пројекат 0601-П43:",'ПО КОРИСНИЦИМА'!$H$6:$H$15001)</f>
        <v>0</v>
      </c>
      <c r="E93" s="638">
        <f t="shared" si="5"/>
        <v>0</v>
      </c>
      <c r="F93" s="642">
        <f>SUMIF('ПО КОРИСНИЦИМА'!$G$6:$G$15001,"Свега за пројекат 0601-П43:",'ПО КОРИСНИЦИМА'!$I$6:$I$15001)</f>
        <v>0</v>
      </c>
      <c r="G93" s="637">
        <f t="shared" si="0"/>
        <v>0</v>
      </c>
      <c r="H93" s="643"/>
    </row>
    <row r="94" spans="1:8" hidden="1" x14ac:dyDescent="0.2">
      <c r="A94" s="606"/>
      <c r="B94" s="606" t="s">
        <v>4460</v>
      </c>
      <c r="C94" s="538" t="str">
        <f>IFERROR(VLOOKUP(B94,'ПО КОРИСНИЦИМА'!$C$6:$J$15001,5,FALSE),"")</f>
        <v/>
      </c>
      <c r="D94" s="641">
        <f>SUMIF('ПО КОРИСНИЦИМА'!$G$6:$G$15001,"Свега за пројекат 0601-П44:",'ПО КОРИСНИЦИМА'!$H$6:$H$15001)</f>
        <v>0</v>
      </c>
      <c r="E94" s="638">
        <f t="shared" si="5"/>
        <v>0</v>
      </c>
      <c r="F94" s="642">
        <f>SUMIF('ПО КОРИСНИЦИМА'!$G$6:$G$15001,"Свега за пројекат 0601-П44:",'ПО КОРИСНИЦИМА'!$I$6:$I$15001)</f>
        <v>0</v>
      </c>
      <c r="G94" s="637">
        <f t="shared" si="0"/>
        <v>0</v>
      </c>
      <c r="H94" s="643"/>
    </row>
    <row r="95" spans="1:8" hidden="1" x14ac:dyDescent="0.2">
      <c r="A95" s="606"/>
      <c r="B95" s="606" t="s">
        <v>4461</v>
      </c>
      <c r="C95" s="538" t="str">
        <f>IFERROR(VLOOKUP(B95,'ПО КОРИСНИЦИМА'!$C$6:$J$15001,5,FALSE),"")</f>
        <v/>
      </c>
      <c r="D95" s="641">
        <f>SUMIF('ПО КОРИСНИЦИМА'!$G$6:$G$15001,"Свега за пројекат 0601-П45:",'ПО КОРИСНИЦИМА'!$H$6:$H$15001)</f>
        <v>0</v>
      </c>
      <c r="E95" s="638">
        <f t="shared" si="5"/>
        <v>0</v>
      </c>
      <c r="F95" s="642">
        <f>SUMIF('ПО КОРИСНИЦИМА'!$G$6:$G$15001,"Свега за пројекат 0601-П45:",'ПО КОРИСНИЦИМА'!$I$6:$I$15001)</f>
        <v>0</v>
      </c>
      <c r="G95" s="637">
        <f t="shared" si="0"/>
        <v>0</v>
      </c>
      <c r="H95" s="643"/>
    </row>
    <row r="96" spans="1:8" hidden="1" x14ac:dyDescent="0.2">
      <c r="A96" s="606"/>
      <c r="B96" s="606" t="s">
        <v>4462</v>
      </c>
      <c r="C96" s="538" t="str">
        <f>IFERROR(VLOOKUP(B96,'ПО КОРИСНИЦИМА'!$C$6:$J$15001,5,FALSE),"")</f>
        <v/>
      </c>
      <c r="D96" s="641">
        <f>SUMIF('ПО КОРИСНИЦИМА'!$G$6:$G$15001,"Свега за пројекат 0601-П46:",'ПО КОРИСНИЦИМА'!$H$6:$H$15001)</f>
        <v>0</v>
      </c>
      <c r="E96" s="638">
        <f t="shared" si="5"/>
        <v>0</v>
      </c>
      <c r="F96" s="642">
        <f>SUMIF('ПО КОРИСНИЦИМА'!$G$6:$G$15001,"Свега за пројекат 0601-П46:",'ПО КОРИСНИЦИМА'!$I$6:$I$15001)</f>
        <v>0</v>
      </c>
      <c r="G96" s="637">
        <f t="shared" si="0"/>
        <v>0</v>
      </c>
      <c r="H96" s="643"/>
    </row>
    <row r="97" spans="1:8" hidden="1" x14ac:dyDescent="0.2">
      <c r="A97" s="606"/>
      <c r="B97" s="606" t="s">
        <v>4463</v>
      </c>
      <c r="C97" s="538" t="str">
        <f>IFERROR(VLOOKUP(B97,'ПО КОРИСНИЦИМА'!$C$6:$J$15001,5,FALSE),"")</f>
        <v/>
      </c>
      <c r="D97" s="641">
        <f>SUMIF('ПО КОРИСНИЦИМА'!$G$6:$G$15001,"Свега за пројекат 0601-П47:",'ПО КОРИСНИЦИМА'!$H$6:$H$15001)</f>
        <v>0</v>
      </c>
      <c r="E97" s="638">
        <f t="shared" si="5"/>
        <v>0</v>
      </c>
      <c r="F97" s="642">
        <f>SUMIF('ПО КОРИСНИЦИМА'!$G$6:$G$15001,"Свега за пројекат 0601-П47:",'ПО КОРИСНИЦИМА'!$I$6:$I$15001)</f>
        <v>0</v>
      </c>
      <c r="G97" s="637">
        <f t="shared" si="0"/>
        <v>0</v>
      </c>
      <c r="H97" s="643"/>
    </row>
    <row r="98" spans="1:8" hidden="1" x14ac:dyDescent="0.2">
      <c r="A98" s="606"/>
      <c r="B98" s="606" t="s">
        <v>4464</v>
      </c>
      <c r="C98" s="538" t="str">
        <f>IFERROR(VLOOKUP(B98,'ПО КОРИСНИЦИМА'!$C$6:$J$15001,5,FALSE),"")</f>
        <v/>
      </c>
      <c r="D98" s="641">
        <f>SUMIF('ПО КОРИСНИЦИМА'!$G$6:$G$15001,"Свега за пројекат 0601-П48:",'ПО КОРИСНИЦИМА'!$H$6:$H$15001)</f>
        <v>0</v>
      </c>
      <c r="E98" s="638">
        <f t="shared" si="5"/>
        <v>0</v>
      </c>
      <c r="F98" s="642">
        <f>SUMIF('ПО КОРИСНИЦИМА'!$G$6:$G$15001,"Свега за пројекат 0601-П48:",'ПО КОРИСНИЦИМА'!$I$6:$I$15001)</f>
        <v>0</v>
      </c>
      <c r="G98" s="637">
        <f t="shared" si="0"/>
        <v>0</v>
      </c>
      <c r="H98" s="643"/>
    </row>
    <row r="99" spans="1:8" hidden="1" x14ac:dyDescent="0.2">
      <c r="A99" s="606"/>
      <c r="B99" s="606" t="s">
        <v>4465</v>
      </c>
      <c r="C99" s="538" t="str">
        <f>IFERROR(VLOOKUP(B99,'ПО КОРИСНИЦИМА'!$C$6:$J$15001,5,FALSE),"")</f>
        <v/>
      </c>
      <c r="D99" s="641">
        <f>SUMIF('ПО КОРИСНИЦИМА'!$G$6:$G$15001,"Свега за пројекат 0601-П49:",'ПО КОРИСНИЦИМА'!$H$6:$H$15001)</f>
        <v>0</v>
      </c>
      <c r="E99" s="638">
        <f t="shared" si="5"/>
        <v>0</v>
      </c>
      <c r="F99" s="642">
        <f>SUMIF('ПО КОРИСНИЦИМА'!$G$6:$G$15001,"Свега за пројекат 0601-П49:",'ПО КОРИСНИЦИМА'!$I$6:$I$15001)</f>
        <v>0</v>
      </c>
      <c r="G99" s="637">
        <f t="shared" si="0"/>
        <v>0</v>
      </c>
      <c r="H99" s="643"/>
    </row>
    <row r="100" spans="1:8" hidden="1" x14ac:dyDescent="0.2">
      <c r="A100" s="620"/>
      <c r="B100" s="620" t="s">
        <v>4466</v>
      </c>
      <c r="C100" s="621" t="str">
        <f>IFERROR(VLOOKUP(B100,'ПО КОРИСНИЦИМА'!$C$6:$J$15001,5,FALSE),"")</f>
        <v/>
      </c>
      <c r="D100" s="644">
        <f>SUMIF('ПО КОРИСНИЦИМА'!$G$6:$G$15001,"Свега за пројекат 0601-П50:",'ПО КОРИСНИЦИМА'!$H$6:$H$15001)</f>
        <v>0</v>
      </c>
      <c r="E100" s="645">
        <f t="shared" ref="E100:E107" si="6">IFERROR(D100/$D$615,"-")</f>
        <v>0</v>
      </c>
      <c r="F100" s="646">
        <f>SUMIF('ПО КОРИСНИЦИМА'!$G$6:$G$15001,"Свега за пројекат 0601-П50:",'ПО КОРИСНИЦИМА'!$I$6:$I$15001)</f>
        <v>0</v>
      </c>
      <c r="G100" s="647">
        <f t="shared" si="0"/>
        <v>0</v>
      </c>
      <c r="H100" s="648"/>
    </row>
    <row r="101" spans="1:8" hidden="1" x14ac:dyDescent="0.2">
      <c r="A101" s="602" t="s">
        <v>3563</v>
      </c>
      <c r="B101" s="603"/>
      <c r="C101" s="536" t="s">
        <v>3665</v>
      </c>
      <c r="D101" s="629">
        <f>SUM(D102:D130)</f>
        <v>0</v>
      </c>
      <c r="E101" s="630">
        <f t="shared" si="6"/>
        <v>0</v>
      </c>
      <c r="F101" s="631">
        <f>SUM(F102:F130)</f>
        <v>0</v>
      </c>
      <c r="G101" s="629">
        <f t="shared" si="0"/>
        <v>0</v>
      </c>
      <c r="H101" s="632"/>
    </row>
    <row r="102" spans="1:8" hidden="1" x14ac:dyDescent="0.2">
      <c r="A102" s="604"/>
      <c r="B102" s="604" t="s">
        <v>4049</v>
      </c>
      <c r="C102" s="539" t="s">
        <v>4050</v>
      </c>
      <c r="D102" s="633">
        <f>SUMIF('ПО КОРИСНИЦИМА'!$G$6:$G$15001,"Свега за програмску активност 1501-0001:",'ПО КОРИСНИЦИМА'!$H$6:$H$15001)</f>
        <v>0</v>
      </c>
      <c r="E102" s="634">
        <f t="shared" si="6"/>
        <v>0</v>
      </c>
      <c r="F102" s="635">
        <f>SUMIF('ПО КОРИСНИЦИМА'!$G$6:$G$15001,"Свега за програмску активност 1501-0001:",'ПО КОРИСНИЦИМА'!$I$6:$I$15001)</f>
        <v>0</v>
      </c>
      <c r="G102" s="633">
        <f t="shared" si="0"/>
        <v>0</v>
      </c>
      <c r="H102" s="636"/>
    </row>
    <row r="103" spans="1:8" hidden="1" x14ac:dyDescent="0.2">
      <c r="A103" s="606"/>
      <c r="B103" s="606" t="s">
        <v>4051</v>
      </c>
      <c r="C103" s="540" t="s">
        <v>4052</v>
      </c>
      <c r="D103" s="637">
        <f>SUMIF('ПО КОРИСНИЦИМА'!$G$6:$G$15001,"Свега за програмску активност 1501-0002:",'ПО КОРИСНИЦИМА'!$H$6:$H$15001)</f>
        <v>0</v>
      </c>
      <c r="E103" s="638">
        <f t="shared" si="6"/>
        <v>0</v>
      </c>
      <c r="F103" s="639">
        <f>SUMIF('ПО КОРИСНИЦИМА'!$G$6:$G$15001,"Свега за програмску активност 1501-0002:",'ПО КОРИСНИЦИМА'!$I$6:$I$15001)</f>
        <v>0</v>
      </c>
      <c r="G103" s="637">
        <f t="shared" si="0"/>
        <v>0</v>
      </c>
      <c r="H103" s="640"/>
    </row>
    <row r="104" spans="1:8" hidden="1" x14ac:dyDescent="0.2">
      <c r="A104" s="606"/>
      <c r="B104" s="606" t="s">
        <v>4053</v>
      </c>
      <c r="C104" s="540" t="s">
        <v>4054</v>
      </c>
      <c r="D104" s="637">
        <f>SUMIF('ПО КОРИСНИЦИМА'!$G$6:$G$15001,"Свега за програмску активност 1501-0003:",'ПО КОРИСНИЦИМА'!$H$6:$H$15001)</f>
        <v>0</v>
      </c>
      <c r="E104" s="638">
        <f t="shared" si="6"/>
        <v>0</v>
      </c>
      <c r="F104" s="639">
        <f>SUMIF('ПО КОРИСНИЦИМА'!$G$6:$G$15001,"Свега за програмску активност 1501-0003:",'ПО КОРИСНИЦИМА'!$I$6:$I$15001)</f>
        <v>0</v>
      </c>
      <c r="G104" s="637">
        <f t="shared" si="0"/>
        <v>0</v>
      </c>
      <c r="H104" s="640"/>
    </row>
    <row r="105" spans="1:8" hidden="1" x14ac:dyDescent="0.2">
      <c r="A105" s="606"/>
      <c r="B105" s="606" t="s">
        <v>4055</v>
      </c>
      <c r="C105" s="540" t="s">
        <v>4056</v>
      </c>
      <c r="D105" s="637">
        <f>SUMIF('ПО КОРИСНИЦИМА'!$G$6:$G$15001,"Свега за програмску активност 1501-0004:",'ПО КОРИСНИЦИМА'!$H$6:$H$15001)</f>
        <v>0</v>
      </c>
      <c r="E105" s="638">
        <f t="shared" si="6"/>
        <v>0</v>
      </c>
      <c r="F105" s="639">
        <f>SUMIF('ПО КОРИСНИЦИМА'!$G$6:$G$15001,"Свега за програмску активност 1501-0004:",'ПО КОРИСНИЦИМА'!$I$6:$I$15001)</f>
        <v>0</v>
      </c>
      <c r="G105" s="637">
        <f t="shared" si="0"/>
        <v>0</v>
      </c>
      <c r="H105" s="640"/>
    </row>
    <row r="106" spans="1:8" hidden="1" x14ac:dyDescent="0.2">
      <c r="A106" s="606"/>
      <c r="B106" s="606" t="s">
        <v>4057</v>
      </c>
      <c r="C106" s="540" t="s">
        <v>4058</v>
      </c>
      <c r="D106" s="637">
        <f>SUMIF('ПО КОРИСНИЦИМА'!$G$6:$G$15001,"Свега за програмску активност 1501-0005:",'ПО КОРИСНИЦИМА'!$H$6:$H$15001)</f>
        <v>0</v>
      </c>
      <c r="E106" s="638">
        <f t="shared" si="6"/>
        <v>0</v>
      </c>
      <c r="F106" s="639">
        <f>SUMIF('ПО КОРИСНИЦИМА'!$G$6:$G$15001,"Свега за програмску активност 1501-0005:",'ПО КОРИСНИЦИМА'!$I$6:$I$15001)</f>
        <v>0</v>
      </c>
      <c r="G106" s="637">
        <f t="shared" si="0"/>
        <v>0</v>
      </c>
      <c r="H106" s="640"/>
    </row>
    <row r="107" spans="1:8" hidden="1" x14ac:dyDescent="0.2">
      <c r="A107" s="606"/>
      <c r="B107" s="606" t="s">
        <v>4467</v>
      </c>
      <c r="C107" s="538" t="str">
        <f>IFERROR(VLOOKUP(B107,'ПО КОРИСНИЦИМА'!$C$6:$J$15001,5,FALSE),"")</f>
        <v/>
      </c>
      <c r="D107" s="641">
        <f>SUMIF('ПО КОРИСНИЦИМА'!$G$6:$G$15001,"Свега за пројекат 1501-П1:",'ПО КОРИСНИЦИМА'!$H$6:$H$15001)</f>
        <v>0</v>
      </c>
      <c r="E107" s="638">
        <f t="shared" si="6"/>
        <v>0</v>
      </c>
      <c r="F107" s="642">
        <f>SUMIF('ПО КОРИСНИЦИМА'!$G$6:$G$15001,"Свега за пројекат 1501-П1:",'ПО КОРИСНИЦИМА'!$I$6:$I$15001)</f>
        <v>0</v>
      </c>
      <c r="G107" s="637">
        <f t="shared" ref="G107:G130" si="7">D107+F107</f>
        <v>0</v>
      </c>
      <c r="H107" s="640"/>
    </row>
    <row r="108" spans="1:8" hidden="1" x14ac:dyDescent="0.2">
      <c r="A108" s="606"/>
      <c r="B108" s="606" t="s">
        <v>4468</v>
      </c>
      <c r="C108" s="538" t="str">
        <f>IFERROR(VLOOKUP(B108,'ПО КОРИСНИЦИМА'!$C$6:$J$15001,5,FALSE),"")</f>
        <v/>
      </c>
      <c r="D108" s="641">
        <f>SUMIF('ПО КОРИСНИЦИМА'!$G$6:$G$15001,"Свега за пројекат 1501-П2:",'ПО КОРИСНИЦИМА'!$H$6:$H$15001)</f>
        <v>0</v>
      </c>
      <c r="E108" s="638">
        <f t="shared" ref="E108:E130" si="8">IFERROR(D108/$D$615,"-")</f>
        <v>0</v>
      </c>
      <c r="F108" s="642">
        <f>SUMIF('ПО КОРИСНИЦИМА'!$G$6:$G$15001,"Свега за пројекат 1501-П2:",'ПО КОРИСНИЦИМА'!$I$6:$I$15001)</f>
        <v>0</v>
      </c>
      <c r="G108" s="637">
        <f t="shared" si="7"/>
        <v>0</v>
      </c>
      <c r="H108" s="643"/>
    </row>
    <row r="109" spans="1:8" hidden="1" x14ac:dyDescent="0.2">
      <c r="A109" s="606"/>
      <c r="B109" s="606" t="s">
        <v>4469</v>
      </c>
      <c r="C109" s="538" t="str">
        <f>IFERROR(VLOOKUP(B109,'ПО КОРИСНИЦИМА'!$C$6:$J$15001,5,FALSE),"")</f>
        <v/>
      </c>
      <c r="D109" s="641">
        <f>SUMIF('ПО КОРИСНИЦИМА'!$G$6:$G$15001,"Свега за пројекат 1501-П3:",'ПО КОРИСНИЦИМА'!$H$6:$H$15001)</f>
        <v>0</v>
      </c>
      <c r="E109" s="638">
        <f t="shared" si="8"/>
        <v>0</v>
      </c>
      <c r="F109" s="642">
        <f>SUMIF('ПО КОРИСНИЦИМА'!$G$6:$G$15001,"Свега за пројекат 1501-П3:",'ПО КОРИСНИЦИМА'!$I$6:$I$15001)</f>
        <v>0</v>
      </c>
      <c r="G109" s="637">
        <f t="shared" si="7"/>
        <v>0</v>
      </c>
      <c r="H109" s="643"/>
    </row>
    <row r="110" spans="1:8" hidden="1" x14ac:dyDescent="0.2">
      <c r="A110" s="606"/>
      <c r="B110" s="606" t="s">
        <v>4470</v>
      </c>
      <c r="C110" s="540"/>
      <c r="D110" s="641">
        <f>SUMIF('ПО КОРИСНИЦИМА'!$G$6:$G$15001,"Свега за пројекат 1501-П4:",'ПО КОРИСНИЦИМА'!$H$6:$H$15001)</f>
        <v>0</v>
      </c>
      <c r="E110" s="638">
        <f t="shared" si="8"/>
        <v>0</v>
      </c>
      <c r="F110" s="642">
        <f>SUMIF('ПО КОРИСНИЦИМА'!$G$6:$G$15001,"Свега за пројекат 1501-П4:",'ПО КОРИСНИЦИМА'!$I$6:$I$15001)</f>
        <v>0</v>
      </c>
      <c r="G110" s="637">
        <f t="shared" si="7"/>
        <v>0</v>
      </c>
      <c r="H110" s="643"/>
    </row>
    <row r="111" spans="1:8" hidden="1" x14ac:dyDescent="0.2">
      <c r="A111" s="606"/>
      <c r="B111" s="606" t="s">
        <v>4471</v>
      </c>
      <c r="C111" s="540"/>
      <c r="D111" s="641">
        <f>SUMIF('ПО КОРИСНИЦИМА'!$G$6:$G$15001,"Свега за пројекат 1501-П5:",'ПО КОРИСНИЦИМА'!$H$6:$H$15001)</f>
        <v>0</v>
      </c>
      <c r="E111" s="638">
        <f t="shared" si="8"/>
        <v>0</v>
      </c>
      <c r="F111" s="642">
        <f>SUMIF('ПО КОРИСНИЦИМА'!$G$6:$G$15001,"Свега за пројекат 1501-П5:",'ПО КОРИСНИЦИМА'!$I$6:$I$15001)</f>
        <v>0</v>
      </c>
      <c r="G111" s="637">
        <f t="shared" si="7"/>
        <v>0</v>
      </c>
      <c r="H111" s="643"/>
    </row>
    <row r="112" spans="1:8" hidden="1" x14ac:dyDescent="0.2">
      <c r="A112" s="606"/>
      <c r="B112" s="606" t="s">
        <v>4472</v>
      </c>
      <c r="C112" s="540"/>
      <c r="D112" s="641">
        <f>SUMIF('ПО КОРИСНИЦИМА'!$G$6:$G$15001,"Свега за пројекат 1501-П6:",'ПО КОРИСНИЦИМА'!$H$6:$H$15001)</f>
        <v>0</v>
      </c>
      <c r="E112" s="638">
        <f t="shared" si="8"/>
        <v>0</v>
      </c>
      <c r="F112" s="642">
        <f>SUMIF('ПО КОРИСНИЦИМА'!$G$6:$G$15001,"Свега за пројекат 1501-П6:",'ПО КОРИСНИЦИМА'!$I$6:$I$15001)</f>
        <v>0</v>
      </c>
      <c r="G112" s="637">
        <f t="shared" si="7"/>
        <v>0</v>
      </c>
      <c r="H112" s="643"/>
    </row>
    <row r="113" spans="1:8" hidden="1" x14ac:dyDescent="0.2">
      <c r="A113" s="606"/>
      <c r="B113" s="606" t="s">
        <v>4473</v>
      </c>
      <c r="C113" s="540"/>
      <c r="D113" s="641">
        <f>SUMIF('ПО КОРИСНИЦИМА'!$G$6:$G$15001,"Свега за пројекат 1501-П7:",'ПО КОРИСНИЦИМА'!$H$6:$H$15001)</f>
        <v>0</v>
      </c>
      <c r="E113" s="638">
        <f t="shared" si="8"/>
        <v>0</v>
      </c>
      <c r="F113" s="642">
        <f>SUMIF('ПО КОРИСНИЦИМА'!$G$6:$G$15001,"Свега за пројекат 1501-П7:",'ПО КОРИСНИЦИМА'!$I$6:$I$15001)</f>
        <v>0</v>
      </c>
      <c r="G113" s="637">
        <f t="shared" si="7"/>
        <v>0</v>
      </c>
      <c r="H113" s="643"/>
    </row>
    <row r="114" spans="1:8" hidden="1" x14ac:dyDescent="0.2">
      <c r="A114" s="606"/>
      <c r="B114" s="606" t="s">
        <v>4474</v>
      </c>
      <c r="C114" s="540"/>
      <c r="D114" s="641">
        <f>SUMIF('ПО КОРИСНИЦИМА'!$G$6:$G$15001,"Свега за пројекат 1501-П8:",'ПО КОРИСНИЦИМА'!$H$6:$H$15001)</f>
        <v>0</v>
      </c>
      <c r="E114" s="638">
        <f t="shared" si="8"/>
        <v>0</v>
      </c>
      <c r="F114" s="642">
        <f>SUMIF('ПО КОРИСНИЦИМА'!$G$6:$G$15001,"Свега за пројекат 1501-П8:",'ПО КОРИСНИЦИМА'!$I$6:$I$15001)</f>
        <v>0</v>
      </c>
      <c r="G114" s="637">
        <f t="shared" si="7"/>
        <v>0</v>
      </c>
      <c r="H114" s="643"/>
    </row>
    <row r="115" spans="1:8" hidden="1" x14ac:dyDescent="0.2">
      <c r="A115" s="606"/>
      <c r="B115" s="606" t="s">
        <v>4475</v>
      </c>
      <c r="C115" s="540"/>
      <c r="D115" s="641">
        <f>SUMIF('ПО КОРИСНИЦИМА'!$G$6:$G$15001,"Свега за пројекат 1501-П9:",'ПО КОРИСНИЦИМА'!$H$6:$H$15001)</f>
        <v>0</v>
      </c>
      <c r="E115" s="638">
        <f t="shared" si="8"/>
        <v>0</v>
      </c>
      <c r="F115" s="642">
        <f>SUMIF('ПО КОРИСНИЦИМА'!$G$6:$G$15001,"Свега за пројекат 1501-П9:",'ПО КОРИСНИЦИМА'!$I$6:$I$15001)</f>
        <v>0</v>
      </c>
      <c r="G115" s="637">
        <f t="shared" si="7"/>
        <v>0</v>
      </c>
      <c r="H115" s="643"/>
    </row>
    <row r="116" spans="1:8" hidden="1" x14ac:dyDescent="0.2">
      <c r="A116" s="606"/>
      <c r="B116" s="606" t="s">
        <v>4476</v>
      </c>
      <c r="C116" s="540"/>
      <c r="D116" s="641">
        <f>SUMIF('ПО КОРИСНИЦИМА'!$G$6:$G$15001,"Свега за пројекат 1501-П10:",'ПО КОРИСНИЦИМА'!$H$6:$H$15001)</f>
        <v>0</v>
      </c>
      <c r="E116" s="638">
        <f t="shared" si="8"/>
        <v>0</v>
      </c>
      <c r="F116" s="642">
        <f>SUMIF('ПО КОРИСНИЦИМА'!$G$6:$G$15001,"Свега за пројекат 1501-П10:",'ПО КОРИСНИЦИМА'!$I$6:$I$15001)</f>
        <v>0</v>
      </c>
      <c r="G116" s="637">
        <f t="shared" si="7"/>
        <v>0</v>
      </c>
      <c r="H116" s="643"/>
    </row>
    <row r="117" spans="1:8" hidden="1" x14ac:dyDescent="0.2">
      <c r="A117" s="606"/>
      <c r="B117" s="606" t="s">
        <v>4477</v>
      </c>
      <c r="C117" s="540"/>
      <c r="D117" s="641">
        <f>SUMIF('ПО КОРИСНИЦИМА'!$G$6:$G$15001,"Свега за пројекат 1501-П11:",'ПО КОРИСНИЦИМА'!$H$6:$H$15001)</f>
        <v>0</v>
      </c>
      <c r="E117" s="638">
        <f t="shared" si="8"/>
        <v>0</v>
      </c>
      <c r="F117" s="642">
        <f>SUMIF('ПО КОРИСНИЦИМА'!$G$6:$G$15001,"Свега за пројекат 1501-П11:",'ПО КОРИСНИЦИМА'!$I$6:$I$15001)</f>
        <v>0</v>
      </c>
      <c r="G117" s="637">
        <f t="shared" si="7"/>
        <v>0</v>
      </c>
      <c r="H117" s="643"/>
    </row>
    <row r="118" spans="1:8" hidden="1" x14ac:dyDescent="0.2">
      <c r="A118" s="606"/>
      <c r="B118" s="606" t="s">
        <v>4478</v>
      </c>
      <c r="C118" s="540"/>
      <c r="D118" s="641">
        <f>SUMIF('ПО КОРИСНИЦИМА'!$G$6:$G$15001,"Свега за пројекат 1501-П12:",'ПО КОРИСНИЦИМА'!$H$6:$H$15001)</f>
        <v>0</v>
      </c>
      <c r="E118" s="638">
        <f t="shared" si="8"/>
        <v>0</v>
      </c>
      <c r="F118" s="642">
        <f>SUMIF('ПО КОРИСНИЦИМА'!$G$6:$G$15001,"Свега за пројекат 1501-П12:",'ПО КОРИСНИЦИМА'!$I$6:$I$15001)</f>
        <v>0</v>
      </c>
      <c r="G118" s="637">
        <f t="shared" si="7"/>
        <v>0</v>
      </c>
      <c r="H118" s="643"/>
    </row>
    <row r="119" spans="1:8" hidden="1" x14ac:dyDescent="0.2">
      <c r="A119" s="606"/>
      <c r="B119" s="606" t="s">
        <v>4479</v>
      </c>
      <c r="C119" s="540"/>
      <c r="D119" s="641">
        <f>SUMIF('ПО КОРИСНИЦИМА'!$G$6:$G$15001,"Свега за пројекат 1501-П13:",'ПО КОРИСНИЦИМА'!$H$6:$H$15001)</f>
        <v>0</v>
      </c>
      <c r="E119" s="638">
        <f t="shared" si="8"/>
        <v>0</v>
      </c>
      <c r="F119" s="642">
        <f>SUMIF('ПО КОРИСНИЦИМА'!$G$6:$G$15001,"Свега за пројекат 1501-П13:",'ПО КОРИСНИЦИМА'!$I$6:$I$15001)</f>
        <v>0</v>
      </c>
      <c r="G119" s="637">
        <f t="shared" si="7"/>
        <v>0</v>
      </c>
      <c r="H119" s="643"/>
    </row>
    <row r="120" spans="1:8" hidden="1" x14ac:dyDescent="0.2">
      <c r="A120" s="606"/>
      <c r="B120" s="606" t="s">
        <v>4480</v>
      </c>
      <c r="C120" s="540"/>
      <c r="D120" s="641">
        <f>SUMIF('ПО КОРИСНИЦИМА'!$G$6:$G$15001,"Свега за пројекат 1501-П14:",'ПО КОРИСНИЦИМА'!$H$6:$H$15001)</f>
        <v>0</v>
      </c>
      <c r="E120" s="638">
        <f t="shared" si="8"/>
        <v>0</v>
      </c>
      <c r="F120" s="642">
        <f>SUMIF('ПО КОРИСНИЦИМА'!$G$6:$G$15001,"Свега за пројекат 1501-П14:",'ПО КОРИСНИЦИМА'!$I$6:$I$15001)</f>
        <v>0</v>
      </c>
      <c r="G120" s="637">
        <f t="shared" si="7"/>
        <v>0</v>
      </c>
      <c r="H120" s="643"/>
    </row>
    <row r="121" spans="1:8" hidden="1" x14ac:dyDescent="0.2">
      <c r="A121" s="606"/>
      <c r="B121" s="606" t="s">
        <v>4481</v>
      </c>
      <c r="C121" s="540"/>
      <c r="D121" s="641">
        <f>SUMIF('ПО КОРИСНИЦИМА'!$G$6:$G$15001,"Свега за пројекат 1501-П15:",'ПО КОРИСНИЦИМА'!$H$6:$H$15001)</f>
        <v>0</v>
      </c>
      <c r="E121" s="638">
        <f t="shared" si="8"/>
        <v>0</v>
      </c>
      <c r="F121" s="642">
        <f>SUMIF('ПО КОРИСНИЦИМА'!$G$6:$G$15001,"Свега за пројекат 1501-П15:",'ПО КОРИСНИЦИМА'!$I$6:$I$15001)</f>
        <v>0</v>
      </c>
      <c r="G121" s="637">
        <f t="shared" si="7"/>
        <v>0</v>
      </c>
      <c r="H121" s="643"/>
    </row>
    <row r="122" spans="1:8" hidden="1" x14ac:dyDescent="0.2">
      <c r="A122" s="606"/>
      <c r="B122" s="606" t="s">
        <v>4482</v>
      </c>
      <c r="C122" s="540"/>
      <c r="D122" s="641">
        <f>SUMIF('ПО КОРИСНИЦИМА'!$G$6:$G$15001,"Свега за пројекат 1501-П16:",'ПО КОРИСНИЦИМА'!$H$6:$H$15001)</f>
        <v>0</v>
      </c>
      <c r="E122" s="638">
        <f t="shared" si="8"/>
        <v>0</v>
      </c>
      <c r="F122" s="642">
        <f>SUMIF('ПО КОРИСНИЦИМА'!$G$6:$G$15001,"Свега за пројекат 1501-П16:",'ПО КОРИСНИЦИМА'!$I$6:$I$15001)</f>
        <v>0</v>
      </c>
      <c r="G122" s="637">
        <f t="shared" si="7"/>
        <v>0</v>
      </c>
      <c r="H122" s="643"/>
    </row>
    <row r="123" spans="1:8" hidden="1" x14ac:dyDescent="0.2">
      <c r="A123" s="606"/>
      <c r="B123" s="606" t="s">
        <v>4483</v>
      </c>
      <c r="C123" s="540"/>
      <c r="D123" s="641">
        <f>SUMIF('ПО КОРИСНИЦИМА'!$G$6:$G$15001,"Свега за пројекат 1501-П17:",'ПО КОРИСНИЦИМА'!$H$6:$H$15001)</f>
        <v>0</v>
      </c>
      <c r="E123" s="638">
        <f t="shared" si="8"/>
        <v>0</v>
      </c>
      <c r="F123" s="642">
        <f>SUMIF('ПО КОРИСНИЦИМА'!$G$6:$G$15001,"Свега за пројекат 1501-П17:",'ПО КОРИСНИЦИМА'!$I$6:$I$15001)</f>
        <v>0</v>
      </c>
      <c r="G123" s="637">
        <f t="shared" si="7"/>
        <v>0</v>
      </c>
      <c r="H123" s="643"/>
    </row>
    <row r="124" spans="1:8" hidden="1" x14ac:dyDescent="0.2">
      <c r="A124" s="606"/>
      <c r="B124" s="606" t="s">
        <v>4484</v>
      </c>
      <c r="C124" s="540"/>
      <c r="D124" s="641">
        <f>SUMIF('ПО КОРИСНИЦИМА'!$G$6:$G$15001,"Свега за пројекат 1501-П18:",'ПО КОРИСНИЦИМА'!$H$6:$H$15001)</f>
        <v>0</v>
      </c>
      <c r="E124" s="638">
        <f t="shared" si="8"/>
        <v>0</v>
      </c>
      <c r="F124" s="642">
        <f>SUMIF('ПО КОРИСНИЦИМА'!$G$6:$G$15001,"Свега за пројекат 1501-П18:",'ПО КОРИСНИЦИМА'!$I$6:$I$15001)</f>
        <v>0</v>
      </c>
      <c r="G124" s="637">
        <f t="shared" si="7"/>
        <v>0</v>
      </c>
      <c r="H124" s="643"/>
    </row>
    <row r="125" spans="1:8" hidden="1" x14ac:dyDescent="0.2">
      <c r="A125" s="606"/>
      <c r="B125" s="606" t="s">
        <v>4485</v>
      </c>
      <c r="C125" s="540"/>
      <c r="D125" s="641">
        <f>SUMIF('ПО КОРИСНИЦИМА'!$G$6:$G$15001,"Свега за пројекат 1501-П19:",'ПО КОРИСНИЦИМА'!$H$6:$H$15001)</f>
        <v>0</v>
      </c>
      <c r="E125" s="638">
        <f t="shared" si="8"/>
        <v>0</v>
      </c>
      <c r="F125" s="642">
        <f>SUMIF('ПО КОРИСНИЦИМА'!$G$6:$G$15001,"Свега за пројекат 1501-П19:",'ПО КОРИСНИЦИМА'!$I$6:$I$15001)</f>
        <v>0</v>
      </c>
      <c r="G125" s="637">
        <f t="shared" si="7"/>
        <v>0</v>
      </c>
      <c r="H125" s="640"/>
    </row>
    <row r="126" spans="1:8" hidden="1" x14ac:dyDescent="0.2">
      <c r="A126" s="606"/>
      <c r="B126" s="606" t="s">
        <v>4486</v>
      </c>
      <c r="C126" s="540"/>
      <c r="D126" s="641">
        <f>SUMIF('ПО КОРИСНИЦИМА'!$G$6:$G$15001,"Свега за пројекат 1501-П20:",'ПО КОРИСНИЦИМА'!$H$6:$H$15001)</f>
        <v>0</v>
      </c>
      <c r="E126" s="638">
        <f t="shared" si="8"/>
        <v>0</v>
      </c>
      <c r="F126" s="642">
        <f>SUMIF('ПО КОРИСНИЦИМА'!$G$6:$G$15001,"Свега за пројекат 1501-П20:",'ПО КОРИСНИЦИМА'!$I$6:$I$15001)</f>
        <v>0</v>
      </c>
      <c r="G126" s="637">
        <f t="shared" si="7"/>
        <v>0</v>
      </c>
      <c r="H126" s="640"/>
    </row>
    <row r="127" spans="1:8" hidden="1" x14ac:dyDescent="0.2">
      <c r="A127" s="606"/>
      <c r="B127" s="606" t="s">
        <v>4487</v>
      </c>
      <c r="C127" s="540"/>
      <c r="D127" s="641">
        <f>SUMIF('ПО КОРИСНИЦИМА'!$G$6:$G$15001,"Свега за пројекат 1501-П21:",'ПО КОРИСНИЦИМА'!$H$6:$H$15001)</f>
        <v>0</v>
      </c>
      <c r="E127" s="638">
        <f t="shared" si="8"/>
        <v>0</v>
      </c>
      <c r="F127" s="642">
        <f>SUMIF('ПО КОРИСНИЦИМА'!$G$6:$G$15001,"Свега за пројекат 1501-П21:",'ПО КОРИСНИЦИМА'!$I$6:$I$15001)</f>
        <v>0</v>
      </c>
      <c r="G127" s="637">
        <f t="shared" si="7"/>
        <v>0</v>
      </c>
      <c r="H127" s="640"/>
    </row>
    <row r="128" spans="1:8" hidden="1" x14ac:dyDescent="0.2">
      <c r="A128" s="606"/>
      <c r="B128" s="606" t="s">
        <v>4488</v>
      </c>
      <c r="C128" s="540"/>
      <c r="D128" s="641">
        <f>SUMIF('ПО КОРИСНИЦИМА'!$G$6:$G$15001,"Свега за пројекат 1501-П22:",'ПО КОРИСНИЦИМА'!$H$6:$H$15001)</f>
        <v>0</v>
      </c>
      <c r="E128" s="638">
        <f t="shared" si="8"/>
        <v>0</v>
      </c>
      <c r="F128" s="642">
        <f>SUMIF('ПО КОРИСНИЦИМА'!$G$6:$G$15001,"Свега за пројекат 1501-П22:",'ПО КОРИСНИЦИМА'!$I$6:$I$15001)</f>
        <v>0</v>
      </c>
      <c r="G128" s="637">
        <f t="shared" si="7"/>
        <v>0</v>
      </c>
      <c r="H128" s="640"/>
    </row>
    <row r="129" spans="1:8" hidden="1" x14ac:dyDescent="0.2">
      <c r="A129" s="606"/>
      <c r="B129" s="606" t="s">
        <v>4489</v>
      </c>
      <c r="C129" s="540"/>
      <c r="D129" s="641">
        <f>SUMIF('ПО КОРИСНИЦИМА'!$G$6:$G$15001,"Свега за пројекат 1501-П23:",'ПО КОРИСНИЦИМА'!$H$6:$H$15001)</f>
        <v>0</v>
      </c>
      <c r="E129" s="638">
        <f t="shared" si="8"/>
        <v>0</v>
      </c>
      <c r="F129" s="642">
        <f>SUMIF('ПО КОРИСНИЦИМА'!$G$6:$G$15001,"Свега за пројекат 1501-П23:",'ПО КОРИСНИЦИМА'!$I$6:$I$15001)</f>
        <v>0</v>
      </c>
      <c r="G129" s="637">
        <f t="shared" si="7"/>
        <v>0</v>
      </c>
      <c r="H129" s="640"/>
    </row>
    <row r="130" spans="1:8" hidden="1" x14ac:dyDescent="0.2">
      <c r="A130" s="608"/>
      <c r="B130" s="606" t="s">
        <v>4490</v>
      </c>
      <c r="C130" s="541"/>
      <c r="D130" s="641">
        <f>SUMIF('ПО КОРИСНИЦИМА'!$G$6:$G$15001,"Свега за пројекат 1501-П24:",'ПО КОРИСНИЦИМА'!$H$6:$H$15001)</f>
        <v>0</v>
      </c>
      <c r="E130" s="638">
        <f t="shared" si="8"/>
        <v>0</v>
      </c>
      <c r="F130" s="642">
        <f>SUMIF('ПО КОРИСНИЦИМА'!$G$6:$G$15001,"Свега за пројекат 1501-П24:",'ПО КОРИСНИЦИМА'!$I$6:$I$15001)</f>
        <v>0</v>
      </c>
      <c r="G130" s="637">
        <f t="shared" si="7"/>
        <v>0</v>
      </c>
      <c r="H130" s="649"/>
    </row>
    <row r="131" spans="1:8" s="609" customFormat="1" x14ac:dyDescent="0.2">
      <c r="A131" s="602" t="s">
        <v>3566</v>
      </c>
      <c r="B131" s="603"/>
      <c r="C131" s="536" t="s">
        <v>3666</v>
      </c>
      <c r="D131" s="629">
        <f>SUM(D132:D157)</f>
        <v>3463000</v>
      </c>
      <c r="E131" s="630">
        <f>IFERROR(D131/$D$615,"-")</f>
        <v>8.7173535675284901E-3</v>
      </c>
      <c r="F131" s="631">
        <f>SUM(F132:F157)</f>
        <v>350000</v>
      </c>
      <c r="G131" s="629">
        <f t="shared" si="0"/>
        <v>3813000</v>
      </c>
      <c r="H131" s="650"/>
    </row>
    <row r="132" spans="1:8" ht="12" customHeight="1" x14ac:dyDescent="0.2">
      <c r="A132" s="604"/>
      <c r="B132" s="610" t="s">
        <v>4074</v>
      </c>
      <c r="C132" s="542" t="s">
        <v>4059</v>
      </c>
      <c r="D132" s="633">
        <f>SUMIF('ПО КОРИСНИЦИМА'!$G$6:$G$15001,"Свега за програмску активност 1502-0001:",'ПО КОРИСНИЦИМА'!$H$6:$H$15001)</f>
        <v>2888000</v>
      </c>
      <c r="E132" s="634">
        <f>IFERROR(D132/$D$615,"-")</f>
        <v>7.2699154210286686E-3</v>
      </c>
      <c r="F132" s="635">
        <f>SUMIF('ПО КОРИСНИЦИМА'!$G$6:$G$15001,"Свега за програмску активност 1502-0001:",'ПО КОРИСНИЦИМА'!$I$6:$I$15001)</f>
        <v>0</v>
      </c>
      <c r="G132" s="633">
        <f t="shared" si="0"/>
        <v>2888000</v>
      </c>
      <c r="H132" s="636"/>
    </row>
    <row r="133" spans="1:8" x14ac:dyDescent="0.2">
      <c r="A133" s="606"/>
      <c r="B133" s="611" t="s">
        <v>4244</v>
      </c>
      <c r="C133" s="543" t="s">
        <v>5101</v>
      </c>
      <c r="D133" s="637">
        <f>SUMIF('ПО КОРИСНИЦИМА'!$G$6:$G$15001,"Свега за програмску активност 1502-0002:",'ПО КОРИСНИЦИМА'!$H$6:$H$15001)</f>
        <v>0</v>
      </c>
      <c r="E133" s="638">
        <f>IFERROR(D133/$D$615,"-")</f>
        <v>0</v>
      </c>
      <c r="F133" s="639">
        <f>SUMIF('ПО КОРИСНИЦИМА'!$G$6:$G$15001,"Свега за програмску активност 1502-0002:",'ПО КОРИСНИЦИМА'!$I$6:$I$15001)</f>
        <v>0</v>
      </c>
      <c r="G133" s="637">
        <f t="shared" si="0"/>
        <v>0</v>
      </c>
      <c r="H133" s="640"/>
    </row>
    <row r="134" spans="1:8" x14ac:dyDescent="0.2">
      <c r="A134" s="611"/>
      <c r="B134" s="606" t="s">
        <v>4491</v>
      </c>
      <c r="C134" s="538" t="str">
        <f>IFERROR(VLOOKUP(B134,'ПО КОРИСНИЦИМА'!$C$6:$J$15001,5,FALSE),"")</f>
        <v>Стишко посело</v>
      </c>
      <c r="D134" s="641">
        <f>SUMIF('ПО КОРИСНИЦИМА'!$G$6:$G$15001,"Свега за пројекат 1502-П1:",'ПО КОРИСНИЦИМА'!$H$6:$H$15001)</f>
        <v>575000</v>
      </c>
      <c r="E134" s="638">
        <f>IFERROR(D134/$D$615,"-")</f>
        <v>1.4474381464998215E-3</v>
      </c>
      <c r="F134" s="642">
        <f>SUMIF('ПО КОРИСНИЦИМА'!$G$6:$G$15001,"Свега за пројекат 1502-П1:",'ПО КОРИСНИЦИМА'!$I$6:$I$15001)</f>
        <v>350000</v>
      </c>
      <c r="G134" s="637">
        <f t="shared" si="0"/>
        <v>925000</v>
      </c>
      <c r="H134" s="640"/>
    </row>
    <row r="135" spans="1:8" x14ac:dyDescent="0.2">
      <c r="A135" s="611"/>
      <c r="B135" s="606" t="s">
        <v>4492</v>
      </c>
      <c r="C135" s="538" t="str">
        <f>IFERROR(VLOOKUP(B135,'ПО КОРИСНИЦИМА'!$C$6:$J$15001,5,FALSE),"")</f>
        <v/>
      </c>
      <c r="D135" s="641">
        <f>SUMIF('ПО КОРИСНИЦИМА'!$G$6:$G$15001,"Свега за пројекат 1502-П2:",'ПО КОРИСНИЦИМА'!$H$6:$H$15001)</f>
        <v>0</v>
      </c>
      <c r="E135" s="638">
        <f t="shared" ref="E135:E157" si="9">IFERROR(D135/$D$615,"-")</f>
        <v>0</v>
      </c>
      <c r="F135" s="642">
        <f>SUMIF('ПО КОРИСНИЦИМА'!$G$6:$G$15001,"Свега за пројекат 1502-П2:",'ПО КОРИСНИЦИМА'!$I$6:$I$15001)</f>
        <v>0</v>
      </c>
      <c r="G135" s="637">
        <f t="shared" si="0"/>
        <v>0</v>
      </c>
      <c r="H135" s="643"/>
    </row>
    <row r="136" spans="1:8" hidden="1" x14ac:dyDescent="0.2">
      <c r="A136" s="611"/>
      <c r="B136" s="606" t="s">
        <v>4493</v>
      </c>
      <c r="C136" s="538"/>
      <c r="D136" s="641">
        <f>SUMIF('ПО КОРИСНИЦИМА'!$G$6:$G$15001,"Свега за пројекат 1502-П3:",'ПО КОРИСНИЦИМА'!$H$6:$H$15001)</f>
        <v>0</v>
      </c>
      <c r="E136" s="638">
        <f t="shared" si="9"/>
        <v>0</v>
      </c>
      <c r="F136" s="642">
        <f>SUMIF('ПО КОРИСНИЦИМА'!$G$6:$G$15001,"Свега за пројекат 1502-П3:",'ПО КОРИСНИЦИМА'!$I$6:$I$15001)</f>
        <v>0</v>
      </c>
      <c r="G136" s="637">
        <f t="shared" si="0"/>
        <v>0</v>
      </c>
      <c r="H136" s="643"/>
    </row>
    <row r="137" spans="1:8" hidden="1" x14ac:dyDescent="0.2">
      <c r="A137" s="611"/>
      <c r="B137" s="606" t="s">
        <v>4494</v>
      </c>
      <c r="C137" s="538"/>
      <c r="D137" s="641">
        <f>SUMIF('ПО КОРИСНИЦИМА'!$G$6:$G$15001,"Свега за пројекат 1502-П4:",'ПО КОРИСНИЦИМА'!$H$6:$H$15001)</f>
        <v>0</v>
      </c>
      <c r="E137" s="638">
        <f t="shared" si="9"/>
        <v>0</v>
      </c>
      <c r="F137" s="642">
        <f>SUMIF('ПО КОРИСНИЦИМА'!$G$6:$G$15001,"Свега за пројекат 1502-П4:",'ПО КОРИСНИЦИМА'!$I$6:$I$15001)</f>
        <v>0</v>
      </c>
      <c r="G137" s="637">
        <f t="shared" si="0"/>
        <v>0</v>
      </c>
      <c r="H137" s="643"/>
    </row>
    <row r="138" spans="1:8" hidden="1" x14ac:dyDescent="0.2">
      <c r="A138" s="611"/>
      <c r="B138" s="606" t="s">
        <v>4495</v>
      </c>
      <c r="C138" s="538"/>
      <c r="D138" s="641">
        <f>SUMIF('ПО КОРИСНИЦИМА'!$G$6:$G$15001,"Свега за пројекат 1502-П5:",'ПО КОРИСНИЦИМА'!$H$6:$H$15001)</f>
        <v>0</v>
      </c>
      <c r="E138" s="638">
        <f t="shared" si="9"/>
        <v>0</v>
      </c>
      <c r="F138" s="642">
        <f>SUMIF('ПО КОРИСНИЦИМА'!$G$6:$G$15001,"Свега за пројекат 1502-П5:",'ПО КОРИСНИЦИМА'!$I$6:$I$15001)</f>
        <v>0</v>
      </c>
      <c r="G138" s="637">
        <f t="shared" si="0"/>
        <v>0</v>
      </c>
      <c r="H138" s="643"/>
    </row>
    <row r="139" spans="1:8" hidden="1" x14ac:dyDescent="0.2">
      <c r="A139" s="611"/>
      <c r="B139" s="606" t="s">
        <v>4496</v>
      </c>
      <c r="C139" s="538"/>
      <c r="D139" s="641">
        <f>SUMIF('ПО КОРИСНИЦИМА'!$G$6:$G$15001,"Свега за пројекат 1502-П6:",'ПО КОРИСНИЦИМА'!$H$6:$H$15001)</f>
        <v>0</v>
      </c>
      <c r="E139" s="638">
        <f t="shared" si="9"/>
        <v>0</v>
      </c>
      <c r="F139" s="642">
        <f>SUMIF('ПО КОРИСНИЦИМА'!$G$6:$G$15001,"Свега за пројекат 1502-П6:",'ПО КОРИСНИЦИМА'!$I$6:$I$15001)</f>
        <v>0</v>
      </c>
      <c r="G139" s="637">
        <f t="shared" si="0"/>
        <v>0</v>
      </c>
      <c r="H139" s="643"/>
    </row>
    <row r="140" spans="1:8" hidden="1" x14ac:dyDescent="0.2">
      <c r="A140" s="611"/>
      <c r="B140" s="606" t="s">
        <v>4497</v>
      </c>
      <c r="C140" s="538" t="str">
        <f>IFERROR(VLOOKUP(B140,'ПО КОРИСНИЦИМА'!$C$6:$J$15001,5,FALSE),"")</f>
        <v/>
      </c>
      <c r="D140" s="641">
        <f>SUMIF('ПО КОРИСНИЦИМА'!$G$6:$G$15001,"Свега за пројекат 1502-П7:",'ПО КОРИСНИЦИМА'!$H$6:$H$15001)</f>
        <v>0</v>
      </c>
      <c r="E140" s="638">
        <f t="shared" si="9"/>
        <v>0</v>
      </c>
      <c r="F140" s="642">
        <f>SUMIF('ПО КОРИСНИЦИМА'!$G$6:$G$15001,"Свега за пројекат 1502-П7:",'ПО КОРИСНИЦИМА'!$I$6:$I$15001)</f>
        <v>0</v>
      </c>
      <c r="G140" s="637">
        <f t="shared" si="0"/>
        <v>0</v>
      </c>
      <c r="H140" s="643"/>
    </row>
    <row r="141" spans="1:8" hidden="1" x14ac:dyDescent="0.2">
      <c r="A141" s="611"/>
      <c r="B141" s="606" t="s">
        <v>4498</v>
      </c>
      <c r="C141" s="538" t="str">
        <f>IFERROR(VLOOKUP(B141,'ПО КОРИСНИЦИМА'!$C$6:$J$15001,5,FALSE),"")</f>
        <v/>
      </c>
      <c r="D141" s="641">
        <f>SUMIF('ПО КОРИСНИЦИМА'!$G$6:$G$15001,"Свега за пројекат 1502-П8:",'ПО КОРИСНИЦИМА'!$H$6:$H$15001)</f>
        <v>0</v>
      </c>
      <c r="E141" s="638">
        <f t="shared" si="9"/>
        <v>0</v>
      </c>
      <c r="F141" s="642">
        <f>SUMIF('ПО КОРИСНИЦИМА'!$G$6:$G$15001,"Свега за пројекат 1502-П8:",'ПО КОРИСНИЦИМА'!$I$6:$I$15001)</f>
        <v>0</v>
      </c>
      <c r="G141" s="637">
        <f t="shared" si="0"/>
        <v>0</v>
      </c>
      <c r="H141" s="643"/>
    </row>
    <row r="142" spans="1:8" hidden="1" x14ac:dyDescent="0.2">
      <c r="A142" s="611"/>
      <c r="B142" s="606" t="s">
        <v>4499</v>
      </c>
      <c r="C142" s="538" t="str">
        <f>IFERROR(VLOOKUP(B142,'ПО КОРИСНИЦИМА'!$C$6:$J$15001,5,FALSE),"")</f>
        <v/>
      </c>
      <c r="D142" s="641">
        <f>SUMIF('ПО КОРИСНИЦИМА'!$G$6:$G$15001,"Свега за пројекат 1502-П9:",'ПО КОРИСНИЦИМА'!$H$6:$H$15001)</f>
        <v>0</v>
      </c>
      <c r="E142" s="638">
        <f t="shared" si="9"/>
        <v>0</v>
      </c>
      <c r="F142" s="642">
        <f>SUMIF('ПО КОРИСНИЦИМА'!$G$6:$G$15001,"Свега за пројекат 1502-П9:",'ПО КОРИСНИЦИМА'!$I$6:$I$15001)</f>
        <v>0</v>
      </c>
      <c r="G142" s="637">
        <f t="shared" si="0"/>
        <v>0</v>
      </c>
      <c r="H142" s="643"/>
    </row>
    <row r="143" spans="1:8" hidden="1" x14ac:dyDescent="0.2">
      <c r="A143" s="611"/>
      <c r="B143" s="606" t="s">
        <v>4500</v>
      </c>
      <c r="C143" s="538" t="str">
        <f>IFERROR(VLOOKUP(B143,'ПО КОРИСНИЦИМА'!$C$6:$J$15001,5,FALSE),"")</f>
        <v/>
      </c>
      <c r="D143" s="641">
        <f>SUMIF('ПО КОРИСНИЦИМА'!$G$6:$G$15001,"Свега за пројекат 1502-П10:",'ПО КОРИСНИЦИМА'!$H$6:$H$15001)</f>
        <v>0</v>
      </c>
      <c r="E143" s="638">
        <f t="shared" si="9"/>
        <v>0</v>
      </c>
      <c r="F143" s="642">
        <f>SUMIF('ПО КОРИСНИЦИМА'!$G$6:$G$15001,"Свега за пројекат 1502-П10:",'ПО КОРИСНИЦИМА'!$I$6:$I$15001)</f>
        <v>0</v>
      </c>
      <c r="G143" s="637">
        <f t="shared" si="0"/>
        <v>0</v>
      </c>
      <c r="H143" s="643"/>
    </row>
    <row r="144" spans="1:8" hidden="1" x14ac:dyDescent="0.2">
      <c r="A144" s="611"/>
      <c r="B144" s="606" t="s">
        <v>4501</v>
      </c>
      <c r="C144" s="538" t="str">
        <f>IFERROR(VLOOKUP(B144,'ПО КОРИСНИЦИМА'!$C$6:$J$15001,5,FALSE),"")</f>
        <v/>
      </c>
      <c r="D144" s="641">
        <f>SUMIF('ПО КОРИСНИЦИМА'!$G$6:$G$15001,"Свега за пројекат 1502-П11:",'ПО КОРИСНИЦИМА'!$H$6:$H$15001)</f>
        <v>0</v>
      </c>
      <c r="E144" s="638">
        <f t="shared" si="9"/>
        <v>0</v>
      </c>
      <c r="F144" s="642">
        <f>SUMIF('ПО КОРИСНИЦИМА'!$G$6:$G$15001,"Свега за пројекат 1502-П11:",'ПО КОРИСНИЦИМА'!$I$6:$I$15001)</f>
        <v>0</v>
      </c>
      <c r="G144" s="637">
        <f t="shared" si="0"/>
        <v>0</v>
      </c>
      <c r="H144" s="643"/>
    </row>
    <row r="145" spans="1:8" hidden="1" x14ac:dyDescent="0.2">
      <c r="A145" s="611"/>
      <c r="B145" s="606" t="s">
        <v>4502</v>
      </c>
      <c r="C145" s="538" t="str">
        <f>IFERROR(VLOOKUP(B145,'ПО КОРИСНИЦИМА'!$C$6:$J$15001,5,FALSE),"")</f>
        <v/>
      </c>
      <c r="D145" s="641">
        <f>SUMIF('ПО КОРИСНИЦИМА'!$G$6:$G$15001,"Свега за пројекат 1502-П12:",'ПО КОРИСНИЦИМА'!$H$6:$H$15001)</f>
        <v>0</v>
      </c>
      <c r="E145" s="638">
        <f t="shared" si="9"/>
        <v>0</v>
      </c>
      <c r="F145" s="642">
        <f>SUMIF('ПО КОРИСНИЦИМА'!$G$6:$G$15001,"Свега за пројекат 1502-П12:",'ПО КОРИСНИЦИМА'!$I$6:$I$15001)</f>
        <v>0</v>
      </c>
      <c r="G145" s="637">
        <f t="shared" si="0"/>
        <v>0</v>
      </c>
      <c r="H145" s="643"/>
    </row>
    <row r="146" spans="1:8" hidden="1" x14ac:dyDescent="0.2">
      <c r="A146" s="611"/>
      <c r="B146" s="606" t="s">
        <v>4503</v>
      </c>
      <c r="C146" s="538" t="str">
        <f>IFERROR(VLOOKUP(B146,'ПО КОРИСНИЦИМА'!$C$6:$J$15001,5,FALSE),"")</f>
        <v/>
      </c>
      <c r="D146" s="641">
        <f>SUMIF('ПО КОРИСНИЦИМА'!$G$6:$G$15001,"Свега за пројекат 1502-П13:",'ПО КОРИСНИЦИМА'!$H$6:$H$15001)</f>
        <v>0</v>
      </c>
      <c r="E146" s="638">
        <f t="shared" si="9"/>
        <v>0</v>
      </c>
      <c r="F146" s="642">
        <f>SUMIF('ПО КОРИСНИЦИМА'!$G$6:$G$15001,"Свега за пројекат 1502-П13:",'ПО КОРИСНИЦИМА'!$I$6:$I$15001)</f>
        <v>0</v>
      </c>
      <c r="G146" s="637">
        <f t="shared" si="0"/>
        <v>0</v>
      </c>
      <c r="H146" s="643"/>
    </row>
    <row r="147" spans="1:8" hidden="1" x14ac:dyDescent="0.2">
      <c r="A147" s="611"/>
      <c r="B147" s="606" t="s">
        <v>4504</v>
      </c>
      <c r="C147" s="538" t="str">
        <f>IFERROR(VLOOKUP(B147,'ПО КОРИСНИЦИМА'!$C$6:$J$15001,5,FALSE),"")</f>
        <v/>
      </c>
      <c r="D147" s="641">
        <f>SUMIF('ПО КОРИСНИЦИМА'!$G$6:$G$15001,"Свега за пројекат 1502-П14:",'ПО КОРИСНИЦИМА'!$H$6:$H$15001)</f>
        <v>0</v>
      </c>
      <c r="E147" s="638">
        <f t="shared" si="9"/>
        <v>0</v>
      </c>
      <c r="F147" s="642">
        <f>SUMIF('ПО КОРИСНИЦИМА'!$G$6:$G$15001,"Свега за пројекат 1502-П14:",'ПО КОРИСНИЦИМА'!$I$6:$I$15001)</f>
        <v>0</v>
      </c>
      <c r="G147" s="637">
        <f t="shared" si="0"/>
        <v>0</v>
      </c>
      <c r="H147" s="643"/>
    </row>
    <row r="148" spans="1:8" hidden="1" x14ac:dyDescent="0.2">
      <c r="A148" s="611"/>
      <c r="B148" s="606" t="s">
        <v>4505</v>
      </c>
      <c r="C148" s="538" t="str">
        <f>IFERROR(VLOOKUP(B148,'ПО КОРИСНИЦИМА'!$C$6:$J$15001,5,FALSE),"")</f>
        <v/>
      </c>
      <c r="D148" s="641">
        <f>SUMIF('ПО КОРИСНИЦИМА'!$G$6:$G$15001,"Свега за пројекат 1502-П15:",'ПО КОРИСНИЦИМА'!$H$6:$H$15001)</f>
        <v>0</v>
      </c>
      <c r="E148" s="638">
        <f t="shared" si="9"/>
        <v>0</v>
      </c>
      <c r="F148" s="642">
        <f>SUMIF('ПО КОРИСНИЦИМА'!$G$6:$G$15001,"Свега за пројекат 1502-П15:",'ПО КОРИСНИЦИМА'!$I$6:$I$15001)</f>
        <v>0</v>
      </c>
      <c r="G148" s="637">
        <f t="shared" si="0"/>
        <v>0</v>
      </c>
      <c r="H148" s="643"/>
    </row>
    <row r="149" spans="1:8" hidden="1" x14ac:dyDescent="0.2">
      <c r="A149" s="611"/>
      <c r="B149" s="606" t="s">
        <v>4506</v>
      </c>
      <c r="C149" s="538" t="str">
        <f>IFERROR(VLOOKUP(B149,'ПО КОРИСНИЦИМА'!$C$6:$J$15001,5,FALSE),"")</f>
        <v/>
      </c>
      <c r="D149" s="641">
        <f>SUMIF('ПО КОРИСНИЦИМА'!$G$6:$G$15001,"Свега за пројекат 1502-П16:",'ПО КОРИСНИЦИМА'!$H$6:$H$15001)</f>
        <v>0</v>
      </c>
      <c r="E149" s="638">
        <f t="shared" si="9"/>
        <v>0</v>
      </c>
      <c r="F149" s="642">
        <f>SUMIF('ПО КОРИСНИЦИМА'!$G$6:$G$15001,"Свега за пројекат 1502-П16:",'ПО КОРИСНИЦИМА'!$I$6:$I$15001)</f>
        <v>0</v>
      </c>
      <c r="G149" s="637">
        <f t="shared" si="0"/>
        <v>0</v>
      </c>
      <c r="H149" s="643"/>
    </row>
    <row r="150" spans="1:8" hidden="1" x14ac:dyDescent="0.2">
      <c r="A150" s="611"/>
      <c r="B150" s="606" t="s">
        <v>4507</v>
      </c>
      <c r="C150" s="538" t="str">
        <f>IFERROR(VLOOKUP(B150,'ПО КОРИСНИЦИМА'!$C$6:$J$15001,5,FALSE),"")</f>
        <v/>
      </c>
      <c r="D150" s="641">
        <f>SUMIF('ПО КОРИСНИЦИМА'!$G$6:$G$15001,"Свега за пројекат 1502-П17:",'ПО КОРИСНИЦИМА'!$H$6:$H$15001)</f>
        <v>0</v>
      </c>
      <c r="E150" s="638">
        <f t="shared" si="9"/>
        <v>0</v>
      </c>
      <c r="F150" s="642">
        <f>SUMIF('ПО КОРИСНИЦИМА'!$G$6:$G$15001,"Свега за пројекат 1502-П17:",'ПО КОРИСНИЦИМА'!$I$6:$I$15001)</f>
        <v>0</v>
      </c>
      <c r="G150" s="637">
        <f t="shared" si="0"/>
        <v>0</v>
      </c>
      <c r="H150" s="643"/>
    </row>
    <row r="151" spans="1:8" hidden="1" x14ac:dyDescent="0.2">
      <c r="A151" s="611"/>
      <c r="B151" s="606" t="s">
        <v>4508</v>
      </c>
      <c r="C151" s="538" t="str">
        <f>IFERROR(VLOOKUP(B151,'ПО КОРИСНИЦИМА'!$C$6:$J$15001,5,FALSE),"")</f>
        <v/>
      </c>
      <c r="D151" s="641">
        <f>SUMIF('ПО КОРИСНИЦИМА'!$G$6:$G$15001,"Свега за пројекат 1502-П18:",'ПО КОРИСНИЦИМА'!$H$6:$H$15001)</f>
        <v>0</v>
      </c>
      <c r="E151" s="638">
        <f t="shared" si="9"/>
        <v>0</v>
      </c>
      <c r="F151" s="642">
        <f>SUMIF('ПО КОРИСНИЦИМА'!$G$6:$G$15001,"Свега за пројекат 1502-П18:",'ПО КОРИСНИЦИМА'!$I$6:$I$15001)</f>
        <v>0</v>
      </c>
      <c r="G151" s="637">
        <f t="shared" si="0"/>
        <v>0</v>
      </c>
      <c r="H151" s="643"/>
    </row>
    <row r="152" spans="1:8" hidden="1" x14ac:dyDescent="0.2">
      <c r="A152" s="611"/>
      <c r="B152" s="606" t="s">
        <v>4509</v>
      </c>
      <c r="C152" s="538" t="str">
        <f>IFERROR(VLOOKUP(B152,'ПО КОРИСНИЦИМА'!$C$6:$J$15001,5,FALSE),"")</f>
        <v/>
      </c>
      <c r="D152" s="641">
        <f>SUMIF('ПО КОРИСНИЦИМА'!$G$6:$G$15001,"Свега за пројекат 1502-П19:",'ПО КОРИСНИЦИМА'!$H$6:$H$15001)</f>
        <v>0</v>
      </c>
      <c r="E152" s="638">
        <f t="shared" si="9"/>
        <v>0</v>
      </c>
      <c r="F152" s="642">
        <f>SUMIF('ПО КОРИСНИЦИМА'!$G$6:$G$15001,"Свега за пројекат 1502-П19:",'ПО КОРИСНИЦИМА'!$I$6:$I$15001)</f>
        <v>0</v>
      </c>
      <c r="G152" s="637">
        <f t="shared" si="0"/>
        <v>0</v>
      </c>
      <c r="H152" s="643"/>
    </row>
    <row r="153" spans="1:8" hidden="1" x14ac:dyDescent="0.2">
      <c r="A153" s="611"/>
      <c r="B153" s="606" t="s">
        <v>4510</v>
      </c>
      <c r="C153" s="538" t="str">
        <f>IFERROR(VLOOKUP(B153,'ПО КОРИСНИЦИМА'!$C$6:$J$15001,5,FALSE),"")</f>
        <v/>
      </c>
      <c r="D153" s="641">
        <f>SUMIF('ПО КОРИСНИЦИМА'!$G$6:$G$15001,"Свега за пројекат 1502-П20:",'ПО КОРИСНИЦИМА'!$H$6:$H$15001)</f>
        <v>0</v>
      </c>
      <c r="E153" s="638">
        <f t="shared" si="9"/>
        <v>0</v>
      </c>
      <c r="F153" s="642">
        <f>SUMIF('ПО КОРИСНИЦИМА'!$G$6:$G$15001,"Свега за пројекат 1502-П20:",'ПО КОРИСНИЦИМА'!$I$6:$I$15001)</f>
        <v>0</v>
      </c>
      <c r="G153" s="637">
        <f t="shared" si="0"/>
        <v>0</v>
      </c>
      <c r="H153" s="643"/>
    </row>
    <row r="154" spans="1:8" hidden="1" x14ac:dyDescent="0.2">
      <c r="A154" s="611"/>
      <c r="B154" s="606" t="s">
        <v>4511</v>
      </c>
      <c r="C154" s="538" t="str">
        <f>IFERROR(VLOOKUP(B154,'ПО КОРИСНИЦИМА'!$C$6:$J$15001,5,FALSE),"")</f>
        <v/>
      </c>
      <c r="D154" s="641">
        <f>SUMIF('ПО КОРИСНИЦИМА'!$G$6:$G$15001,"Свега за пројекат 1502-П21:",'ПО КОРИСНИЦИМА'!$H$6:$H$15001)</f>
        <v>0</v>
      </c>
      <c r="E154" s="638">
        <f t="shared" si="9"/>
        <v>0</v>
      </c>
      <c r="F154" s="642">
        <f>SUMIF('ПО КОРИСНИЦИМА'!$G$6:$G$15001,"Свега за пројекат 1502-П21:",'ПО КОРИСНИЦИМА'!$I$6:$I$15001)</f>
        <v>0</v>
      </c>
      <c r="G154" s="637">
        <f t="shared" si="0"/>
        <v>0</v>
      </c>
      <c r="H154" s="643"/>
    </row>
    <row r="155" spans="1:8" hidden="1" x14ac:dyDescent="0.2">
      <c r="A155" s="611"/>
      <c r="B155" s="606" t="s">
        <v>4512</v>
      </c>
      <c r="C155" s="538" t="str">
        <f>IFERROR(VLOOKUP(B155,'ПО КОРИСНИЦИМА'!$C$6:$J$15001,5,FALSE),"")</f>
        <v/>
      </c>
      <c r="D155" s="641">
        <f>SUMIF('ПО КОРИСНИЦИМА'!$G$6:$G$15001,"Свега за пројекат 1502-П22:",'ПО КОРИСНИЦИМА'!$H$6:$H$15001)</f>
        <v>0</v>
      </c>
      <c r="E155" s="638">
        <f t="shared" si="9"/>
        <v>0</v>
      </c>
      <c r="F155" s="642">
        <f>SUMIF('ПО КОРИСНИЦИМА'!$G$6:$G$15001,"Свега за пројекат 1502-П22:",'ПО КОРИСНИЦИМА'!$I$6:$I$15001)</f>
        <v>0</v>
      </c>
      <c r="G155" s="637">
        <f t="shared" si="0"/>
        <v>0</v>
      </c>
      <c r="H155" s="640"/>
    </row>
    <row r="156" spans="1:8" hidden="1" x14ac:dyDescent="0.2">
      <c r="A156" s="611"/>
      <c r="B156" s="606" t="s">
        <v>4513</v>
      </c>
      <c r="C156" s="538" t="str">
        <f>IFERROR(VLOOKUP(B156,'ПО КОРИСНИЦИМА'!$C$6:$J$15001,5,FALSE),"")</f>
        <v/>
      </c>
      <c r="D156" s="641">
        <f>SUMIF('ПО КОРИСНИЦИМА'!$G$6:$G$15001,"Свега за пројекат 1502-П23:",'ПО КОРИСНИЦИМА'!$H$6:$H$15001)</f>
        <v>0</v>
      </c>
      <c r="E156" s="638">
        <f t="shared" si="9"/>
        <v>0</v>
      </c>
      <c r="F156" s="642">
        <f>SUMIF('ПО КОРИСНИЦИМА'!$G$6:$G$15001,"Свега за пројекат 1502-П23:",'ПО КОРИСНИЦИМА'!$I$6:$I$15001)</f>
        <v>0</v>
      </c>
      <c r="G156" s="637">
        <f t="shared" si="0"/>
        <v>0</v>
      </c>
      <c r="H156" s="640"/>
    </row>
    <row r="157" spans="1:8" hidden="1" x14ac:dyDescent="0.2">
      <c r="A157" s="612"/>
      <c r="B157" s="606" t="s">
        <v>4514</v>
      </c>
      <c r="C157" s="538" t="str">
        <f>IFERROR(VLOOKUP(B157,'ПО КОРИСНИЦИМА'!$C$6:$J$15001,5,FALSE),"")</f>
        <v/>
      </c>
      <c r="D157" s="641">
        <f>SUMIF('ПО КОРИСНИЦИМА'!$G$6:$G$15001,"Свега за пројекат 1502-П24:",'ПО КОРИСНИЦИМА'!$H$6:$H$15001)</f>
        <v>0</v>
      </c>
      <c r="E157" s="638">
        <f t="shared" si="9"/>
        <v>0</v>
      </c>
      <c r="F157" s="642">
        <f>SUMIF('ПО КОРИСНИЦИМА'!$G$6:$G$15001,"Свега за пројекат 1502-П24:",'ПО КОРИСНИЦИМА'!$I$6:$I$15001)</f>
        <v>0</v>
      </c>
      <c r="G157" s="637">
        <f t="shared" si="0"/>
        <v>0</v>
      </c>
      <c r="H157" s="649"/>
    </row>
    <row r="158" spans="1:8" s="609" customFormat="1" x14ac:dyDescent="0.2">
      <c r="A158" s="602" t="s">
        <v>3569</v>
      </c>
      <c r="B158" s="603"/>
      <c r="C158" s="536" t="s">
        <v>5155</v>
      </c>
      <c r="D158" s="629">
        <f>SUM(D159:D176)</f>
        <v>28592000</v>
      </c>
      <c r="E158" s="630">
        <f>IFERROR(D158/$D$615,"-")</f>
        <v>7.1974176495170253E-2</v>
      </c>
      <c r="F158" s="631">
        <f>SUM(F159:F176)</f>
        <v>0</v>
      </c>
      <c r="G158" s="629">
        <f t="shared" si="0"/>
        <v>28592000</v>
      </c>
      <c r="H158" s="650"/>
    </row>
    <row r="159" spans="1:8" x14ac:dyDescent="0.2">
      <c r="A159" s="604"/>
      <c r="B159" s="613" t="s">
        <v>4075</v>
      </c>
      <c r="C159" s="537" t="s">
        <v>5102</v>
      </c>
      <c r="D159" s="633">
        <f>SUMIF('ПО КОРИСНИЦИМА'!$G$6:$G$15001,"Свега за програмску активност 0101-0001:",'ПО КОРИСНИЦИМА'!$H$6:$H$15001)</f>
        <v>11001000</v>
      </c>
      <c r="E159" s="634">
        <f>IFERROR(D159/$D$615,"-")</f>
        <v>2.7692638347207889E-2</v>
      </c>
      <c r="F159" s="635">
        <f>SUMIF('ПО КОРИСНИЦИМА'!$G$6:$G$15001,"Свега за програмску активност 0101-0001:",'ПО КОРИСНИЦИМА'!$I$6:$I$15001)</f>
        <v>0</v>
      </c>
      <c r="G159" s="633">
        <f t="shared" si="0"/>
        <v>11001000</v>
      </c>
      <c r="H159" s="636"/>
    </row>
    <row r="160" spans="1:8" x14ac:dyDescent="0.2">
      <c r="A160" s="606"/>
      <c r="B160" s="611" t="s">
        <v>4073</v>
      </c>
      <c r="C160" s="538" t="s">
        <v>5103</v>
      </c>
      <c r="D160" s="637">
        <f>SUMIF('ПО КОРИСНИЦИМА'!$G$6:$G$15001,"Свега за програмску активност 0101-0002:",'ПО КОРИСНИЦИМА'!$H$6:$H$15001)</f>
        <v>17191000</v>
      </c>
      <c r="E160" s="638">
        <f>IFERROR(D160/$D$615,"-")</f>
        <v>4.3274624654745096E-2</v>
      </c>
      <c r="F160" s="639">
        <f>SUMIF('ПО КОРИСНИЦИМА'!$G$6:$G$15001,"Свега за програмску активност 0101-0002:",'ПО КОРИСНИЦИМА'!$I$6:$I$15001)</f>
        <v>0</v>
      </c>
      <c r="G160" s="637">
        <f t="shared" si="0"/>
        <v>17191000</v>
      </c>
      <c r="H160" s="640"/>
    </row>
    <row r="161" spans="1:8" x14ac:dyDescent="0.2">
      <c r="A161" s="611"/>
      <c r="B161" s="614" t="s">
        <v>4515</v>
      </c>
      <c r="C161" s="538" t="s">
        <v>5316</v>
      </c>
      <c r="D161" s="641">
        <f>SUMIF('ПО КОРИСНИЦИМА'!$G$6:$G$15001,"Свега за пројекат 0101-П1:",'ПО КОРИСНИЦИМА'!$H$6:$H$15001)</f>
        <v>400000</v>
      </c>
      <c r="E161" s="638">
        <f>IFERROR(D161/$D$615,"-")</f>
        <v>1.0069134932172671E-3</v>
      </c>
      <c r="F161" s="642">
        <f>SUMIF('ПО КОРИСНИЦИМА'!$G$6:$G$15001,"Свега за пројекат 0101-П1:",'ПО КОРИСНИЦИМА'!$I$6:$I$15001)</f>
        <v>0</v>
      </c>
      <c r="G161" s="637">
        <f t="shared" ref="G161:G176" si="10">D161+F161</f>
        <v>400000</v>
      </c>
      <c r="H161" s="640"/>
    </row>
    <row r="162" spans="1:8" x14ac:dyDescent="0.2">
      <c r="A162" s="611"/>
      <c r="B162" s="614" t="s">
        <v>4516</v>
      </c>
      <c r="C162" s="538" t="str">
        <f>IFERROR(VLOOKUP(B162,'ПО КОРИСНИЦИМА'!$C$6:$J$15001,5,FALSE),"")</f>
        <v>Уређење пољопривредног земљишта, Комасација КО Топоница</v>
      </c>
      <c r="D162" s="641">
        <f>SUMIF('ПО КОРИСНИЦИМА'!$G$6:$G$15001,"Свега за пројекат 0101-П2:",'ПО КОРИСНИЦИМА'!$H$6:$H$15001)</f>
        <v>0</v>
      </c>
      <c r="E162" s="638">
        <f t="shared" ref="E162:E176" si="11">IFERROR(D162/$D$615,"-")</f>
        <v>0</v>
      </c>
      <c r="F162" s="642">
        <f>SUMIF('ПО КОРИСНИЦИМА'!$G$6:$G$15001,"Свега за пројекат 0101-П2:",'ПО КОРИСНИЦИМА'!$I$6:$I$15001)</f>
        <v>0</v>
      </c>
      <c r="G162" s="637">
        <f t="shared" si="10"/>
        <v>0</v>
      </c>
      <c r="H162" s="643"/>
    </row>
    <row r="163" spans="1:8" hidden="1" x14ac:dyDescent="0.2">
      <c r="A163" s="611"/>
      <c r="B163" s="614" t="s">
        <v>4517</v>
      </c>
      <c r="C163" s="538" t="str">
        <f>IFERROR(VLOOKUP(B163,'ПО КОРИСНИЦИМА'!$C$6:$J$15001,5,FALSE),"")</f>
        <v/>
      </c>
      <c r="D163" s="641">
        <f>SUMIF('ПО КОРИСНИЦИМА'!$G$6:$G$15001,"Свега за пројекат 0101-П3:",'ПО КОРИСНИЦИМА'!$H$6:$H$15001)</f>
        <v>0</v>
      </c>
      <c r="E163" s="638">
        <f t="shared" si="11"/>
        <v>0</v>
      </c>
      <c r="F163" s="642">
        <f>SUMIF('ПО КОРИСНИЦИМА'!$G$6:$G$15001,"Свега за пројекат 0101-П3:",'ПО КОРИСНИЦИМА'!$I$6:$I$15001)</f>
        <v>0</v>
      </c>
      <c r="G163" s="637">
        <f t="shared" si="10"/>
        <v>0</v>
      </c>
      <c r="H163" s="643"/>
    </row>
    <row r="164" spans="1:8" hidden="1" x14ac:dyDescent="0.2">
      <c r="A164" s="611"/>
      <c r="B164" s="614" t="s">
        <v>4518</v>
      </c>
      <c r="C164" s="538" t="str">
        <f>IFERROR(VLOOKUP(B164,'ПО КОРИСНИЦИМА'!$C$6:$J$15001,5,FALSE),"")</f>
        <v/>
      </c>
      <c r="D164" s="641">
        <f>SUMIF('ПО КОРИСНИЦИМА'!$G$6:$G$15001,"Свега за пројекат 0101-П4:",'ПО КОРИСНИЦИМА'!$H$6:$H$15001)</f>
        <v>0</v>
      </c>
      <c r="E164" s="638">
        <f t="shared" si="11"/>
        <v>0</v>
      </c>
      <c r="F164" s="642">
        <f>SUMIF('ПО КОРИСНИЦИМА'!$G$6:$G$15001,"Свега за пројекат 0101-П4:",'ПО КОРИСНИЦИМА'!$I$6:$I$15001)</f>
        <v>0</v>
      </c>
      <c r="G164" s="637">
        <f t="shared" si="10"/>
        <v>0</v>
      </c>
      <c r="H164" s="643"/>
    </row>
    <row r="165" spans="1:8" hidden="1" x14ac:dyDescent="0.2">
      <c r="A165" s="611"/>
      <c r="B165" s="614" t="s">
        <v>4519</v>
      </c>
      <c r="C165" s="538" t="str">
        <f>IFERROR(VLOOKUP(B165,'ПО КОРИСНИЦИМА'!$C$6:$J$15001,5,FALSE),"")</f>
        <v/>
      </c>
      <c r="D165" s="641">
        <f>SUMIF('ПО КОРИСНИЦИМА'!$G$6:$G$15001,"Свега за пројекат 0101-П5:",'ПО КОРИСНИЦИМА'!$H$6:$H$15001)</f>
        <v>0</v>
      </c>
      <c r="E165" s="638">
        <f t="shared" si="11"/>
        <v>0</v>
      </c>
      <c r="F165" s="642">
        <f>SUMIF('ПО КОРИСНИЦИМА'!$G$6:$G$15001,"Свега за пројекат 0101-П5:",'ПО КОРИСНИЦИМА'!$I$6:$I$15001)</f>
        <v>0</v>
      </c>
      <c r="G165" s="637">
        <f t="shared" si="10"/>
        <v>0</v>
      </c>
      <c r="H165" s="643"/>
    </row>
    <row r="166" spans="1:8" hidden="1" x14ac:dyDescent="0.2">
      <c r="A166" s="611"/>
      <c r="B166" s="614" t="s">
        <v>4520</v>
      </c>
      <c r="C166" s="538" t="str">
        <f>IFERROR(VLOOKUP(B166,'ПО КОРИСНИЦИМА'!$C$6:$J$15001,5,FALSE),"")</f>
        <v/>
      </c>
      <c r="D166" s="641">
        <f>SUMIF('ПО КОРИСНИЦИМА'!$G$6:$G$15001,"Свега за пројекат 0101-П6:",'ПО КОРИСНИЦИМА'!$H$6:$H$15001)</f>
        <v>0</v>
      </c>
      <c r="E166" s="638">
        <f t="shared" si="11"/>
        <v>0</v>
      </c>
      <c r="F166" s="642">
        <f>SUMIF('ПО КОРИСНИЦИМА'!$G$6:$G$15001,"Свега за пројекат 0101-П6:",'ПО КОРИСНИЦИМА'!$I$6:$I$15001)</f>
        <v>0</v>
      </c>
      <c r="G166" s="637">
        <f t="shared" si="10"/>
        <v>0</v>
      </c>
      <c r="H166" s="643"/>
    </row>
    <row r="167" spans="1:8" hidden="1" x14ac:dyDescent="0.2">
      <c r="A167" s="611"/>
      <c r="B167" s="614" t="s">
        <v>4521</v>
      </c>
      <c r="C167" s="538" t="str">
        <f>IFERROR(VLOOKUP(B167,'ПО КОРИСНИЦИМА'!$C$6:$J$15001,5,FALSE),"")</f>
        <v/>
      </c>
      <c r="D167" s="641">
        <f>SUMIF('ПО КОРИСНИЦИМА'!$G$6:$G$15001,"Свега за пројекат 0101-П7:",'ПО КОРИСНИЦИМА'!$H$6:$H$15001)</f>
        <v>0</v>
      </c>
      <c r="E167" s="638">
        <f t="shared" si="11"/>
        <v>0</v>
      </c>
      <c r="F167" s="642">
        <f>SUMIF('ПО КОРИСНИЦИМА'!$G$6:$G$15001,"Свега за пројекат 0101-П7:",'ПО КОРИСНИЦИМА'!$I$6:$I$15001)</f>
        <v>0</v>
      </c>
      <c r="G167" s="637">
        <f t="shared" si="10"/>
        <v>0</v>
      </c>
      <c r="H167" s="643"/>
    </row>
    <row r="168" spans="1:8" hidden="1" x14ac:dyDescent="0.2">
      <c r="A168" s="611"/>
      <c r="B168" s="614" t="s">
        <v>4522</v>
      </c>
      <c r="C168" s="538" t="str">
        <f>IFERROR(VLOOKUP(B168,'ПО КОРИСНИЦИМА'!$C$6:$J$15001,5,FALSE),"")</f>
        <v/>
      </c>
      <c r="D168" s="641">
        <f>SUMIF('ПО КОРИСНИЦИМА'!$G$6:$G$15001,"Свега за пројекат 0101-П8:",'ПО КОРИСНИЦИМА'!$H$6:$H$15001)</f>
        <v>0</v>
      </c>
      <c r="E168" s="638">
        <f t="shared" si="11"/>
        <v>0</v>
      </c>
      <c r="F168" s="642">
        <f>SUMIF('ПО КОРИСНИЦИМА'!$G$6:$G$15001,"Свега за пројекат 0101-П8:",'ПО КОРИСНИЦИМА'!$I$6:$I$15001)</f>
        <v>0</v>
      </c>
      <c r="G168" s="637">
        <f t="shared" si="10"/>
        <v>0</v>
      </c>
      <c r="H168" s="643"/>
    </row>
    <row r="169" spans="1:8" hidden="1" x14ac:dyDescent="0.2">
      <c r="A169" s="611"/>
      <c r="B169" s="614" t="s">
        <v>4523</v>
      </c>
      <c r="C169" s="538" t="str">
        <f>IFERROR(VLOOKUP(B169,'ПО КОРИСНИЦИМА'!$C$6:$J$15001,5,FALSE),"")</f>
        <v/>
      </c>
      <c r="D169" s="641">
        <f>SUMIF('ПО КОРИСНИЦИМА'!$G$6:$G$15001,"Свега за пројекат 0101-П9:",'ПО КОРИСНИЦИМА'!$H$6:$H$15001)</f>
        <v>0</v>
      </c>
      <c r="E169" s="638">
        <f t="shared" si="11"/>
        <v>0</v>
      </c>
      <c r="F169" s="642">
        <f>SUMIF('ПО КОРИСНИЦИМА'!$G$6:$G$15001,"Свега за пројекат 0101-П9:",'ПО КОРИСНИЦИМА'!$I$6:$I$15001)</f>
        <v>0</v>
      </c>
      <c r="G169" s="637">
        <f t="shared" si="10"/>
        <v>0</v>
      </c>
      <c r="H169" s="643"/>
    </row>
    <row r="170" spans="1:8" hidden="1" x14ac:dyDescent="0.2">
      <c r="A170" s="611"/>
      <c r="B170" s="614" t="s">
        <v>4524</v>
      </c>
      <c r="C170" s="538" t="str">
        <f>IFERROR(VLOOKUP(B170,'ПО КОРИСНИЦИМА'!$C$6:$J$15001,5,FALSE),"")</f>
        <v/>
      </c>
      <c r="D170" s="641">
        <f>SUMIF('ПО КОРИСНИЦИМА'!$G$6:$G$15001,"Свега за пројекат 0101-П10:",'ПО КОРИСНИЦИМА'!$H$6:$H$15001)</f>
        <v>0</v>
      </c>
      <c r="E170" s="638">
        <f t="shared" si="11"/>
        <v>0</v>
      </c>
      <c r="F170" s="642">
        <f>SUMIF('ПО КОРИСНИЦИМА'!$G$6:$G$15001,"Свега за пројекат 0101-П10:",'ПО КОРИСНИЦИМА'!$I$6:$I$15001)</f>
        <v>0</v>
      </c>
      <c r="G170" s="637">
        <f t="shared" si="10"/>
        <v>0</v>
      </c>
      <c r="H170" s="643"/>
    </row>
    <row r="171" spans="1:8" hidden="1" x14ac:dyDescent="0.2">
      <c r="A171" s="611"/>
      <c r="B171" s="614" t="s">
        <v>4525</v>
      </c>
      <c r="C171" s="538" t="str">
        <f>IFERROR(VLOOKUP(B171,'ПО КОРИСНИЦИМА'!$C$6:$J$15001,5,FALSE),"")</f>
        <v/>
      </c>
      <c r="D171" s="641">
        <f>SUMIF('ПО КОРИСНИЦИМА'!$G$6:$G$15001,"Свега за пројекат 0101-П11:",'ПО КОРИСНИЦИМА'!$H$6:$H$15001)</f>
        <v>0</v>
      </c>
      <c r="E171" s="638">
        <f t="shared" si="11"/>
        <v>0</v>
      </c>
      <c r="F171" s="642">
        <f>SUMIF('ПО КОРИСНИЦИМА'!$G$6:$G$15001,"Свега за пројекат 0101-П11:",'ПО КОРИСНИЦИМА'!$I$6:$I$15001)</f>
        <v>0</v>
      </c>
      <c r="G171" s="637">
        <f t="shared" si="10"/>
        <v>0</v>
      </c>
      <c r="H171" s="643"/>
    </row>
    <row r="172" spans="1:8" hidden="1" x14ac:dyDescent="0.2">
      <c r="A172" s="611"/>
      <c r="B172" s="614" t="s">
        <v>4526</v>
      </c>
      <c r="C172" s="538" t="str">
        <f>IFERROR(VLOOKUP(B172,'ПО КОРИСНИЦИМА'!$C$6:$J$15001,5,FALSE),"")</f>
        <v/>
      </c>
      <c r="D172" s="641">
        <f>SUMIF('ПО КОРИСНИЦИМА'!$G$6:$G$15001,"Свега за пројекат 0101-П12:",'ПО КОРИСНИЦИМА'!$H$6:$H$15001)</f>
        <v>0</v>
      </c>
      <c r="E172" s="638">
        <f t="shared" si="11"/>
        <v>0</v>
      </c>
      <c r="F172" s="642">
        <f>SUMIF('ПО КОРИСНИЦИМА'!$G$6:$G$15001,"Свега за пројекат 0101-П12:",'ПО КОРИСНИЦИМА'!$I$6:$I$15001)</f>
        <v>0</v>
      </c>
      <c r="G172" s="637">
        <f t="shared" si="10"/>
        <v>0</v>
      </c>
      <c r="H172" s="643"/>
    </row>
    <row r="173" spans="1:8" hidden="1" x14ac:dyDescent="0.2">
      <c r="A173" s="611"/>
      <c r="B173" s="614" t="s">
        <v>4527</v>
      </c>
      <c r="C173" s="538" t="str">
        <f>IFERROR(VLOOKUP(B173,'ПО КОРИСНИЦИМА'!$C$6:$J$15001,5,FALSE),"")</f>
        <v/>
      </c>
      <c r="D173" s="641">
        <f>SUMIF('ПО КОРИСНИЦИМА'!$G$6:$G$15001,"Свега за пројекат 0101-П13:",'ПО КОРИСНИЦИМА'!$H$6:$H$15001)</f>
        <v>0</v>
      </c>
      <c r="E173" s="638">
        <f t="shared" si="11"/>
        <v>0</v>
      </c>
      <c r="F173" s="642">
        <f>SUMIF('ПО КОРИСНИЦИМА'!$G$6:$G$15001,"Свега за пројекат 0101-П13:",'ПО КОРИСНИЦИМА'!$I$6:$I$15001)</f>
        <v>0</v>
      </c>
      <c r="G173" s="637">
        <f t="shared" si="10"/>
        <v>0</v>
      </c>
      <c r="H173" s="643"/>
    </row>
    <row r="174" spans="1:8" hidden="1" x14ac:dyDescent="0.2">
      <c r="A174" s="611"/>
      <c r="B174" s="614" t="s">
        <v>4528</v>
      </c>
      <c r="C174" s="538" t="str">
        <f>IFERROR(VLOOKUP(B174,'ПО КОРИСНИЦИМА'!$C$6:$J$15001,5,FALSE),"")</f>
        <v/>
      </c>
      <c r="D174" s="641">
        <f>SUMIF('ПО КОРИСНИЦИМА'!$G$6:$G$15001,"Свега за пројекат 0101-П14:",'ПО КОРИСНИЦИМА'!$H$6:$H$15001)</f>
        <v>0</v>
      </c>
      <c r="E174" s="638">
        <f t="shared" si="11"/>
        <v>0</v>
      </c>
      <c r="F174" s="642">
        <f>SUMIF('ПО КОРИСНИЦИМА'!$G$6:$G$15001,"Свега за пројекат 0101-П14:",'ПО КОРИСНИЦИМА'!$I$6:$I$15001)</f>
        <v>0</v>
      </c>
      <c r="G174" s="637">
        <f t="shared" si="10"/>
        <v>0</v>
      </c>
      <c r="H174" s="640"/>
    </row>
    <row r="175" spans="1:8" hidden="1" x14ac:dyDescent="0.2">
      <c r="A175" s="611"/>
      <c r="B175" s="614" t="s">
        <v>4529</v>
      </c>
      <c r="C175" s="538" t="str">
        <f>IFERROR(VLOOKUP(B175,'ПО КОРИСНИЦИМА'!$C$6:$J$15001,5,FALSE),"")</f>
        <v/>
      </c>
      <c r="D175" s="641">
        <f>SUMIF('ПО КОРИСНИЦИМА'!$G$6:$G$15001,"Свега за пројекат 0101-П15:",'ПО КОРИСНИЦИМА'!$H$6:$H$15001)</f>
        <v>0</v>
      </c>
      <c r="E175" s="638">
        <f t="shared" si="11"/>
        <v>0</v>
      </c>
      <c r="F175" s="642">
        <f>SUMIF('ПО КОРИСНИЦИМА'!$G$6:$G$15001,"Свега за пројекат 0101-П15:",'ПО КОРИСНИЦИМА'!$I$6:$I$15001)</f>
        <v>0</v>
      </c>
      <c r="G175" s="637">
        <f t="shared" si="10"/>
        <v>0</v>
      </c>
      <c r="H175" s="640"/>
    </row>
    <row r="176" spans="1:8" hidden="1" x14ac:dyDescent="0.2">
      <c r="A176" s="612"/>
      <c r="B176" s="614" t="s">
        <v>4530</v>
      </c>
      <c r="C176" s="538" t="str">
        <f>IFERROR(VLOOKUP(B176,'ПО КОРИСНИЦИМА'!$C$6:$J$15001,5,FALSE),"")</f>
        <v/>
      </c>
      <c r="D176" s="641">
        <f>SUMIF('ПО КОРИСНИЦИМА'!$G$6:$G$15001,"Свега за пројекат 0101-П16:",'ПО КОРИСНИЦИМА'!$H$6:$H$15001)</f>
        <v>0</v>
      </c>
      <c r="E176" s="638">
        <f t="shared" si="11"/>
        <v>0</v>
      </c>
      <c r="F176" s="642">
        <f>SUMIF('ПО КОРИСНИЦИМА'!$G$6:$G$15001,"Свега за пројекат 0101-П16:",'ПО КОРИСНИЦИМА'!$I$6:$I$15001)</f>
        <v>0</v>
      </c>
      <c r="G176" s="637">
        <f t="shared" si="10"/>
        <v>0</v>
      </c>
      <c r="H176" s="649"/>
    </row>
    <row r="177" spans="1:8" s="609" customFormat="1" x14ac:dyDescent="0.2">
      <c r="A177" s="602" t="s">
        <v>3572</v>
      </c>
      <c r="B177" s="603"/>
      <c r="C177" s="536" t="s">
        <v>3668</v>
      </c>
      <c r="D177" s="629">
        <f>SUM(D178:D196)</f>
        <v>2700000</v>
      </c>
      <c r="E177" s="630">
        <f t="shared" ref="E177:E184" si="12">IFERROR(D177/$D$615,"-")</f>
        <v>6.7966660792165524E-3</v>
      </c>
      <c r="F177" s="631">
        <f>SUM(F178:F196)</f>
        <v>0</v>
      </c>
      <c r="G177" s="629">
        <f t="shared" si="0"/>
        <v>2700000</v>
      </c>
      <c r="H177" s="650"/>
    </row>
    <row r="178" spans="1:8" hidden="1" x14ac:dyDescent="0.2">
      <c r="A178" s="604"/>
      <c r="B178" s="510" t="s">
        <v>4062</v>
      </c>
      <c r="C178" s="539" t="s">
        <v>5104</v>
      </c>
      <c r="D178" s="633">
        <f>SUMIF('ПО КОРИСНИЦИМА'!$G$6:$G$15001,"Свега за програмску активност 0401-0001:",'ПО КОРИСНИЦИМА'!$H$6:$H$15001)</f>
        <v>0</v>
      </c>
      <c r="E178" s="634">
        <f t="shared" si="12"/>
        <v>0</v>
      </c>
      <c r="F178" s="635">
        <f>SUMIF('ПО КОРИСНИЦИМА'!$G$6:$G$15001,"Свега за програмску активност 0401-0001:",'ПО КОРИСНИЦИМА'!$I$6:$I$15001)</f>
        <v>0</v>
      </c>
      <c r="G178" s="633">
        <f t="shared" si="0"/>
        <v>0</v>
      </c>
      <c r="H178" s="636"/>
    </row>
    <row r="179" spans="1:8" hidden="1" x14ac:dyDescent="0.2">
      <c r="A179" s="606"/>
      <c r="B179" s="87" t="s">
        <v>4063</v>
      </c>
      <c r="C179" s="540" t="s">
        <v>4066</v>
      </c>
      <c r="D179" s="637">
        <f>SUMIF('ПО КОРИСНИЦИМА'!$G$6:$G$15001,"Свега за програмску активност 0401-0002:",'ПО КОРИСНИЦИМА'!$H$6:$H$15001)</f>
        <v>0</v>
      </c>
      <c r="E179" s="638">
        <f t="shared" si="12"/>
        <v>0</v>
      </c>
      <c r="F179" s="639">
        <f>SUMIF('ПО КОРИСНИЦИМА'!$G$6:$G$15001,"Свега за програмску активност 0401-0002:",'ПО КОРИСНИЦИМА'!$I$6:$I$15001)</f>
        <v>0</v>
      </c>
      <c r="G179" s="637">
        <f t="shared" si="0"/>
        <v>0</v>
      </c>
      <c r="H179" s="640"/>
    </row>
    <row r="180" spans="1:8" hidden="1" x14ac:dyDescent="0.2">
      <c r="A180" s="606"/>
      <c r="B180" s="87" t="s">
        <v>4065</v>
      </c>
      <c r="C180" s="540" t="s">
        <v>5105</v>
      </c>
      <c r="D180" s="637">
        <f>SUMIF('ПО КОРИСНИЦИМА'!$G$6:$G$15001,"Свега за програмску активност 0401-0003:",'ПО КОРИСНИЦИМА'!$H$6:$H$15001)</f>
        <v>0</v>
      </c>
      <c r="E180" s="638">
        <f t="shared" si="12"/>
        <v>0</v>
      </c>
      <c r="F180" s="639">
        <f>SUMIF('ПО КОРИСНИЦИМА'!$G$6:$G$15001,"Свега за програмску активност 0401-0003:",'ПО КОРИСНИЦИМА'!$I$6:$I$15001)</f>
        <v>0</v>
      </c>
      <c r="G180" s="637">
        <f t="shared" si="0"/>
        <v>0</v>
      </c>
      <c r="H180" s="640"/>
    </row>
    <row r="181" spans="1:8" x14ac:dyDescent="0.2">
      <c r="A181" s="606"/>
      <c r="B181" s="87" t="s">
        <v>4067</v>
      </c>
      <c r="C181" s="540" t="s">
        <v>175</v>
      </c>
      <c r="D181" s="637">
        <f>SUMIF('ПО КОРИСНИЦИМА'!$G$6:$G$15001,"Свега за програмску активност 0401-0004:",'ПО КОРИСНИЦИМА'!$H$6:$H$15001)</f>
        <v>200000</v>
      </c>
      <c r="E181" s="638">
        <f t="shared" si="12"/>
        <v>5.0345674660863353E-4</v>
      </c>
      <c r="F181" s="639">
        <f>SUMIF('ПО КОРИСНИЦИМА'!$G$6:$G$15001,"Свега за програмску активност 0401-0004:",'ПО КОРИСНИЦИМА'!$I$6:$I$15001)</f>
        <v>0</v>
      </c>
      <c r="G181" s="637">
        <f t="shared" si="0"/>
        <v>200000</v>
      </c>
      <c r="H181" s="640"/>
    </row>
    <row r="182" spans="1:8" hidden="1" x14ac:dyDescent="0.2">
      <c r="A182" s="606"/>
      <c r="B182" s="87" t="s">
        <v>5106</v>
      </c>
      <c r="C182" s="538" t="s">
        <v>4064</v>
      </c>
      <c r="D182" s="641"/>
      <c r="E182" s="638">
        <f t="shared" si="12"/>
        <v>0</v>
      </c>
      <c r="F182" s="642">
        <f>SUMIF('ПО КОРИСНИЦИМА'!$G$6:$G$15001,"Свега за пројекат 0401-П1:",'ПО КОРИСНИЦИМА'!$I$6:$I$15001)</f>
        <v>0</v>
      </c>
      <c r="G182" s="637">
        <f t="shared" si="0"/>
        <v>0</v>
      </c>
      <c r="H182" s="640"/>
    </row>
    <row r="183" spans="1:8" x14ac:dyDescent="0.2">
      <c r="A183" s="606"/>
      <c r="B183" s="87" t="s">
        <v>5107</v>
      </c>
      <c r="C183" s="538" t="s">
        <v>5108</v>
      </c>
      <c r="D183" s="641">
        <f>SUMIF('ПО КОРИСНИЦИМА'!$G$6:$G$15001,"Свега за програмску активност 0401-0006:",'ПО КОРИСНИЦИМА'!$H$6:$H$15001)</f>
        <v>2500000</v>
      </c>
      <c r="E183" s="638">
        <f t="shared" si="12"/>
        <v>6.2932093326079196E-3</v>
      </c>
      <c r="F183" s="642">
        <f>SUMIF('ПО КОРИСНИЦИМА'!$G$6:$G$15001,"Свега за пројекат 0401-П2:",'ПО КОРИСНИЦИМА'!$I$6:$I$15001)</f>
        <v>0</v>
      </c>
      <c r="G183" s="637">
        <f t="shared" si="0"/>
        <v>2500000</v>
      </c>
      <c r="H183" s="640"/>
    </row>
    <row r="184" spans="1:8" hidden="1" x14ac:dyDescent="0.2">
      <c r="A184" s="606"/>
      <c r="B184" s="87" t="s">
        <v>4531</v>
      </c>
      <c r="C184" s="538" t="str">
        <f>IFERROR(VLOOKUP(B184,'ПО КОРИСНИЦИМА'!$C$6:$J$15001,5,FALSE),"")</f>
        <v/>
      </c>
      <c r="D184" s="641"/>
      <c r="E184" s="638">
        <f t="shared" si="12"/>
        <v>0</v>
      </c>
      <c r="F184" s="642">
        <f>SUMIF('ПО КОРИСНИЦИМА'!$G$6:$G$15001,"Свега за пројекат 0401-П3:",'ПО КОРИСНИЦИМА'!$I$6:$I$15001)</f>
        <v>0</v>
      </c>
      <c r="G184" s="637">
        <f t="shared" si="0"/>
        <v>0</v>
      </c>
      <c r="H184" s="640"/>
    </row>
    <row r="185" spans="1:8" hidden="1" x14ac:dyDescent="0.2">
      <c r="A185" s="606"/>
      <c r="B185" s="87" t="s">
        <v>5221</v>
      </c>
      <c r="C185" s="538" t="s">
        <v>5222</v>
      </c>
      <c r="D185" s="641"/>
      <c r="E185" s="638">
        <f t="shared" ref="E185:E196" si="13">IFERROR(D185/$D$615,"-")</f>
        <v>0</v>
      </c>
      <c r="F185" s="642">
        <f>SUMIF('ПО КОРИСНИЦИМА'!$G$6:$G$15001,"Свега за пројекат 0401-П4:",'ПО КОРИСНИЦИМА'!$I$6:$I$15001)</f>
        <v>0</v>
      </c>
      <c r="G185" s="637">
        <f t="shared" si="0"/>
        <v>0</v>
      </c>
      <c r="H185" s="643"/>
    </row>
    <row r="186" spans="1:8" hidden="1" x14ac:dyDescent="0.2">
      <c r="A186" s="606"/>
      <c r="B186" s="87" t="s">
        <v>4532</v>
      </c>
      <c r="C186" s="538" t="str">
        <f>IFERROR(VLOOKUP(B186,'ПО КОРИСНИЦИМА'!$C$6:$J$15001,5,FALSE),"")</f>
        <v/>
      </c>
      <c r="D186" s="641">
        <f>SUMIF('ПО КОРИСНИЦИМА'!$G$6:$G$15001,"Свега за пројекат 0401-П5:",'ПО КОРИСНИЦИМА'!$H$6:$H$15001)</f>
        <v>0</v>
      </c>
      <c r="E186" s="638">
        <f t="shared" si="13"/>
        <v>0</v>
      </c>
      <c r="F186" s="642">
        <f>SUMIF('ПО КОРИСНИЦИМА'!$G$6:$G$15001,"Свега за пројекат 0401-П5:",'ПО КОРИСНИЦИМА'!$I$6:$I$15001)</f>
        <v>0</v>
      </c>
      <c r="G186" s="637">
        <f t="shared" si="0"/>
        <v>0</v>
      </c>
      <c r="H186" s="643"/>
    </row>
    <row r="187" spans="1:8" hidden="1" x14ac:dyDescent="0.2">
      <c r="A187" s="606"/>
      <c r="B187" s="87" t="s">
        <v>4533</v>
      </c>
      <c r="C187" s="538" t="str">
        <f>IFERROR(VLOOKUP(B187,'ПО КОРИСНИЦИМА'!$C$6:$J$15001,5,FALSE),"")</f>
        <v/>
      </c>
      <c r="D187" s="641">
        <f>SUMIF('ПО КОРИСНИЦИМА'!$G$6:$G$15001,"Свега за пројекат 0401-П6:",'ПО КОРИСНИЦИМА'!$H$6:$H$15001)</f>
        <v>0</v>
      </c>
      <c r="E187" s="638">
        <f t="shared" si="13"/>
        <v>0</v>
      </c>
      <c r="F187" s="642">
        <f>SUMIF('ПО КОРИСНИЦИМА'!$G$6:$G$15001,"Свега за пројекат 0401-П6:",'ПО КОРИСНИЦИМА'!$I$6:$I$15001)</f>
        <v>0</v>
      </c>
      <c r="G187" s="637">
        <f t="shared" si="0"/>
        <v>0</v>
      </c>
      <c r="H187" s="643"/>
    </row>
    <row r="188" spans="1:8" hidden="1" x14ac:dyDescent="0.2">
      <c r="A188" s="606"/>
      <c r="B188" s="87" t="s">
        <v>4534</v>
      </c>
      <c r="C188" s="538" t="str">
        <f>IFERROR(VLOOKUP(B188,'ПО КОРИСНИЦИМА'!$C$6:$J$15001,5,FALSE),"")</f>
        <v/>
      </c>
      <c r="D188" s="641">
        <f>SUMIF('ПО КОРИСНИЦИМА'!$G$6:$G$15001,"Свега за пројекат 0401-П7:",'ПО КОРИСНИЦИМА'!$H$6:$H$15001)</f>
        <v>0</v>
      </c>
      <c r="E188" s="638">
        <f t="shared" si="13"/>
        <v>0</v>
      </c>
      <c r="F188" s="642">
        <f>SUMIF('ПО КОРИСНИЦИМА'!$G$6:$G$15001,"Свега за пројекат 0401-П7:",'ПО КОРИСНИЦИМА'!$I$6:$I$15001)</f>
        <v>0</v>
      </c>
      <c r="G188" s="637">
        <f t="shared" si="0"/>
        <v>0</v>
      </c>
      <c r="H188" s="643"/>
    </row>
    <row r="189" spans="1:8" hidden="1" x14ac:dyDescent="0.2">
      <c r="A189" s="606"/>
      <c r="B189" s="87" t="s">
        <v>4535</v>
      </c>
      <c r="C189" s="538" t="str">
        <f>IFERROR(VLOOKUP(B189,'ПО КОРИСНИЦИМА'!$C$6:$J$15001,5,FALSE),"")</f>
        <v/>
      </c>
      <c r="D189" s="641">
        <f>SUMIF('ПО КОРИСНИЦИМА'!$G$6:$G$15001,"Свега за пројекат 0401-П8:",'ПО КОРИСНИЦИМА'!$H$6:$H$15001)</f>
        <v>0</v>
      </c>
      <c r="E189" s="638">
        <f t="shared" si="13"/>
        <v>0</v>
      </c>
      <c r="F189" s="642">
        <f>SUMIF('ПО КОРИСНИЦИМА'!$G$6:$G$15001,"Свега за пројекат 0401-П8:",'ПО КОРИСНИЦИМА'!$I$6:$I$15001)</f>
        <v>0</v>
      </c>
      <c r="G189" s="637">
        <f t="shared" si="0"/>
        <v>0</v>
      </c>
      <c r="H189" s="643"/>
    </row>
    <row r="190" spans="1:8" hidden="1" x14ac:dyDescent="0.2">
      <c r="A190" s="606"/>
      <c r="B190" s="87" t="s">
        <v>4536</v>
      </c>
      <c r="C190" s="538" t="str">
        <f>IFERROR(VLOOKUP(B190,'ПО КОРИСНИЦИМА'!$C$6:$J$15001,5,FALSE),"")</f>
        <v/>
      </c>
      <c r="D190" s="641">
        <f>SUMIF('ПО КОРИСНИЦИМА'!$G$6:$G$15001,"Свега за пројекат 0401-П9:",'ПО КОРИСНИЦИМА'!$H$6:$H$15001)</f>
        <v>0</v>
      </c>
      <c r="E190" s="638">
        <f t="shared" si="13"/>
        <v>0</v>
      </c>
      <c r="F190" s="642">
        <f>SUMIF('ПО КОРИСНИЦИМА'!$G$6:$G$15001,"Свега за пројекат 0401-П9:",'ПО КОРИСНИЦИМА'!$I$6:$I$15001)</f>
        <v>0</v>
      </c>
      <c r="G190" s="637">
        <f t="shared" si="0"/>
        <v>0</v>
      </c>
      <c r="H190" s="643"/>
    </row>
    <row r="191" spans="1:8" hidden="1" x14ac:dyDescent="0.2">
      <c r="A191" s="606"/>
      <c r="B191" s="87" t="s">
        <v>4537</v>
      </c>
      <c r="C191" s="538" t="str">
        <f>IFERROR(VLOOKUP(B191,'ПО КОРИСНИЦИМА'!$C$6:$J$15001,5,FALSE),"")</f>
        <v/>
      </c>
      <c r="D191" s="641">
        <f>SUMIF('ПО КОРИСНИЦИМА'!$G$6:$G$15001,"Свега за пројекат 0401-П10:",'ПО КОРИСНИЦИМА'!$H$6:$H$15001)</f>
        <v>0</v>
      </c>
      <c r="E191" s="638">
        <f t="shared" si="13"/>
        <v>0</v>
      </c>
      <c r="F191" s="642">
        <f>SUMIF('ПО КОРИСНИЦИМА'!$G$6:$G$15001,"Свега за пројекат 0401-П10:",'ПО КОРИСНИЦИМА'!$I$6:$I$15001)</f>
        <v>0</v>
      </c>
      <c r="G191" s="637">
        <f t="shared" si="0"/>
        <v>0</v>
      </c>
      <c r="H191" s="643"/>
    </row>
    <row r="192" spans="1:8" hidden="1" x14ac:dyDescent="0.2">
      <c r="A192" s="606"/>
      <c r="B192" s="87" t="s">
        <v>4538</v>
      </c>
      <c r="C192" s="538" t="str">
        <f>IFERROR(VLOOKUP(B192,'ПО КОРИСНИЦИМА'!$C$6:$J$15001,5,FALSE),"")</f>
        <v/>
      </c>
      <c r="D192" s="641">
        <f>SUMIF('ПО КОРИСНИЦИМА'!$G$6:$G$15001,"Свега за пројекат 0401-П11:",'ПО КОРИСНИЦИМА'!$H$6:$H$15001)</f>
        <v>0</v>
      </c>
      <c r="E192" s="638">
        <f t="shared" si="13"/>
        <v>0</v>
      </c>
      <c r="F192" s="642">
        <f>SUMIF('ПО КОРИСНИЦИМА'!$G$6:$G$15001,"Свега за пројекат 0401-П11:",'ПО КОРИСНИЦИМА'!$I$6:$I$15001)</f>
        <v>0</v>
      </c>
      <c r="G192" s="637">
        <f t="shared" si="0"/>
        <v>0</v>
      </c>
      <c r="H192" s="643"/>
    </row>
    <row r="193" spans="1:8" hidden="1" x14ac:dyDescent="0.2">
      <c r="A193" s="606"/>
      <c r="B193" s="87" t="s">
        <v>4539</v>
      </c>
      <c r="C193" s="538" t="str">
        <f>IFERROR(VLOOKUP(B193,'ПО КОРИСНИЦИМА'!$C$6:$J$15001,5,FALSE),"")</f>
        <v/>
      </c>
      <c r="D193" s="641">
        <f>SUMIF('ПО КОРИСНИЦИМА'!$G$6:$G$15001,"Свега за пројекат 0401-П12:",'ПО КОРИСНИЦИМА'!$H$6:$H$15001)</f>
        <v>0</v>
      </c>
      <c r="E193" s="638">
        <f t="shared" si="13"/>
        <v>0</v>
      </c>
      <c r="F193" s="642">
        <f>SUMIF('ПО КОРИСНИЦИМА'!$G$6:$G$15001,"Свега за пројекат 0401-П12:",'ПО КОРИСНИЦИМА'!$I$6:$I$15001)</f>
        <v>0</v>
      </c>
      <c r="G193" s="637">
        <f t="shared" si="0"/>
        <v>0</v>
      </c>
      <c r="H193" s="640"/>
    </row>
    <row r="194" spans="1:8" hidden="1" x14ac:dyDescent="0.2">
      <c r="A194" s="606"/>
      <c r="B194" s="87" t="s">
        <v>4540</v>
      </c>
      <c r="C194" s="538" t="str">
        <f>IFERROR(VLOOKUP(B194,'ПО КОРИСНИЦИМА'!$C$6:$J$15001,5,FALSE),"")</f>
        <v/>
      </c>
      <c r="D194" s="641">
        <f>SUMIF('ПО КОРИСНИЦИМА'!$G$6:$G$15001,"Свега за пројекат 0401-П13:",'ПО КОРИСНИЦИМА'!$H$6:$H$15001)</f>
        <v>0</v>
      </c>
      <c r="E194" s="638">
        <f t="shared" si="13"/>
        <v>0</v>
      </c>
      <c r="F194" s="642">
        <f>SUMIF('ПО КОРИСНИЦИМА'!$G$6:$G$15001,"Свега за пројекат 0401-П13:",'ПО КОРИСНИЦИМА'!$I$6:$I$15001)</f>
        <v>0</v>
      </c>
      <c r="G194" s="637">
        <f t="shared" si="0"/>
        <v>0</v>
      </c>
      <c r="H194" s="640"/>
    </row>
    <row r="195" spans="1:8" hidden="1" x14ac:dyDescent="0.2">
      <c r="A195" s="606"/>
      <c r="B195" s="87" t="s">
        <v>4541</v>
      </c>
      <c r="C195" s="538" t="str">
        <f>IFERROR(VLOOKUP(B195,'ПО КОРИСНИЦИМА'!$C$6:$J$15001,5,FALSE),"")</f>
        <v/>
      </c>
      <c r="D195" s="641">
        <f>SUMIF('ПО КОРИСНИЦИМА'!$G$6:$G$15001,"Свега за пројекат 0401-П14:",'ПО КОРИСНИЦИМА'!$H$6:$H$15001)</f>
        <v>0</v>
      </c>
      <c r="E195" s="638">
        <f t="shared" si="13"/>
        <v>0</v>
      </c>
      <c r="F195" s="642">
        <f>SUMIF('ПО КОРИСНИЦИМА'!$G$6:$G$15001,"Свега за пројекат 0401-П14:",'ПО КОРИСНИЦИМА'!$I$6:$I$15001)</f>
        <v>0</v>
      </c>
      <c r="G195" s="637">
        <f t="shared" si="0"/>
        <v>0</v>
      </c>
      <c r="H195" s="640"/>
    </row>
    <row r="196" spans="1:8" hidden="1" x14ac:dyDescent="0.2">
      <c r="A196" s="612"/>
      <c r="B196" s="87" t="s">
        <v>4542</v>
      </c>
      <c r="C196" s="538" t="str">
        <f>IFERROR(VLOOKUP(B196,'ПО КОРИСНИЦИМА'!$C$6:$J$15001,5,FALSE),"")</f>
        <v/>
      </c>
      <c r="D196" s="641">
        <f>SUMIF('ПО КОРИСНИЦИМА'!$G$6:$G$15001,"Свега за пројекат 0401-П15:",'ПО КОРИСНИЦИМА'!$H$6:$H$15001)</f>
        <v>0</v>
      </c>
      <c r="E196" s="638">
        <f t="shared" si="13"/>
        <v>0</v>
      </c>
      <c r="F196" s="642">
        <f>SUMIF('ПО КОРИСНИЦИМА'!$G$6:$G$15001,"Свега за пројекат 0401-П15:",'ПО КОРИСНИЦИМА'!$I$6:$I$15001)</f>
        <v>0</v>
      </c>
      <c r="G196" s="637">
        <f t="shared" ref="G196" si="14">D196+F196</f>
        <v>0</v>
      </c>
      <c r="H196" s="649"/>
    </row>
    <row r="197" spans="1:8" s="609" customFormat="1" x14ac:dyDescent="0.2">
      <c r="A197" s="602" t="s">
        <v>3575</v>
      </c>
      <c r="B197" s="603"/>
      <c r="C197" s="536" t="s">
        <v>5157</v>
      </c>
      <c r="D197" s="629">
        <f>SUM(D198:D251)</f>
        <v>79500000</v>
      </c>
      <c r="E197" s="630">
        <f>IFERROR(D197/$D$615,"-")</f>
        <v>0.20012405677693185</v>
      </c>
      <c r="F197" s="631">
        <f>SUM(F198:F251)</f>
        <v>3265528</v>
      </c>
      <c r="G197" s="651">
        <f t="shared" ref="G197:G535" si="15">D197+F197</f>
        <v>82765528</v>
      </c>
      <c r="H197" s="650"/>
    </row>
    <row r="198" spans="1:8" hidden="1" x14ac:dyDescent="0.2">
      <c r="A198" s="604"/>
      <c r="B198" s="610" t="s">
        <v>4113</v>
      </c>
      <c r="C198" s="542" t="s">
        <v>5066</v>
      </c>
      <c r="D198" s="633">
        <f>SUMIF('ПО КОРИСНИЦИМА'!$G$6:$G$15001,"Свега за програмску активност 0701-0001:",'ПО КОРИСНИЦИМА'!$H$6:$H$15001)</f>
        <v>0</v>
      </c>
      <c r="E198" s="634">
        <f>IFERROR(D198/$D$615,"-")</f>
        <v>0</v>
      </c>
      <c r="F198" s="635">
        <f>SUMIF('ПО КОРИСНИЦИМА'!$G$6:$G$15001,"Свега за програмску активност 0701-0001:",'ПО КОРИСНИЦИМА'!$I$6:$I$15001)</f>
        <v>0</v>
      </c>
      <c r="G198" s="633">
        <f t="shared" si="15"/>
        <v>0</v>
      </c>
      <c r="H198" s="636"/>
    </row>
    <row r="199" spans="1:8" x14ac:dyDescent="0.2">
      <c r="A199" s="606"/>
      <c r="B199" s="614" t="s">
        <v>4391</v>
      </c>
      <c r="C199" s="543" t="s">
        <v>5073</v>
      </c>
      <c r="D199" s="637">
        <f>SUMIF('ПО КОРИСНИЦИМА'!$G$6:$G$15001,"Свега за програмску активност 0701-0002:",'ПО КОРИСНИЦИМА'!$H$6:$H$15001)</f>
        <v>79500000</v>
      </c>
      <c r="E199" s="638">
        <f>IFERROR(D199/$D$615,"-")</f>
        <v>0.20012405677693185</v>
      </c>
      <c r="F199" s="639">
        <f>SUMIF('ПО КОРИСНИЦИМА'!$G$6:$G$15001,"Свега за програмску активност 0701-0002:",'ПО КОРИСНИЦИМА'!$I$6:$I$15001)</f>
        <v>3265528</v>
      </c>
      <c r="G199" s="637">
        <f t="shared" si="15"/>
        <v>82765528</v>
      </c>
      <c r="H199" s="640"/>
    </row>
    <row r="200" spans="1:8" hidden="1" x14ac:dyDescent="0.2">
      <c r="A200" s="606"/>
      <c r="B200" s="614" t="s">
        <v>5109</v>
      </c>
      <c r="C200" s="543" t="s">
        <v>5110</v>
      </c>
      <c r="D200" s="637"/>
      <c r="E200" s="638"/>
      <c r="F200" s="639"/>
      <c r="G200" s="637"/>
      <c r="H200" s="643"/>
    </row>
    <row r="201" spans="1:8" hidden="1" x14ac:dyDescent="0.2">
      <c r="A201" s="606"/>
      <c r="B201" s="614" t="s">
        <v>5111</v>
      </c>
      <c r="C201" s="543" t="s">
        <v>5112</v>
      </c>
      <c r="D201" s="637"/>
      <c r="E201" s="638"/>
      <c r="F201" s="639"/>
      <c r="G201" s="637"/>
      <c r="H201" s="643"/>
    </row>
    <row r="202" spans="1:8" hidden="1" x14ac:dyDescent="0.2">
      <c r="A202" s="611"/>
      <c r="B202" s="611" t="s">
        <v>4543</v>
      </c>
      <c r="C202" s="538"/>
      <c r="D202" s="641"/>
      <c r="E202" s="638">
        <f>IFERROR(D202/$D$615,"-")</f>
        <v>0</v>
      </c>
      <c r="F202" s="642">
        <f>SUMIF('ПО КОРИСНИЦИМА'!$G$6:$G$15001,"Свега за пројекат 0701-П1:",'ПО КОРИСНИЦИМА'!$I$6:$I$15001)</f>
        <v>0</v>
      </c>
      <c r="G202" s="637">
        <f t="shared" si="15"/>
        <v>0</v>
      </c>
      <c r="H202" s="640"/>
    </row>
    <row r="203" spans="1:8" hidden="1" x14ac:dyDescent="0.2">
      <c r="A203" s="611"/>
      <c r="B203" s="611" t="s">
        <v>4544</v>
      </c>
      <c r="C203" s="538"/>
      <c r="D203" s="641">
        <f>SUMIF('ПО КОРИСНИЦИМА'!$G$6:$G$15001,"Свега за пројекат 0701-П2:",'ПО КОРИСНИЦИМА'!$H$6:$H$15001)</f>
        <v>0</v>
      </c>
      <c r="E203" s="638">
        <f t="shared" ref="E203:E251" si="16">IFERROR(D203/$D$615,"-")</f>
        <v>0</v>
      </c>
      <c r="F203" s="642">
        <f>SUMIF('ПО КОРИСНИЦИМА'!$G$6:$G$15001,"Свега за пројекат 0701-П2:",'ПО КОРИСНИЦИМА'!$I$6:$I$15001)</f>
        <v>0</v>
      </c>
      <c r="G203" s="637">
        <f t="shared" si="15"/>
        <v>0</v>
      </c>
      <c r="H203" s="643"/>
    </row>
    <row r="204" spans="1:8" hidden="1" x14ac:dyDescent="0.2">
      <c r="A204" s="611"/>
      <c r="B204" s="611" t="s">
        <v>4545</v>
      </c>
      <c r="C204" s="538"/>
      <c r="D204" s="641">
        <f>SUMIF('ПО КОРИСНИЦИМА'!$G$6:$G$15001,"Свега за пројекат 0701-П3:",'ПО КОРИСНИЦИМА'!$H$6:$H$15001)</f>
        <v>0</v>
      </c>
      <c r="E204" s="638">
        <f t="shared" si="16"/>
        <v>0</v>
      </c>
      <c r="F204" s="642">
        <f>SUMIF('ПО КОРИСНИЦИМА'!$G$6:$G$15001,"Свега за пројекат 0701-П3:",'ПО КОРИСНИЦИМА'!$I$6:$I$15001)</f>
        <v>0</v>
      </c>
      <c r="G204" s="637">
        <f t="shared" si="15"/>
        <v>0</v>
      </c>
      <c r="H204" s="643"/>
    </row>
    <row r="205" spans="1:8" hidden="1" x14ac:dyDescent="0.2">
      <c r="A205" s="611"/>
      <c r="B205" s="611" t="s">
        <v>4546</v>
      </c>
      <c r="C205" s="538" t="str">
        <f>IFERROR(VLOOKUP(B205,'ПО КОРИСНИЦИМА'!$C$6:$J$15001,5,FALSE),"")</f>
        <v/>
      </c>
      <c r="D205" s="641">
        <f>SUMIF('ПО КОРИСНИЦИМА'!$G$6:$G$15001,"Свега за пројекат 0701-П4:",'ПО КОРИСНИЦИМА'!$H$6:$H$15001)</f>
        <v>0</v>
      </c>
      <c r="E205" s="638">
        <f t="shared" si="16"/>
        <v>0</v>
      </c>
      <c r="F205" s="642">
        <f>SUMIF('ПО КОРИСНИЦИМА'!$G$6:$G$15001,"Свега за пројекат 0701-П4:",'ПО КОРИСНИЦИМА'!$I$6:$I$15001)</f>
        <v>0</v>
      </c>
      <c r="G205" s="637">
        <f t="shared" si="15"/>
        <v>0</v>
      </c>
      <c r="H205" s="643"/>
    </row>
    <row r="206" spans="1:8" ht="14.25" hidden="1" customHeight="1" x14ac:dyDescent="0.2">
      <c r="A206" s="611"/>
      <c r="B206" s="611" t="s">
        <v>4547</v>
      </c>
      <c r="C206" s="538" t="str">
        <f>IFERROR(VLOOKUP(B206,'ПО КОРИСНИЦИМА'!$C$6:$J$15001,5,FALSE),"")</f>
        <v/>
      </c>
      <c r="D206" s="641">
        <f>SUMIF('ПО КОРИСНИЦИМА'!$G$6:$G$15001,"Свега за пројекат 0701-П5:",'ПО КОРИСНИЦИМА'!$H$6:$H$15001)</f>
        <v>0</v>
      </c>
      <c r="E206" s="638">
        <f t="shared" si="16"/>
        <v>0</v>
      </c>
      <c r="F206" s="642">
        <f>SUMIF('ПО КОРИСНИЦИМА'!$G$6:$G$15001,"Свега за пројекат 0701-П5:",'ПО КОРИСНИЦИМА'!$I$6:$I$15001)</f>
        <v>0</v>
      </c>
      <c r="G206" s="637">
        <f t="shared" si="15"/>
        <v>0</v>
      </c>
      <c r="H206" s="643"/>
    </row>
    <row r="207" spans="1:8" ht="15" hidden="1" x14ac:dyDescent="0.2">
      <c r="A207" s="611"/>
      <c r="B207" s="611" t="s">
        <v>4548</v>
      </c>
      <c r="C207" s="749" t="s">
        <v>5207</v>
      </c>
      <c r="D207" s="641">
        <f>SUMIF('ПО КОРИСНИЦИМА'!$G$6:$G$15001,"Свега за пројекат 0701-П6:",'ПО КОРИСНИЦИМА'!$H$6:$H$15001)</f>
        <v>0</v>
      </c>
      <c r="E207" s="638">
        <f t="shared" si="16"/>
        <v>0</v>
      </c>
      <c r="F207" s="642">
        <f>SUMIF('ПО КОРИСНИЦИМА'!$G$6:$G$15001,"Свега за пројекат 0701-П6:",'ПО КОРИСНИЦИМА'!$I$6:$I$15001)</f>
        <v>0</v>
      </c>
      <c r="G207" s="637">
        <f t="shared" si="15"/>
        <v>0</v>
      </c>
      <c r="H207" s="643"/>
    </row>
    <row r="208" spans="1:8" hidden="1" x14ac:dyDescent="0.2">
      <c r="A208" s="611"/>
      <c r="B208" s="611" t="s">
        <v>4549</v>
      </c>
      <c r="C208" s="538" t="s">
        <v>5216</v>
      </c>
      <c r="D208" s="641">
        <f>SUMIF('ПО КОРИСНИЦИМА'!$G$6:$G$15001,"Свега за пројекат 0701-П7:",'ПО КОРИСНИЦИМА'!$H$6:$H$15001)</f>
        <v>0</v>
      </c>
      <c r="E208" s="638">
        <f t="shared" si="16"/>
        <v>0</v>
      </c>
      <c r="F208" s="642">
        <f>SUMIF('ПО КОРИСНИЦИМА'!$G$6:$G$15001,"Свега за пројекат 0701-П7:",'ПО КОРИСНИЦИМА'!$I$6:$I$15001)</f>
        <v>0</v>
      </c>
      <c r="G208" s="637">
        <f t="shared" si="15"/>
        <v>0</v>
      </c>
      <c r="H208" s="643"/>
    </row>
    <row r="209" spans="1:8" hidden="1" x14ac:dyDescent="0.2">
      <c r="A209" s="611"/>
      <c r="B209" s="611" t="s">
        <v>4550</v>
      </c>
      <c r="C209" s="538"/>
      <c r="D209" s="641">
        <f>SUMIF('ПО КОРИСНИЦИМА'!$G$6:$G$15001,"Свега за пројекат 0701-П8:",'ПО КОРИСНИЦИМА'!$H$6:$H$15001)</f>
        <v>0</v>
      </c>
      <c r="E209" s="638">
        <f t="shared" si="16"/>
        <v>0</v>
      </c>
      <c r="F209" s="642">
        <f>SUMIF('ПО КОРИСНИЦИМА'!$G$6:$G$15001,"Свега за пројекат 0701-П8:",'ПО КОРИСНИЦИМА'!$I$6:$I$15001)</f>
        <v>0</v>
      </c>
      <c r="G209" s="637">
        <f t="shared" si="15"/>
        <v>0</v>
      </c>
      <c r="H209" s="643"/>
    </row>
    <row r="210" spans="1:8" hidden="1" x14ac:dyDescent="0.2">
      <c r="A210" s="611"/>
      <c r="B210" s="611" t="s">
        <v>4551</v>
      </c>
      <c r="C210" s="538"/>
      <c r="D210" s="641">
        <f>SUMIF('ПО КОРИСНИЦИМА'!$G$6:$G$15001,"Свега за пројекат 0701-П9:",'ПО КОРИСНИЦИМА'!$H$6:$H$15001)</f>
        <v>0</v>
      </c>
      <c r="E210" s="638">
        <f t="shared" si="16"/>
        <v>0</v>
      </c>
      <c r="F210" s="642">
        <f>SUMIF('ПО КОРИСНИЦИМА'!$G$6:$G$15001,"Свега за пројекат 0701-П9:",'ПО КОРИСНИЦИМА'!$I$6:$I$15001)</f>
        <v>0</v>
      </c>
      <c r="G210" s="637">
        <f t="shared" si="15"/>
        <v>0</v>
      </c>
      <c r="H210" s="643"/>
    </row>
    <row r="211" spans="1:8" hidden="1" x14ac:dyDescent="0.2">
      <c r="A211" s="611"/>
      <c r="B211" s="611" t="s">
        <v>4552</v>
      </c>
      <c r="C211" s="538" t="str">
        <f>IFERROR(VLOOKUP(B211,'ПО КОРИСНИЦИМА'!$C$6:$J$15001,5,FALSE),"")</f>
        <v/>
      </c>
      <c r="D211" s="641">
        <f>SUMIF('ПО КОРИСНИЦИМА'!$G$6:$G$15001,"Свега за пројекат 0701-П10:",'ПО КОРИСНИЦИМА'!$H$6:$H$15001)</f>
        <v>0</v>
      </c>
      <c r="E211" s="638">
        <f t="shared" si="16"/>
        <v>0</v>
      </c>
      <c r="F211" s="642">
        <f>SUMIF('ПО КОРИСНИЦИМА'!$G$6:$G$15001,"Свега за пројекат 0701-П10:",'ПО КОРИСНИЦИМА'!$I$6:$I$15001)</f>
        <v>0</v>
      </c>
      <c r="G211" s="637">
        <f t="shared" si="15"/>
        <v>0</v>
      </c>
      <c r="H211" s="643"/>
    </row>
    <row r="212" spans="1:8" hidden="1" x14ac:dyDescent="0.2">
      <c r="A212" s="611"/>
      <c r="B212" s="611" t="s">
        <v>4553</v>
      </c>
      <c r="C212" s="538" t="str">
        <f>IFERROR(VLOOKUP(B212,'ПО КОРИСНИЦИМА'!$C$6:$J$15001,5,FALSE),"")</f>
        <v/>
      </c>
      <c r="D212" s="641">
        <f>SUMIF('ПО КОРИСНИЦИМА'!$G$6:$G$15001,"Свега за пројекат 0701-П11:",'ПО КОРИСНИЦИМА'!$H$6:$H$15001)</f>
        <v>0</v>
      </c>
      <c r="E212" s="638">
        <f t="shared" si="16"/>
        <v>0</v>
      </c>
      <c r="F212" s="642">
        <f>SUMIF('ПО КОРИСНИЦИМА'!$G$6:$G$15001,"Свега за пројекат 0701-П11:",'ПО КОРИСНИЦИМА'!$I$6:$I$15001)</f>
        <v>0</v>
      </c>
      <c r="G212" s="637">
        <f t="shared" si="15"/>
        <v>0</v>
      </c>
      <c r="H212" s="643"/>
    </row>
    <row r="213" spans="1:8" hidden="1" x14ac:dyDescent="0.2">
      <c r="A213" s="611"/>
      <c r="B213" s="611" t="s">
        <v>4554</v>
      </c>
      <c r="C213" s="538" t="str">
        <f>IFERROR(VLOOKUP(B213,'ПО КОРИСНИЦИМА'!$C$6:$J$15001,5,FALSE),"")</f>
        <v/>
      </c>
      <c r="D213" s="641">
        <f>SUMIF('ПО КОРИСНИЦИМА'!$G$6:$G$15001,"Свега за пројекат 0701-П12:",'ПО КОРИСНИЦИМА'!$H$6:$H$15001)</f>
        <v>0</v>
      </c>
      <c r="E213" s="638">
        <f t="shared" si="16"/>
        <v>0</v>
      </c>
      <c r="F213" s="642">
        <f>SUMIF('ПО КОРИСНИЦИМА'!$G$6:$G$15001,"Свега за пројекат 0701-П12:",'ПО КОРИСНИЦИМА'!$I$6:$I$15001)</f>
        <v>0</v>
      </c>
      <c r="G213" s="637">
        <f t="shared" si="15"/>
        <v>0</v>
      </c>
      <c r="H213" s="643"/>
    </row>
    <row r="214" spans="1:8" hidden="1" x14ac:dyDescent="0.2">
      <c r="A214" s="611"/>
      <c r="B214" s="611" t="s">
        <v>4555</v>
      </c>
      <c r="C214" s="538" t="str">
        <f>IFERROR(VLOOKUP(B214,'ПО КОРИСНИЦИМА'!$C$6:$J$15001,5,FALSE),"")</f>
        <v/>
      </c>
      <c r="D214" s="641">
        <f>SUMIF('ПО КОРИСНИЦИМА'!$G$6:$G$15001,"Свега за пројекат 0701-П13:",'ПО КОРИСНИЦИМА'!$H$6:$H$15001)</f>
        <v>0</v>
      </c>
      <c r="E214" s="638">
        <f t="shared" si="16"/>
        <v>0</v>
      </c>
      <c r="F214" s="642">
        <f>SUMIF('ПО КОРИСНИЦИМА'!$G$6:$G$15001,"Свега за пројекат 0701-П13:",'ПО КОРИСНИЦИМА'!$I$6:$I$15001)</f>
        <v>0</v>
      </c>
      <c r="G214" s="637">
        <f t="shared" si="15"/>
        <v>0</v>
      </c>
      <c r="H214" s="643"/>
    </row>
    <row r="215" spans="1:8" hidden="1" x14ac:dyDescent="0.2">
      <c r="A215" s="611"/>
      <c r="B215" s="611" t="s">
        <v>4556</v>
      </c>
      <c r="C215" s="538" t="str">
        <f>IFERROR(VLOOKUP(B215,'ПО КОРИСНИЦИМА'!$C$6:$J$15001,5,FALSE),"")</f>
        <v/>
      </c>
      <c r="D215" s="641">
        <f>SUMIF('ПО КОРИСНИЦИМА'!$G$6:$G$15001,"Свега за пројекат 0701-П14:",'ПО КОРИСНИЦИМА'!$H$6:$H$15001)</f>
        <v>0</v>
      </c>
      <c r="E215" s="638">
        <f t="shared" si="16"/>
        <v>0</v>
      </c>
      <c r="F215" s="642">
        <f>SUMIF('ПО КОРИСНИЦИМА'!$G$6:$G$15001,"Свега за пројекат 0701-П14:",'ПО КОРИСНИЦИМА'!$I$6:$I$15001)</f>
        <v>0</v>
      </c>
      <c r="G215" s="637">
        <f t="shared" si="15"/>
        <v>0</v>
      </c>
      <c r="H215" s="643"/>
    </row>
    <row r="216" spans="1:8" hidden="1" x14ac:dyDescent="0.2">
      <c r="A216" s="611"/>
      <c r="B216" s="611" t="s">
        <v>4557</v>
      </c>
      <c r="C216" s="538" t="str">
        <f>IFERROR(VLOOKUP(B216,'ПО КОРИСНИЦИМА'!$C$6:$J$15001,5,FALSE),"")</f>
        <v/>
      </c>
      <c r="D216" s="641">
        <f>SUMIF('ПО КОРИСНИЦИМА'!$G$6:$G$15001,"Свега за пројекат 0701-П15:",'ПО КОРИСНИЦИМА'!$H$6:$H$15001)</f>
        <v>0</v>
      </c>
      <c r="E216" s="638">
        <f t="shared" si="16"/>
        <v>0</v>
      </c>
      <c r="F216" s="642">
        <f>SUMIF('ПО КОРИСНИЦИМА'!$G$6:$G$15001,"Свега за пројекат 0701-П15:",'ПО КОРИСНИЦИМА'!$I$6:$I$15001)</f>
        <v>0</v>
      </c>
      <c r="G216" s="637">
        <f t="shared" si="15"/>
        <v>0</v>
      </c>
      <c r="H216" s="643"/>
    </row>
    <row r="217" spans="1:8" hidden="1" x14ac:dyDescent="0.2">
      <c r="A217" s="611"/>
      <c r="B217" s="611" t="s">
        <v>4558</v>
      </c>
      <c r="C217" s="538" t="str">
        <f>IFERROR(VLOOKUP(B217,'ПО КОРИСНИЦИМА'!$C$6:$J$15001,5,FALSE),"")</f>
        <v/>
      </c>
      <c r="D217" s="641">
        <f>SUMIF('ПО КОРИСНИЦИМА'!$G$6:$G$15001,"Свега за пројекат 0701-П16:",'ПО КОРИСНИЦИМА'!$H$6:$H$15001)</f>
        <v>0</v>
      </c>
      <c r="E217" s="638">
        <f t="shared" si="16"/>
        <v>0</v>
      </c>
      <c r="F217" s="642">
        <f>SUMIF('ПО КОРИСНИЦИМА'!$G$6:$G$15001,"Свега за пројекат 0701-П16:",'ПО КОРИСНИЦИМА'!$I$6:$I$15001)</f>
        <v>0</v>
      </c>
      <c r="G217" s="637">
        <f t="shared" si="15"/>
        <v>0</v>
      </c>
      <c r="H217" s="643"/>
    </row>
    <row r="218" spans="1:8" hidden="1" x14ac:dyDescent="0.2">
      <c r="A218" s="611"/>
      <c r="B218" s="611" t="s">
        <v>4559</v>
      </c>
      <c r="C218" s="538" t="str">
        <f>IFERROR(VLOOKUP(B218,'ПО КОРИСНИЦИМА'!$C$6:$J$15001,5,FALSE),"")</f>
        <v/>
      </c>
      <c r="D218" s="641">
        <f>SUMIF('ПО КОРИСНИЦИМА'!$G$6:$G$15001,"Свега за пројекат 0701-П17:",'ПО КОРИСНИЦИМА'!$H$6:$H$15001)</f>
        <v>0</v>
      </c>
      <c r="E218" s="638">
        <f t="shared" si="16"/>
        <v>0</v>
      </c>
      <c r="F218" s="642">
        <f>SUMIF('ПО КОРИСНИЦИМА'!$G$6:$G$15001,"Свега за пројекат 0701-П17:",'ПО КОРИСНИЦИМА'!$I$6:$I$15001)</f>
        <v>0</v>
      </c>
      <c r="G218" s="637">
        <f t="shared" si="15"/>
        <v>0</v>
      </c>
      <c r="H218" s="643"/>
    </row>
    <row r="219" spans="1:8" hidden="1" x14ac:dyDescent="0.2">
      <c r="A219" s="611"/>
      <c r="B219" s="611" t="s">
        <v>4560</v>
      </c>
      <c r="C219" s="538" t="str">
        <f>IFERROR(VLOOKUP(B219,'ПО КОРИСНИЦИМА'!$C$6:$J$15001,5,FALSE),"")</f>
        <v/>
      </c>
      <c r="D219" s="641">
        <f>SUMIF('ПО КОРИСНИЦИМА'!$G$6:$G$15001,"Свега за пројекат 0701-П18:",'ПО КОРИСНИЦИМА'!$H$6:$H$15001)</f>
        <v>0</v>
      </c>
      <c r="E219" s="638">
        <f t="shared" si="16"/>
        <v>0</v>
      </c>
      <c r="F219" s="642">
        <f>SUMIF('ПО КОРИСНИЦИМА'!$G$6:$G$15001,"Свега за пројекат 0701-П18:",'ПО КОРИСНИЦИМА'!$I$6:$I$15001)</f>
        <v>0</v>
      </c>
      <c r="G219" s="637">
        <f t="shared" si="15"/>
        <v>0</v>
      </c>
      <c r="H219" s="643"/>
    </row>
    <row r="220" spans="1:8" hidden="1" x14ac:dyDescent="0.2">
      <c r="A220" s="611"/>
      <c r="B220" s="611" t="s">
        <v>4561</v>
      </c>
      <c r="C220" s="538" t="str">
        <f>IFERROR(VLOOKUP(B220,'ПО КОРИСНИЦИМА'!$C$6:$J$15001,5,FALSE),"")</f>
        <v/>
      </c>
      <c r="D220" s="641">
        <f>SUMIF('ПО КОРИСНИЦИМА'!$G$6:$G$15001,"Свега за пројекат 0701-П19:",'ПО КОРИСНИЦИМА'!$H$6:$H$15001)</f>
        <v>0</v>
      </c>
      <c r="E220" s="638">
        <f t="shared" si="16"/>
        <v>0</v>
      </c>
      <c r="F220" s="642">
        <f>SUMIF('ПО КОРИСНИЦИМА'!$G$6:$G$15001,"Свега за пројекат 0701-П19:",'ПО КОРИСНИЦИМА'!$I$6:$I$15001)</f>
        <v>0</v>
      </c>
      <c r="G220" s="637">
        <f t="shared" si="15"/>
        <v>0</v>
      </c>
      <c r="H220" s="643"/>
    </row>
    <row r="221" spans="1:8" hidden="1" x14ac:dyDescent="0.2">
      <c r="A221" s="611"/>
      <c r="B221" s="611" t="s">
        <v>4562</v>
      </c>
      <c r="C221" s="538" t="str">
        <f>IFERROR(VLOOKUP(B221,'ПО КОРИСНИЦИМА'!$C$6:$J$15001,5,FALSE),"")</f>
        <v/>
      </c>
      <c r="D221" s="641">
        <f>SUMIF('ПО КОРИСНИЦИМА'!$G$6:$G$15001,"Свега за пројекат 0701-П20:",'ПО КОРИСНИЦИМА'!$H$6:$H$15001)</f>
        <v>0</v>
      </c>
      <c r="E221" s="638">
        <f t="shared" si="16"/>
        <v>0</v>
      </c>
      <c r="F221" s="642">
        <f>SUMIF('ПО КОРИСНИЦИМА'!$G$6:$G$15001,"Свега за пројекат 0701-П20:",'ПО КОРИСНИЦИМА'!$I$6:$I$15001)</f>
        <v>0</v>
      </c>
      <c r="G221" s="637">
        <f t="shared" si="15"/>
        <v>0</v>
      </c>
      <c r="H221" s="643"/>
    </row>
    <row r="222" spans="1:8" hidden="1" x14ac:dyDescent="0.2">
      <c r="A222" s="611"/>
      <c r="B222" s="611" t="s">
        <v>4563</v>
      </c>
      <c r="C222" s="538" t="str">
        <f>IFERROR(VLOOKUP(B222,'ПО КОРИСНИЦИМА'!$C$6:$J$15001,5,FALSE),"")</f>
        <v/>
      </c>
      <c r="D222" s="641">
        <f>SUMIF('ПО КОРИСНИЦИМА'!$G$6:$G$15001,"Свега за пројекат 0701-П21:",'ПО КОРИСНИЦИМА'!$H$6:$H$15001)</f>
        <v>0</v>
      </c>
      <c r="E222" s="638">
        <f t="shared" si="16"/>
        <v>0</v>
      </c>
      <c r="F222" s="642">
        <f>SUMIF('ПО КОРИСНИЦИМА'!$G$6:$G$15001,"Свега за пројекат 0701-П21:",'ПО КОРИСНИЦИМА'!$I$6:$I$15001)</f>
        <v>0</v>
      </c>
      <c r="G222" s="637">
        <f t="shared" si="15"/>
        <v>0</v>
      </c>
      <c r="H222" s="643"/>
    </row>
    <row r="223" spans="1:8" hidden="1" x14ac:dyDescent="0.2">
      <c r="A223" s="611"/>
      <c r="B223" s="611" t="s">
        <v>4564</v>
      </c>
      <c r="C223" s="538" t="str">
        <f>IFERROR(VLOOKUP(B223,'ПО КОРИСНИЦИМА'!$C$6:$J$15001,5,FALSE),"")</f>
        <v/>
      </c>
      <c r="D223" s="641">
        <f>SUMIF('ПО КОРИСНИЦИМА'!$G$6:$G$15001,"Свега за пројекат 0701-П22:",'ПО КОРИСНИЦИМА'!$H$6:$H$15001)</f>
        <v>0</v>
      </c>
      <c r="E223" s="638">
        <f t="shared" si="16"/>
        <v>0</v>
      </c>
      <c r="F223" s="642">
        <f>SUMIF('ПО КОРИСНИЦИМА'!$G$6:$G$15001,"Свега за пројекат 0701-П22:",'ПО КОРИСНИЦИМА'!$I$6:$I$15001)</f>
        <v>0</v>
      </c>
      <c r="G223" s="637">
        <f t="shared" si="15"/>
        <v>0</v>
      </c>
      <c r="H223" s="643"/>
    </row>
    <row r="224" spans="1:8" hidden="1" x14ac:dyDescent="0.2">
      <c r="A224" s="611"/>
      <c r="B224" s="611" t="s">
        <v>4565</v>
      </c>
      <c r="C224" s="538" t="str">
        <f>IFERROR(VLOOKUP(B224,'ПО КОРИСНИЦИМА'!$C$6:$J$15001,5,FALSE),"")</f>
        <v/>
      </c>
      <c r="D224" s="641">
        <f>SUMIF('ПО КОРИСНИЦИМА'!$G$6:$G$15001,"Свега за пројекат 0701-П23:",'ПО КОРИСНИЦИМА'!$H$6:$H$15001)</f>
        <v>0</v>
      </c>
      <c r="E224" s="638">
        <f t="shared" si="16"/>
        <v>0</v>
      </c>
      <c r="F224" s="642">
        <f>SUMIF('ПО КОРИСНИЦИМА'!$G$6:$G$15001,"Свега за пројекат 0701-П23:",'ПО КОРИСНИЦИМА'!$I$6:$I$15001)</f>
        <v>0</v>
      </c>
      <c r="G224" s="637">
        <f t="shared" si="15"/>
        <v>0</v>
      </c>
      <c r="H224" s="643"/>
    </row>
    <row r="225" spans="1:8" hidden="1" x14ac:dyDescent="0.2">
      <c r="A225" s="611"/>
      <c r="B225" s="611" t="s">
        <v>4566</v>
      </c>
      <c r="C225" s="538" t="str">
        <f>IFERROR(VLOOKUP(B225,'ПО КОРИСНИЦИМА'!$C$6:$J$15001,5,FALSE),"")</f>
        <v/>
      </c>
      <c r="D225" s="641">
        <f>SUMIF('ПО КОРИСНИЦИМА'!$G$6:$G$15001,"Свега за пројекат 0701-П24:",'ПО КОРИСНИЦИМА'!$H$6:$H$15001)</f>
        <v>0</v>
      </c>
      <c r="E225" s="638">
        <f t="shared" si="16"/>
        <v>0</v>
      </c>
      <c r="F225" s="642">
        <f>SUMIF('ПО КОРИСНИЦИМА'!$G$6:$G$15001,"Свега за пројекат 0701-П24:",'ПО КОРИСНИЦИМА'!$I$6:$I$15001)</f>
        <v>0</v>
      </c>
      <c r="G225" s="637">
        <f t="shared" si="15"/>
        <v>0</v>
      </c>
      <c r="H225" s="643"/>
    </row>
    <row r="226" spans="1:8" hidden="1" x14ac:dyDescent="0.2">
      <c r="A226" s="611"/>
      <c r="B226" s="611" t="s">
        <v>4567</v>
      </c>
      <c r="C226" s="538" t="str">
        <f>IFERROR(VLOOKUP(B226,'ПО КОРИСНИЦИМА'!$C$6:$J$15001,5,FALSE),"")</f>
        <v/>
      </c>
      <c r="D226" s="641">
        <f>SUMIF('ПО КОРИСНИЦИМА'!$G$6:$G$15001,"Свега за пројекат 0701-П25:",'ПО КОРИСНИЦИМА'!$H$6:$H$15001)</f>
        <v>0</v>
      </c>
      <c r="E226" s="638">
        <f t="shared" si="16"/>
        <v>0</v>
      </c>
      <c r="F226" s="642">
        <f>SUMIF('ПО КОРИСНИЦИМА'!$G$6:$G$15001,"Свега за пројекат 0701-П25:",'ПО КОРИСНИЦИМА'!$I$6:$I$15001)</f>
        <v>0</v>
      </c>
      <c r="G226" s="637">
        <f t="shared" si="15"/>
        <v>0</v>
      </c>
      <c r="H226" s="643"/>
    </row>
    <row r="227" spans="1:8" hidden="1" x14ac:dyDescent="0.2">
      <c r="A227" s="611"/>
      <c r="B227" s="611" t="s">
        <v>4568</v>
      </c>
      <c r="C227" s="538" t="str">
        <f>IFERROR(VLOOKUP(B227,'ПО КОРИСНИЦИМА'!$C$6:$J$15001,5,FALSE),"")</f>
        <v/>
      </c>
      <c r="D227" s="641">
        <f>SUMIF('ПО КОРИСНИЦИМА'!$G$6:$G$15001,"Свега за пројекат 0701-П26:",'ПО КОРИСНИЦИМА'!$H$6:$H$15001)</f>
        <v>0</v>
      </c>
      <c r="E227" s="638">
        <f t="shared" si="16"/>
        <v>0</v>
      </c>
      <c r="F227" s="642">
        <f>SUMIF('ПО КОРИСНИЦИМА'!$G$6:$G$15001,"Свега за пројекат 0701-П26:",'ПО КОРИСНИЦИМА'!$I$6:$I$15001)</f>
        <v>0</v>
      </c>
      <c r="G227" s="637">
        <f t="shared" si="15"/>
        <v>0</v>
      </c>
      <c r="H227" s="643"/>
    </row>
    <row r="228" spans="1:8" hidden="1" x14ac:dyDescent="0.2">
      <c r="A228" s="611"/>
      <c r="B228" s="611" t="s">
        <v>4569</v>
      </c>
      <c r="C228" s="538" t="str">
        <f>IFERROR(VLOOKUP(B228,'ПО КОРИСНИЦИМА'!$C$6:$J$15001,5,FALSE),"")</f>
        <v/>
      </c>
      <c r="D228" s="641">
        <f>SUMIF('ПО КОРИСНИЦИМА'!$G$6:$G$15001,"Свега за пројекат 0701-П27:",'ПО КОРИСНИЦИМА'!$H$6:$H$15001)</f>
        <v>0</v>
      </c>
      <c r="E228" s="638">
        <f t="shared" si="16"/>
        <v>0</v>
      </c>
      <c r="F228" s="642">
        <f>SUMIF('ПО КОРИСНИЦИМА'!$G$6:$G$15001,"Свега за пројекат 0701-П27:",'ПО КОРИСНИЦИМА'!$I$6:$I$15001)</f>
        <v>0</v>
      </c>
      <c r="G228" s="637">
        <f t="shared" si="15"/>
        <v>0</v>
      </c>
      <c r="H228" s="643"/>
    </row>
    <row r="229" spans="1:8" hidden="1" x14ac:dyDescent="0.2">
      <c r="A229" s="611"/>
      <c r="B229" s="611" t="s">
        <v>4570</v>
      </c>
      <c r="C229" s="538" t="str">
        <f>IFERROR(VLOOKUP(B229,'ПО КОРИСНИЦИМА'!$C$6:$J$15001,5,FALSE),"")</f>
        <v/>
      </c>
      <c r="D229" s="641">
        <f>SUMIF('ПО КОРИСНИЦИМА'!$G$6:$G$15001,"Свега за пројекат 0701-П28:",'ПО КОРИСНИЦИМА'!$H$6:$H$15001)</f>
        <v>0</v>
      </c>
      <c r="E229" s="638">
        <f t="shared" si="16"/>
        <v>0</v>
      </c>
      <c r="F229" s="642">
        <f>SUMIF('ПО КОРИСНИЦИМА'!$G$6:$G$15001,"Свега за пројекат 0701-П28:",'ПО КОРИСНИЦИМА'!$I$6:$I$15001)</f>
        <v>0</v>
      </c>
      <c r="G229" s="637">
        <f t="shared" si="15"/>
        <v>0</v>
      </c>
      <c r="H229" s="643"/>
    </row>
    <row r="230" spans="1:8" hidden="1" x14ac:dyDescent="0.2">
      <c r="A230" s="611"/>
      <c r="B230" s="611" t="s">
        <v>4571</v>
      </c>
      <c r="C230" s="538" t="str">
        <f>IFERROR(VLOOKUP(B230,'ПО КОРИСНИЦИМА'!$C$6:$J$15001,5,FALSE),"")</f>
        <v/>
      </c>
      <c r="D230" s="641">
        <f>SUMIF('ПО КОРИСНИЦИМА'!$G$6:$G$15001,"Свега за пројекат 0701-П29:",'ПО КОРИСНИЦИМА'!$H$6:$H$15001)</f>
        <v>0</v>
      </c>
      <c r="E230" s="638">
        <f t="shared" si="16"/>
        <v>0</v>
      </c>
      <c r="F230" s="642">
        <f>SUMIF('ПО КОРИСНИЦИМА'!$G$6:$G$15001,"Свега за пројекат 0701-П29:",'ПО КОРИСНИЦИМА'!$I$6:$I$15001)</f>
        <v>0</v>
      </c>
      <c r="G230" s="637">
        <f t="shared" si="15"/>
        <v>0</v>
      </c>
      <c r="H230" s="643"/>
    </row>
    <row r="231" spans="1:8" hidden="1" x14ac:dyDescent="0.2">
      <c r="A231" s="611"/>
      <c r="B231" s="611" t="s">
        <v>4572</v>
      </c>
      <c r="C231" s="538" t="str">
        <f>IFERROR(VLOOKUP(B231,'ПО КОРИСНИЦИМА'!$C$6:$J$15001,5,FALSE),"")</f>
        <v/>
      </c>
      <c r="D231" s="641">
        <f>SUMIF('ПО КОРИСНИЦИМА'!$G$6:$G$15001,"Свега за пројекат 0701-П30:",'ПО КОРИСНИЦИМА'!$H$6:$H$15001)</f>
        <v>0</v>
      </c>
      <c r="E231" s="638">
        <f t="shared" si="16"/>
        <v>0</v>
      </c>
      <c r="F231" s="642">
        <f>SUMIF('ПО КОРИСНИЦИМА'!$G$6:$G$15001,"Свега за пројекат 0701-П30:",'ПО КОРИСНИЦИМА'!$I$6:$I$15001)</f>
        <v>0</v>
      </c>
      <c r="G231" s="637">
        <f t="shared" si="15"/>
        <v>0</v>
      </c>
      <c r="H231" s="643"/>
    </row>
    <row r="232" spans="1:8" hidden="1" x14ac:dyDescent="0.2">
      <c r="A232" s="611"/>
      <c r="B232" s="611" t="s">
        <v>4573</v>
      </c>
      <c r="C232" s="538" t="str">
        <f>IFERROR(VLOOKUP(B232,'ПО КОРИСНИЦИМА'!$C$6:$J$15001,5,FALSE),"")</f>
        <v/>
      </c>
      <c r="D232" s="641">
        <f>SUMIF('ПО КОРИСНИЦИМА'!$G$6:$G$15001,"Свега за пројекат 0701-П31:",'ПО КОРИСНИЦИМА'!$H$6:$H$15001)</f>
        <v>0</v>
      </c>
      <c r="E232" s="638">
        <f t="shared" si="16"/>
        <v>0</v>
      </c>
      <c r="F232" s="642">
        <f>SUMIF('ПО КОРИСНИЦИМА'!$G$6:$G$15001,"Свега за пројекат 0701-П31:",'ПО КОРИСНИЦИМА'!$I$6:$I$15001)</f>
        <v>0</v>
      </c>
      <c r="G232" s="637">
        <f t="shared" si="15"/>
        <v>0</v>
      </c>
      <c r="H232" s="643"/>
    </row>
    <row r="233" spans="1:8" hidden="1" x14ac:dyDescent="0.2">
      <c r="A233" s="611"/>
      <c r="B233" s="611" t="s">
        <v>4574</v>
      </c>
      <c r="C233" s="538" t="str">
        <f>IFERROR(VLOOKUP(B233,'ПО КОРИСНИЦИМА'!$C$6:$J$15001,5,FALSE),"")</f>
        <v/>
      </c>
      <c r="D233" s="641">
        <f>SUMIF('ПО КОРИСНИЦИМА'!$G$6:$G$15001,"Свега за пројекат 0701-П32:",'ПО КОРИСНИЦИМА'!$H$6:$H$15001)</f>
        <v>0</v>
      </c>
      <c r="E233" s="638">
        <f t="shared" si="16"/>
        <v>0</v>
      </c>
      <c r="F233" s="642">
        <f>SUMIF('ПО КОРИСНИЦИМА'!$G$6:$G$15001,"Свега за пројекат 0701-П32:",'ПО КОРИСНИЦИМА'!$I$6:$I$15001)</f>
        <v>0</v>
      </c>
      <c r="G233" s="637">
        <f t="shared" si="15"/>
        <v>0</v>
      </c>
      <c r="H233" s="643"/>
    </row>
    <row r="234" spans="1:8" hidden="1" x14ac:dyDescent="0.2">
      <c r="A234" s="611"/>
      <c r="B234" s="611" t="s">
        <v>4575</v>
      </c>
      <c r="C234" s="538" t="str">
        <f>IFERROR(VLOOKUP(B234,'ПО КОРИСНИЦИМА'!$C$6:$J$15001,5,FALSE),"")</f>
        <v/>
      </c>
      <c r="D234" s="641">
        <f>SUMIF('ПО КОРИСНИЦИМА'!$G$6:$G$15001,"Свега за пројекат 0701-П33:",'ПО КОРИСНИЦИМА'!$H$6:$H$15001)</f>
        <v>0</v>
      </c>
      <c r="E234" s="638">
        <f t="shared" si="16"/>
        <v>0</v>
      </c>
      <c r="F234" s="642">
        <f>SUMIF('ПО КОРИСНИЦИМА'!$G$6:$G$15001,"Свега за пројекат 0701-П33:",'ПО КОРИСНИЦИМА'!$I$6:$I$15001)</f>
        <v>0</v>
      </c>
      <c r="G234" s="637">
        <f t="shared" si="15"/>
        <v>0</v>
      </c>
      <c r="H234" s="643"/>
    </row>
    <row r="235" spans="1:8" hidden="1" x14ac:dyDescent="0.2">
      <c r="A235" s="611"/>
      <c r="B235" s="611" t="s">
        <v>4576</v>
      </c>
      <c r="C235" s="538" t="str">
        <f>IFERROR(VLOOKUP(B235,'ПО КОРИСНИЦИМА'!$C$6:$J$15001,5,FALSE),"")</f>
        <v/>
      </c>
      <c r="D235" s="641">
        <f>SUMIF('ПО КОРИСНИЦИМА'!$G$6:$G$15001,"Свега за пројекат 0701-П34:",'ПО КОРИСНИЦИМА'!$H$6:$H$15001)</f>
        <v>0</v>
      </c>
      <c r="E235" s="638">
        <f t="shared" si="16"/>
        <v>0</v>
      </c>
      <c r="F235" s="642">
        <f>SUMIF('ПО КОРИСНИЦИМА'!$G$6:$G$15001,"Свега за пројекат 0701-П34:",'ПО КОРИСНИЦИМА'!$I$6:$I$15001)</f>
        <v>0</v>
      </c>
      <c r="G235" s="637">
        <f t="shared" si="15"/>
        <v>0</v>
      </c>
      <c r="H235" s="643"/>
    </row>
    <row r="236" spans="1:8" hidden="1" x14ac:dyDescent="0.2">
      <c r="A236" s="611"/>
      <c r="B236" s="611" t="s">
        <v>4577</v>
      </c>
      <c r="C236" s="538" t="str">
        <f>IFERROR(VLOOKUP(B236,'ПО КОРИСНИЦИМА'!$C$6:$J$15001,5,FALSE),"")</f>
        <v/>
      </c>
      <c r="D236" s="641">
        <f>SUMIF('ПО КОРИСНИЦИМА'!$G$6:$G$15001,"Свега за пројекат 0701-П35:",'ПО КОРИСНИЦИМА'!$H$6:$H$15001)</f>
        <v>0</v>
      </c>
      <c r="E236" s="638">
        <f t="shared" si="16"/>
        <v>0</v>
      </c>
      <c r="F236" s="642">
        <f>SUMIF('ПО КОРИСНИЦИМА'!$G$6:$G$15001,"Свега за пројекат 0701-П35:",'ПО КОРИСНИЦИМА'!$I$6:$I$15001)</f>
        <v>0</v>
      </c>
      <c r="G236" s="637">
        <f t="shared" si="15"/>
        <v>0</v>
      </c>
      <c r="H236" s="643"/>
    </row>
    <row r="237" spans="1:8" hidden="1" x14ac:dyDescent="0.2">
      <c r="A237" s="611"/>
      <c r="B237" s="611" t="s">
        <v>4578</v>
      </c>
      <c r="C237" s="538" t="str">
        <f>IFERROR(VLOOKUP(B237,'ПО КОРИСНИЦИМА'!$C$6:$J$15001,5,FALSE),"")</f>
        <v/>
      </c>
      <c r="D237" s="641">
        <f>SUMIF('ПО КОРИСНИЦИМА'!$G$6:$G$15001,"Свега за пројекат 0701-П36:",'ПО КОРИСНИЦИМА'!$H$6:$H$15001)</f>
        <v>0</v>
      </c>
      <c r="E237" s="638">
        <f t="shared" si="16"/>
        <v>0</v>
      </c>
      <c r="F237" s="642">
        <f>SUMIF('ПО КОРИСНИЦИМА'!$G$6:$G$15001,"Свега за пројекат 0701-П36:",'ПО КОРИСНИЦИМА'!$I$6:$I$15001)</f>
        <v>0</v>
      </c>
      <c r="G237" s="637">
        <f t="shared" si="15"/>
        <v>0</v>
      </c>
      <c r="H237" s="643"/>
    </row>
    <row r="238" spans="1:8" hidden="1" x14ac:dyDescent="0.2">
      <c r="A238" s="611"/>
      <c r="B238" s="611" t="s">
        <v>4579</v>
      </c>
      <c r="C238" s="538" t="str">
        <f>IFERROR(VLOOKUP(B238,'ПО КОРИСНИЦИМА'!$C$6:$J$15001,5,FALSE),"")</f>
        <v/>
      </c>
      <c r="D238" s="641">
        <f>SUMIF('ПО КОРИСНИЦИМА'!$G$6:$G$15001,"Свега за пројекат 0701-П37:",'ПО КОРИСНИЦИМА'!$H$6:$H$15001)</f>
        <v>0</v>
      </c>
      <c r="E238" s="638">
        <f t="shared" si="16"/>
        <v>0</v>
      </c>
      <c r="F238" s="642">
        <f>SUMIF('ПО КОРИСНИЦИМА'!$G$6:$G$15001,"Свега за пројекат 0701-П37:",'ПО КОРИСНИЦИМА'!$I$6:$I$15001)</f>
        <v>0</v>
      </c>
      <c r="G238" s="637">
        <f t="shared" si="15"/>
        <v>0</v>
      </c>
      <c r="H238" s="643"/>
    </row>
    <row r="239" spans="1:8" hidden="1" x14ac:dyDescent="0.2">
      <c r="A239" s="611"/>
      <c r="B239" s="611" t="s">
        <v>4580</v>
      </c>
      <c r="C239" s="538" t="str">
        <f>IFERROR(VLOOKUP(B239,'ПО КОРИСНИЦИМА'!$C$6:$J$15001,5,FALSE),"")</f>
        <v/>
      </c>
      <c r="D239" s="641">
        <f>SUMIF('ПО КОРИСНИЦИМА'!$G$6:$G$15001,"Свега за пројекат 0701-П38:",'ПО КОРИСНИЦИМА'!$H$6:$H$15001)</f>
        <v>0</v>
      </c>
      <c r="E239" s="638">
        <f t="shared" si="16"/>
        <v>0</v>
      </c>
      <c r="F239" s="642">
        <f>SUMIF('ПО КОРИСНИЦИМА'!$G$6:$G$15001,"Свега за пројекат 0701-П38:",'ПО КОРИСНИЦИМА'!$I$6:$I$15001)</f>
        <v>0</v>
      </c>
      <c r="G239" s="637">
        <f t="shared" si="15"/>
        <v>0</v>
      </c>
      <c r="H239" s="643"/>
    </row>
    <row r="240" spans="1:8" hidden="1" x14ac:dyDescent="0.2">
      <c r="A240" s="611"/>
      <c r="B240" s="611" t="s">
        <v>4581</v>
      </c>
      <c r="C240" s="538" t="str">
        <f>IFERROR(VLOOKUP(B240,'ПО КОРИСНИЦИМА'!$C$6:$J$15001,5,FALSE),"")</f>
        <v/>
      </c>
      <c r="D240" s="641">
        <f>SUMIF('ПО КОРИСНИЦИМА'!$G$6:$G$15001,"Свега за пројекат 0701-П39:",'ПО КОРИСНИЦИМА'!$H$6:$H$15001)</f>
        <v>0</v>
      </c>
      <c r="E240" s="638">
        <f t="shared" si="16"/>
        <v>0</v>
      </c>
      <c r="F240" s="642">
        <f>SUMIF('ПО КОРИСНИЦИМА'!$G$6:$G$15001,"Свега за пројекат 0701-П39:",'ПО КОРИСНИЦИМА'!$I$6:$I$15001)</f>
        <v>0</v>
      </c>
      <c r="G240" s="637">
        <f t="shared" si="15"/>
        <v>0</v>
      </c>
      <c r="H240" s="643"/>
    </row>
    <row r="241" spans="1:8" hidden="1" x14ac:dyDescent="0.2">
      <c r="A241" s="611"/>
      <c r="B241" s="611" t="s">
        <v>4582</v>
      </c>
      <c r="C241" s="538" t="str">
        <f>IFERROR(VLOOKUP(B241,'ПО КОРИСНИЦИМА'!$C$6:$J$15001,5,FALSE),"")</f>
        <v/>
      </c>
      <c r="D241" s="641">
        <f>SUMIF('ПО КОРИСНИЦИМА'!$G$6:$G$15001,"Свега за пројекат 0701-П40:",'ПО КОРИСНИЦИМА'!$H$6:$H$15001)</f>
        <v>0</v>
      </c>
      <c r="E241" s="638">
        <f t="shared" si="16"/>
        <v>0</v>
      </c>
      <c r="F241" s="642">
        <f>SUMIF('ПО КОРИСНИЦИМА'!$G$6:$G$15001,"Свега за пројекат 0701-П40:",'ПО КОРИСНИЦИМА'!$I$6:$I$15001)</f>
        <v>0</v>
      </c>
      <c r="G241" s="637">
        <f t="shared" si="15"/>
        <v>0</v>
      </c>
      <c r="H241" s="643"/>
    </row>
    <row r="242" spans="1:8" hidden="1" x14ac:dyDescent="0.2">
      <c r="A242" s="611"/>
      <c r="B242" s="611" t="s">
        <v>4583</v>
      </c>
      <c r="C242" s="538" t="str">
        <f>IFERROR(VLOOKUP(B242,'ПО КОРИСНИЦИМА'!$C$6:$J$15001,5,FALSE),"")</f>
        <v/>
      </c>
      <c r="D242" s="641">
        <f>SUMIF('ПО КОРИСНИЦИМА'!$G$6:$G$15001,"Свега за пројекат 0701-П41:",'ПО КОРИСНИЦИМА'!$H$6:$H$15001)</f>
        <v>0</v>
      </c>
      <c r="E242" s="638">
        <f t="shared" si="16"/>
        <v>0</v>
      </c>
      <c r="F242" s="642">
        <f>SUMIF('ПО КОРИСНИЦИМА'!$G$6:$G$15001,"Свега за пројекат 0701-П41:",'ПО КОРИСНИЦИМА'!$I$6:$I$15001)</f>
        <v>0</v>
      </c>
      <c r="G242" s="637">
        <f t="shared" si="15"/>
        <v>0</v>
      </c>
      <c r="H242" s="643"/>
    </row>
    <row r="243" spans="1:8" hidden="1" x14ac:dyDescent="0.2">
      <c r="A243" s="611"/>
      <c r="B243" s="611" t="s">
        <v>4584</v>
      </c>
      <c r="C243" s="538" t="str">
        <f>IFERROR(VLOOKUP(B243,'ПО КОРИСНИЦИМА'!$C$6:$J$15001,5,FALSE),"")</f>
        <v/>
      </c>
      <c r="D243" s="641">
        <f>SUMIF('ПО КОРИСНИЦИМА'!$G$6:$G$15001,"Свега за пројекат 0701-П42:",'ПО КОРИСНИЦИМА'!$H$6:$H$15001)</f>
        <v>0</v>
      </c>
      <c r="E243" s="638">
        <f t="shared" si="16"/>
        <v>0</v>
      </c>
      <c r="F243" s="642">
        <f>SUMIF('ПО КОРИСНИЦИМА'!$G$6:$G$15001,"Свега за пројекат 0701-П42:",'ПО КОРИСНИЦИМА'!$I$6:$I$15001)</f>
        <v>0</v>
      </c>
      <c r="G243" s="637">
        <f t="shared" si="15"/>
        <v>0</v>
      </c>
      <c r="H243" s="643"/>
    </row>
    <row r="244" spans="1:8" hidden="1" x14ac:dyDescent="0.2">
      <c r="A244" s="611"/>
      <c r="B244" s="611" t="s">
        <v>4585</v>
      </c>
      <c r="C244" s="538" t="str">
        <f>IFERROR(VLOOKUP(B244,'ПО КОРИСНИЦИМА'!$C$6:$J$15001,5,FALSE),"")</f>
        <v/>
      </c>
      <c r="D244" s="641">
        <f>SUMIF('ПО КОРИСНИЦИМА'!$G$6:$G$15001,"Свега за пројекат 0701-П43:",'ПО КОРИСНИЦИМА'!$H$6:$H$15001)</f>
        <v>0</v>
      </c>
      <c r="E244" s="638">
        <f t="shared" si="16"/>
        <v>0</v>
      </c>
      <c r="F244" s="642">
        <f>SUMIF('ПО КОРИСНИЦИМА'!$G$6:$G$15001,"Свега за пројекат 0701-П43:",'ПО КОРИСНИЦИМА'!$I$6:$I$15001)</f>
        <v>0</v>
      </c>
      <c r="G244" s="637">
        <f t="shared" si="15"/>
        <v>0</v>
      </c>
      <c r="H244" s="643"/>
    </row>
    <row r="245" spans="1:8" hidden="1" x14ac:dyDescent="0.2">
      <c r="A245" s="611"/>
      <c r="B245" s="611" t="s">
        <v>4586</v>
      </c>
      <c r="C245" s="538" t="str">
        <f>IFERROR(VLOOKUP(B245,'ПО КОРИСНИЦИМА'!$C$6:$J$15001,5,FALSE),"")</f>
        <v/>
      </c>
      <c r="D245" s="641">
        <f>SUMIF('ПО КОРИСНИЦИМА'!$G$6:$G$15001,"Свега за пројекат 0701-П44:",'ПО КОРИСНИЦИМА'!$H$6:$H$15001)</f>
        <v>0</v>
      </c>
      <c r="E245" s="638">
        <f t="shared" si="16"/>
        <v>0</v>
      </c>
      <c r="F245" s="642">
        <f>SUMIF('ПО КОРИСНИЦИМА'!$G$6:$G$15001,"Свега за пројекат 0701-П44:",'ПО КОРИСНИЦИМА'!$I$6:$I$15001)</f>
        <v>0</v>
      </c>
      <c r="G245" s="637">
        <f t="shared" ref="G245:G251" si="17">D245+F245</f>
        <v>0</v>
      </c>
      <c r="H245" s="643"/>
    </row>
    <row r="246" spans="1:8" hidden="1" x14ac:dyDescent="0.2">
      <c r="A246" s="611"/>
      <c r="B246" s="611" t="s">
        <v>4587</v>
      </c>
      <c r="C246" s="538" t="str">
        <f>IFERROR(VLOOKUP(B246,'ПО КОРИСНИЦИМА'!$C$6:$J$15001,5,FALSE),"")</f>
        <v/>
      </c>
      <c r="D246" s="641">
        <f>SUMIF('ПО КОРИСНИЦИМА'!$G$6:$G$15001,"Свега за пројекат 0701-П45:",'ПО КОРИСНИЦИМА'!$H$6:$H$15001)</f>
        <v>0</v>
      </c>
      <c r="E246" s="638">
        <f t="shared" si="16"/>
        <v>0</v>
      </c>
      <c r="F246" s="642">
        <f>SUMIF('ПО КОРИСНИЦИМА'!$G$6:$G$15001,"Свега за пројекат 0701-П45:",'ПО КОРИСНИЦИМА'!$I$6:$I$15001)</f>
        <v>0</v>
      </c>
      <c r="G246" s="637">
        <f t="shared" si="17"/>
        <v>0</v>
      </c>
      <c r="H246" s="643"/>
    </row>
    <row r="247" spans="1:8" hidden="1" x14ac:dyDescent="0.2">
      <c r="A247" s="611"/>
      <c r="B247" s="611" t="s">
        <v>4588</v>
      </c>
      <c r="C247" s="538" t="str">
        <f>IFERROR(VLOOKUP(B247,'ПО КОРИСНИЦИМА'!$C$6:$J$15001,5,FALSE),"")</f>
        <v/>
      </c>
      <c r="D247" s="641">
        <f>SUMIF('ПО КОРИСНИЦИМА'!$G$6:$G$15001,"Свега за пројекат 0701-П46:",'ПО КОРИСНИЦИМА'!$H$6:$H$15001)</f>
        <v>0</v>
      </c>
      <c r="E247" s="638">
        <f t="shared" si="16"/>
        <v>0</v>
      </c>
      <c r="F247" s="642">
        <f>SUMIF('ПО КОРИСНИЦИМА'!$G$6:$G$15001,"Свега за пројекат 0701-П46:",'ПО КОРИСНИЦИМА'!$I$6:$I$15001)</f>
        <v>0</v>
      </c>
      <c r="G247" s="637">
        <f t="shared" si="17"/>
        <v>0</v>
      </c>
      <c r="H247" s="643"/>
    </row>
    <row r="248" spans="1:8" hidden="1" x14ac:dyDescent="0.2">
      <c r="A248" s="611"/>
      <c r="B248" s="611" t="s">
        <v>4589</v>
      </c>
      <c r="C248" s="538" t="str">
        <f>IFERROR(VLOOKUP(B248,'ПО КОРИСНИЦИМА'!$C$6:$J$15001,5,FALSE),"")</f>
        <v/>
      </c>
      <c r="D248" s="641">
        <f>SUMIF('ПО КОРИСНИЦИМА'!$G$6:$G$15001,"Свега за пројекат 0701-П47:",'ПО КОРИСНИЦИМА'!$H$6:$H$15001)</f>
        <v>0</v>
      </c>
      <c r="E248" s="638">
        <f t="shared" si="16"/>
        <v>0</v>
      </c>
      <c r="F248" s="642">
        <f>SUMIF('ПО КОРИСНИЦИМА'!$G$6:$G$15001,"Свега за пројекат 0701-П47:",'ПО КОРИСНИЦИМА'!$I$6:$I$15001)</f>
        <v>0</v>
      </c>
      <c r="G248" s="637">
        <f t="shared" si="17"/>
        <v>0</v>
      </c>
      <c r="H248" s="643"/>
    </row>
    <row r="249" spans="1:8" hidden="1" x14ac:dyDescent="0.2">
      <c r="A249" s="611"/>
      <c r="B249" s="611" t="s">
        <v>4590</v>
      </c>
      <c r="C249" s="538" t="str">
        <f>IFERROR(VLOOKUP(B249,'ПО КОРИСНИЦИМА'!$C$6:$J$15001,5,FALSE),"")</f>
        <v/>
      </c>
      <c r="D249" s="641">
        <f>SUMIF('ПО КОРИСНИЦИМА'!$G$6:$G$15001,"Свега за пројекат 0701-П48:",'ПО КОРИСНИЦИМА'!$H$6:$H$15001)</f>
        <v>0</v>
      </c>
      <c r="E249" s="638">
        <f t="shared" si="16"/>
        <v>0</v>
      </c>
      <c r="F249" s="642">
        <f>SUMIF('ПО КОРИСНИЦИМА'!$G$6:$G$15001,"Свега за пројекат 0701-П48:",'ПО КОРИСНИЦИМА'!$I$6:$I$15001)</f>
        <v>0</v>
      </c>
      <c r="G249" s="637">
        <f t="shared" si="17"/>
        <v>0</v>
      </c>
      <c r="H249" s="643"/>
    </row>
    <row r="250" spans="1:8" hidden="1" x14ac:dyDescent="0.2">
      <c r="A250" s="611"/>
      <c r="B250" s="611" t="s">
        <v>4591</v>
      </c>
      <c r="C250" s="538" t="str">
        <f>IFERROR(VLOOKUP(B250,'ПО КОРИСНИЦИМА'!$C$6:$J$15001,5,FALSE),"")</f>
        <v/>
      </c>
      <c r="D250" s="641">
        <f>SUMIF('ПО КОРИСНИЦИМА'!$G$6:$G$15001,"Свега за пројекат 0701-П49:",'ПО КОРИСНИЦИМА'!$H$6:$H$15001)</f>
        <v>0</v>
      </c>
      <c r="E250" s="638">
        <f t="shared" si="16"/>
        <v>0</v>
      </c>
      <c r="F250" s="642">
        <f>SUMIF('ПО КОРИСНИЦИМА'!$G$6:$G$15001,"Свега за пројекат 0701-П49:",'ПО КОРИСНИЦИМА'!$I$6:$I$15001)</f>
        <v>0</v>
      </c>
      <c r="G250" s="637">
        <f t="shared" si="17"/>
        <v>0</v>
      </c>
      <c r="H250" s="652"/>
    </row>
    <row r="251" spans="1:8" ht="17.25" hidden="1" customHeight="1" x14ac:dyDescent="0.2">
      <c r="A251" s="612"/>
      <c r="B251" s="611" t="s">
        <v>4592</v>
      </c>
      <c r="C251" s="538" t="str">
        <f>IFERROR(VLOOKUP(B251,'ПО КОРИСНИЦИМА'!$C$6:$J$15001,5,FALSE),"")</f>
        <v/>
      </c>
      <c r="D251" s="641">
        <f>SUMIF('ПО КОРИСНИЦИМА'!$G$6:$G$15001,"Свега за пројекат 0701-П50:",'ПО КОРИСНИЦИМА'!$H$6:$H$15001)</f>
        <v>0</v>
      </c>
      <c r="E251" s="638">
        <f t="shared" si="16"/>
        <v>0</v>
      </c>
      <c r="F251" s="642">
        <f>SUMIF('ПО КОРИСНИЦИМА'!$G$6:$G$15001,"Свега за пројекат 0701-П50:",'ПО КОРИСНИЦИМА'!$I$6:$I$15001)</f>
        <v>0</v>
      </c>
      <c r="G251" s="637">
        <f t="shared" si="17"/>
        <v>0</v>
      </c>
      <c r="H251" s="653"/>
    </row>
    <row r="252" spans="1:8" s="609" customFormat="1" ht="15" customHeight="1" x14ac:dyDescent="0.2">
      <c r="A252" s="602" t="s">
        <v>3578</v>
      </c>
      <c r="B252" s="603"/>
      <c r="C252" s="536" t="s">
        <v>5159</v>
      </c>
      <c r="D252" s="629">
        <f>SUM(D253:D283)</f>
        <v>19313000</v>
      </c>
      <c r="E252" s="630">
        <f>IFERROR(D252/$D$615,"-")</f>
        <v>4.8616300736262698E-2</v>
      </c>
      <c r="F252" s="631">
        <f>SUM(F253:F283)</f>
        <v>8031000</v>
      </c>
      <c r="G252" s="629">
        <f t="shared" si="15"/>
        <v>27344000</v>
      </c>
      <c r="H252" s="650"/>
    </row>
    <row r="253" spans="1:8" x14ac:dyDescent="0.2">
      <c r="A253" s="604"/>
      <c r="B253" s="613" t="s">
        <v>4277</v>
      </c>
      <c r="C253" s="542" t="s">
        <v>4070</v>
      </c>
      <c r="D253" s="633">
        <f>SUMIF('ПО КОРИСНИЦИМА'!$G$6:$G$15001,"Свега за програмску активност 2001-0001:",'ПО КОРИСНИЦИМА'!$H$6:$H$15001)</f>
        <v>19313000</v>
      </c>
      <c r="E253" s="634">
        <f>IFERROR(D253/$D$615,"-")</f>
        <v>4.8616300736262698E-2</v>
      </c>
      <c r="F253" s="635">
        <f>SUMIF('ПО КОРИСНИЦИМА'!$G$6:$G$15001,"Свега за програмску активност 2001-0001:",'ПО КОРИСНИЦИМА'!$I$6:$I$15001)</f>
        <v>8031000</v>
      </c>
      <c r="G253" s="633">
        <f t="shared" si="15"/>
        <v>27344000</v>
      </c>
      <c r="H253" s="654"/>
    </row>
    <row r="254" spans="1:8" hidden="1" x14ac:dyDescent="0.2">
      <c r="A254" s="611"/>
      <c r="B254" s="611" t="s">
        <v>4593</v>
      </c>
      <c r="C254" s="538" t="str">
        <f>IFERROR(VLOOKUP(B254,'ПО КОРИСНИЦИМА'!$C$6:$J$15001,5,FALSE),"")</f>
        <v>Доградња пословног простора и реконструкција просторија ПУ Полетарац</v>
      </c>
      <c r="D254" s="641">
        <f>SUMIF('ПО КОРИСНИЦИМА'!$G$6:$G$15001,"Свега за пројекат 2001-П1:",'ПО КОРИСНИЦИМА'!$H$6:$H$15001)</f>
        <v>0</v>
      </c>
      <c r="E254" s="638">
        <f>IFERROR(D254/$D$615,"-")</f>
        <v>0</v>
      </c>
      <c r="F254" s="642">
        <f>SUMIF('ПО КОРИСНИЦИМА'!$G$6:$G$15001,"Свега за пројекат 2001-П1:",'ПО КОРИСНИЦИМА'!$I$6:$I$15001)</f>
        <v>0</v>
      </c>
      <c r="G254" s="637">
        <f t="shared" si="15"/>
        <v>0</v>
      </c>
      <c r="H254" s="655"/>
    </row>
    <row r="255" spans="1:8" hidden="1" x14ac:dyDescent="0.2">
      <c r="A255" s="611"/>
      <c r="B255" s="611" t="s">
        <v>4594</v>
      </c>
      <c r="C255" s="538" t="str">
        <f>IFERROR(VLOOKUP(B255,'ПО КОРИСНИЦИМА'!$C$6:$J$15001,5,FALSE),"")</f>
        <v>Реконструкција дворишта</v>
      </c>
      <c r="D255" s="641">
        <f>SUMIF('ПО КОРИСНИЦИМА'!$G$6:$G$15001,"Свега за пројекат 2001-П2:",'ПО КОРИСНИЦИМА'!$H$6:$H$15001)</f>
        <v>0</v>
      </c>
      <c r="E255" s="638">
        <f t="shared" ref="E255:E283" si="18">IFERROR(D255/$D$615,"-")</f>
        <v>0</v>
      </c>
      <c r="F255" s="642">
        <f>SUMIF('ПО КОРИСНИЦИМА'!$G$6:$G$15001,"Свега за пројекат 2001-П2:",'ПО КОРИСНИЦИМА'!$I$6:$I$15001)</f>
        <v>0</v>
      </c>
      <c r="G255" s="637">
        <f t="shared" ref="G255:G283" si="19">D255+F255</f>
        <v>0</v>
      </c>
      <c r="H255" s="656"/>
    </row>
    <row r="256" spans="1:8" hidden="1" x14ac:dyDescent="0.2">
      <c r="A256" s="611"/>
      <c r="B256" s="611" t="s">
        <v>4595</v>
      </c>
      <c r="C256" s="538" t="str">
        <f>IFERROR(VLOOKUP(B256,'ПО КОРИСНИЦИМА'!$C$6:$J$15001,5,FALSE),"")</f>
        <v>Реконструкција санитарних чворова</v>
      </c>
      <c r="D256" s="641">
        <f>SUMIF('ПО КОРИСНИЦИМА'!$G$6:$G$15001,"Свега за пројекат 2001-П3:",'ПО КОРИСНИЦИМА'!$H$6:$H$15001)</f>
        <v>0</v>
      </c>
      <c r="E256" s="638">
        <f t="shared" si="18"/>
        <v>0</v>
      </c>
      <c r="F256" s="642">
        <f>SUMIF('ПО КОРИСНИЦИМА'!$G$6:$G$15001,"Свега за пројекат 2001-П3:",'ПО КОРИСНИЦИМА'!$I$6:$I$15001)</f>
        <v>0</v>
      </c>
      <c r="G256" s="637">
        <f t="shared" si="19"/>
        <v>0</v>
      </c>
      <c r="H256" s="656"/>
    </row>
    <row r="257" spans="1:8" hidden="1" x14ac:dyDescent="0.2">
      <c r="A257" s="611"/>
      <c r="B257" s="611" t="s">
        <v>4596</v>
      </c>
      <c r="C257" s="538" t="str">
        <f>IFERROR(VLOOKUP(B257,'ПО КОРИСНИЦИМА'!$C$6:$J$15001,5,FALSE),"")</f>
        <v/>
      </c>
      <c r="D257" s="641">
        <f>SUMIF('ПО КОРИСНИЦИМА'!$G$6:$G$15001,"Свега за пројекат 2001-П4:",'ПО КОРИСНИЦИМА'!$H$6:$H$15001)</f>
        <v>0</v>
      </c>
      <c r="E257" s="638">
        <f t="shared" si="18"/>
        <v>0</v>
      </c>
      <c r="F257" s="642">
        <f>SUMIF('ПО КОРИСНИЦИМА'!$G$6:$G$15001,"Свега за пројекат 2001-П4:",'ПО КОРИСНИЦИМА'!$I$6:$I$15001)</f>
        <v>0</v>
      </c>
      <c r="G257" s="637">
        <f t="shared" si="19"/>
        <v>0</v>
      </c>
      <c r="H257" s="656"/>
    </row>
    <row r="258" spans="1:8" hidden="1" x14ac:dyDescent="0.2">
      <c r="A258" s="611"/>
      <c r="B258" s="611" t="s">
        <v>4597</v>
      </c>
      <c r="C258" s="538" t="str">
        <f>IFERROR(VLOOKUP(B258,'ПО КОРИСНИЦИМА'!$C$6:$J$15001,5,FALSE),"")</f>
        <v/>
      </c>
      <c r="D258" s="641">
        <f>SUMIF('ПО КОРИСНИЦИМА'!$G$6:$G$15001,"Свега за пројекат 2001-П5:",'ПО КОРИСНИЦИМА'!$H$6:$H$15001)</f>
        <v>0</v>
      </c>
      <c r="E258" s="638">
        <f t="shared" si="18"/>
        <v>0</v>
      </c>
      <c r="F258" s="642">
        <f>SUMIF('ПО КОРИСНИЦИМА'!$G$6:$G$15001,"Свега за пројекат 2001-П5:",'ПО КОРИСНИЦИМА'!$I$6:$I$15001)</f>
        <v>0</v>
      </c>
      <c r="G258" s="637">
        <f t="shared" si="19"/>
        <v>0</v>
      </c>
      <c r="H258" s="656"/>
    </row>
    <row r="259" spans="1:8" hidden="1" x14ac:dyDescent="0.2">
      <c r="A259" s="611"/>
      <c r="B259" s="611" t="s">
        <v>4598</v>
      </c>
      <c r="C259" s="538" t="str">
        <f>IFERROR(VLOOKUP(B259,'ПО КОРИСНИЦИМА'!$C$6:$J$15001,5,FALSE),"")</f>
        <v/>
      </c>
      <c r="D259" s="641">
        <f>SUMIF('ПО КОРИСНИЦИМА'!$G$6:$G$15001,"Свега за пројекат 2001-П6:",'ПО КОРИСНИЦИМА'!$H$6:$H$15001)</f>
        <v>0</v>
      </c>
      <c r="E259" s="638">
        <f t="shared" si="18"/>
        <v>0</v>
      </c>
      <c r="F259" s="642">
        <f>SUMIF('ПО КОРИСНИЦИМА'!$G$6:$G$15001,"Свега за пројекат 2001-П6:",'ПО КОРИСНИЦИМА'!$I$6:$I$15001)</f>
        <v>0</v>
      </c>
      <c r="G259" s="637">
        <f t="shared" si="19"/>
        <v>0</v>
      </c>
      <c r="H259" s="656"/>
    </row>
    <row r="260" spans="1:8" hidden="1" x14ac:dyDescent="0.2">
      <c r="A260" s="611"/>
      <c r="B260" s="611" t="s">
        <v>4599</v>
      </c>
      <c r="C260" s="538" t="str">
        <f>IFERROR(VLOOKUP(B260,'ПО КОРИСНИЦИМА'!$C$6:$J$15001,5,FALSE),"")</f>
        <v/>
      </c>
      <c r="D260" s="641">
        <f>SUMIF('ПО КОРИСНИЦИМА'!$G$6:$G$15001,"Свега за пројекат 2001-П7:",'ПО КОРИСНИЦИМА'!$H$6:$H$15001)</f>
        <v>0</v>
      </c>
      <c r="E260" s="638">
        <f t="shared" si="18"/>
        <v>0</v>
      </c>
      <c r="F260" s="642">
        <f>SUMIF('ПО КОРИСНИЦИМА'!$G$6:$G$15001,"Свега за пројекат 2001-П7:",'ПО КОРИСНИЦИМА'!$I$6:$I$15001)</f>
        <v>0</v>
      </c>
      <c r="G260" s="637">
        <f t="shared" si="19"/>
        <v>0</v>
      </c>
      <c r="H260" s="656"/>
    </row>
    <row r="261" spans="1:8" hidden="1" x14ac:dyDescent="0.2">
      <c r="A261" s="611"/>
      <c r="B261" s="611" t="s">
        <v>4600</v>
      </c>
      <c r="C261" s="538" t="str">
        <f>IFERROR(VLOOKUP(B261,'ПО КОРИСНИЦИМА'!$C$6:$J$15001,5,FALSE),"")</f>
        <v/>
      </c>
      <c r="D261" s="641">
        <f>SUMIF('ПО КОРИСНИЦИМА'!$G$6:$G$15001,"Свега за пројекат 2001-П8:",'ПО КОРИСНИЦИМА'!$H$6:$H$15001)</f>
        <v>0</v>
      </c>
      <c r="E261" s="638">
        <f t="shared" si="18"/>
        <v>0</v>
      </c>
      <c r="F261" s="642">
        <f>SUMIF('ПО КОРИСНИЦИМА'!$G$6:$G$15001,"Свега за пројекат 2001-П8:",'ПО КОРИСНИЦИМА'!$I$6:$I$15001)</f>
        <v>0</v>
      </c>
      <c r="G261" s="637">
        <f t="shared" si="19"/>
        <v>0</v>
      </c>
      <c r="H261" s="656"/>
    </row>
    <row r="262" spans="1:8" hidden="1" x14ac:dyDescent="0.2">
      <c r="A262" s="611"/>
      <c r="B262" s="611" t="s">
        <v>4601</v>
      </c>
      <c r="C262" s="538" t="str">
        <f>IFERROR(VLOOKUP(B262,'ПО КОРИСНИЦИМА'!$C$6:$J$15001,5,FALSE),"")</f>
        <v/>
      </c>
      <c r="D262" s="641">
        <f>SUMIF('ПО КОРИСНИЦИМА'!$G$6:$G$15001,"Свега за пројекат 2001-П9:",'ПО КОРИСНИЦИМА'!$H$6:$H$15001)</f>
        <v>0</v>
      </c>
      <c r="E262" s="638">
        <f t="shared" si="18"/>
        <v>0</v>
      </c>
      <c r="F262" s="642">
        <f>SUMIF('ПО КОРИСНИЦИМА'!$G$6:$G$15001,"Свега за пројекат 2001-П9:",'ПО КОРИСНИЦИМА'!$I$6:$I$15001)</f>
        <v>0</v>
      </c>
      <c r="G262" s="637">
        <f t="shared" si="19"/>
        <v>0</v>
      </c>
      <c r="H262" s="656"/>
    </row>
    <row r="263" spans="1:8" hidden="1" x14ac:dyDescent="0.2">
      <c r="A263" s="611"/>
      <c r="B263" s="611" t="s">
        <v>4602</v>
      </c>
      <c r="C263" s="538" t="str">
        <f>IFERROR(VLOOKUP(B263,'ПО КОРИСНИЦИМА'!$C$6:$J$15001,5,FALSE),"")</f>
        <v/>
      </c>
      <c r="D263" s="641">
        <f>SUMIF('ПО КОРИСНИЦИМА'!$G$6:$G$15001,"Свега за пројекат 2001-П10:",'ПО КОРИСНИЦИМА'!$H$6:$H$15001)</f>
        <v>0</v>
      </c>
      <c r="E263" s="638">
        <f t="shared" si="18"/>
        <v>0</v>
      </c>
      <c r="F263" s="642">
        <f>SUMIF('ПО КОРИСНИЦИМА'!$G$6:$G$15001,"Свега за пројекат 2001-П10:",'ПО КОРИСНИЦИМА'!$I$6:$I$15001)</f>
        <v>0</v>
      </c>
      <c r="G263" s="637">
        <f t="shared" si="19"/>
        <v>0</v>
      </c>
      <c r="H263" s="656"/>
    </row>
    <row r="264" spans="1:8" hidden="1" x14ac:dyDescent="0.2">
      <c r="A264" s="611"/>
      <c r="B264" s="611" t="s">
        <v>4603</v>
      </c>
      <c r="C264" s="538" t="str">
        <f>IFERROR(VLOOKUP(B264,'ПО КОРИСНИЦИМА'!$C$6:$J$15001,5,FALSE),"")</f>
        <v/>
      </c>
      <c r="D264" s="641">
        <f>SUMIF('ПО КОРИСНИЦИМА'!$G$6:$G$15001,"Свега за пројекат 2001-П11:",'ПО КОРИСНИЦИМА'!$H$6:$H$15001)</f>
        <v>0</v>
      </c>
      <c r="E264" s="638">
        <f t="shared" si="18"/>
        <v>0</v>
      </c>
      <c r="F264" s="642">
        <f>SUMIF('ПО КОРИСНИЦИМА'!$G$6:$G$15001,"Свега за пројекат 2001-П11:",'ПО КОРИСНИЦИМА'!$I$6:$I$15001)</f>
        <v>0</v>
      </c>
      <c r="G264" s="637">
        <f t="shared" si="19"/>
        <v>0</v>
      </c>
      <c r="H264" s="656"/>
    </row>
    <row r="265" spans="1:8" hidden="1" x14ac:dyDescent="0.2">
      <c r="A265" s="611"/>
      <c r="B265" s="611" t="s">
        <v>4604</v>
      </c>
      <c r="C265" s="538" t="str">
        <f>IFERROR(VLOOKUP(B265,'ПО КОРИСНИЦИМА'!$C$6:$J$15001,5,FALSE),"")</f>
        <v/>
      </c>
      <c r="D265" s="641">
        <f>SUMIF('ПО КОРИСНИЦИМА'!$G$6:$G$15001,"Свега за пројекат 2001-П12:",'ПО КОРИСНИЦИМА'!$H$6:$H$15001)</f>
        <v>0</v>
      </c>
      <c r="E265" s="638">
        <f t="shared" si="18"/>
        <v>0</v>
      </c>
      <c r="F265" s="642">
        <f>SUMIF('ПО КОРИСНИЦИМА'!$G$6:$G$15001,"Свега за пројекат 2001-П12:",'ПО КОРИСНИЦИМА'!$I$6:$I$15001)</f>
        <v>0</v>
      </c>
      <c r="G265" s="637">
        <f t="shared" si="19"/>
        <v>0</v>
      </c>
      <c r="H265" s="656"/>
    </row>
    <row r="266" spans="1:8" hidden="1" x14ac:dyDescent="0.2">
      <c r="A266" s="611"/>
      <c r="B266" s="611" t="s">
        <v>4605</v>
      </c>
      <c r="C266" s="538" t="str">
        <f>IFERROR(VLOOKUP(B266,'ПО КОРИСНИЦИМА'!$C$6:$J$15001,5,FALSE),"")</f>
        <v/>
      </c>
      <c r="D266" s="641">
        <f>SUMIF('ПО КОРИСНИЦИМА'!$G$6:$G$15001,"Свега за пројекат 2001-П13:",'ПО КОРИСНИЦИМА'!$H$6:$H$15001)</f>
        <v>0</v>
      </c>
      <c r="E266" s="638">
        <f t="shared" si="18"/>
        <v>0</v>
      </c>
      <c r="F266" s="642">
        <f>SUMIF('ПО КОРИСНИЦИМА'!$G$6:$G$15001,"Свега за пројекат 2001-П13:",'ПО КОРИСНИЦИМА'!$I$6:$I$15001)</f>
        <v>0</v>
      </c>
      <c r="G266" s="637">
        <f t="shared" si="19"/>
        <v>0</v>
      </c>
      <c r="H266" s="656"/>
    </row>
    <row r="267" spans="1:8" hidden="1" x14ac:dyDescent="0.2">
      <c r="A267" s="611"/>
      <c r="B267" s="611" t="s">
        <v>4606</v>
      </c>
      <c r="C267" s="538" t="str">
        <f>IFERROR(VLOOKUP(B267,'ПО КОРИСНИЦИМА'!$C$6:$J$15001,5,FALSE),"")</f>
        <v/>
      </c>
      <c r="D267" s="641">
        <f>SUMIF('ПО КОРИСНИЦИМА'!$G$6:$G$15001,"Свега за пројекат 2001-П14:",'ПО КОРИСНИЦИМА'!$H$6:$H$15001)</f>
        <v>0</v>
      </c>
      <c r="E267" s="638">
        <f t="shared" si="18"/>
        <v>0</v>
      </c>
      <c r="F267" s="642">
        <f>SUMIF('ПО КОРИСНИЦИМА'!$G$6:$G$15001,"Свега за пројекат 2001-П14:",'ПО КОРИСНИЦИМА'!$I$6:$I$15001)</f>
        <v>0</v>
      </c>
      <c r="G267" s="637">
        <f t="shared" si="19"/>
        <v>0</v>
      </c>
      <c r="H267" s="656"/>
    </row>
    <row r="268" spans="1:8" hidden="1" x14ac:dyDescent="0.2">
      <c r="A268" s="611"/>
      <c r="B268" s="611" t="s">
        <v>4607</v>
      </c>
      <c r="C268" s="538" t="str">
        <f>IFERROR(VLOOKUP(B268,'ПО КОРИСНИЦИМА'!$C$6:$J$15001,5,FALSE),"")</f>
        <v/>
      </c>
      <c r="D268" s="641">
        <f>SUMIF('ПО КОРИСНИЦИМА'!$G$6:$G$15001,"Свега за пројекат 2001-П15:",'ПО КОРИСНИЦИМА'!$H$6:$H$15001)</f>
        <v>0</v>
      </c>
      <c r="E268" s="638">
        <f t="shared" si="18"/>
        <v>0</v>
      </c>
      <c r="F268" s="642">
        <f>SUMIF('ПО КОРИСНИЦИМА'!$G$6:$G$15001,"Свега за пројекат 2001-П15:",'ПО КОРИСНИЦИМА'!$I$6:$I$15001)</f>
        <v>0</v>
      </c>
      <c r="G268" s="637">
        <f t="shared" si="19"/>
        <v>0</v>
      </c>
      <c r="H268" s="656"/>
    </row>
    <row r="269" spans="1:8" hidden="1" x14ac:dyDescent="0.2">
      <c r="A269" s="611"/>
      <c r="B269" s="611" t="s">
        <v>4608</v>
      </c>
      <c r="C269" s="538" t="str">
        <f>IFERROR(VLOOKUP(B269,'ПО КОРИСНИЦИМА'!$C$6:$J$15001,5,FALSE),"")</f>
        <v/>
      </c>
      <c r="D269" s="641">
        <f>SUMIF('ПО КОРИСНИЦИМА'!$G$6:$G$15001,"Свега за пројекат 2001-П16:",'ПО КОРИСНИЦИМА'!$H$6:$H$15001)</f>
        <v>0</v>
      </c>
      <c r="E269" s="638">
        <f t="shared" si="18"/>
        <v>0</v>
      </c>
      <c r="F269" s="642">
        <f>SUMIF('ПО КОРИСНИЦИМА'!$G$6:$G$15001,"Свега за пројекат 2001-П16:",'ПО КОРИСНИЦИМА'!$I$6:$I$15001)</f>
        <v>0</v>
      </c>
      <c r="G269" s="637">
        <f t="shared" si="19"/>
        <v>0</v>
      </c>
      <c r="H269" s="656"/>
    </row>
    <row r="270" spans="1:8" hidden="1" x14ac:dyDescent="0.2">
      <c r="A270" s="611"/>
      <c r="B270" s="611" t="s">
        <v>4609</v>
      </c>
      <c r="C270" s="538" t="str">
        <f>IFERROR(VLOOKUP(B270,'ПО КОРИСНИЦИМА'!$C$6:$J$15001,5,FALSE),"")</f>
        <v/>
      </c>
      <c r="D270" s="641">
        <f>SUMIF('ПО КОРИСНИЦИМА'!$G$6:$G$15001,"Свега за пројекат 2001-П17:",'ПО КОРИСНИЦИМА'!$H$6:$H$15001)</f>
        <v>0</v>
      </c>
      <c r="E270" s="638">
        <f t="shared" si="18"/>
        <v>0</v>
      </c>
      <c r="F270" s="642">
        <f>SUMIF('ПО КОРИСНИЦИМА'!$G$6:$G$15001,"Свега за пројекат 2001-П17:",'ПО КОРИСНИЦИМА'!$I$6:$I$15001)</f>
        <v>0</v>
      </c>
      <c r="G270" s="637">
        <f t="shared" si="19"/>
        <v>0</v>
      </c>
      <c r="H270" s="656"/>
    </row>
    <row r="271" spans="1:8" hidden="1" x14ac:dyDescent="0.2">
      <c r="A271" s="611"/>
      <c r="B271" s="611" t="s">
        <v>4610</v>
      </c>
      <c r="C271" s="538" t="str">
        <f>IFERROR(VLOOKUP(B271,'ПО КОРИСНИЦИМА'!$C$6:$J$15001,5,FALSE),"")</f>
        <v/>
      </c>
      <c r="D271" s="641">
        <f>SUMIF('ПО КОРИСНИЦИМА'!$G$6:$G$15001,"Свега за пројекат 2001-П18:",'ПО КОРИСНИЦИМА'!$H$6:$H$15001)</f>
        <v>0</v>
      </c>
      <c r="E271" s="638">
        <f t="shared" si="18"/>
        <v>0</v>
      </c>
      <c r="F271" s="642">
        <f>SUMIF('ПО КОРИСНИЦИМА'!$G$6:$G$15001,"Свега за пројекат 2001-П18:",'ПО КОРИСНИЦИМА'!$I$6:$I$15001)</f>
        <v>0</v>
      </c>
      <c r="G271" s="637">
        <f t="shared" si="19"/>
        <v>0</v>
      </c>
      <c r="H271" s="656"/>
    </row>
    <row r="272" spans="1:8" hidden="1" x14ac:dyDescent="0.2">
      <c r="A272" s="611"/>
      <c r="B272" s="611" t="s">
        <v>4611</v>
      </c>
      <c r="C272" s="538" t="str">
        <f>IFERROR(VLOOKUP(B272,'ПО КОРИСНИЦИМА'!$C$6:$J$15001,5,FALSE),"")</f>
        <v/>
      </c>
      <c r="D272" s="641">
        <f>SUMIF('ПО КОРИСНИЦИМА'!$G$6:$G$15001,"Свега за пројекат 2001-П19:",'ПО КОРИСНИЦИМА'!$H$6:$H$15001)</f>
        <v>0</v>
      </c>
      <c r="E272" s="638">
        <f t="shared" si="18"/>
        <v>0</v>
      </c>
      <c r="F272" s="642">
        <f>SUMIF('ПО КОРИСНИЦИМА'!$G$6:$G$15001,"Свега за пројекат 2001-П19:",'ПО КОРИСНИЦИМА'!$I$6:$I$15001)</f>
        <v>0</v>
      </c>
      <c r="G272" s="637">
        <f t="shared" si="19"/>
        <v>0</v>
      </c>
      <c r="H272" s="656"/>
    </row>
    <row r="273" spans="1:8" hidden="1" x14ac:dyDescent="0.2">
      <c r="A273" s="611"/>
      <c r="B273" s="611" t="s">
        <v>4612</v>
      </c>
      <c r="C273" s="538" t="str">
        <f>IFERROR(VLOOKUP(B273,'ПО КОРИСНИЦИМА'!$C$6:$J$15001,5,FALSE),"")</f>
        <v/>
      </c>
      <c r="D273" s="641">
        <f>SUMIF('ПО КОРИСНИЦИМА'!$G$6:$G$15001,"Свега за пројекат 2001-П20:",'ПО КОРИСНИЦИМА'!$H$6:$H$15001)</f>
        <v>0</v>
      </c>
      <c r="E273" s="638">
        <f t="shared" si="18"/>
        <v>0</v>
      </c>
      <c r="F273" s="642">
        <f>SUMIF('ПО КОРИСНИЦИМА'!$G$6:$G$15001,"Свега за пројекат 2001-П20:",'ПО КОРИСНИЦИМА'!$I$6:$I$15001)</f>
        <v>0</v>
      </c>
      <c r="G273" s="637">
        <f t="shared" si="19"/>
        <v>0</v>
      </c>
      <c r="H273" s="655"/>
    </row>
    <row r="274" spans="1:8" hidden="1" x14ac:dyDescent="0.2">
      <c r="A274" s="611"/>
      <c r="B274" s="611" t="s">
        <v>4613</v>
      </c>
      <c r="C274" s="538" t="str">
        <f>IFERROR(VLOOKUP(B274,'ПО КОРИСНИЦИМА'!$C$6:$J$15001,5,FALSE),"")</f>
        <v/>
      </c>
      <c r="D274" s="641">
        <f>SUMIF('ПО КОРИСНИЦИМА'!$G$6:$G$15001,"Свега за пројекат 2001-П21:",'ПО КОРИСНИЦИМА'!$H$6:$H$15001)</f>
        <v>0</v>
      </c>
      <c r="E274" s="638">
        <f t="shared" si="18"/>
        <v>0</v>
      </c>
      <c r="F274" s="642">
        <f>SUMIF('ПО КОРИСНИЦИМА'!$G$6:$G$15001,"Свега за пројекат 2001-П21:",'ПО КОРИСНИЦИМА'!$I$6:$I$15001)</f>
        <v>0</v>
      </c>
      <c r="G274" s="637">
        <f t="shared" si="19"/>
        <v>0</v>
      </c>
      <c r="H274" s="656"/>
    </row>
    <row r="275" spans="1:8" hidden="1" x14ac:dyDescent="0.2">
      <c r="A275" s="611"/>
      <c r="B275" s="611" t="s">
        <v>4614</v>
      </c>
      <c r="C275" s="538" t="str">
        <f>IFERROR(VLOOKUP(B275,'ПО КОРИСНИЦИМА'!$C$6:$J$15001,5,FALSE),"")</f>
        <v/>
      </c>
      <c r="D275" s="641">
        <f>SUMIF('ПО КОРИСНИЦИМА'!$G$6:$G$15001,"Свега за пројекат 2001-П22:",'ПО КОРИСНИЦИМА'!$H$6:$H$15001)</f>
        <v>0</v>
      </c>
      <c r="E275" s="638">
        <f t="shared" si="18"/>
        <v>0</v>
      </c>
      <c r="F275" s="642">
        <f>SUMIF('ПО КОРИСНИЦИМА'!$G$6:$G$15001,"Свега за пројекат 2001-П22:",'ПО КОРИСНИЦИМА'!$I$6:$I$15001)</f>
        <v>0</v>
      </c>
      <c r="G275" s="637">
        <f t="shared" si="19"/>
        <v>0</v>
      </c>
      <c r="H275" s="656"/>
    </row>
    <row r="276" spans="1:8" hidden="1" x14ac:dyDescent="0.2">
      <c r="A276" s="611"/>
      <c r="B276" s="611" t="s">
        <v>4615</v>
      </c>
      <c r="C276" s="538" t="str">
        <f>IFERROR(VLOOKUP(B276,'ПО КОРИСНИЦИМА'!$C$6:$J$15001,5,FALSE),"")</f>
        <v/>
      </c>
      <c r="D276" s="641">
        <f>SUMIF('ПО КОРИСНИЦИМА'!$G$6:$G$15001,"Свега за пројекат 2001-П23:",'ПО КОРИСНИЦИМА'!$H$6:$H$15001)</f>
        <v>0</v>
      </c>
      <c r="E276" s="638">
        <f t="shared" si="18"/>
        <v>0</v>
      </c>
      <c r="F276" s="642">
        <f>SUMIF('ПО КОРИСНИЦИМА'!$G$6:$G$15001,"Свега за пројекат 2001-П23:",'ПО КОРИСНИЦИМА'!$I$6:$I$15001)</f>
        <v>0</v>
      </c>
      <c r="G276" s="637">
        <f t="shared" si="19"/>
        <v>0</v>
      </c>
      <c r="H276" s="656"/>
    </row>
    <row r="277" spans="1:8" hidden="1" x14ac:dyDescent="0.2">
      <c r="A277" s="611"/>
      <c r="B277" s="611" t="s">
        <v>4616</v>
      </c>
      <c r="C277" s="538" t="str">
        <f>IFERROR(VLOOKUP(B277,'ПО КОРИСНИЦИМА'!$C$6:$J$15001,5,FALSE),"")</f>
        <v/>
      </c>
      <c r="D277" s="641">
        <f>SUMIF('ПО КОРИСНИЦИМА'!$G$6:$G$15001,"Свега за пројекат 2001-П24:",'ПО КОРИСНИЦИМА'!$H$6:$H$15001)</f>
        <v>0</v>
      </c>
      <c r="E277" s="638">
        <f t="shared" si="18"/>
        <v>0</v>
      </c>
      <c r="F277" s="642">
        <f>SUMIF('ПО КОРИСНИЦИМА'!$G$6:$G$15001,"Свега за пројекат 2001-П24:",'ПО КОРИСНИЦИМА'!$I$6:$I$15001)</f>
        <v>0</v>
      </c>
      <c r="G277" s="637">
        <f t="shared" si="19"/>
        <v>0</v>
      </c>
      <c r="H277" s="656"/>
    </row>
    <row r="278" spans="1:8" hidden="1" x14ac:dyDescent="0.2">
      <c r="A278" s="611"/>
      <c r="B278" s="611" t="s">
        <v>4617</v>
      </c>
      <c r="C278" s="538" t="str">
        <f>IFERROR(VLOOKUP(B278,'ПО КОРИСНИЦИМА'!$C$6:$J$15001,5,FALSE),"")</f>
        <v/>
      </c>
      <c r="D278" s="641">
        <f>SUMIF('ПО КОРИСНИЦИМА'!$G$6:$G$15001,"Свега за пројекат 2001-П25:",'ПО КОРИСНИЦИМА'!$H$6:$H$15001)</f>
        <v>0</v>
      </c>
      <c r="E278" s="638">
        <f t="shared" si="18"/>
        <v>0</v>
      </c>
      <c r="F278" s="642">
        <f>SUMIF('ПО КОРИСНИЦИМА'!$G$6:$G$15001,"Свега за пројекат 2001-П25:",'ПО КОРИСНИЦИМА'!$I$6:$I$15001)</f>
        <v>0</v>
      </c>
      <c r="G278" s="637">
        <f t="shared" si="19"/>
        <v>0</v>
      </c>
      <c r="H278" s="656"/>
    </row>
    <row r="279" spans="1:8" hidden="1" x14ac:dyDescent="0.2">
      <c r="A279" s="611"/>
      <c r="B279" s="611" t="s">
        <v>4618</v>
      </c>
      <c r="C279" s="538" t="str">
        <f>IFERROR(VLOOKUP(B279,'ПО КОРИСНИЦИМА'!$C$6:$J$15001,5,FALSE),"")</f>
        <v/>
      </c>
      <c r="D279" s="641">
        <f>SUMIF('ПО КОРИСНИЦИМА'!$G$6:$G$15001,"Свега за пројекат 2001-П26:",'ПО КОРИСНИЦИМА'!$H$6:$H$15001)</f>
        <v>0</v>
      </c>
      <c r="E279" s="638">
        <f t="shared" si="18"/>
        <v>0</v>
      </c>
      <c r="F279" s="642">
        <f>SUMIF('ПО КОРИСНИЦИМА'!$G$6:$G$15001,"Свега за пројекат 2001-П26:",'ПО КОРИСНИЦИМА'!$I$6:$I$15001)</f>
        <v>0</v>
      </c>
      <c r="G279" s="637">
        <f t="shared" si="19"/>
        <v>0</v>
      </c>
      <c r="H279" s="656"/>
    </row>
    <row r="280" spans="1:8" hidden="1" x14ac:dyDescent="0.2">
      <c r="A280" s="611"/>
      <c r="B280" s="611" t="s">
        <v>4619</v>
      </c>
      <c r="C280" s="538" t="str">
        <f>IFERROR(VLOOKUP(B280,'ПО КОРИСНИЦИМА'!$C$6:$J$15001,5,FALSE),"")</f>
        <v/>
      </c>
      <c r="D280" s="641">
        <f>SUMIF('ПО КОРИСНИЦИМА'!$G$6:$G$15001,"Свега за пројекат 2001-П27:",'ПО КОРИСНИЦИМА'!$H$6:$H$15001)</f>
        <v>0</v>
      </c>
      <c r="E280" s="638">
        <f t="shared" si="18"/>
        <v>0</v>
      </c>
      <c r="F280" s="642">
        <f>SUMIF('ПО КОРИСНИЦИМА'!$G$6:$G$15001,"Свега за пројекат 2001-П27:",'ПО КОРИСНИЦИМА'!$I$6:$I$15001)</f>
        <v>0</v>
      </c>
      <c r="G280" s="637">
        <f t="shared" si="19"/>
        <v>0</v>
      </c>
      <c r="H280" s="656"/>
    </row>
    <row r="281" spans="1:8" hidden="1" x14ac:dyDescent="0.2">
      <c r="A281" s="611"/>
      <c r="B281" s="611" t="s">
        <v>4620</v>
      </c>
      <c r="C281" s="538" t="str">
        <f>IFERROR(VLOOKUP(B281,'ПО КОРИСНИЦИМА'!$C$6:$J$15001,5,FALSE),"")</f>
        <v/>
      </c>
      <c r="D281" s="641">
        <f>SUMIF('ПО КОРИСНИЦИМА'!$G$6:$G$15001,"Свега за пројекат 2001-П28:",'ПО КОРИСНИЦИМА'!$H$6:$H$15001)</f>
        <v>0</v>
      </c>
      <c r="E281" s="638">
        <f t="shared" si="18"/>
        <v>0</v>
      </c>
      <c r="F281" s="642">
        <f>SUMIF('ПО КОРИСНИЦИМА'!$G$6:$G$15001,"Свега за пројекат 2001-П28:",'ПО КОРИСНИЦИМА'!$I$6:$I$15001)</f>
        <v>0</v>
      </c>
      <c r="G281" s="637">
        <f t="shared" si="19"/>
        <v>0</v>
      </c>
      <c r="H281" s="652"/>
    </row>
    <row r="282" spans="1:8" hidden="1" x14ac:dyDescent="0.2">
      <c r="A282" s="611"/>
      <c r="B282" s="611" t="s">
        <v>4621</v>
      </c>
      <c r="C282" s="538" t="str">
        <f>IFERROR(VLOOKUP(B282,'ПО КОРИСНИЦИМА'!$C$6:$J$15001,5,FALSE),"")</f>
        <v/>
      </c>
      <c r="D282" s="641">
        <f>SUMIF('ПО КОРИСНИЦИМА'!$G$6:$G$15001,"Свега за пројекат 2001-П29:",'ПО КОРИСНИЦИМА'!$H$6:$H$15001)</f>
        <v>0</v>
      </c>
      <c r="E282" s="638">
        <f t="shared" si="18"/>
        <v>0</v>
      </c>
      <c r="F282" s="642">
        <f>SUMIF('ПО КОРИСНИЦИМА'!$G$6:$G$15001,"Свега за пројекат 2001-П29:",'ПО КОРИСНИЦИМА'!$I$6:$I$15001)</f>
        <v>0</v>
      </c>
      <c r="G282" s="637">
        <f t="shared" si="19"/>
        <v>0</v>
      </c>
      <c r="H282" s="652"/>
    </row>
    <row r="283" spans="1:8" hidden="1" x14ac:dyDescent="0.2">
      <c r="A283" s="612"/>
      <c r="B283" s="611" t="s">
        <v>4682</v>
      </c>
      <c r="C283" s="538" t="str">
        <f>IFERROR(VLOOKUP(B283,'ПО КОРИСНИЦИМА'!$C$6:$J$15001,5,FALSE),"")</f>
        <v/>
      </c>
      <c r="D283" s="641">
        <f>SUMIF('ПО КОРИСНИЦИМА'!$G$6:$G$15001,"Свега за пројекат 2001-П30:",'ПО КОРИСНИЦИМА'!$H$6:$H$15001)</f>
        <v>0</v>
      </c>
      <c r="E283" s="638">
        <f t="shared" si="18"/>
        <v>0</v>
      </c>
      <c r="F283" s="642">
        <f>SUMIF('ПО КОРИСНИЦИМА'!$G$6:$G$15001,"Свега за пројекат 2001-П30:",'ПО КОРИСНИЦИМА'!$I$6:$I$15001)</f>
        <v>0</v>
      </c>
      <c r="G283" s="637">
        <f t="shared" si="19"/>
        <v>0</v>
      </c>
      <c r="H283" s="649"/>
    </row>
    <row r="284" spans="1:8" s="609" customFormat="1" x14ac:dyDescent="0.2">
      <c r="A284" s="602" t="s">
        <v>3581</v>
      </c>
      <c r="B284" s="603"/>
      <c r="C284" s="536" t="s">
        <v>5160</v>
      </c>
      <c r="D284" s="629">
        <f>SUM(D285:D315)</f>
        <v>43546000</v>
      </c>
      <c r="E284" s="630">
        <f>IFERROR(D284/$D$615,"-")</f>
        <v>0.10961763743909778</v>
      </c>
      <c r="F284" s="631">
        <f>SUM(F285:F315)</f>
        <v>0</v>
      </c>
      <c r="G284" s="629">
        <f t="shared" si="15"/>
        <v>43546000</v>
      </c>
      <c r="H284" s="650"/>
    </row>
    <row r="285" spans="1:8" x14ac:dyDescent="0.2">
      <c r="A285" s="604"/>
      <c r="B285" s="613" t="s">
        <v>4076</v>
      </c>
      <c r="C285" s="542" t="s">
        <v>4071</v>
      </c>
      <c r="D285" s="633">
        <f>SUMIF('ПО КОРИСНИЦИМА'!$G$6:$G$15001,"Свега за програмску активност 2002-0001:",'ПО КОРИСНИЦИМА'!$H$6:$H$15001)</f>
        <v>43546000</v>
      </c>
      <c r="E285" s="634">
        <f>IFERROR(D285/$D$615,"-")</f>
        <v>0.10961763743909778</v>
      </c>
      <c r="F285" s="635">
        <f>SUMIF('ПО КОРИСНИЦИМА'!$G$6:$G$15001,"Свега за програмску активност 2002-0001:",'ПО КОРИСНИЦИМА'!$I$6:$I$15001)</f>
        <v>0</v>
      </c>
      <c r="G285" s="633">
        <f t="shared" si="15"/>
        <v>43546000</v>
      </c>
      <c r="H285" s="636"/>
    </row>
    <row r="286" spans="1:8" hidden="1" x14ac:dyDescent="0.2">
      <c r="A286" s="604"/>
      <c r="B286" s="613" t="s">
        <v>4622</v>
      </c>
      <c r="C286" s="538"/>
      <c r="D286" s="641">
        <f>SUMIF('ПО КОРИСНИЦИМА'!$G$6:$G$15001,"Свега за пројекат 2002-П1:",'ПО КОРИСНИЦИМА'!$H$6:$H$15001)</f>
        <v>0</v>
      </c>
      <c r="E286" s="638">
        <f>IFERROR(D286/$D$615,"-")</f>
        <v>0</v>
      </c>
      <c r="F286" s="642">
        <f>SUMIF('ПО КОРИСНИЦИМА'!$G$6:$G$15001,"Свега за пројекат 2002-П1:",'ПО КОРИСНИЦИМА'!$I$6:$I$15001)</f>
        <v>0</v>
      </c>
      <c r="G286" s="633">
        <f t="shared" ref="G286:G315" si="20">D286+F286</f>
        <v>0</v>
      </c>
      <c r="H286" s="636"/>
    </row>
    <row r="287" spans="1:8" hidden="1" x14ac:dyDescent="0.2">
      <c r="A287" s="604"/>
      <c r="B287" s="613" t="s">
        <v>4623</v>
      </c>
      <c r="C287" s="538"/>
      <c r="D287" s="641">
        <f>SUMIF('ПО КОРИСНИЦИМА'!$G$6:$G$15001,"Свега за пројекат 2002-П2:",'ПО КОРИСНИЦИМА'!$H$6:$H$15001)</f>
        <v>0</v>
      </c>
      <c r="E287" s="638">
        <f t="shared" ref="E287:E346" si="21">IFERROR(D287/$D$615,"-")</f>
        <v>0</v>
      </c>
      <c r="F287" s="642">
        <f>SUMIF('ПО КОРИСНИЦИМА'!$G$6:$G$15001,"Свега за пројекат 2002-П2:",'ПО КОРИСНИЦИМА'!$I$6:$I$15001)</f>
        <v>0</v>
      </c>
      <c r="G287" s="633">
        <f t="shared" si="20"/>
        <v>0</v>
      </c>
      <c r="H287" s="636"/>
    </row>
    <row r="288" spans="1:8" hidden="1" x14ac:dyDescent="0.2">
      <c r="A288" s="604"/>
      <c r="B288" s="613" t="s">
        <v>4624</v>
      </c>
      <c r="C288" s="538" t="str">
        <f>IFERROR(VLOOKUP(B288,'ПО КОРИСНИЦИМА'!$C$6:$J$15001,5,FALSE),"")</f>
        <v/>
      </c>
      <c r="D288" s="641">
        <f>SUMIF('ПО КОРИСНИЦИМА'!$G$6:$G$15001,"Свега за пројекат 2002-П3:",'ПО КОРИСНИЦИМА'!$H$6:$H$15001)</f>
        <v>0</v>
      </c>
      <c r="E288" s="638">
        <f t="shared" si="21"/>
        <v>0</v>
      </c>
      <c r="F288" s="642">
        <f>SUMIF('ПО КОРИСНИЦИМА'!$G$6:$G$15001,"Свега за пројекат 2002-П3:",'ПО КОРИСНИЦИМА'!$I$6:$I$15001)</f>
        <v>0</v>
      </c>
      <c r="G288" s="633">
        <f t="shared" si="20"/>
        <v>0</v>
      </c>
      <c r="H288" s="636"/>
    </row>
    <row r="289" spans="1:8" hidden="1" x14ac:dyDescent="0.2">
      <c r="A289" s="604"/>
      <c r="B289" s="613" t="s">
        <v>4625</v>
      </c>
      <c r="C289" s="538" t="str">
        <f>IFERROR(VLOOKUP(B289,'ПО КОРИСНИЦИМА'!$C$6:$J$15001,5,FALSE),"")</f>
        <v/>
      </c>
      <c r="D289" s="641">
        <f>SUMIF('ПО КОРИСНИЦИМА'!$G$6:$G$15001,"Свега за пројекат 2002-П4:",'ПО КОРИСНИЦИМА'!$H$6:$H$15001)</f>
        <v>0</v>
      </c>
      <c r="E289" s="638">
        <f t="shared" si="21"/>
        <v>0</v>
      </c>
      <c r="F289" s="642">
        <f>SUMIF('ПО КОРИСНИЦИМА'!$G$6:$G$15001,"Свега за пројекат 2002-П4:",'ПО КОРИСНИЦИМА'!$I$6:$I$15001)</f>
        <v>0</v>
      </c>
      <c r="G289" s="633">
        <f t="shared" si="20"/>
        <v>0</v>
      </c>
      <c r="H289" s="636"/>
    </row>
    <row r="290" spans="1:8" hidden="1" x14ac:dyDescent="0.2">
      <c r="A290" s="604"/>
      <c r="B290" s="613" t="s">
        <v>4626</v>
      </c>
      <c r="C290" s="538" t="str">
        <f>IFERROR(VLOOKUP(B290,'ПО КОРИСНИЦИМА'!$C$6:$J$15001,5,FALSE),"")</f>
        <v/>
      </c>
      <c r="D290" s="641">
        <f>SUMIF('ПО КОРИСНИЦИМА'!$G$6:$G$15001,"Свега за пројекат 2002-П5:",'ПО КОРИСНИЦИМА'!$H$6:$H$15001)</f>
        <v>0</v>
      </c>
      <c r="E290" s="638">
        <f t="shared" si="21"/>
        <v>0</v>
      </c>
      <c r="F290" s="642">
        <f>SUMIF('ПО КОРИСНИЦИМА'!$G$6:$G$15001,"Свега за пројекат 2002-П5:",'ПО КОРИСНИЦИМА'!$I$6:$I$15001)</f>
        <v>0</v>
      </c>
      <c r="G290" s="633">
        <f t="shared" si="20"/>
        <v>0</v>
      </c>
      <c r="H290" s="636"/>
    </row>
    <row r="291" spans="1:8" hidden="1" x14ac:dyDescent="0.2">
      <c r="A291" s="604"/>
      <c r="B291" s="613" t="s">
        <v>4627</v>
      </c>
      <c r="C291" s="538" t="str">
        <f>IFERROR(VLOOKUP(B291,'ПО КОРИСНИЦИМА'!$C$6:$J$15001,5,FALSE),"")</f>
        <v/>
      </c>
      <c r="D291" s="641">
        <f>SUMIF('ПО КОРИСНИЦИМА'!$G$6:$G$15001,"Свега за пројекат 2002-П6:",'ПО КОРИСНИЦИМА'!$H$6:$H$15001)</f>
        <v>0</v>
      </c>
      <c r="E291" s="638">
        <f t="shared" si="21"/>
        <v>0</v>
      </c>
      <c r="F291" s="642">
        <f>SUMIF('ПО КОРИСНИЦИМА'!$G$6:$G$15001,"Свега за пројекат 2002-П6:",'ПО КОРИСНИЦИМА'!$I$6:$I$15001)</f>
        <v>0</v>
      </c>
      <c r="G291" s="633">
        <f t="shared" si="20"/>
        <v>0</v>
      </c>
      <c r="H291" s="636"/>
    </row>
    <row r="292" spans="1:8" hidden="1" x14ac:dyDescent="0.2">
      <c r="A292" s="604"/>
      <c r="B292" s="613" t="s">
        <v>4628</v>
      </c>
      <c r="C292" s="538" t="str">
        <f>IFERROR(VLOOKUP(B292,'ПО КОРИСНИЦИМА'!$C$6:$J$15001,5,FALSE),"")</f>
        <v/>
      </c>
      <c r="D292" s="641">
        <f>SUMIF('ПО КОРИСНИЦИМА'!$G$6:$G$15001,"Свега за пројекат 2002-П7:",'ПО КОРИСНИЦИМА'!$H$6:$H$15001)</f>
        <v>0</v>
      </c>
      <c r="E292" s="638">
        <f t="shared" si="21"/>
        <v>0</v>
      </c>
      <c r="F292" s="642">
        <f>SUMIF('ПО КОРИСНИЦИМА'!$G$6:$G$15001,"Свега за пројекат 2002-П7:",'ПО КОРИСНИЦИМА'!$I$6:$I$15001)</f>
        <v>0</v>
      </c>
      <c r="G292" s="633">
        <f t="shared" si="20"/>
        <v>0</v>
      </c>
      <c r="H292" s="636"/>
    </row>
    <row r="293" spans="1:8" hidden="1" x14ac:dyDescent="0.2">
      <c r="A293" s="604"/>
      <c r="B293" s="613" t="s">
        <v>4629</v>
      </c>
      <c r="C293" s="538" t="str">
        <f>IFERROR(VLOOKUP(B293,'ПО КОРИСНИЦИМА'!$C$6:$J$15001,5,FALSE),"")</f>
        <v/>
      </c>
      <c r="D293" s="641">
        <f>SUMIF('ПО КОРИСНИЦИМА'!$G$6:$G$15001,"Свега за пројекат 2002-П8:",'ПО КОРИСНИЦИМА'!$H$6:$H$15001)</f>
        <v>0</v>
      </c>
      <c r="E293" s="638">
        <f t="shared" si="21"/>
        <v>0</v>
      </c>
      <c r="F293" s="642">
        <f>SUMIF('ПО КОРИСНИЦИМА'!$G$6:$G$15001,"Свега за пројекат 2002-П8:",'ПО КОРИСНИЦИМА'!$I$6:$I$15001)</f>
        <v>0</v>
      </c>
      <c r="G293" s="633">
        <f t="shared" si="20"/>
        <v>0</v>
      </c>
      <c r="H293" s="636"/>
    </row>
    <row r="294" spans="1:8" hidden="1" x14ac:dyDescent="0.2">
      <c r="A294" s="604"/>
      <c r="B294" s="613" t="s">
        <v>4630</v>
      </c>
      <c r="C294" s="538" t="str">
        <f>IFERROR(VLOOKUP(B294,'ПО КОРИСНИЦИМА'!$C$6:$J$15001,5,FALSE),"")</f>
        <v/>
      </c>
      <c r="D294" s="641">
        <f>SUMIF('ПО КОРИСНИЦИМА'!$G$6:$G$15001,"Свега за пројекат 2002-П9:",'ПО КОРИСНИЦИМА'!$H$6:$H$15001)</f>
        <v>0</v>
      </c>
      <c r="E294" s="638">
        <f t="shared" si="21"/>
        <v>0</v>
      </c>
      <c r="F294" s="642">
        <f>SUMIF('ПО КОРИСНИЦИМА'!$G$6:$G$15001,"Свега за пројекат 2002-П9:",'ПО КОРИСНИЦИМА'!$I$6:$I$15001)</f>
        <v>0</v>
      </c>
      <c r="G294" s="633">
        <f t="shared" si="20"/>
        <v>0</v>
      </c>
      <c r="H294" s="636"/>
    </row>
    <row r="295" spans="1:8" hidden="1" x14ac:dyDescent="0.2">
      <c r="A295" s="604"/>
      <c r="B295" s="613" t="s">
        <v>4631</v>
      </c>
      <c r="C295" s="538" t="str">
        <f>IFERROR(VLOOKUP(B295,'ПО КОРИСНИЦИМА'!$C$6:$J$15001,5,FALSE),"")</f>
        <v/>
      </c>
      <c r="D295" s="641">
        <f>SUMIF('ПО КОРИСНИЦИМА'!$G$6:$G$15001,"Свега за пројекат 2002-П10:",'ПО КОРИСНИЦИМА'!$H$6:$H$15001)</f>
        <v>0</v>
      </c>
      <c r="E295" s="638">
        <f t="shared" si="21"/>
        <v>0</v>
      </c>
      <c r="F295" s="642">
        <f>SUMIF('ПО КОРИСНИЦИМА'!$G$6:$G$15001,"Свега за пројекат 2002-П10:",'ПО КОРИСНИЦИМА'!$I$6:$I$15001)</f>
        <v>0</v>
      </c>
      <c r="G295" s="633">
        <f t="shared" si="20"/>
        <v>0</v>
      </c>
      <c r="H295" s="636"/>
    </row>
    <row r="296" spans="1:8" hidden="1" x14ac:dyDescent="0.2">
      <c r="A296" s="604"/>
      <c r="B296" s="613" t="s">
        <v>4632</v>
      </c>
      <c r="C296" s="538" t="str">
        <f>IFERROR(VLOOKUP(B296,'ПО КОРИСНИЦИМА'!$C$6:$J$15001,5,FALSE),"")</f>
        <v/>
      </c>
      <c r="D296" s="641">
        <f>SUMIF('ПО КОРИСНИЦИМА'!$G$6:$G$15001,"Свега за пројекат 2002-П11:",'ПО КОРИСНИЦИМА'!$H$6:$H$15001)</f>
        <v>0</v>
      </c>
      <c r="E296" s="638">
        <f t="shared" si="21"/>
        <v>0</v>
      </c>
      <c r="F296" s="642">
        <f>SUMIF('ПО КОРИСНИЦИМА'!$G$6:$G$15001,"Свега за пројекат 2002-П11:",'ПО КОРИСНИЦИМА'!$I$6:$I$15001)</f>
        <v>0</v>
      </c>
      <c r="G296" s="633">
        <f t="shared" si="20"/>
        <v>0</v>
      </c>
      <c r="H296" s="636"/>
    </row>
    <row r="297" spans="1:8" hidden="1" x14ac:dyDescent="0.2">
      <c r="A297" s="604"/>
      <c r="B297" s="613" t="s">
        <v>4633</v>
      </c>
      <c r="C297" s="538" t="str">
        <f>IFERROR(VLOOKUP(B297,'ПО КОРИСНИЦИМА'!$C$6:$J$15001,5,FALSE),"")</f>
        <v/>
      </c>
      <c r="D297" s="641">
        <f>SUMIF('ПО КОРИСНИЦИМА'!$G$6:$G$15001,"Свега за пројекат 2002-П12:",'ПО КОРИСНИЦИМА'!$H$6:$H$15001)</f>
        <v>0</v>
      </c>
      <c r="E297" s="638">
        <f t="shared" si="21"/>
        <v>0</v>
      </c>
      <c r="F297" s="642">
        <f>SUMIF('ПО КОРИСНИЦИМА'!$G$6:$G$15001,"Свега за пројекат 2002-П12:",'ПО КОРИСНИЦИМА'!$I$6:$I$15001)</f>
        <v>0</v>
      </c>
      <c r="G297" s="633">
        <f t="shared" si="20"/>
        <v>0</v>
      </c>
      <c r="H297" s="636"/>
    </row>
    <row r="298" spans="1:8" hidden="1" x14ac:dyDescent="0.2">
      <c r="A298" s="604"/>
      <c r="B298" s="613" t="s">
        <v>4634</v>
      </c>
      <c r="C298" s="538" t="str">
        <f>IFERROR(VLOOKUP(B298,'ПО КОРИСНИЦИМА'!$C$6:$J$15001,5,FALSE),"")</f>
        <v/>
      </c>
      <c r="D298" s="641">
        <f>SUMIF('ПО КОРИСНИЦИМА'!$G$6:$G$15001,"Свега за пројекат 2002-П13:",'ПО КОРИСНИЦИМА'!$H$6:$H$15001)</f>
        <v>0</v>
      </c>
      <c r="E298" s="638">
        <f t="shared" si="21"/>
        <v>0</v>
      </c>
      <c r="F298" s="642">
        <f>SUMIF('ПО КОРИСНИЦИМА'!$G$6:$G$15001,"Свега за пројекат 2002-П13:",'ПО КОРИСНИЦИМА'!$I$6:$I$15001)</f>
        <v>0</v>
      </c>
      <c r="G298" s="633">
        <f t="shared" si="20"/>
        <v>0</v>
      </c>
      <c r="H298" s="636"/>
    </row>
    <row r="299" spans="1:8" hidden="1" x14ac:dyDescent="0.2">
      <c r="A299" s="604"/>
      <c r="B299" s="613" t="s">
        <v>4635</v>
      </c>
      <c r="C299" s="538" t="str">
        <f>IFERROR(VLOOKUP(B299,'ПО КОРИСНИЦИМА'!$C$6:$J$15001,5,FALSE),"")</f>
        <v/>
      </c>
      <c r="D299" s="641">
        <f>SUMIF('ПО КОРИСНИЦИМА'!$G$6:$G$15001,"Свега за пројекат 2002-П14:",'ПО КОРИСНИЦИМА'!$H$6:$H$15001)</f>
        <v>0</v>
      </c>
      <c r="E299" s="638">
        <f t="shared" si="21"/>
        <v>0</v>
      </c>
      <c r="F299" s="642">
        <f>SUMIF('ПО КОРИСНИЦИМА'!$G$6:$G$15001,"Свега за пројекат 2002-П14:",'ПО КОРИСНИЦИМА'!$I$6:$I$15001)</f>
        <v>0</v>
      </c>
      <c r="G299" s="633">
        <f t="shared" si="20"/>
        <v>0</v>
      </c>
      <c r="H299" s="636"/>
    </row>
    <row r="300" spans="1:8" hidden="1" x14ac:dyDescent="0.2">
      <c r="A300" s="604"/>
      <c r="B300" s="613" t="s">
        <v>4636</v>
      </c>
      <c r="C300" s="538" t="str">
        <f>IFERROR(VLOOKUP(B300,'ПО КОРИСНИЦИМА'!$C$6:$J$15001,5,FALSE),"")</f>
        <v/>
      </c>
      <c r="D300" s="641">
        <f>SUMIF('ПО КОРИСНИЦИМА'!$G$6:$G$15001,"Свега за пројекат 2002-П15:",'ПО КОРИСНИЦИМА'!$H$6:$H$15001)</f>
        <v>0</v>
      </c>
      <c r="E300" s="638">
        <f t="shared" si="21"/>
        <v>0</v>
      </c>
      <c r="F300" s="642">
        <f>SUMIF('ПО КОРИСНИЦИМА'!$G$6:$G$15001,"Свега за пројекат 2002-П15:",'ПО КОРИСНИЦИМА'!$I$6:$I$15001)</f>
        <v>0</v>
      </c>
      <c r="G300" s="633">
        <f t="shared" si="20"/>
        <v>0</v>
      </c>
      <c r="H300" s="636"/>
    </row>
    <row r="301" spans="1:8" hidden="1" x14ac:dyDescent="0.2">
      <c r="A301" s="604"/>
      <c r="B301" s="613" t="s">
        <v>4637</v>
      </c>
      <c r="C301" s="538" t="str">
        <f>IFERROR(VLOOKUP(B301,'ПО КОРИСНИЦИМА'!$C$6:$J$15001,5,FALSE),"")</f>
        <v/>
      </c>
      <c r="D301" s="641">
        <f>SUMIF('ПО КОРИСНИЦИМА'!$G$6:$G$15001,"Свега за пројекат 2002-П16:",'ПО КОРИСНИЦИМА'!$H$6:$H$15001)</f>
        <v>0</v>
      </c>
      <c r="E301" s="638">
        <f t="shared" si="21"/>
        <v>0</v>
      </c>
      <c r="F301" s="642">
        <f>SUMIF('ПО КОРИСНИЦИМА'!$G$6:$G$15001,"Свега за пројекат 2002-П16:",'ПО КОРИСНИЦИМА'!$I$6:$I$15001)</f>
        <v>0</v>
      </c>
      <c r="G301" s="633">
        <f t="shared" si="20"/>
        <v>0</v>
      </c>
      <c r="H301" s="636"/>
    </row>
    <row r="302" spans="1:8" hidden="1" x14ac:dyDescent="0.2">
      <c r="A302" s="604"/>
      <c r="B302" s="613" t="s">
        <v>4638</v>
      </c>
      <c r="C302" s="538" t="str">
        <f>IFERROR(VLOOKUP(B302,'ПО КОРИСНИЦИМА'!$C$6:$J$15001,5,FALSE),"")</f>
        <v/>
      </c>
      <c r="D302" s="641">
        <f>SUMIF('ПО КОРИСНИЦИМА'!$G$6:$G$15001,"Свега за пројекат 2002-П17:",'ПО КОРИСНИЦИМА'!$H$6:$H$15001)</f>
        <v>0</v>
      </c>
      <c r="E302" s="638">
        <f t="shared" si="21"/>
        <v>0</v>
      </c>
      <c r="F302" s="642">
        <f>SUMIF('ПО КОРИСНИЦИМА'!$G$6:$G$15001,"Свега за пројекат 2002-П17:",'ПО КОРИСНИЦИМА'!$I$6:$I$15001)</f>
        <v>0</v>
      </c>
      <c r="G302" s="633">
        <f t="shared" si="20"/>
        <v>0</v>
      </c>
      <c r="H302" s="636"/>
    </row>
    <row r="303" spans="1:8" hidden="1" x14ac:dyDescent="0.2">
      <c r="A303" s="604"/>
      <c r="B303" s="613" t="s">
        <v>4639</v>
      </c>
      <c r="C303" s="538" t="str">
        <f>IFERROR(VLOOKUP(B303,'ПО КОРИСНИЦИМА'!$C$6:$J$15001,5,FALSE),"")</f>
        <v/>
      </c>
      <c r="D303" s="641">
        <f>SUMIF('ПО КОРИСНИЦИМА'!$G$6:$G$15001,"Свега за пројекат 2002-П18:",'ПО КОРИСНИЦИМА'!$H$6:$H$15001)</f>
        <v>0</v>
      </c>
      <c r="E303" s="638">
        <f t="shared" si="21"/>
        <v>0</v>
      </c>
      <c r="F303" s="642">
        <f>SUMIF('ПО КОРИСНИЦИМА'!$G$6:$G$15001,"Свега за пројекат 2002-П18:",'ПО КОРИСНИЦИМА'!$I$6:$I$15001)</f>
        <v>0</v>
      </c>
      <c r="G303" s="633">
        <f t="shared" si="20"/>
        <v>0</v>
      </c>
      <c r="H303" s="636"/>
    </row>
    <row r="304" spans="1:8" hidden="1" x14ac:dyDescent="0.2">
      <c r="A304" s="604"/>
      <c r="B304" s="613" t="s">
        <v>4640</v>
      </c>
      <c r="C304" s="538" t="str">
        <f>IFERROR(VLOOKUP(B304,'ПО КОРИСНИЦИМА'!$C$6:$J$15001,5,FALSE),"")</f>
        <v/>
      </c>
      <c r="D304" s="641">
        <f>SUMIF('ПО КОРИСНИЦИМА'!$G$6:$G$15001,"Свега за пројекат 2002-П19:",'ПО КОРИСНИЦИМА'!$H$6:$H$15001)</f>
        <v>0</v>
      </c>
      <c r="E304" s="638">
        <f t="shared" si="21"/>
        <v>0</v>
      </c>
      <c r="F304" s="642">
        <f>SUMIF('ПО КОРИСНИЦИМА'!$G$6:$G$15001,"Свега за пројекат 2002-П19:",'ПО КОРИСНИЦИМА'!$I$6:$I$15001)</f>
        <v>0</v>
      </c>
      <c r="G304" s="633">
        <f t="shared" si="20"/>
        <v>0</v>
      </c>
      <c r="H304" s="636"/>
    </row>
    <row r="305" spans="1:8" hidden="1" x14ac:dyDescent="0.2">
      <c r="A305" s="604"/>
      <c r="B305" s="613" t="s">
        <v>4641</v>
      </c>
      <c r="C305" s="538" t="str">
        <f>IFERROR(VLOOKUP(B305,'ПО КОРИСНИЦИМА'!$C$6:$J$15001,5,FALSE),"")</f>
        <v/>
      </c>
      <c r="D305" s="641">
        <f>SUMIF('ПО КОРИСНИЦИМА'!$G$6:$G$15001,"Свега за пројекат 2002-П20:",'ПО КОРИСНИЦИМА'!$H$6:$H$15001)</f>
        <v>0</v>
      </c>
      <c r="E305" s="638">
        <f t="shared" si="21"/>
        <v>0</v>
      </c>
      <c r="F305" s="642">
        <f>SUMIF('ПО КОРИСНИЦИМА'!$G$6:$G$15001,"Свега за пројекат 2002-П20:",'ПО КОРИСНИЦИМА'!$I$6:$I$15001)</f>
        <v>0</v>
      </c>
      <c r="G305" s="633">
        <f t="shared" si="20"/>
        <v>0</v>
      </c>
      <c r="H305" s="636"/>
    </row>
    <row r="306" spans="1:8" hidden="1" x14ac:dyDescent="0.2">
      <c r="A306" s="604"/>
      <c r="B306" s="613" t="s">
        <v>4642</v>
      </c>
      <c r="C306" s="538" t="str">
        <f>IFERROR(VLOOKUP(B306,'ПО КОРИСНИЦИМА'!$C$6:$J$15001,5,FALSE),"")</f>
        <v/>
      </c>
      <c r="D306" s="641">
        <f>SUMIF('ПО КОРИСНИЦИМА'!$G$6:$G$15001,"Свега за пројекат 2002-П21:",'ПО КОРИСНИЦИМА'!$H$6:$H$15001)</f>
        <v>0</v>
      </c>
      <c r="E306" s="638">
        <f t="shared" si="21"/>
        <v>0</v>
      </c>
      <c r="F306" s="642">
        <f>SUMIF('ПО КОРИСНИЦИМА'!$G$6:$G$15001,"Свега за пројекат 2002-П21:",'ПО КОРИСНИЦИМА'!$I$6:$I$15001)</f>
        <v>0</v>
      </c>
      <c r="G306" s="633">
        <f t="shared" si="20"/>
        <v>0</v>
      </c>
      <c r="H306" s="636"/>
    </row>
    <row r="307" spans="1:8" hidden="1" x14ac:dyDescent="0.2">
      <c r="A307" s="604"/>
      <c r="B307" s="613" t="s">
        <v>4643</v>
      </c>
      <c r="C307" s="538" t="str">
        <f>IFERROR(VLOOKUP(B307,'ПО КОРИСНИЦИМА'!$C$6:$J$15001,5,FALSE),"")</f>
        <v/>
      </c>
      <c r="D307" s="641">
        <f>SUMIF('ПО КОРИСНИЦИМА'!$G$6:$G$15001,"Свега за пројекат 2002-П22:",'ПО КОРИСНИЦИМА'!$H$6:$H$15001)</f>
        <v>0</v>
      </c>
      <c r="E307" s="638">
        <f t="shared" si="21"/>
        <v>0</v>
      </c>
      <c r="F307" s="642">
        <f>SUMIF('ПО КОРИСНИЦИМА'!$G$6:$G$15001,"Свега за пројекат 2002-П22:",'ПО КОРИСНИЦИМА'!$I$6:$I$15001)</f>
        <v>0</v>
      </c>
      <c r="G307" s="633">
        <f t="shared" si="20"/>
        <v>0</v>
      </c>
      <c r="H307" s="636"/>
    </row>
    <row r="308" spans="1:8" hidden="1" x14ac:dyDescent="0.2">
      <c r="A308" s="604"/>
      <c r="B308" s="613" t="s">
        <v>4644</v>
      </c>
      <c r="C308" s="538" t="str">
        <f>IFERROR(VLOOKUP(B308,'ПО КОРИСНИЦИМА'!$C$6:$J$15001,5,FALSE),"")</f>
        <v/>
      </c>
      <c r="D308" s="641">
        <f>SUMIF('ПО КОРИСНИЦИМА'!$G$6:$G$15001,"Свега за пројекат 2002-П23:",'ПО КОРИСНИЦИМА'!$H$6:$H$15001)</f>
        <v>0</v>
      </c>
      <c r="E308" s="638">
        <f t="shared" si="21"/>
        <v>0</v>
      </c>
      <c r="F308" s="642">
        <f>SUMIF('ПО КОРИСНИЦИМА'!$G$6:$G$15001,"Свега за пројекат 2002-П23:",'ПО КОРИСНИЦИМА'!$I$6:$I$15001)</f>
        <v>0</v>
      </c>
      <c r="G308" s="633">
        <f t="shared" si="20"/>
        <v>0</v>
      </c>
      <c r="H308" s="636"/>
    </row>
    <row r="309" spans="1:8" hidden="1" x14ac:dyDescent="0.2">
      <c r="A309" s="604"/>
      <c r="B309" s="613" t="s">
        <v>4645</v>
      </c>
      <c r="C309" s="538" t="str">
        <f>IFERROR(VLOOKUP(B309,'ПО КОРИСНИЦИМА'!$C$6:$J$15001,5,FALSE),"")</f>
        <v/>
      </c>
      <c r="D309" s="641">
        <f>SUMIF('ПО КОРИСНИЦИМА'!$G$6:$G$15001,"Свега за пројекат 2002-П24:",'ПО КОРИСНИЦИМА'!$H$6:$H$15001)</f>
        <v>0</v>
      </c>
      <c r="E309" s="638">
        <f t="shared" si="21"/>
        <v>0</v>
      </c>
      <c r="F309" s="642">
        <f>SUMIF('ПО КОРИСНИЦИМА'!$G$6:$G$15001,"Свега за пројекат 2002-П24:",'ПО КОРИСНИЦИМА'!$I$6:$I$15001)</f>
        <v>0</v>
      </c>
      <c r="G309" s="633">
        <f t="shared" si="20"/>
        <v>0</v>
      </c>
      <c r="H309" s="636"/>
    </row>
    <row r="310" spans="1:8" hidden="1" x14ac:dyDescent="0.2">
      <c r="A310" s="604"/>
      <c r="B310" s="613" t="s">
        <v>4646</v>
      </c>
      <c r="C310" s="538" t="str">
        <f>IFERROR(VLOOKUP(B310,'ПО КОРИСНИЦИМА'!$C$6:$J$15001,5,FALSE),"")</f>
        <v/>
      </c>
      <c r="D310" s="641">
        <f>SUMIF('ПО КОРИСНИЦИМА'!$G$6:$G$15001,"Свега за пројекат 2002-П25:",'ПО КОРИСНИЦИМА'!$H$6:$H$15001)</f>
        <v>0</v>
      </c>
      <c r="E310" s="638">
        <f t="shared" si="21"/>
        <v>0</v>
      </c>
      <c r="F310" s="642">
        <f>SUMIF('ПО КОРИСНИЦИМА'!$G$6:$G$15001,"Свега за пројекат 2002-П25:",'ПО КОРИСНИЦИМА'!$I$6:$I$15001)</f>
        <v>0</v>
      </c>
      <c r="G310" s="633">
        <f t="shared" si="20"/>
        <v>0</v>
      </c>
      <c r="H310" s="636"/>
    </row>
    <row r="311" spans="1:8" hidden="1" x14ac:dyDescent="0.2">
      <c r="A311" s="611"/>
      <c r="B311" s="613" t="s">
        <v>4647</v>
      </c>
      <c r="C311" s="538" t="str">
        <f>IFERROR(VLOOKUP(B311,'ПО КОРИСНИЦИМА'!$C$6:$J$15001,5,FALSE),"")</f>
        <v/>
      </c>
      <c r="D311" s="641">
        <f>SUMIF('ПО КОРИСНИЦИМА'!$G$6:$G$15001,"Свега за пројекат 2002-П26:",'ПО КОРИСНИЦИМА'!$H$6:$H$15001)</f>
        <v>0</v>
      </c>
      <c r="E311" s="638">
        <f t="shared" si="21"/>
        <v>0</v>
      </c>
      <c r="F311" s="642">
        <f>SUMIF('ПО КОРИСНИЦИМА'!$G$6:$G$15001,"Свега за пројекат 2002-П26:",'ПО КОРИСНИЦИМА'!$I$6:$I$15001)</f>
        <v>0</v>
      </c>
      <c r="G311" s="633">
        <f t="shared" si="20"/>
        <v>0</v>
      </c>
      <c r="H311" s="640"/>
    </row>
    <row r="312" spans="1:8" hidden="1" x14ac:dyDescent="0.2">
      <c r="A312" s="611"/>
      <c r="B312" s="613" t="s">
        <v>4648</v>
      </c>
      <c r="C312" s="538" t="str">
        <f>IFERROR(VLOOKUP(B312,'ПО КОРИСНИЦИМА'!$C$6:$J$15001,5,FALSE),"")</f>
        <v/>
      </c>
      <c r="D312" s="641">
        <f>SUMIF('ПО КОРИСНИЦИМА'!$G$6:$G$15001,"Свега за пројекат 2002-П27:",'ПО КОРИСНИЦИМА'!$H$6:$H$15001)</f>
        <v>0</v>
      </c>
      <c r="E312" s="638">
        <f t="shared" si="21"/>
        <v>0</v>
      </c>
      <c r="F312" s="642">
        <f>SUMIF('ПО КОРИСНИЦИМА'!$G$6:$G$15001,"Свега за пројекат 2002-П27:",'ПО КОРИСНИЦИМА'!$I$6:$I$15001)</f>
        <v>0</v>
      </c>
      <c r="G312" s="633">
        <f t="shared" si="20"/>
        <v>0</v>
      </c>
      <c r="H312" s="640"/>
    </row>
    <row r="313" spans="1:8" hidden="1" x14ac:dyDescent="0.2">
      <c r="A313" s="611"/>
      <c r="B313" s="613" t="s">
        <v>4649</v>
      </c>
      <c r="C313" s="538" t="str">
        <f>IFERROR(VLOOKUP(B313,'ПО КОРИСНИЦИМА'!$C$6:$J$15001,5,FALSE),"")</f>
        <v/>
      </c>
      <c r="D313" s="641">
        <f>SUMIF('ПО КОРИСНИЦИМА'!$G$6:$G$15001,"Свега за пројекат 2002-П28:",'ПО КОРИСНИЦИМА'!$H$6:$H$15001)</f>
        <v>0</v>
      </c>
      <c r="E313" s="638">
        <f t="shared" si="21"/>
        <v>0</v>
      </c>
      <c r="F313" s="642">
        <f>SUMIF('ПО КОРИСНИЦИМА'!$G$6:$G$15001,"Свега за пројекат 2002-П28:",'ПО КОРИСНИЦИМА'!$I$6:$I$15001)</f>
        <v>0</v>
      </c>
      <c r="G313" s="633">
        <f t="shared" si="20"/>
        <v>0</v>
      </c>
      <c r="H313" s="640"/>
    </row>
    <row r="314" spans="1:8" hidden="1" x14ac:dyDescent="0.2">
      <c r="A314" s="611"/>
      <c r="B314" s="613" t="s">
        <v>4650</v>
      </c>
      <c r="C314" s="538" t="str">
        <f>IFERROR(VLOOKUP(B314,'ПО КОРИСНИЦИМА'!$C$6:$J$15001,5,FALSE),"")</f>
        <v/>
      </c>
      <c r="D314" s="641">
        <f>SUMIF('ПО КОРИСНИЦИМА'!$G$6:$G$15001,"Свега за пројекат 2002-П29:",'ПО КОРИСНИЦИМА'!$H$6:$H$15001)</f>
        <v>0</v>
      </c>
      <c r="E314" s="638">
        <f t="shared" si="21"/>
        <v>0</v>
      </c>
      <c r="F314" s="642">
        <f>SUMIF('ПО КОРИСНИЦИМА'!$G$6:$G$15001,"Свега за пројекат 2002-П29:",'ПО КОРИСНИЦИМА'!$I$6:$I$15001)</f>
        <v>0</v>
      </c>
      <c r="G314" s="633">
        <f t="shared" si="20"/>
        <v>0</v>
      </c>
      <c r="H314" s="640"/>
    </row>
    <row r="315" spans="1:8" hidden="1" x14ac:dyDescent="0.2">
      <c r="A315" s="612"/>
      <c r="B315" s="613" t="s">
        <v>4651</v>
      </c>
      <c r="C315" s="538" t="str">
        <f>IFERROR(VLOOKUP(B315,'ПО КОРИСНИЦИМА'!$C$6:$J$15001,5,FALSE),"")</f>
        <v/>
      </c>
      <c r="D315" s="641">
        <f>SUMIF('ПО КОРИСНИЦИМА'!$G$6:$G$15001,"Свега за пројекат 2002-П30:",'ПО КОРИСНИЦИМА'!$H$6:$H$15001)</f>
        <v>0</v>
      </c>
      <c r="E315" s="638">
        <f t="shared" si="21"/>
        <v>0</v>
      </c>
      <c r="F315" s="642">
        <f>SUMIF('ПО КОРИСНИЦИМА'!$G$6:$G$15001,"Свега за пројекат 2002-П30:",'ПО КОРИСНИЦИМА'!$I$6:$I$15001)</f>
        <v>0</v>
      </c>
      <c r="G315" s="633">
        <f t="shared" si="20"/>
        <v>0</v>
      </c>
      <c r="H315" s="649"/>
    </row>
    <row r="316" spans="1:8" s="609" customFormat="1" hidden="1" x14ac:dyDescent="0.2">
      <c r="A316" s="602" t="s">
        <v>3584</v>
      </c>
      <c r="B316" s="603"/>
      <c r="C316" s="536" t="s">
        <v>5161</v>
      </c>
      <c r="D316" s="629">
        <f>SUM(D317:D347)</f>
        <v>0</v>
      </c>
      <c r="E316" s="630">
        <f>IFERROR(D316/$D$615,"-")</f>
        <v>0</v>
      </c>
      <c r="F316" s="631">
        <f>SUM(F317:F347)</f>
        <v>0</v>
      </c>
      <c r="G316" s="629">
        <f t="shared" si="15"/>
        <v>0</v>
      </c>
      <c r="H316" s="650"/>
    </row>
    <row r="317" spans="1:8" hidden="1" x14ac:dyDescent="0.2">
      <c r="A317" s="605"/>
      <c r="B317" s="613" t="s">
        <v>4280</v>
      </c>
      <c r="C317" s="542" t="s">
        <v>4072</v>
      </c>
      <c r="D317" s="633">
        <f>SUMIF('ПО КОРИСНИЦИМА'!$G$6:$G$15001,"Свега за програмску активност 2003-0001:",'ПО КОРИСНИЦИМА'!$H$6:$H$15001)</f>
        <v>0</v>
      </c>
      <c r="E317" s="638">
        <f t="shared" si="21"/>
        <v>0</v>
      </c>
      <c r="F317" s="635">
        <f>SUMIF('ПО КОРИСНИЦИМА'!$G$6:$G$15001,"Свега за програмску активност 2003-0001:",'ПО КОРИСНИЦИМА'!$I$6:$I$15001)</f>
        <v>0</v>
      </c>
      <c r="G317" s="633">
        <f t="shared" si="15"/>
        <v>0</v>
      </c>
      <c r="H317" s="636"/>
    </row>
    <row r="318" spans="1:8" hidden="1" x14ac:dyDescent="0.2">
      <c r="A318" s="611"/>
      <c r="B318" s="611" t="s">
        <v>4652</v>
      </c>
      <c r="C318" s="538" t="str">
        <f>IFERROR(VLOOKUP(B318,'ПО КОРИСНИЦИМА'!$C$6:$J$15001,5,FALSE),"")</f>
        <v xml:space="preserve">Пројекат: </v>
      </c>
      <c r="D318" s="641">
        <f>SUMIF('ПО КОРИСНИЦИМА'!$G$6:$G$15001,"Свега за пројекат 2003-П1:",'ПО КОРИСНИЦИМА'!$H$6:$H$15001)</f>
        <v>0</v>
      </c>
      <c r="E318" s="638">
        <f>IFERROR(D318/$D$615,"-")</f>
        <v>0</v>
      </c>
      <c r="F318" s="642">
        <f>SUMIF('ПО КОРИСНИЦИМА'!$G$6:$G$15001,"Свега за пројекат 2003-П1:",'ПО КОРИСНИЦИМА'!$I$6:$I$15001)</f>
        <v>0</v>
      </c>
      <c r="G318" s="633">
        <f t="shared" ref="G318:G347" si="22">D318+F318</f>
        <v>0</v>
      </c>
      <c r="H318" s="640"/>
    </row>
    <row r="319" spans="1:8" hidden="1" x14ac:dyDescent="0.2">
      <c r="A319" s="611"/>
      <c r="B319" s="611" t="s">
        <v>4653</v>
      </c>
      <c r="C319" s="538" t="str">
        <f>IFERROR(VLOOKUP(B319,'ПО КОРИСНИЦИМА'!$C$6:$J$15001,5,FALSE),"")</f>
        <v xml:space="preserve">Пројекат: </v>
      </c>
      <c r="D319" s="641">
        <f>SUMIF('ПО КОРИСНИЦИМА'!$G$6:$G$15001,"Свега за пројекат 2003-П2:",'ПО КОРИСНИЦИМА'!$H$6:$H$15001)</f>
        <v>0</v>
      </c>
      <c r="E319" s="638">
        <f t="shared" si="21"/>
        <v>0</v>
      </c>
      <c r="F319" s="642">
        <f>SUMIF('ПО КОРИСНИЦИМА'!$G$6:$G$15001,"Свега за пројекат 2003-П2:",'ПО КОРИСНИЦИМА'!$I$6:$I$15001)</f>
        <v>0</v>
      </c>
      <c r="G319" s="633">
        <f t="shared" si="22"/>
        <v>0</v>
      </c>
      <c r="H319" s="643"/>
    </row>
    <row r="320" spans="1:8" hidden="1" x14ac:dyDescent="0.2">
      <c r="A320" s="611"/>
      <c r="B320" s="611" t="s">
        <v>4654</v>
      </c>
      <c r="C320" s="538" t="str">
        <f>IFERROR(VLOOKUP(B320,'ПО КОРИСНИЦИМА'!$C$6:$J$15001,5,FALSE),"")</f>
        <v/>
      </c>
      <c r="D320" s="641">
        <f>SUMIF('ПО КОРИСНИЦИМА'!$G$6:$G$15001,"Свега за пројекат 2003-П3:",'ПО КОРИСНИЦИМА'!$H$6:$H$15001)</f>
        <v>0</v>
      </c>
      <c r="E320" s="638">
        <f t="shared" si="21"/>
        <v>0</v>
      </c>
      <c r="F320" s="642">
        <f>SUMIF('ПО КОРИСНИЦИМА'!$G$6:$G$15001,"Свега за пројекат 2003-П3:",'ПО КОРИСНИЦИМА'!$I$6:$I$15001)</f>
        <v>0</v>
      </c>
      <c r="G320" s="633">
        <f t="shared" si="22"/>
        <v>0</v>
      </c>
      <c r="H320" s="643"/>
    </row>
    <row r="321" spans="1:8" hidden="1" x14ac:dyDescent="0.2">
      <c r="A321" s="611"/>
      <c r="B321" s="611" t="s">
        <v>4655</v>
      </c>
      <c r="C321" s="538" t="str">
        <f>IFERROR(VLOOKUP(B321,'ПО КОРИСНИЦИМА'!$C$6:$J$15001,5,FALSE),"")</f>
        <v/>
      </c>
      <c r="D321" s="641">
        <f>SUMIF('ПО КОРИСНИЦИМА'!$G$6:$G$15001,"Свега за пројекат 2003-П4:",'ПО КОРИСНИЦИМА'!$H$6:$H$15001)</f>
        <v>0</v>
      </c>
      <c r="E321" s="638">
        <f t="shared" si="21"/>
        <v>0</v>
      </c>
      <c r="F321" s="642">
        <f>SUMIF('ПО КОРИСНИЦИМА'!$G$6:$G$15001,"Свега за пројекат 2003-П4:",'ПО КОРИСНИЦИМА'!$I$6:$I$15001)</f>
        <v>0</v>
      </c>
      <c r="G321" s="633">
        <f t="shared" si="22"/>
        <v>0</v>
      </c>
      <c r="H321" s="643"/>
    </row>
    <row r="322" spans="1:8" hidden="1" x14ac:dyDescent="0.2">
      <c r="A322" s="611"/>
      <c r="B322" s="611" t="s">
        <v>4656</v>
      </c>
      <c r="C322" s="538" t="str">
        <f>IFERROR(VLOOKUP(B322,'ПО КОРИСНИЦИМА'!$C$6:$J$15001,5,FALSE),"")</f>
        <v/>
      </c>
      <c r="D322" s="641">
        <f>SUMIF('ПО КОРИСНИЦИМА'!$G$6:$G$15001,"Свега за пројекат 2003-П5:",'ПО КОРИСНИЦИМА'!$H$6:$H$15001)</f>
        <v>0</v>
      </c>
      <c r="E322" s="638">
        <f t="shared" si="21"/>
        <v>0</v>
      </c>
      <c r="F322" s="642">
        <f>SUMIF('ПО КОРИСНИЦИМА'!$G$6:$G$15001,"Свега за пројекат 2003-П5:",'ПО КОРИСНИЦИМА'!$I$6:$I$15001)</f>
        <v>0</v>
      </c>
      <c r="G322" s="633">
        <f t="shared" si="22"/>
        <v>0</v>
      </c>
      <c r="H322" s="643"/>
    </row>
    <row r="323" spans="1:8" hidden="1" x14ac:dyDescent="0.2">
      <c r="A323" s="611"/>
      <c r="B323" s="611" t="s">
        <v>4657</v>
      </c>
      <c r="C323" s="538" t="str">
        <f>IFERROR(VLOOKUP(B323,'ПО КОРИСНИЦИМА'!$C$6:$J$15001,5,FALSE),"")</f>
        <v/>
      </c>
      <c r="D323" s="641">
        <f>SUMIF('ПО КОРИСНИЦИМА'!$G$6:$G$15001,"Свега за пројекат 2003-П6:",'ПО КОРИСНИЦИМА'!$H$6:$H$15001)</f>
        <v>0</v>
      </c>
      <c r="E323" s="638">
        <f t="shared" si="21"/>
        <v>0</v>
      </c>
      <c r="F323" s="642">
        <f>SUMIF('ПО КОРИСНИЦИМА'!$G$6:$G$15001,"Свега за пројекат 2003-П6:",'ПО КОРИСНИЦИМА'!$I$6:$I$15001)</f>
        <v>0</v>
      </c>
      <c r="G323" s="633">
        <f t="shared" si="22"/>
        <v>0</v>
      </c>
      <c r="H323" s="643"/>
    </row>
    <row r="324" spans="1:8" hidden="1" x14ac:dyDescent="0.2">
      <c r="A324" s="611"/>
      <c r="B324" s="611" t="s">
        <v>4658</v>
      </c>
      <c r="C324" s="538" t="str">
        <f>IFERROR(VLOOKUP(B324,'ПО КОРИСНИЦИМА'!$C$6:$J$15001,5,FALSE),"")</f>
        <v/>
      </c>
      <c r="D324" s="641">
        <f>SUMIF('ПО КОРИСНИЦИМА'!$G$6:$G$15001,"Свега за пројекат 2003-П7:",'ПО КОРИСНИЦИМА'!$H$6:$H$15001)</f>
        <v>0</v>
      </c>
      <c r="E324" s="638">
        <f t="shared" si="21"/>
        <v>0</v>
      </c>
      <c r="F324" s="642">
        <f>SUMIF('ПО КОРИСНИЦИМА'!$G$6:$G$15001,"Свега за пројекат 2003-П7:",'ПО КОРИСНИЦИМА'!$I$6:$I$15001)</f>
        <v>0</v>
      </c>
      <c r="G324" s="633">
        <f t="shared" si="22"/>
        <v>0</v>
      </c>
      <c r="H324" s="643"/>
    </row>
    <row r="325" spans="1:8" hidden="1" x14ac:dyDescent="0.2">
      <c r="A325" s="611"/>
      <c r="B325" s="611" t="s">
        <v>4659</v>
      </c>
      <c r="C325" s="538" t="str">
        <f>IFERROR(VLOOKUP(B325,'ПО КОРИСНИЦИМА'!$C$6:$J$15001,5,FALSE),"")</f>
        <v/>
      </c>
      <c r="D325" s="641">
        <f>SUMIF('ПО КОРИСНИЦИМА'!$G$6:$G$15001,"Свега за пројекат 2003-П8:",'ПО КОРИСНИЦИМА'!$H$6:$H$15001)</f>
        <v>0</v>
      </c>
      <c r="E325" s="638">
        <f t="shared" si="21"/>
        <v>0</v>
      </c>
      <c r="F325" s="642">
        <f>SUMIF('ПО КОРИСНИЦИМА'!$G$6:$G$15001,"Свега за пројекат 2003-П8:",'ПО КОРИСНИЦИМА'!$I$6:$I$15001)</f>
        <v>0</v>
      </c>
      <c r="G325" s="633">
        <f t="shared" si="22"/>
        <v>0</v>
      </c>
      <c r="H325" s="643"/>
    </row>
    <row r="326" spans="1:8" hidden="1" x14ac:dyDescent="0.2">
      <c r="A326" s="611"/>
      <c r="B326" s="611" t="s">
        <v>4660</v>
      </c>
      <c r="C326" s="538" t="str">
        <f>IFERROR(VLOOKUP(B326,'ПО КОРИСНИЦИМА'!$C$6:$J$15001,5,FALSE),"")</f>
        <v/>
      </c>
      <c r="D326" s="641">
        <f>SUMIF('ПО КОРИСНИЦИМА'!$G$6:$G$15001,"Свега за пројекат 2003-П9:",'ПО КОРИСНИЦИМА'!$H$6:$H$15001)</f>
        <v>0</v>
      </c>
      <c r="E326" s="638">
        <f t="shared" si="21"/>
        <v>0</v>
      </c>
      <c r="F326" s="642">
        <f>SUMIF('ПО КОРИСНИЦИМА'!$G$6:$G$15001,"Свега за пројекат 2003-П9:",'ПО КОРИСНИЦИМА'!$I$6:$I$15001)</f>
        <v>0</v>
      </c>
      <c r="G326" s="633">
        <f t="shared" si="22"/>
        <v>0</v>
      </c>
      <c r="H326" s="643"/>
    </row>
    <row r="327" spans="1:8" hidden="1" x14ac:dyDescent="0.2">
      <c r="A327" s="611"/>
      <c r="B327" s="611" t="s">
        <v>4661</v>
      </c>
      <c r="C327" s="538" t="str">
        <f>IFERROR(VLOOKUP(B327,'ПО КОРИСНИЦИМА'!$C$6:$J$15001,5,FALSE),"")</f>
        <v/>
      </c>
      <c r="D327" s="641">
        <f>SUMIF('ПО КОРИСНИЦИМА'!$G$6:$G$15001,"Свега за пројекат 2003-П10:",'ПО КОРИСНИЦИМА'!$H$6:$H$15001)</f>
        <v>0</v>
      </c>
      <c r="E327" s="638">
        <f t="shared" si="21"/>
        <v>0</v>
      </c>
      <c r="F327" s="642">
        <f>SUMIF('ПО КОРИСНИЦИМА'!$G$6:$G$15001,"Свега за пројекат 2003-П10:",'ПО КОРИСНИЦИМА'!$I$6:$I$15001)</f>
        <v>0</v>
      </c>
      <c r="G327" s="633">
        <f t="shared" si="22"/>
        <v>0</v>
      </c>
      <c r="H327" s="643"/>
    </row>
    <row r="328" spans="1:8" hidden="1" x14ac:dyDescent="0.2">
      <c r="A328" s="611"/>
      <c r="B328" s="611" t="s">
        <v>4662</v>
      </c>
      <c r="C328" s="538" t="str">
        <f>IFERROR(VLOOKUP(B328,'ПО КОРИСНИЦИМА'!$C$6:$J$15001,5,FALSE),"")</f>
        <v/>
      </c>
      <c r="D328" s="641">
        <f>SUMIF('ПО КОРИСНИЦИМА'!$G$6:$G$15001,"Свега за пројекат 2003-П11:",'ПО КОРИСНИЦИМА'!$H$6:$H$15001)</f>
        <v>0</v>
      </c>
      <c r="E328" s="638">
        <f t="shared" si="21"/>
        <v>0</v>
      </c>
      <c r="F328" s="642">
        <f>SUMIF('ПО КОРИСНИЦИМА'!$G$6:$G$15001,"Свега за пројекат 2003-П11:",'ПО КОРИСНИЦИМА'!$I$6:$I$15001)</f>
        <v>0</v>
      </c>
      <c r="G328" s="633">
        <f t="shared" si="22"/>
        <v>0</v>
      </c>
      <c r="H328" s="643"/>
    </row>
    <row r="329" spans="1:8" hidden="1" x14ac:dyDescent="0.2">
      <c r="A329" s="611"/>
      <c r="B329" s="611" t="s">
        <v>4663</v>
      </c>
      <c r="C329" s="538" t="str">
        <f>IFERROR(VLOOKUP(B329,'ПО КОРИСНИЦИМА'!$C$6:$J$15001,5,FALSE),"")</f>
        <v/>
      </c>
      <c r="D329" s="641">
        <f>SUMIF('ПО КОРИСНИЦИМА'!$G$6:$G$15001,"Свега за пројекат 2003-П12:",'ПО КОРИСНИЦИМА'!$H$6:$H$15001)</f>
        <v>0</v>
      </c>
      <c r="E329" s="638">
        <f t="shared" si="21"/>
        <v>0</v>
      </c>
      <c r="F329" s="642">
        <f>SUMIF('ПО КОРИСНИЦИМА'!$G$6:$G$15001,"Свега за пројекат 2003-П12:",'ПО КОРИСНИЦИМА'!$I$6:$I$15001)</f>
        <v>0</v>
      </c>
      <c r="G329" s="633">
        <f t="shared" si="22"/>
        <v>0</v>
      </c>
      <c r="H329" s="643"/>
    </row>
    <row r="330" spans="1:8" hidden="1" x14ac:dyDescent="0.2">
      <c r="A330" s="611"/>
      <c r="B330" s="611" t="s">
        <v>4664</v>
      </c>
      <c r="C330" s="538" t="str">
        <f>IFERROR(VLOOKUP(B330,'ПО КОРИСНИЦИМА'!$C$6:$J$15001,5,FALSE),"")</f>
        <v/>
      </c>
      <c r="D330" s="641">
        <f>SUMIF('ПО КОРИСНИЦИМА'!$G$6:$G$15001,"Свега за пројекат 2003-П13:",'ПО КОРИСНИЦИМА'!$H$6:$H$15001)</f>
        <v>0</v>
      </c>
      <c r="E330" s="638">
        <f t="shared" si="21"/>
        <v>0</v>
      </c>
      <c r="F330" s="642">
        <f>SUMIF('ПО КОРИСНИЦИМА'!$G$6:$G$15001,"Свега за пројекат 2003-П13:",'ПО КОРИСНИЦИМА'!$I$6:$I$15001)</f>
        <v>0</v>
      </c>
      <c r="G330" s="633">
        <f t="shared" si="22"/>
        <v>0</v>
      </c>
      <c r="H330" s="643"/>
    </row>
    <row r="331" spans="1:8" hidden="1" x14ac:dyDescent="0.2">
      <c r="A331" s="611"/>
      <c r="B331" s="611" t="s">
        <v>4665</v>
      </c>
      <c r="C331" s="538" t="str">
        <f>IFERROR(VLOOKUP(B331,'ПО КОРИСНИЦИМА'!$C$6:$J$15001,5,FALSE),"")</f>
        <v/>
      </c>
      <c r="D331" s="641">
        <f>SUMIF('ПО КОРИСНИЦИМА'!$G$6:$G$15001,"Свега за пројекат 2003-П14:",'ПО КОРИСНИЦИМА'!$H$6:$H$15001)</f>
        <v>0</v>
      </c>
      <c r="E331" s="638">
        <f t="shared" si="21"/>
        <v>0</v>
      </c>
      <c r="F331" s="642">
        <f>SUMIF('ПО КОРИСНИЦИМА'!$G$6:$G$15001,"Свега за пројекат 2003-П14:",'ПО КОРИСНИЦИМА'!$I$6:$I$15001)</f>
        <v>0</v>
      </c>
      <c r="G331" s="633">
        <f t="shared" si="22"/>
        <v>0</v>
      </c>
      <c r="H331" s="643"/>
    </row>
    <row r="332" spans="1:8" hidden="1" x14ac:dyDescent="0.2">
      <c r="A332" s="611"/>
      <c r="B332" s="611" t="s">
        <v>4666</v>
      </c>
      <c r="C332" s="538" t="str">
        <f>IFERROR(VLOOKUP(B332,'ПО КОРИСНИЦИМА'!$C$6:$J$15001,5,FALSE),"")</f>
        <v/>
      </c>
      <c r="D332" s="641">
        <f>SUMIF('ПО КОРИСНИЦИМА'!$G$6:$G$15001,"Свега за пројекат 2003-П15:",'ПО КОРИСНИЦИМА'!$H$6:$H$15001)</f>
        <v>0</v>
      </c>
      <c r="E332" s="638">
        <f t="shared" si="21"/>
        <v>0</v>
      </c>
      <c r="F332" s="642">
        <f>SUMIF('ПО КОРИСНИЦИМА'!$G$6:$G$15001,"Свега за пројекат 2003-П15:",'ПО КОРИСНИЦИМА'!$I$6:$I$15001)</f>
        <v>0</v>
      </c>
      <c r="G332" s="633">
        <f t="shared" si="22"/>
        <v>0</v>
      </c>
      <c r="H332" s="643"/>
    </row>
    <row r="333" spans="1:8" hidden="1" x14ac:dyDescent="0.2">
      <c r="A333" s="611"/>
      <c r="B333" s="611" t="s">
        <v>4667</v>
      </c>
      <c r="C333" s="538" t="str">
        <f>IFERROR(VLOOKUP(B333,'ПО КОРИСНИЦИМА'!$C$6:$J$15001,5,FALSE),"")</f>
        <v/>
      </c>
      <c r="D333" s="641">
        <f>SUMIF('ПО КОРИСНИЦИМА'!$G$6:$G$15001,"Свега за пројекат 2003-П16:",'ПО КОРИСНИЦИМА'!$H$6:$H$15001)</f>
        <v>0</v>
      </c>
      <c r="E333" s="638">
        <f t="shared" si="21"/>
        <v>0</v>
      </c>
      <c r="F333" s="642">
        <f>SUMIF('ПО КОРИСНИЦИМА'!$G$6:$G$15001,"Свега за пројекат 2003-П16:",'ПО КОРИСНИЦИМА'!$I$6:$I$15001)</f>
        <v>0</v>
      </c>
      <c r="G333" s="633">
        <f t="shared" si="22"/>
        <v>0</v>
      </c>
      <c r="H333" s="643"/>
    </row>
    <row r="334" spans="1:8" hidden="1" x14ac:dyDescent="0.2">
      <c r="A334" s="611"/>
      <c r="B334" s="611" t="s">
        <v>4668</v>
      </c>
      <c r="C334" s="538" t="str">
        <f>IFERROR(VLOOKUP(B334,'ПО КОРИСНИЦИМА'!$C$6:$J$15001,5,FALSE),"")</f>
        <v/>
      </c>
      <c r="D334" s="641">
        <f>SUMIF('ПО КОРИСНИЦИМА'!$G$6:$G$15001,"Свега за пројекат 2003-П17:",'ПО КОРИСНИЦИМА'!$H$6:$H$15001)</f>
        <v>0</v>
      </c>
      <c r="E334" s="638">
        <f t="shared" si="21"/>
        <v>0</v>
      </c>
      <c r="F334" s="642">
        <f>SUMIF('ПО КОРИСНИЦИМА'!$G$6:$G$15001,"Свега за пројекат 2003-П17:",'ПО КОРИСНИЦИМА'!$I$6:$I$15001)</f>
        <v>0</v>
      </c>
      <c r="G334" s="633">
        <f t="shared" si="22"/>
        <v>0</v>
      </c>
      <c r="H334" s="643"/>
    </row>
    <row r="335" spans="1:8" hidden="1" x14ac:dyDescent="0.2">
      <c r="A335" s="611"/>
      <c r="B335" s="611" t="s">
        <v>4669</v>
      </c>
      <c r="C335" s="538" t="str">
        <f>IFERROR(VLOOKUP(B335,'ПО КОРИСНИЦИМА'!$C$6:$J$15001,5,FALSE),"")</f>
        <v/>
      </c>
      <c r="D335" s="641">
        <f>SUMIF('ПО КОРИСНИЦИМА'!$G$6:$G$15001,"Свега за пројекат 2003-П18:",'ПО КОРИСНИЦИМА'!$H$6:$H$15001)</f>
        <v>0</v>
      </c>
      <c r="E335" s="638">
        <f t="shared" si="21"/>
        <v>0</v>
      </c>
      <c r="F335" s="642">
        <f>SUMIF('ПО КОРИСНИЦИМА'!$G$6:$G$15001,"Свега за пројекат 2003-П18:",'ПО КОРИСНИЦИМА'!$I$6:$I$15001)</f>
        <v>0</v>
      </c>
      <c r="G335" s="633">
        <f t="shared" si="22"/>
        <v>0</v>
      </c>
      <c r="H335" s="643"/>
    </row>
    <row r="336" spans="1:8" hidden="1" x14ac:dyDescent="0.2">
      <c r="A336" s="611"/>
      <c r="B336" s="611" t="s">
        <v>4670</v>
      </c>
      <c r="C336" s="538" t="str">
        <f>IFERROR(VLOOKUP(B336,'ПО КОРИСНИЦИМА'!$C$6:$J$15001,5,FALSE),"")</f>
        <v/>
      </c>
      <c r="D336" s="641">
        <f>SUMIF('ПО КОРИСНИЦИМА'!$G$6:$G$15001,"Свега за пројекат 2003-П19:",'ПО КОРИСНИЦИМА'!$H$6:$H$15001)</f>
        <v>0</v>
      </c>
      <c r="E336" s="638">
        <f t="shared" si="21"/>
        <v>0</v>
      </c>
      <c r="F336" s="642">
        <f>SUMIF('ПО КОРИСНИЦИМА'!$G$6:$G$15001,"Свега за пројекат 2003-П19:",'ПО КОРИСНИЦИМА'!$I$6:$I$15001)</f>
        <v>0</v>
      </c>
      <c r="G336" s="633">
        <f t="shared" si="22"/>
        <v>0</v>
      </c>
      <c r="H336" s="643"/>
    </row>
    <row r="337" spans="1:8" hidden="1" x14ac:dyDescent="0.2">
      <c r="A337" s="611"/>
      <c r="B337" s="611" t="s">
        <v>4671</v>
      </c>
      <c r="C337" s="538" t="str">
        <f>IFERROR(VLOOKUP(B337,'ПО КОРИСНИЦИМА'!$C$6:$J$15001,5,FALSE),"")</f>
        <v/>
      </c>
      <c r="D337" s="641">
        <f>SUMIF('ПО КОРИСНИЦИМА'!$G$6:$G$15001,"Свега за пројекат 2003-П20:",'ПО КОРИСНИЦИМА'!$H$6:$H$15001)</f>
        <v>0</v>
      </c>
      <c r="E337" s="638">
        <f t="shared" si="21"/>
        <v>0</v>
      </c>
      <c r="F337" s="642">
        <f>SUMIF('ПО КОРИСНИЦИМА'!$G$6:$G$15001,"Свега за пројекат 2003-П20:",'ПО КОРИСНИЦИМА'!$I$6:$I$15001)</f>
        <v>0</v>
      </c>
      <c r="G337" s="633">
        <f t="shared" si="22"/>
        <v>0</v>
      </c>
      <c r="H337" s="643"/>
    </row>
    <row r="338" spans="1:8" hidden="1" x14ac:dyDescent="0.2">
      <c r="A338" s="611"/>
      <c r="B338" s="611" t="s">
        <v>4672</v>
      </c>
      <c r="C338" s="538" t="str">
        <f>IFERROR(VLOOKUP(B338,'ПО КОРИСНИЦИМА'!$C$6:$J$15001,5,FALSE),"")</f>
        <v/>
      </c>
      <c r="D338" s="641">
        <f>SUMIF('ПО КОРИСНИЦИМА'!$G$6:$G$15001,"Свега за пројекат 2003-П21:",'ПО КОРИСНИЦИМА'!$H$6:$H$15001)</f>
        <v>0</v>
      </c>
      <c r="E338" s="638">
        <f t="shared" si="21"/>
        <v>0</v>
      </c>
      <c r="F338" s="642">
        <f>SUMIF('ПО КОРИСНИЦИМА'!$G$6:$G$15001,"Свега за пројекат 2003-П21:",'ПО КОРИСНИЦИМА'!$I$6:$I$15001)</f>
        <v>0</v>
      </c>
      <c r="G338" s="633">
        <f t="shared" si="22"/>
        <v>0</v>
      </c>
      <c r="H338" s="643"/>
    </row>
    <row r="339" spans="1:8" hidden="1" x14ac:dyDescent="0.2">
      <c r="A339" s="611"/>
      <c r="B339" s="611" t="s">
        <v>4673</v>
      </c>
      <c r="C339" s="538" t="str">
        <f>IFERROR(VLOOKUP(B339,'ПО КОРИСНИЦИМА'!$C$6:$J$15001,5,FALSE),"")</f>
        <v/>
      </c>
      <c r="D339" s="641">
        <f>SUMIF('ПО КОРИСНИЦИМА'!$G$6:$G$15001,"Свега за пројекат 2003-П22:",'ПО КОРИСНИЦИМА'!$H$6:$H$15001)</f>
        <v>0</v>
      </c>
      <c r="E339" s="638">
        <f t="shared" si="21"/>
        <v>0</v>
      </c>
      <c r="F339" s="642">
        <f>SUMIF('ПО КОРИСНИЦИМА'!$G$6:$G$15001,"Свега за пројекат 2003-П22:",'ПО КОРИСНИЦИМА'!$I$6:$I$15001)</f>
        <v>0</v>
      </c>
      <c r="G339" s="633">
        <f t="shared" si="22"/>
        <v>0</v>
      </c>
      <c r="H339" s="643"/>
    </row>
    <row r="340" spans="1:8" hidden="1" x14ac:dyDescent="0.2">
      <c r="A340" s="611"/>
      <c r="B340" s="611" t="s">
        <v>4674</v>
      </c>
      <c r="C340" s="538" t="str">
        <f>IFERROR(VLOOKUP(B340,'ПО КОРИСНИЦИМА'!$C$6:$J$15001,5,FALSE),"")</f>
        <v/>
      </c>
      <c r="D340" s="641">
        <f>SUMIF('ПО КОРИСНИЦИМА'!$G$6:$G$15001,"Свега за пројекат 2003-П23:",'ПО КОРИСНИЦИМА'!$H$6:$H$15001)</f>
        <v>0</v>
      </c>
      <c r="E340" s="638">
        <f t="shared" si="21"/>
        <v>0</v>
      </c>
      <c r="F340" s="642">
        <f>SUMIF('ПО КОРИСНИЦИМА'!$G$6:$G$15001,"Свега за пројекат 2003-П23:",'ПО КОРИСНИЦИМА'!$I$6:$I$15001)</f>
        <v>0</v>
      </c>
      <c r="G340" s="633">
        <f t="shared" si="22"/>
        <v>0</v>
      </c>
      <c r="H340" s="643"/>
    </row>
    <row r="341" spans="1:8" hidden="1" x14ac:dyDescent="0.2">
      <c r="A341" s="611"/>
      <c r="B341" s="611" t="s">
        <v>4675</v>
      </c>
      <c r="C341" s="538" t="str">
        <f>IFERROR(VLOOKUP(B341,'ПО КОРИСНИЦИМА'!$C$6:$J$15001,5,FALSE),"")</f>
        <v/>
      </c>
      <c r="D341" s="641">
        <f>SUMIF('ПО КОРИСНИЦИМА'!$G$6:$G$15001,"Свега за пројекат 2003-П24:",'ПО КОРИСНИЦИМА'!$H$6:$H$15001)</f>
        <v>0</v>
      </c>
      <c r="E341" s="638">
        <f t="shared" si="21"/>
        <v>0</v>
      </c>
      <c r="F341" s="642">
        <f>SUMIF('ПО КОРИСНИЦИМА'!$G$6:$G$15001,"Свега за пројекат 2003-П24:",'ПО КОРИСНИЦИМА'!$I$6:$I$15001)</f>
        <v>0</v>
      </c>
      <c r="G341" s="633">
        <f t="shared" si="22"/>
        <v>0</v>
      </c>
      <c r="H341" s="643"/>
    </row>
    <row r="342" spans="1:8" hidden="1" x14ac:dyDescent="0.2">
      <c r="A342" s="611"/>
      <c r="B342" s="611" t="s">
        <v>4676</v>
      </c>
      <c r="C342" s="538" t="str">
        <f>IFERROR(VLOOKUP(B342,'ПО КОРИСНИЦИМА'!$C$6:$J$15001,5,FALSE),"")</f>
        <v/>
      </c>
      <c r="D342" s="641">
        <f>SUMIF('ПО КОРИСНИЦИМА'!$G$6:$G$15001,"Свега за пројекат 2003-П25:",'ПО КОРИСНИЦИМА'!$H$6:$H$15001)</f>
        <v>0</v>
      </c>
      <c r="E342" s="638">
        <f t="shared" si="21"/>
        <v>0</v>
      </c>
      <c r="F342" s="642">
        <f>SUMIF('ПО КОРИСНИЦИМА'!$G$6:$G$15001,"Свега за пројекат 2003-П25:",'ПО КОРИСНИЦИМА'!$I$6:$I$15001)</f>
        <v>0</v>
      </c>
      <c r="G342" s="633">
        <f t="shared" si="22"/>
        <v>0</v>
      </c>
      <c r="H342" s="643"/>
    </row>
    <row r="343" spans="1:8" hidden="1" x14ac:dyDescent="0.2">
      <c r="A343" s="611"/>
      <c r="B343" s="611" t="s">
        <v>4677</v>
      </c>
      <c r="C343" s="538" t="str">
        <f>IFERROR(VLOOKUP(B343,'ПО КОРИСНИЦИМА'!$C$6:$J$15001,5,FALSE),"")</f>
        <v/>
      </c>
      <c r="D343" s="641">
        <f>SUMIF('ПО КОРИСНИЦИМА'!$G$6:$G$15001,"Свега за пројекат 2003-П26:",'ПО КОРИСНИЦИМА'!$H$6:$H$15001)</f>
        <v>0</v>
      </c>
      <c r="E343" s="638">
        <f t="shared" si="21"/>
        <v>0</v>
      </c>
      <c r="F343" s="642">
        <f>SUMIF('ПО КОРИСНИЦИМА'!$G$6:$G$15001,"Свега за пројекат 2003-П26:",'ПО КОРИСНИЦИМА'!$I$6:$I$15001)</f>
        <v>0</v>
      </c>
      <c r="G343" s="633">
        <f t="shared" si="22"/>
        <v>0</v>
      </c>
      <c r="H343" s="643"/>
    </row>
    <row r="344" spans="1:8" hidden="1" x14ac:dyDescent="0.2">
      <c r="A344" s="611"/>
      <c r="B344" s="611" t="s">
        <v>4678</v>
      </c>
      <c r="C344" s="538" t="str">
        <f>IFERROR(VLOOKUP(B344,'ПО КОРИСНИЦИМА'!$C$6:$J$15001,5,FALSE),"")</f>
        <v/>
      </c>
      <c r="D344" s="641">
        <f>SUMIF('ПО КОРИСНИЦИМА'!$G$6:$G$15001,"Свега за пројекат 2003-П27:",'ПО КОРИСНИЦИМА'!$H$6:$H$15001)</f>
        <v>0</v>
      </c>
      <c r="E344" s="638">
        <f t="shared" si="21"/>
        <v>0</v>
      </c>
      <c r="F344" s="642">
        <f>SUMIF('ПО КОРИСНИЦИМА'!$G$6:$G$15001,"Свега за пројекат 2003-П27:",'ПО КОРИСНИЦИМА'!$I$6:$I$15001)</f>
        <v>0</v>
      </c>
      <c r="G344" s="633">
        <f t="shared" si="22"/>
        <v>0</v>
      </c>
      <c r="H344" s="643"/>
    </row>
    <row r="345" spans="1:8" hidden="1" x14ac:dyDescent="0.2">
      <c r="A345" s="611"/>
      <c r="B345" s="611" t="s">
        <v>4679</v>
      </c>
      <c r="C345" s="538" t="str">
        <f>IFERROR(VLOOKUP(B345,'ПО КОРИСНИЦИМА'!$C$6:$J$15001,5,FALSE),"")</f>
        <v/>
      </c>
      <c r="D345" s="641">
        <f>SUMIF('ПО КОРИСНИЦИМА'!$G$6:$G$15001,"Свега за пројекат 2003-П28:",'ПО КОРИСНИЦИМА'!$H$6:$H$15001)</f>
        <v>0</v>
      </c>
      <c r="E345" s="638">
        <f t="shared" si="21"/>
        <v>0</v>
      </c>
      <c r="F345" s="642">
        <f>SUMIF('ПО КОРИСНИЦИМА'!$G$6:$G$15001,"Свега за пројекат 2003-П28:",'ПО КОРИСНИЦИМА'!$I$6:$I$15001)</f>
        <v>0</v>
      </c>
      <c r="G345" s="633">
        <f t="shared" si="22"/>
        <v>0</v>
      </c>
      <c r="H345" s="640"/>
    </row>
    <row r="346" spans="1:8" hidden="1" x14ac:dyDescent="0.2">
      <c r="A346" s="611"/>
      <c r="B346" s="611" t="s">
        <v>4680</v>
      </c>
      <c r="C346" s="538" t="str">
        <f>IFERROR(VLOOKUP(B346,'ПО КОРИСНИЦИМА'!$C$6:$J$15001,5,FALSE),"")</f>
        <v/>
      </c>
      <c r="D346" s="641">
        <f>SUMIF('ПО КОРИСНИЦИМА'!$G$6:$G$15001,"Свега за пројекат 2003-П29:",'ПО КОРИСНИЦИМА'!$H$6:$H$15001)</f>
        <v>0</v>
      </c>
      <c r="E346" s="638">
        <f t="shared" si="21"/>
        <v>0</v>
      </c>
      <c r="F346" s="642">
        <f>SUMIF('ПО КОРИСНИЦИМА'!$G$6:$G$15001,"Свега за пројекат 2003-П29:",'ПО КОРИСНИЦИМА'!$I$6:$I$15001)</f>
        <v>0</v>
      </c>
      <c r="G346" s="633">
        <f t="shared" si="22"/>
        <v>0</v>
      </c>
      <c r="H346" s="640"/>
    </row>
    <row r="347" spans="1:8" hidden="1" x14ac:dyDescent="0.2">
      <c r="A347" s="612"/>
      <c r="B347" s="611" t="s">
        <v>4681</v>
      </c>
      <c r="C347" s="538" t="str">
        <f>IFERROR(VLOOKUP(B347,'ПО КОРИСНИЦИМА'!$C$6:$J$15001,5,FALSE),"")</f>
        <v/>
      </c>
      <c r="D347" s="641">
        <f>SUMIF('ПО КОРИСНИЦИМА'!$G$6:$G$15001,"Свега за пројекат 2003-П30:",'ПО КОРИСНИЦИМА'!$H$6:$H$15001)</f>
        <v>0</v>
      </c>
      <c r="E347" s="638">
        <f t="shared" ref="E347:E353" si="23">IFERROR(D347/$D$615,"-")</f>
        <v>0</v>
      </c>
      <c r="F347" s="642">
        <f>SUMIF('ПО КОРИСНИЦИМА'!$G$6:$G$15001,"Свега за пројекат 2003-П30:",'ПО КОРИСНИЦИМА'!$I$6:$I$15001)</f>
        <v>0</v>
      </c>
      <c r="G347" s="633">
        <f t="shared" si="22"/>
        <v>0</v>
      </c>
      <c r="H347" s="649"/>
    </row>
    <row r="348" spans="1:8" s="609" customFormat="1" x14ac:dyDescent="0.2">
      <c r="A348" s="602" t="s">
        <v>3587</v>
      </c>
      <c r="B348" s="603"/>
      <c r="C348" s="536" t="s">
        <v>3673</v>
      </c>
      <c r="D348" s="629">
        <f>SUM(D349:D386)</f>
        <v>11593000</v>
      </c>
      <c r="E348" s="630">
        <f t="shared" si="23"/>
        <v>2.9182870317169443E-2</v>
      </c>
      <c r="F348" s="631">
        <f>SUM(F349:F386)</f>
        <v>1932745</v>
      </c>
      <c r="G348" s="629">
        <f t="shared" si="15"/>
        <v>13525745</v>
      </c>
      <c r="H348" s="650"/>
    </row>
    <row r="349" spans="1:8" x14ac:dyDescent="0.2">
      <c r="A349" s="605"/>
      <c r="B349" s="610" t="s">
        <v>4077</v>
      </c>
      <c r="C349" s="544" t="s">
        <v>4078</v>
      </c>
      <c r="D349" s="633">
        <f>SUMIF('ПО КОРИСНИЦИМА'!$G$6:$G$15001,"Свега за програмску активност 0901-0001:",'ПО КОРИСНИЦИМА'!$H$6:$H$15001)</f>
        <v>5013000</v>
      </c>
      <c r="E349" s="634">
        <f t="shared" si="23"/>
        <v>1.26191433537454E-2</v>
      </c>
      <c r="F349" s="635">
        <f>SUMIF('ПО КОРИСНИЦИМА'!$G$6:$G$15001,"Свега за програмску активност 0901-0001:",'ПО КОРИСНИЦИМА'!$I$6:$I$15001)</f>
        <v>0</v>
      </c>
      <c r="G349" s="657">
        <f t="shared" si="15"/>
        <v>5013000</v>
      </c>
      <c r="H349" s="636"/>
    </row>
    <row r="350" spans="1:8" x14ac:dyDescent="0.2">
      <c r="A350" s="607"/>
      <c r="B350" s="614" t="s">
        <v>4079</v>
      </c>
      <c r="C350" s="545" t="s">
        <v>4080</v>
      </c>
      <c r="D350" s="637">
        <f>SUMIF('ПО КОРИСНИЦИМА'!$G$6:$G$15001,"Свега за програмску активност 0901-0002:",'ПО КОРИСНИЦИМА'!$H$6:$H$15001)</f>
        <v>300000</v>
      </c>
      <c r="E350" s="638">
        <f t="shared" si="23"/>
        <v>7.5518511991295035E-4</v>
      </c>
      <c r="F350" s="639">
        <f>SUMIF('ПО КОРИСНИЦИМА'!$G$6:$G$15001,"Свега за програмску активност 0901-0002:",'ПО КОРИСНИЦИМА'!$I$6:$I$15001)</f>
        <v>0</v>
      </c>
      <c r="G350" s="657">
        <f t="shared" ref="G350:G386" si="24">D350+F350</f>
        <v>300000</v>
      </c>
      <c r="H350" s="640"/>
    </row>
    <row r="351" spans="1:8" x14ac:dyDescent="0.2">
      <c r="A351" s="607"/>
      <c r="B351" s="614" t="s">
        <v>4081</v>
      </c>
      <c r="C351" s="545" t="s">
        <v>4082</v>
      </c>
      <c r="D351" s="637">
        <f>SUMIF('ПО КОРИСНИЦИМА'!$G$6:$G$15001,"Свега за програмску активност 0901-0003:",'ПО КОРИСНИЦИМА'!$H$6:$H$15001)</f>
        <v>300000</v>
      </c>
      <c r="E351" s="638">
        <f t="shared" si="23"/>
        <v>7.5518511991295035E-4</v>
      </c>
      <c r="F351" s="639">
        <f>SUMIF('ПО КОРИСНИЦИМА'!$G$6:$G$15001,"Свега за програмску активност 0901-0003:",'ПО КОРИСНИЦИМА'!$I$6:$I$15001)</f>
        <v>0</v>
      </c>
      <c r="G351" s="657">
        <f t="shared" si="24"/>
        <v>300000</v>
      </c>
      <c r="H351" s="640"/>
    </row>
    <row r="352" spans="1:8" x14ac:dyDescent="0.2">
      <c r="A352" s="607"/>
      <c r="B352" s="614" t="s">
        <v>4083</v>
      </c>
      <c r="C352" s="545" t="s">
        <v>4084</v>
      </c>
      <c r="D352" s="637">
        <f>SUMIF('ПО КОРИСНИЦИМА'!$G$6:$G$15001,"Свега за програмску активност 0901-0004:",'ПО КОРИСНИЦИМА'!$H$6:$H$15001)</f>
        <v>0</v>
      </c>
      <c r="E352" s="638">
        <f t="shared" si="23"/>
        <v>0</v>
      </c>
      <c r="F352" s="639">
        <f>SUMIF('ПО КОРИСНИЦИМА'!$G$6:$G$15001,"Свега за програмску активност 0901-0004:",'ПО КОРИСНИЦИМА'!$I$6:$I$15001)</f>
        <v>0</v>
      </c>
      <c r="G352" s="657">
        <f t="shared" si="24"/>
        <v>0</v>
      </c>
      <c r="H352" s="640"/>
    </row>
    <row r="353" spans="1:8" x14ac:dyDescent="0.2">
      <c r="A353" s="607"/>
      <c r="B353" s="614" t="s">
        <v>4085</v>
      </c>
      <c r="C353" s="545" t="s">
        <v>5113</v>
      </c>
      <c r="D353" s="637">
        <f>SUMIF('ПО КОРИСНИЦИМА'!$G$6:$G$15001,"Свега за програмску активност 0901-0005:",'ПО КОРИСНИЦИМА'!$H$6:$H$15001)</f>
        <v>580000</v>
      </c>
      <c r="E353" s="638">
        <f t="shared" si="23"/>
        <v>1.4600245651650373E-3</v>
      </c>
      <c r="F353" s="639">
        <f>SUMIF('ПО КОРИСНИЦИМА'!$G$6:$G$15001,"Свега за програмску активност 0901-0005:",'ПО КОРИСНИЦИМА'!$I$6:$I$15001)</f>
        <v>0</v>
      </c>
      <c r="G353" s="657">
        <f t="shared" si="24"/>
        <v>580000</v>
      </c>
      <c r="H353" s="640"/>
    </row>
    <row r="354" spans="1:8" x14ac:dyDescent="0.2">
      <c r="A354" s="607"/>
      <c r="B354" s="614" t="s">
        <v>5077</v>
      </c>
      <c r="C354" s="545" t="s">
        <v>5114</v>
      </c>
      <c r="D354" s="637">
        <f>SUM('ПО КОРИСНИЦИМА'!H5153)</f>
        <v>4900000</v>
      </c>
      <c r="E354" s="638"/>
      <c r="F354" s="639">
        <f>SUMIF('ПО КОРИСНИЦИМА'!$G$6:$G$15001,"Свега за програмску активност 0901-0006:",'ПО КОРИСНИЦИМА'!$I$6:$I$15001)</f>
        <v>332745</v>
      </c>
      <c r="G354" s="657">
        <f>SUM(D354:F354)</f>
        <v>5232745</v>
      </c>
      <c r="H354" s="643"/>
    </row>
    <row r="355" spans="1:8" x14ac:dyDescent="0.2">
      <c r="A355" s="607"/>
      <c r="B355" s="614" t="s">
        <v>5115</v>
      </c>
      <c r="C355" s="545" t="s">
        <v>5116</v>
      </c>
      <c r="D355" s="637">
        <f>SUM('ПО КОРИСНИЦИМА'!H5163)</f>
        <v>500000</v>
      </c>
      <c r="E355" s="638"/>
      <c r="F355" s="639">
        <f>SUMIF('ПО КОРИСНИЦИМА'!$G$6:$G$15001,"Свега за програмску активност 0901-0007:",'ПО КОРИСНИЦИМА'!$I$6:$I$15001)</f>
        <v>1600000</v>
      </c>
      <c r="G355" s="657">
        <f>SUM(D355:F355)</f>
        <v>2100000</v>
      </c>
      <c r="H355" s="643"/>
    </row>
    <row r="356" spans="1:8" hidden="1" x14ac:dyDescent="0.2">
      <c r="A356" s="607"/>
      <c r="B356" s="614" t="s">
        <v>5117</v>
      </c>
      <c r="C356" s="545" t="s">
        <v>5118</v>
      </c>
      <c r="D356" s="637"/>
      <c r="E356" s="638"/>
      <c r="F356" s="639"/>
      <c r="G356" s="657"/>
      <c r="H356" s="643"/>
    </row>
    <row r="357" spans="1:8" hidden="1" x14ac:dyDescent="0.2">
      <c r="A357" s="607"/>
      <c r="B357" s="614" t="s">
        <v>4683</v>
      </c>
      <c r="C357" s="538" t="str">
        <f>IFERROR(VLOOKUP(B357,'ПО КОРИСНИЦИМА'!$C$6:$J$15001,5,FALSE),"")</f>
        <v/>
      </c>
      <c r="D357" s="641">
        <f>SUMIF('ПО КОРИСНИЦИМА'!$G$6:$G$15001,"Свега за пројекат 0901-П1:",'ПО КОРИСНИЦИМА'!$H$6:$H$15001)</f>
        <v>0</v>
      </c>
      <c r="E357" s="638">
        <f>IFERROR(D357/$D$615,"-")</f>
        <v>0</v>
      </c>
      <c r="F357" s="642">
        <f>SUMIF('ПО КОРИСНИЦИМА'!$G$6:$G$15001,"Свега за пројекат 0901-П1:",'ПО КОРИСНИЦИМА'!$I$6:$I$15001)</f>
        <v>0</v>
      </c>
      <c r="G357" s="657">
        <f t="shared" si="24"/>
        <v>0</v>
      </c>
      <c r="H357" s="640"/>
    </row>
    <row r="358" spans="1:8" hidden="1" x14ac:dyDescent="0.2">
      <c r="A358" s="607"/>
      <c r="B358" s="614" t="s">
        <v>4684</v>
      </c>
      <c r="C358" s="538"/>
      <c r="D358" s="641">
        <f>SUMIF('ПО КОРИСНИЦИМА'!$G$6:$G$15001,"Свега за пројекат 0901-П2:",'ПО КОРИСНИЦИМА'!$H$6:$H$15001)</f>
        <v>0</v>
      </c>
      <c r="E358" s="638">
        <f t="shared" ref="E358:E386" si="25">IFERROR(D358/$D$615,"-")</f>
        <v>0</v>
      </c>
      <c r="F358" s="642">
        <f>SUMIF('ПО КОРИСНИЦИМА'!$G$6:$G$15001,"Свега за пројекат 0901-П2:",'ПО КОРИСНИЦИМА'!$I$6:$I$15001)</f>
        <v>0</v>
      </c>
      <c r="G358" s="657">
        <f t="shared" si="24"/>
        <v>0</v>
      </c>
      <c r="H358" s="640"/>
    </row>
    <row r="359" spans="1:8" hidden="1" x14ac:dyDescent="0.2">
      <c r="A359" s="607"/>
      <c r="B359" s="614" t="s">
        <v>4685</v>
      </c>
      <c r="C359" s="538" t="str">
        <f>IFERROR(VLOOKUP(B359,'ПО КОРИСНИЦИМА'!$C$6:$J$15001,5,FALSE),"")</f>
        <v/>
      </c>
      <c r="D359" s="641">
        <f>SUMIF('ПО КОРИСНИЦИМА'!$G$6:$G$15001,"Свега за пројекат 0901-П3:",'ПО КОРИСНИЦИМА'!$H$6:$H$15001)</f>
        <v>0</v>
      </c>
      <c r="E359" s="638">
        <f t="shared" si="25"/>
        <v>0</v>
      </c>
      <c r="F359" s="642">
        <f>SUMIF('ПО КОРИСНИЦИМА'!$G$6:$G$15001,"Свега за пројекат 0901-П3:",'ПО КОРИСНИЦИМА'!$I$6:$I$15001)</f>
        <v>0</v>
      </c>
      <c r="G359" s="657">
        <f t="shared" si="24"/>
        <v>0</v>
      </c>
      <c r="H359" s="643"/>
    </row>
    <row r="360" spans="1:8" hidden="1" x14ac:dyDescent="0.2">
      <c r="A360" s="607"/>
      <c r="B360" s="614" t="s">
        <v>4686</v>
      </c>
      <c r="C360" s="538" t="str">
        <f>IFERROR(VLOOKUP(B360,'ПО КОРИСНИЦИМА'!$C$6:$J$15001,5,FALSE),"")</f>
        <v/>
      </c>
      <c r="D360" s="641">
        <f>SUMIF('ПО КОРИСНИЦИМА'!$G$6:$G$15001,"Свега за пројекат 0901-П4:",'ПО КОРИСНИЦИМА'!$H$6:$H$15001)</f>
        <v>0</v>
      </c>
      <c r="E360" s="638">
        <f t="shared" si="25"/>
        <v>0</v>
      </c>
      <c r="F360" s="642">
        <f>SUMIF('ПО КОРИСНИЦИМА'!$G$6:$G$15001,"Свега за пројекат 0901-П4:",'ПО КОРИСНИЦИМА'!$I$6:$I$15001)</f>
        <v>0</v>
      </c>
      <c r="G360" s="657">
        <f t="shared" si="24"/>
        <v>0</v>
      </c>
      <c r="H360" s="643"/>
    </row>
    <row r="361" spans="1:8" hidden="1" x14ac:dyDescent="0.2">
      <c r="A361" s="607"/>
      <c r="B361" s="614" t="s">
        <v>4687</v>
      </c>
      <c r="C361" s="538" t="str">
        <f>IFERROR(VLOOKUP(B361,'ПО КОРИСНИЦИМА'!$C$6:$J$15001,5,FALSE),"")</f>
        <v/>
      </c>
      <c r="D361" s="641">
        <f>SUMIF('ПО КОРИСНИЦИМА'!$G$6:$G$15001,"Свега за пројекат 0901-П5:",'ПО КОРИСНИЦИМА'!$H$6:$H$15001)</f>
        <v>0</v>
      </c>
      <c r="E361" s="638">
        <f t="shared" si="25"/>
        <v>0</v>
      </c>
      <c r="F361" s="642">
        <f>SUMIF('ПО КОРИСНИЦИМА'!$G$6:$G$15001,"Свега за пројекат 0901-П5:",'ПО КОРИСНИЦИМА'!$I$6:$I$15001)</f>
        <v>0</v>
      </c>
      <c r="G361" s="657">
        <f t="shared" si="24"/>
        <v>0</v>
      </c>
      <c r="H361" s="643"/>
    </row>
    <row r="362" spans="1:8" hidden="1" x14ac:dyDescent="0.2">
      <c r="A362" s="607"/>
      <c r="B362" s="614" t="s">
        <v>4688</v>
      </c>
      <c r="C362" s="538" t="str">
        <f>IFERROR(VLOOKUP(B362,'ПО КОРИСНИЦИМА'!$C$6:$J$15001,5,FALSE),"")</f>
        <v/>
      </c>
      <c r="D362" s="641">
        <f>SUMIF('ПО КОРИСНИЦИМА'!$G$6:$G$15001,"Свега за пројекат 0901-П6:",'ПО КОРИСНИЦИМА'!$H$6:$H$15001)</f>
        <v>0</v>
      </c>
      <c r="E362" s="638">
        <f t="shared" si="25"/>
        <v>0</v>
      </c>
      <c r="F362" s="642">
        <f>SUMIF('ПО КОРИСНИЦИМА'!$G$6:$G$15001,"Свега за пројекат 0901-П6:",'ПО КОРИСНИЦИМА'!$I$6:$I$15001)</f>
        <v>0</v>
      </c>
      <c r="G362" s="657">
        <f t="shared" si="24"/>
        <v>0</v>
      </c>
      <c r="H362" s="643"/>
    </row>
    <row r="363" spans="1:8" hidden="1" x14ac:dyDescent="0.2">
      <c r="A363" s="607"/>
      <c r="B363" s="614" t="s">
        <v>4689</v>
      </c>
      <c r="C363" s="538" t="str">
        <f>IFERROR(VLOOKUP(B363,'ПО КОРИСНИЦИМА'!$C$6:$J$15001,5,FALSE),"")</f>
        <v/>
      </c>
      <c r="D363" s="641">
        <f>SUMIF('ПО КОРИСНИЦИМА'!$G$6:$G$15001,"Свега за пројекат 0901-П7:",'ПО КОРИСНИЦИМА'!$H$6:$H$15001)</f>
        <v>0</v>
      </c>
      <c r="E363" s="638">
        <f t="shared" si="25"/>
        <v>0</v>
      </c>
      <c r="F363" s="642">
        <f>SUMIF('ПО КОРИСНИЦИМА'!$G$6:$G$15001,"Свега за пројекат 0901-П7:",'ПО КОРИСНИЦИМА'!$I$6:$I$15001)</f>
        <v>0</v>
      </c>
      <c r="G363" s="657">
        <f t="shared" si="24"/>
        <v>0</v>
      </c>
      <c r="H363" s="643"/>
    </row>
    <row r="364" spans="1:8" hidden="1" x14ac:dyDescent="0.2">
      <c r="A364" s="607"/>
      <c r="B364" s="614" t="s">
        <v>4690</v>
      </c>
      <c r="C364" s="538" t="str">
        <f>IFERROR(VLOOKUP(B364,'ПО КОРИСНИЦИМА'!$C$6:$J$15001,5,FALSE),"")</f>
        <v/>
      </c>
      <c r="D364" s="641">
        <f>SUMIF('ПО КОРИСНИЦИМА'!$G$6:$G$15001,"Свега за пројекат 0901-П8:",'ПО КОРИСНИЦИМА'!$H$6:$H$15001)</f>
        <v>0</v>
      </c>
      <c r="E364" s="638">
        <f t="shared" si="25"/>
        <v>0</v>
      </c>
      <c r="F364" s="642">
        <f>SUMIF('ПО КОРИСНИЦИМА'!$G$6:$G$15001,"Свега за пројекат 0901-П8:",'ПО КОРИСНИЦИМА'!$I$6:$I$15001)</f>
        <v>0</v>
      </c>
      <c r="G364" s="657">
        <f t="shared" si="24"/>
        <v>0</v>
      </c>
      <c r="H364" s="643"/>
    </row>
    <row r="365" spans="1:8" hidden="1" x14ac:dyDescent="0.2">
      <c r="A365" s="607"/>
      <c r="B365" s="614" t="s">
        <v>4691</v>
      </c>
      <c r="C365" s="538" t="str">
        <f>IFERROR(VLOOKUP(B365,'ПО КОРИСНИЦИМА'!$C$6:$J$15001,5,FALSE),"")</f>
        <v/>
      </c>
      <c r="D365" s="641">
        <f>SUMIF('ПО КОРИСНИЦИМА'!$G$6:$G$15001,"Свега за пројекат 0901-П9:",'ПО КОРИСНИЦИМА'!$H$6:$H$15001)</f>
        <v>0</v>
      </c>
      <c r="E365" s="638">
        <f t="shared" si="25"/>
        <v>0</v>
      </c>
      <c r="F365" s="642">
        <f>SUMIF('ПО КОРИСНИЦИМА'!$G$6:$G$15001,"Свега за пројекат 0901-П9:",'ПО КОРИСНИЦИМА'!$I$6:$I$15001)</f>
        <v>0</v>
      </c>
      <c r="G365" s="657">
        <f t="shared" si="24"/>
        <v>0</v>
      </c>
      <c r="H365" s="643"/>
    </row>
    <row r="366" spans="1:8" hidden="1" x14ac:dyDescent="0.2">
      <c r="A366" s="607"/>
      <c r="B366" s="614" t="s">
        <v>4692</v>
      </c>
      <c r="C366" s="538" t="str">
        <f>IFERROR(VLOOKUP(B366,'ПО КОРИСНИЦИМА'!$C$6:$J$15001,5,FALSE),"")</f>
        <v/>
      </c>
      <c r="D366" s="641">
        <f>SUMIF('ПО КОРИСНИЦИМА'!$G$6:$G$15001,"Свега за пројекат 0901-П10:",'ПО КОРИСНИЦИМА'!$H$6:$H$15001)</f>
        <v>0</v>
      </c>
      <c r="E366" s="638">
        <f t="shared" si="25"/>
        <v>0</v>
      </c>
      <c r="F366" s="642">
        <f>SUMIF('ПО КОРИСНИЦИМА'!$G$6:$G$15001,"Свега за пројекат 0901-П10:",'ПО КОРИСНИЦИМА'!$I$6:$I$15001)</f>
        <v>0</v>
      </c>
      <c r="G366" s="657">
        <f t="shared" si="24"/>
        <v>0</v>
      </c>
      <c r="H366" s="643"/>
    </row>
    <row r="367" spans="1:8" hidden="1" x14ac:dyDescent="0.2">
      <c r="A367" s="607"/>
      <c r="B367" s="614" t="s">
        <v>4693</v>
      </c>
      <c r="C367" s="538" t="str">
        <f>IFERROR(VLOOKUP(B367,'ПО КОРИСНИЦИМА'!$C$6:$J$15001,5,FALSE),"")</f>
        <v/>
      </c>
      <c r="D367" s="641">
        <f>SUMIF('ПО КОРИСНИЦИМА'!$G$6:$G$15001,"Свега за пројекат 0901-П11:",'ПО КОРИСНИЦИМА'!$H$6:$H$15001)</f>
        <v>0</v>
      </c>
      <c r="E367" s="638">
        <f t="shared" si="25"/>
        <v>0</v>
      </c>
      <c r="F367" s="642">
        <f>SUMIF('ПО КОРИСНИЦИМА'!$G$6:$G$15001,"Свега за пројекат 0901-П11:",'ПО КОРИСНИЦИМА'!$I$6:$I$15001)</f>
        <v>0</v>
      </c>
      <c r="G367" s="657">
        <f t="shared" si="24"/>
        <v>0</v>
      </c>
      <c r="H367" s="643"/>
    </row>
    <row r="368" spans="1:8" hidden="1" x14ac:dyDescent="0.2">
      <c r="A368" s="607"/>
      <c r="B368" s="614" t="s">
        <v>4694</v>
      </c>
      <c r="C368" s="538" t="str">
        <f>IFERROR(VLOOKUP(B368,'ПО КОРИСНИЦИМА'!$C$6:$J$15001,5,FALSE),"")</f>
        <v/>
      </c>
      <c r="D368" s="641">
        <f>SUMIF('ПО КОРИСНИЦИМА'!$G$6:$G$15001,"Свега за пројекат 0901-П12:",'ПО КОРИСНИЦИМА'!$H$6:$H$15001)</f>
        <v>0</v>
      </c>
      <c r="E368" s="638">
        <f t="shared" si="25"/>
        <v>0</v>
      </c>
      <c r="F368" s="642">
        <f>SUMIF('ПО КОРИСНИЦИМА'!$G$6:$G$15001,"Свега за пројекат 0901-П12:",'ПО КОРИСНИЦИМА'!$I$6:$I$15001)</f>
        <v>0</v>
      </c>
      <c r="G368" s="657">
        <f t="shared" si="24"/>
        <v>0</v>
      </c>
      <c r="H368" s="643"/>
    </row>
    <row r="369" spans="1:8" hidden="1" x14ac:dyDescent="0.2">
      <c r="A369" s="607"/>
      <c r="B369" s="614" t="s">
        <v>4695</v>
      </c>
      <c r="C369" s="538" t="str">
        <f>IFERROR(VLOOKUP(B369,'ПО КОРИСНИЦИМА'!$C$6:$J$15001,5,FALSE),"")</f>
        <v/>
      </c>
      <c r="D369" s="641">
        <f>SUMIF('ПО КОРИСНИЦИМА'!$G$6:$G$15001,"Свега за пројекат 0901-П13:",'ПО КОРИСНИЦИМА'!$H$6:$H$15001)</f>
        <v>0</v>
      </c>
      <c r="E369" s="638">
        <f t="shared" si="25"/>
        <v>0</v>
      </c>
      <c r="F369" s="642">
        <f>SUMIF('ПО КОРИСНИЦИМА'!$G$6:$G$15001,"Свега за пројекат 0901-П13:",'ПО КОРИСНИЦИМА'!$I$6:$I$15001)</f>
        <v>0</v>
      </c>
      <c r="G369" s="657">
        <f t="shared" si="24"/>
        <v>0</v>
      </c>
      <c r="H369" s="643"/>
    </row>
    <row r="370" spans="1:8" hidden="1" x14ac:dyDescent="0.2">
      <c r="A370" s="607"/>
      <c r="B370" s="614" t="s">
        <v>4696</v>
      </c>
      <c r="C370" s="538" t="str">
        <f>IFERROR(VLOOKUP(B370,'ПО КОРИСНИЦИМА'!$C$6:$J$15001,5,FALSE),"")</f>
        <v/>
      </c>
      <c r="D370" s="641">
        <f>SUMIF('ПО КОРИСНИЦИМА'!$G$6:$G$15001,"Свега за пројекат 0901-П14:",'ПО КОРИСНИЦИМА'!$H$6:$H$15001)</f>
        <v>0</v>
      </c>
      <c r="E370" s="638">
        <f t="shared" si="25"/>
        <v>0</v>
      </c>
      <c r="F370" s="642">
        <f>SUMIF('ПО КОРИСНИЦИМА'!$G$6:$G$15001,"Свега за пројекат 0901-П14:",'ПО КОРИСНИЦИМА'!$I$6:$I$15001)</f>
        <v>0</v>
      </c>
      <c r="G370" s="657">
        <f t="shared" si="24"/>
        <v>0</v>
      </c>
      <c r="H370" s="643"/>
    </row>
    <row r="371" spans="1:8" hidden="1" x14ac:dyDescent="0.2">
      <c r="A371" s="607"/>
      <c r="B371" s="614" t="s">
        <v>4697</v>
      </c>
      <c r="C371" s="538" t="str">
        <f>IFERROR(VLOOKUP(B371,'ПО КОРИСНИЦИМА'!$C$6:$J$15001,5,FALSE),"")</f>
        <v/>
      </c>
      <c r="D371" s="641">
        <f>SUMIF('ПО КОРИСНИЦИМА'!$G$6:$G$15001,"Свега за пројекат 0901-П15:",'ПО КОРИСНИЦИМА'!$H$6:$H$15001)</f>
        <v>0</v>
      </c>
      <c r="E371" s="638">
        <f t="shared" si="25"/>
        <v>0</v>
      </c>
      <c r="F371" s="642">
        <f>SUMIF('ПО КОРИСНИЦИМА'!$G$6:$G$15001,"Свега за пројекат 0901-П15:",'ПО КОРИСНИЦИМА'!$I$6:$I$15001)</f>
        <v>0</v>
      </c>
      <c r="G371" s="657">
        <f t="shared" si="24"/>
        <v>0</v>
      </c>
      <c r="H371" s="643"/>
    </row>
    <row r="372" spans="1:8" hidden="1" x14ac:dyDescent="0.2">
      <c r="A372" s="607"/>
      <c r="B372" s="614" t="s">
        <v>4698</v>
      </c>
      <c r="C372" s="538" t="str">
        <f>IFERROR(VLOOKUP(B372,'ПО КОРИСНИЦИМА'!$C$6:$J$15001,5,FALSE),"")</f>
        <v/>
      </c>
      <c r="D372" s="641">
        <f>SUMIF('ПО КОРИСНИЦИМА'!$G$6:$G$15001,"Свега за пројекат 0901-П16:",'ПО КОРИСНИЦИМА'!$H$6:$H$15001)</f>
        <v>0</v>
      </c>
      <c r="E372" s="638">
        <f t="shared" si="25"/>
        <v>0</v>
      </c>
      <c r="F372" s="642">
        <f>SUMIF('ПО КОРИСНИЦИМА'!$G$6:$G$15001,"Свега за пројекат 0901-П16:",'ПО КОРИСНИЦИМА'!$I$6:$I$15001)</f>
        <v>0</v>
      </c>
      <c r="G372" s="657">
        <f t="shared" si="24"/>
        <v>0</v>
      </c>
      <c r="H372" s="643"/>
    </row>
    <row r="373" spans="1:8" hidden="1" x14ac:dyDescent="0.2">
      <c r="A373" s="607"/>
      <c r="B373" s="614" t="s">
        <v>4699</v>
      </c>
      <c r="C373" s="538" t="str">
        <f>IFERROR(VLOOKUP(B373,'ПО КОРИСНИЦИМА'!$C$6:$J$15001,5,FALSE),"")</f>
        <v/>
      </c>
      <c r="D373" s="641">
        <f>SUMIF('ПО КОРИСНИЦИМА'!$G$6:$G$15001,"Свега за пројекат 0901-П17:",'ПО КОРИСНИЦИМА'!$H$6:$H$15001)</f>
        <v>0</v>
      </c>
      <c r="E373" s="638">
        <f t="shared" si="25"/>
        <v>0</v>
      </c>
      <c r="F373" s="642">
        <f>SUMIF('ПО КОРИСНИЦИМА'!$G$6:$G$15001,"Свега за пројекат 0901-П17:",'ПО КОРИСНИЦИМА'!$I$6:$I$15001)</f>
        <v>0</v>
      </c>
      <c r="G373" s="657">
        <f t="shared" si="24"/>
        <v>0</v>
      </c>
      <c r="H373" s="643"/>
    </row>
    <row r="374" spans="1:8" hidden="1" x14ac:dyDescent="0.2">
      <c r="A374" s="607"/>
      <c r="B374" s="614" t="s">
        <v>4700</v>
      </c>
      <c r="C374" s="538" t="str">
        <f>IFERROR(VLOOKUP(B374,'ПО КОРИСНИЦИМА'!$C$6:$J$15001,5,FALSE),"")</f>
        <v/>
      </c>
      <c r="D374" s="641">
        <f>SUMIF('ПО КОРИСНИЦИМА'!$G$6:$G$15001,"Свега за пројекат 0901-П18:",'ПО КОРИСНИЦИМА'!$H$6:$H$15001)</f>
        <v>0</v>
      </c>
      <c r="E374" s="638">
        <f t="shared" si="25"/>
        <v>0</v>
      </c>
      <c r="F374" s="642">
        <f>SUMIF('ПО КОРИСНИЦИМА'!$G$6:$G$15001,"Свега за пројекат 0901-П18:",'ПО КОРИСНИЦИМА'!$I$6:$I$15001)</f>
        <v>0</v>
      </c>
      <c r="G374" s="657">
        <f t="shared" si="24"/>
        <v>0</v>
      </c>
      <c r="H374" s="643"/>
    </row>
    <row r="375" spans="1:8" hidden="1" x14ac:dyDescent="0.2">
      <c r="A375" s="607"/>
      <c r="B375" s="614" t="s">
        <v>4701</v>
      </c>
      <c r="C375" s="538" t="str">
        <f>IFERROR(VLOOKUP(B375,'ПО КОРИСНИЦИМА'!$C$6:$J$15001,5,FALSE),"")</f>
        <v/>
      </c>
      <c r="D375" s="641">
        <f>SUMIF('ПО КОРИСНИЦИМА'!$G$6:$G$15001,"Свега за пројекат 0901-П19:",'ПО КОРИСНИЦИМА'!$H$6:$H$15001)</f>
        <v>0</v>
      </c>
      <c r="E375" s="638">
        <f t="shared" si="25"/>
        <v>0</v>
      </c>
      <c r="F375" s="642">
        <f>SUMIF('ПО КОРИСНИЦИМА'!$G$6:$G$15001,"Свега за пројекат 0901-П19:",'ПО КОРИСНИЦИМА'!$I$6:$I$15001)</f>
        <v>0</v>
      </c>
      <c r="G375" s="657">
        <f t="shared" si="24"/>
        <v>0</v>
      </c>
      <c r="H375" s="643"/>
    </row>
    <row r="376" spans="1:8" hidden="1" x14ac:dyDescent="0.2">
      <c r="A376" s="607"/>
      <c r="B376" s="614" t="s">
        <v>4702</v>
      </c>
      <c r="C376" s="538" t="str">
        <f>IFERROR(VLOOKUP(B376,'ПО КОРИСНИЦИМА'!$C$6:$J$15001,5,FALSE),"")</f>
        <v/>
      </c>
      <c r="D376" s="641">
        <f>SUMIF('ПО КОРИСНИЦИМА'!$G$6:$G$15001,"Свега за пројекат 0901-П20:",'ПО КОРИСНИЦИМА'!$H$6:$H$15001)</f>
        <v>0</v>
      </c>
      <c r="E376" s="638">
        <f t="shared" si="25"/>
        <v>0</v>
      </c>
      <c r="F376" s="642">
        <f>SUMIF('ПО КОРИСНИЦИМА'!$G$6:$G$15001,"Свега за пројекат 0901-П20:",'ПО КОРИСНИЦИМА'!$I$6:$I$15001)</f>
        <v>0</v>
      </c>
      <c r="G376" s="657">
        <f t="shared" si="24"/>
        <v>0</v>
      </c>
      <c r="H376" s="643"/>
    </row>
    <row r="377" spans="1:8" hidden="1" x14ac:dyDescent="0.2">
      <c r="A377" s="607"/>
      <c r="B377" s="614" t="s">
        <v>4703</v>
      </c>
      <c r="C377" s="538" t="str">
        <f>IFERROR(VLOOKUP(B377,'ПО КОРИСНИЦИМА'!$C$6:$J$15001,5,FALSE),"")</f>
        <v/>
      </c>
      <c r="D377" s="641">
        <f>SUMIF('ПО КОРИСНИЦИМА'!$G$6:$G$15001,"Свега за пројекат 0901-П21:",'ПО КОРИСНИЦИМА'!$H$6:$H$15001)</f>
        <v>0</v>
      </c>
      <c r="E377" s="638">
        <f t="shared" si="25"/>
        <v>0</v>
      </c>
      <c r="F377" s="642">
        <f>SUMIF('ПО КОРИСНИЦИМА'!$G$6:$G$15001,"Свега за пројекат 0901-П21:",'ПО КОРИСНИЦИМА'!$I$6:$I$15001)</f>
        <v>0</v>
      </c>
      <c r="G377" s="657">
        <f t="shared" si="24"/>
        <v>0</v>
      </c>
      <c r="H377" s="643"/>
    </row>
    <row r="378" spans="1:8" hidden="1" x14ac:dyDescent="0.2">
      <c r="A378" s="607"/>
      <c r="B378" s="614" t="s">
        <v>4704</v>
      </c>
      <c r="C378" s="538" t="str">
        <f>IFERROR(VLOOKUP(B378,'ПО КОРИСНИЦИМА'!$C$6:$J$15001,5,FALSE),"")</f>
        <v/>
      </c>
      <c r="D378" s="641">
        <f>SUMIF('ПО КОРИСНИЦИМА'!$G$6:$G$15001,"Свега за пројекат 0901-П22:",'ПО КОРИСНИЦИМА'!$H$6:$H$15001)</f>
        <v>0</v>
      </c>
      <c r="E378" s="638">
        <f t="shared" si="25"/>
        <v>0</v>
      </c>
      <c r="F378" s="642">
        <f>SUMIF('ПО КОРИСНИЦИМА'!$G$6:$G$15001,"Свега за пројекат 0901-П22:",'ПО КОРИСНИЦИМА'!$I$6:$I$15001)</f>
        <v>0</v>
      </c>
      <c r="G378" s="657">
        <f t="shared" si="24"/>
        <v>0</v>
      </c>
      <c r="H378" s="643"/>
    </row>
    <row r="379" spans="1:8" hidden="1" x14ac:dyDescent="0.2">
      <c r="A379" s="607"/>
      <c r="B379" s="614" t="s">
        <v>4705</v>
      </c>
      <c r="C379" s="538" t="str">
        <f>IFERROR(VLOOKUP(B379,'ПО КОРИСНИЦИМА'!$C$6:$J$15001,5,FALSE),"")</f>
        <v/>
      </c>
      <c r="D379" s="641">
        <f>SUMIF('ПО КОРИСНИЦИМА'!$G$6:$G$15001,"Свега за пројекат 0901-П23:",'ПО КОРИСНИЦИМА'!$H$6:$H$15001)</f>
        <v>0</v>
      </c>
      <c r="E379" s="638">
        <f t="shared" si="25"/>
        <v>0</v>
      </c>
      <c r="F379" s="642">
        <f>SUMIF('ПО КОРИСНИЦИМА'!$G$6:$G$15001,"Свега за пројекат 0901-П23:",'ПО КОРИСНИЦИМА'!$I$6:$I$15001)</f>
        <v>0</v>
      </c>
      <c r="G379" s="657">
        <f t="shared" si="24"/>
        <v>0</v>
      </c>
      <c r="H379" s="643"/>
    </row>
    <row r="380" spans="1:8" hidden="1" x14ac:dyDescent="0.2">
      <c r="A380" s="607"/>
      <c r="B380" s="614" t="s">
        <v>4706</v>
      </c>
      <c r="C380" s="538" t="str">
        <f>IFERROR(VLOOKUP(B380,'ПО КОРИСНИЦИМА'!$C$6:$J$15001,5,FALSE),"")</f>
        <v/>
      </c>
      <c r="D380" s="641">
        <f>SUMIF('ПО КОРИСНИЦИМА'!$G$6:$G$15001,"Свега за пројекат 0901-П24:",'ПО КОРИСНИЦИМА'!$H$6:$H$15001)</f>
        <v>0</v>
      </c>
      <c r="E380" s="638">
        <f t="shared" si="25"/>
        <v>0</v>
      </c>
      <c r="F380" s="642">
        <f>SUMIF('ПО КОРИСНИЦИМА'!$G$6:$G$15001,"Свега за пројекат 0901-П24:",'ПО КОРИСНИЦИМА'!$I$6:$I$15001)</f>
        <v>0</v>
      </c>
      <c r="G380" s="657">
        <f t="shared" si="24"/>
        <v>0</v>
      </c>
      <c r="H380" s="643"/>
    </row>
    <row r="381" spans="1:8" hidden="1" x14ac:dyDescent="0.2">
      <c r="A381" s="607"/>
      <c r="B381" s="614" t="s">
        <v>4707</v>
      </c>
      <c r="C381" s="538" t="str">
        <f>IFERROR(VLOOKUP(B381,'ПО КОРИСНИЦИМА'!$C$6:$J$15001,5,FALSE),"")</f>
        <v/>
      </c>
      <c r="D381" s="641">
        <f>SUMIF('ПО КОРИСНИЦИМА'!$G$6:$G$15001,"Свега за пројекат 0901-П25:",'ПО КОРИСНИЦИМА'!$H$6:$H$15001)</f>
        <v>0</v>
      </c>
      <c r="E381" s="638">
        <f t="shared" si="25"/>
        <v>0</v>
      </c>
      <c r="F381" s="642">
        <f>SUMIF('ПО КОРИСНИЦИМА'!$G$6:$G$15001,"Свега за пројекат 0901-П25:",'ПО КОРИСНИЦИМА'!$I$6:$I$15001)</f>
        <v>0</v>
      </c>
      <c r="G381" s="657">
        <f t="shared" si="24"/>
        <v>0</v>
      </c>
      <c r="H381" s="643"/>
    </row>
    <row r="382" spans="1:8" hidden="1" x14ac:dyDescent="0.2">
      <c r="A382" s="607"/>
      <c r="B382" s="614" t="s">
        <v>4708</v>
      </c>
      <c r="C382" s="538" t="str">
        <f>IFERROR(VLOOKUP(B382,'ПО КОРИСНИЦИМА'!$C$6:$J$15001,5,FALSE),"")</f>
        <v/>
      </c>
      <c r="D382" s="641">
        <f>SUMIF('ПО КОРИСНИЦИМА'!$G$6:$G$15001,"Свега за пројекат 0901-П26:",'ПО КОРИСНИЦИМА'!$H$6:$H$15001)</f>
        <v>0</v>
      </c>
      <c r="E382" s="638">
        <f t="shared" si="25"/>
        <v>0</v>
      </c>
      <c r="F382" s="642">
        <f>SUMIF('ПО КОРИСНИЦИМА'!$G$6:$G$15001,"Свега за пројекат 0901-П26:",'ПО КОРИСНИЦИМА'!$I$6:$I$15001)</f>
        <v>0</v>
      </c>
      <c r="G382" s="657">
        <f t="shared" si="24"/>
        <v>0</v>
      </c>
      <c r="H382" s="643"/>
    </row>
    <row r="383" spans="1:8" hidden="1" x14ac:dyDescent="0.2">
      <c r="A383" s="607"/>
      <c r="B383" s="614" t="s">
        <v>4709</v>
      </c>
      <c r="C383" s="538" t="str">
        <f>IFERROR(VLOOKUP(B383,'ПО КОРИСНИЦИМА'!$C$6:$J$15001,5,FALSE),"")</f>
        <v/>
      </c>
      <c r="D383" s="641">
        <f>SUMIF('ПО КОРИСНИЦИМА'!$G$6:$G$15001,"Свега за пројекат 0901-П27:",'ПО КОРИСНИЦИМА'!$H$6:$H$15001)</f>
        <v>0</v>
      </c>
      <c r="E383" s="638">
        <f t="shared" si="25"/>
        <v>0</v>
      </c>
      <c r="F383" s="642">
        <f>SUMIF('ПО КОРИСНИЦИМА'!$G$6:$G$15001,"Свега за пројекат 0901-П27:",'ПО КОРИСНИЦИМА'!$I$6:$I$15001)</f>
        <v>0</v>
      </c>
      <c r="G383" s="657">
        <f t="shared" si="24"/>
        <v>0</v>
      </c>
      <c r="H383" s="643"/>
    </row>
    <row r="384" spans="1:8" hidden="1" x14ac:dyDescent="0.2">
      <c r="A384" s="607"/>
      <c r="B384" s="614" t="s">
        <v>4710</v>
      </c>
      <c r="C384" s="538" t="str">
        <f>IFERROR(VLOOKUP(B384,'ПО КОРИСНИЦИМА'!$C$6:$J$15001,5,FALSE),"")</f>
        <v/>
      </c>
      <c r="D384" s="641">
        <f>SUMIF('ПО КОРИСНИЦИМА'!$G$6:$G$15001,"Свега за пројекат 0901-П28:",'ПО КОРИСНИЦИМА'!$H$6:$H$15001)</f>
        <v>0</v>
      </c>
      <c r="E384" s="638">
        <f t="shared" si="25"/>
        <v>0</v>
      </c>
      <c r="F384" s="642">
        <f>SUMIF('ПО КОРИСНИЦИМА'!$G$6:$G$15001,"Свега за пројекат 0901-П28:",'ПО КОРИСНИЦИМА'!$I$6:$I$15001)</f>
        <v>0</v>
      </c>
      <c r="G384" s="657">
        <f t="shared" si="24"/>
        <v>0</v>
      </c>
      <c r="H384" s="643"/>
    </row>
    <row r="385" spans="1:8" hidden="1" x14ac:dyDescent="0.2">
      <c r="A385" s="607"/>
      <c r="B385" s="614" t="s">
        <v>4711</v>
      </c>
      <c r="C385" s="538" t="str">
        <f>IFERROR(VLOOKUP(B385,'ПО КОРИСНИЦИМА'!$C$6:$J$15001,5,FALSE),"")</f>
        <v/>
      </c>
      <c r="D385" s="641">
        <f>SUMIF('ПО КОРИСНИЦИМА'!$G$6:$G$15001,"Свега за пројекат 0901-П29:",'ПО КОРИСНИЦИМА'!$H$6:$H$15001)</f>
        <v>0</v>
      </c>
      <c r="E385" s="638">
        <f t="shared" si="25"/>
        <v>0</v>
      </c>
      <c r="F385" s="642">
        <f>SUMIF('ПО КОРИСНИЦИМА'!$G$6:$G$15001,"Свега за пројекат 0901-П29:",'ПО КОРИСНИЦИМА'!$I$6:$I$15001)</f>
        <v>0</v>
      </c>
      <c r="G385" s="657">
        <f t="shared" si="24"/>
        <v>0</v>
      </c>
      <c r="H385" s="643"/>
    </row>
    <row r="386" spans="1:8" hidden="1" x14ac:dyDescent="0.2">
      <c r="A386" s="607"/>
      <c r="B386" s="614" t="s">
        <v>4712</v>
      </c>
      <c r="C386" s="538" t="str">
        <f>IFERROR(VLOOKUP(B386,'ПО КОРИСНИЦИМА'!$C$6:$J$15001,5,FALSE),"")</f>
        <v/>
      </c>
      <c r="D386" s="641">
        <f>SUMIF('ПО КОРИСНИЦИМА'!$G$6:$G$15001,"Свега за пројекат 0901-П30:",'ПО КОРИСНИЦИМА'!$H$6:$H$15001)</f>
        <v>0</v>
      </c>
      <c r="E386" s="638">
        <f t="shared" si="25"/>
        <v>0</v>
      </c>
      <c r="F386" s="642">
        <f>SUMIF('ПО КОРИСНИЦИМА'!$G$6:$G$15001,"Свега за пројекат 0901-П30:",'ПО КОРИСНИЦИМА'!$I$6:$I$15001)</f>
        <v>0</v>
      </c>
      <c r="G386" s="657">
        <f t="shared" si="24"/>
        <v>0</v>
      </c>
      <c r="H386" s="643"/>
    </row>
    <row r="387" spans="1:8" s="609" customFormat="1" x14ac:dyDescent="0.2">
      <c r="A387" s="602" t="s">
        <v>3590</v>
      </c>
      <c r="B387" s="603"/>
      <c r="C387" s="536" t="s">
        <v>3674</v>
      </c>
      <c r="D387" s="629">
        <f>SUM(D388:D420)</f>
        <v>10989550</v>
      </c>
      <c r="E387" s="630">
        <f>IFERROR(D387/$D$615,"-")</f>
        <v>2.7663815448464545E-2</v>
      </c>
      <c r="F387" s="631">
        <f>SUM(F388:F420)</f>
        <v>0</v>
      </c>
      <c r="G387" s="629">
        <f t="shared" si="15"/>
        <v>10989550</v>
      </c>
      <c r="H387" s="650"/>
    </row>
    <row r="388" spans="1:8" x14ac:dyDescent="0.2">
      <c r="A388" s="605"/>
      <c r="B388" s="610" t="s">
        <v>4091</v>
      </c>
      <c r="C388" s="542" t="s">
        <v>4087</v>
      </c>
      <c r="D388" s="633">
        <f>SUMIF('ПО КОРИСНИЦИМА'!$G$6:$G$15001,"Свега за програмску активност 1801-0001:",'ПО КОРИСНИЦИМА'!$H$6:$H$15001)</f>
        <v>10989550</v>
      </c>
      <c r="E388" s="634">
        <f>IFERROR(D388/$D$615,"-")</f>
        <v>2.7663815448464545E-2</v>
      </c>
      <c r="F388" s="635">
        <f>SUMIF('ПО КОРИСНИЦИМА'!$G$6:$G$15001,"Свега за програмску активност 1801-0001:",'ПО КОРИСНИЦИМА'!$I$6:$I$15001)</f>
        <v>0</v>
      </c>
      <c r="G388" s="633">
        <f t="shared" si="15"/>
        <v>10989550</v>
      </c>
      <c r="H388" s="636"/>
    </row>
    <row r="389" spans="1:8" x14ac:dyDescent="0.2">
      <c r="A389" s="605"/>
      <c r="B389" s="610" t="s">
        <v>5119</v>
      </c>
      <c r="C389" s="542" t="s">
        <v>5120</v>
      </c>
      <c r="D389" s="633"/>
      <c r="E389" s="634"/>
      <c r="F389" s="635"/>
      <c r="G389" s="633"/>
      <c r="H389" s="636"/>
    </row>
    <row r="390" spans="1:8" ht="25.5" x14ac:dyDescent="0.2">
      <c r="A390" s="605"/>
      <c r="B390" s="610" t="s">
        <v>5121</v>
      </c>
      <c r="C390" s="703" t="s">
        <v>5122</v>
      </c>
      <c r="D390" s="633"/>
      <c r="E390" s="634"/>
      <c r="F390" s="635"/>
      <c r="G390" s="633"/>
      <c r="H390" s="636"/>
    </row>
    <row r="391" spans="1:8" hidden="1" x14ac:dyDescent="0.2">
      <c r="A391" s="611"/>
      <c r="B391" s="611" t="s">
        <v>4713</v>
      </c>
      <c r="C391" s="538"/>
      <c r="D391" s="641">
        <f>SUMIF('ПО КОРИСНИЦИМА'!$G$6:$G$15001,"Свега за пројекат 1801-П1:",'ПО КОРИСНИЦИМА'!$H$6:$H$15001)</f>
        <v>0</v>
      </c>
      <c r="E391" s="638">
        <f>IFERROR(D391/$D$615,"-")</f>
        <v>0</v>
      </c>
      <c r="F391" s="642">
        <f>SUMIF('ПО КОРИСНИЦИМА'!$G$6:$G$15001,"Свега за пројекат 1801-П1:",'ПО КОРИСНИЦИМА'!$I$6:$I$15001)</f>
        <v>0</v>
      </c>
      <c r="G391" s="637">
        <f t="shared" si="15"/>
        <v>0</v>
      </c>
      <c r="H391" s="640"/>
    </row>
    <row r="392" spans="1:8" hidden="1" x14ac:dyDescent="0.2">
      <c r="A392" s="611"/>
      <c r="B392" s="611" t="s">
        <v>4714</v>
      </c>
      <c r="C392" s="538" t="str">
        <f>IFERROR(VLOOKUP(B392,'ПО КОРИСНИЦИМА'!$C$6:$J$15001,5,FALSE),"")</f>
        <v/>
      </c>
      <c r="D392" s="641">
        <f>SUMIF('ПО КОРИСНИЦИМА'!$G$6:$G$15001,"Свега за пројекат 1801-П2:",'ПО КОРИСНИЦИМА'!$H$6:$H$15001)</f>
        <v>0</v>
      </c>
      <c r="E392" s="638">
        <f t="shared" ref="E392:E420" si="26">IFERROR(D392/$D$615,"-")</f>
        <v>0</v>
      </c>
      <c r="F392" s="642">
        <f>SUMIF('ПО КОРИСНИЦИМА'!$G$6:$G$15001,"Свега за пројекат 1801-П2:",'ПО КОРИСНИЦИМА'!$I$6:$I$15001)</f>
        <v>0</v>
      </c>
      <c r="G392" s="637">
        <f t="shared" si="15"/>
        <v>0</v>
      </c>
      <c r="H392" s="643"/>
    </row>
    <row r="393" spans="1:8" hidden="1" x14ac:dyDescent="0.2">
      <c r="A393" s="611"/>
      <c r="B393" s="611" t="s">
        <v>4715</v>
      </c>
      <c r="C393" s="538" t="str">
        <f>IFERROR(VLOOKUP(B393,'ПО КОРИСНИЦИМА'!$C$6:$J$15001,5,FALSE),"")</f>
        <v/>
      </c>
      <c r="D393" s="641">
        <f>SUMIF('ПО КОРИСНИЦИМА'!$G$6:$G$15001,"Свега за пројекат 1801-П3:",'ПО КОРИСНИЦИМА'!$H$6:$H$15001)</f>
        <v>0</v>
      </c>
      <c r="E393" s="638">
        <f t="shared" si="26"/>
        <v>0</v>
      </c>
      <c r="F393" s="642">
        <f>SUMIF('ПО КОРИСНИЦИМА'!$G$6:$G$15001,"Свега за пројекат 1801-П3:",'ПО КОРИСНИЦИМА'!$I$6:$I$15001)</f>
        <v>0</v>
      </c>
      <c r="G393" s="637">
        <f t="shared" si="15"/>
        <v>0</v>
      </c>
      <c r="H393" s="643"/>
    </row>
    <row r="394" spans="1:8" hidden="1" x14ac:dyDescent="0.2">
      <c r="A394" s="611"/>
      <c r="B394" s="611" t="s">
        <v>4716</v>
      </c>
      <c r="C394" s="538" t="str">
        <f>IFERROR(VLOOKUP(B394,'ПО КОРИСНИЦИМА'!$C$6:$J$15001,5,FALSE),"")</f>
        <v/>
      </c>
      <c r="D394" s="641">
        <f>SUMIF('ПО КОРИСНИЦИМА'!$G$6:$G$15001,"Свега за пројекат 1801-П4:",'ПО КОРИСНИЦИМА'!$H$6:$H$15001)</f>
        <v>0</v>
      </c>
      <c r="E394" s="638">
        <f t="shared" si="26"/>
        <v>0</v>
      </c>
      <c r="F394" s="642">
        <f>SUMIF('ПО КОРИСНИЦИМА'!$G$6:$G$15001,"Свега за пројекат 1801-П4:",'ПО КОРИСНИЦИМА'!$I$6:$I$15001)</f>
        <v>0</v>
      </c>
      <c r="G394" s="637">
        <f t="shared" si="15"/>
        <v>0</v>
      </c>
      <c r="H394" s="643"/>
    </row>
    <row r="395" spans="1:8" hidden="1" x14ac:dyDescent="0.2">
      <c r="A395" s="611"/>
      <c r="B395" s="611" t="s">
        <v>4717</v>
      </c>
      <c r="C395" s="538" t="str">
        <f>IFERROR(VLOOKUP(B395,'ПО КОРИСНИЦИМА'!$C$6:$J$15001,5,FALSE),"")</f>
        <v/>
      </c>
      <c r="D395" s="641">
        <f>SUMIF('ПО КОРИСНИЦИМА'!$G$6:$G$15001,"Свега за пројекат 1801-П5:",'ПО КОРИСНИЦИМА'!$H$6:$H$15001)</f>
        <v>0</v>
      </c>
      <c r="E395" s="638">
        <f t="shared" si="26"/>
        <v>0</v>
      </c>
      <c r="F395" s="642">
        <f>SUMIF('ПО КОРИСНИЦИМА'!$G$6:$G$15001,"Свега за пројекат 1801-П5:",'ПО КОРИСНИЦИМА'!$I$6:$I$15001)</f>
        <v>0</v>
      </c>
      <c r="G395" s="637">
        <f t="shared" si="15"/>
        <v>0</v>
      </c>
      <c r="H395" s="643"/>
    </row>
    <row r="396" spans="1:8" hidden="1" x14ac:dyDescent="0.2">
      <c r="A396" s="611"/>
      <c r="B396" s="611" t="s">
        <v>4718</v>
      </c>
      <c r="C396" s="538" t="str">
        <f>IFERROR(VLOOKUP(B396,'ПО КОРИСНИЦИМА'!$C$6:$J$15001,5,FALSE),"")</f>
        <v/>
      </c>
      <c r="D396" s="641">
        <f>SUMIF('ПО КОРИСНИЦИМА'!$G$6:$G$15001,"Свега за пројекат 1801-П6:",'ПО КОРИСНИЦИМА'!$H$6:$H$15001)</f>
        <v>0</v>
      </c>
      <c r="E396" s="638">
        <f t="shared" si="26"/>
        <v>0</v>
      </c>
      <c r="F396" s="642">
        <f>SUMIF('ПО КОРИСНИЦИМА'!$G$6:$G$15001,"Свега за пројекат 1801-П6:",'ПО КОРИСНИЦИМА'!$I$6:$I$15001)</f>
        <v>0</v>
      </c>
      <c r="G396" s="637">
        <f t="shared" si="15"/>
        <v>0</v>
      </c>
      <c r="H396" s="643"/>
    </row>
    <row r="397" spans="1:8" hidden="1" x14ac:dyDescent="0.2">
      <c r="A397" s="611"/>
      <c r="B397" s="611" t="s">
        <v>4719</v>
      </c>
      <c r="C397" s="538" t="str">
        <f>IFERROR(VLOOKUP(B397,'ПО КОРИСНИЦИМА'!$C$6:$J$15001,5,FALSE),"")</f>
        <v/>
      </c>
      <c r="D397" s="641">
        <f>SUMIF('ПО КОРИСНИЦИМА'!$G$6:$G$15001,"Свега за пројекат 1801-П7:",'ПО КОРИСНИЦИМА'!$H$6:$H$15001)</f>
        <v>0</v>
      </c>
      <c r="E397" s="638">
        <f t="shared" si="26"/>
        <v>0</v>
      </c>
      <c r="F397" s="642">
        <f>SUMIF('ПО КОРИСНИЦИМА'!$G$6:$G$15001,"Свега за пројекат 1801-П7:",'ПО КОРИСНИЦИМА'!$I$6:$I$15001)</f>
        <v>0</v>
      </c>
      <c r="G397" s="637">
        <f t="shared" si="15"/>
        <v>0</v>
      </c>
      <c r="H397" s="643"/>
    </row>
    <row r="398" spans="1:8" hidden="1" x14ac:dyDescent="0.2">
      <c r="A398" s="611"/>
      <c r="B398" s="611" t="s">
        <v>4720</v>
      </c>
      <c r="C398" s="538" t="str">
        <f>IFERROR(VLOOKUP(B398,'ПО КОРИСНИЦИМА'!$C$6:$J$15001,5,FALSE),"")</f>
        <v/>
      </c>
      <c r="D398" s="641">
        <f>SUMIF('ПО КОРИСНИЦИМА'!$G$6:$G$15001,"Свега за пројекат 1801-П8:",'ПО КОРИСНИЦИМА'!$H$6:$H$15001)</f>
        <v>0</v>
      </c>
      <c r="E398" s="638">
        <f t="shared" si="26"/>
        <v>0</v>
      </c>
      <c r="F398" s="642">
        <f>SUMIF('ПО КОРИСНИЦИМА'!$G$6:$G$15001,"Свега за пројекат 1801-П8:",'ПО КОРИСНИЦИМА'!$I$6:$I$15001)</f>
        <v>0</v>
      </c>
      <c r="G398" s="637">
        <f t="shared" si="15"/>
        <v>0</v>
      </c>
      <c r="H398" s="643"/>
    </row>
    <row r="399" spans="1:8" hidden="1" x14ac:dyDescent="0.2">
      <c r="A399" s="611"/>
      <c r="B399" s="611" t="s">
        <v>4721</v>
      </c>
      <c r="C399" s="538" t="str">
        <f>IFERROR(VLOOKUP(B399,'ПО КОРИСНИЦИМА'!$C$6:$J$15001,5,FALSE),"")</f>
        <v/>
      </c>
      <c r="D399" s="641">
        <f>SUMIF('ПО КОРИСНИЦИМА'!$G$6:$G$15001,"Свега за пројекат 1801-П9:",'ПО КОРИСНИЦИМА'!$H$6:$H$15001)</f>
        <v>0</v>
      </c>
      <c r="E399" s="638">
        <f t="shared" si="26"/>
        <v>0</v>
      </c>
      <c r="F399" s="642">
        <f>SUMIF('ПО КОРИСНИЦИМА'!$G$6:$G$15001,"Свега за пројекат 1801-П9:",'ПО КОРИСНИЦИМА'!$I$6:$I$15001)</f>
        <v>0</v>
      </c>
      <c r="G399" s="637">
        <f t="shared" si="15"/>
        <v>0</v>
      </c>
      <c r="H399" s="643"/>
    </row>
    <row r="400" spans="1:8" hidden="1" x14ac:dyDescent="0.2">
      <c r="A400" s="611"/>
      <c r="B400" s="611" t="s">
        <v>4722</v>
      </c>
      <c r="C400" s="538" t="str">
        <f>IFERROR(VLOOKUP(B400,'ПО КОРИСНИЦИМА'!$C$6:$J$15001,5,FALSE),"")</f>
        <v/>
      </c>
      <c r="D400" s="641">
        <f>SUMIF('ПО КОРИСНИЦИМА'!$G$6:$G$15001,"Свега за пројекат 1801-П10:",'ПО КОРИСНИЦИМА'!$H$6:$H$15001)</f>
        <v>0</v>
      </c>
      <c r="E400" s="638">
        <f t="shared" si="26"/>
        <v>0</v>
      </c>
      <c r="F400" s="642">
        <f>SUMIF('ПО КОРИСНИЦИМА'!$G$6:$G$15001,"Свега за пројекат 1801-П10:",'ПО КОРИСНИЦИМА'!$I$6:$I$15001)</f>
        <v>0</v>
      </c>
      <c r="G400" s="637">
        <f t="shared" si="15"/>
        <v>0</v>
      </c>
      <c r="H400" s="643"/>
    </row>
    <row r="401" spans="1:8" hidden="1" x14ac:dyDescent="0.2">
      <c r="A401" s="611"/>
      <c r="B401" s="611" t="s">
        <v>4723</v>
      </c>
      <c r="C401" s="538" t="str">
        <f>IFERROR(VLOOKUP(B401,'ПО КОРИСНИЦИМА'!$C$6:$J$15001,5,FALSE),"")</f>
        <v/>
      </c>
      <c r="D401" s="641">
        <f>SUMIF('ПО КОРИСНИЦИМА'!$G$6:$G$15001,"Свега за пројекат 1801-П11:",'ПО КОРИСНИЦИМА'!$H$6:$H$15001)</f>
        <v>0</v>
      </c>
      <c r="E401" s="638">
        <f t="shared" si="26"/>
        <v>0</v>
      </c>
      <c r="F401" s="642">
        <f>SUMIF('ПО КОРИСНИЦИМА'!$G$6:$G$15001,"Свега за пројекат 1801-П11:",'ПО КОРИСНИЦИМА'!$I$6:$I$15001)</f>
        <v>0</v>
      </c>
      <c r="G401" s="637">
        <f t="shared" si="15"/>
        <v>0</v>
      </c>
      <c r="H401" s="643"/>
    </row>
    <row r="402" spans="1:8" hidden="1" x14ac:dyDescent="0.2">
      <c r="A402" s="611"/>
      <c r="B402" s="611" t="s">
        <v>4724</v>
      </c>
      <c r="C402" s="538" t="str">
        <f>IFERROR(VLOOKUP(B402,'ПО КОРИСНИЦИМА'!$C$6:$J$15001,5,FALSE),"")</f>
        <v/>
      </c>
      <c r="D402" s="641">
        <f>SUMIF('ПО КОРИСНИЦИМА'!$G$6:$G$15001,"Свега за пројекат 1801-П12:",'ПО КОРИСНИЦИМА'!$H$6:$H$15001)</f>
        <v>0</v>
      </c>
      <c r="E402" s="638">
        <f t="shared" si="26"/>
        <v>0</v>
      </c>
      <c r="F402" s="642">
        <f>SUMIF('ПО КОРИСНИЦИМА'!$G$6:$G$15001,"Свега за пројекат 1801-П12:",'ПО КОРИСНИЦИМА'!$I$6:$I$15001)</f>
        <v>0</v>
      </c>
      <c r="G402" s="637">
        <f t="shared" si="15"/>
        <v>0</v>
      </c>
      <c r="H402" s="643"/>
    </row>
    <row r="403" spans="1:8" hidden="1" x14ac:dyDescent="0.2">
      <c r="A403" s="611"/>
      <c r="B403" s="611" t="s">
        <v>4725</v>
      </c>
      <c r="C403" s="538" t="str">
        <f>IFERROR(VLOOKUP(B403,'ПО КОРИСНИЦИМА'!$C$6:$J$15001,5,FALSE),"")</f>
        <v/>
      </c>
      <c r="D403" s="641">
        <f>SUMIF('ПО КОРИСНИЦИМА'!$G$6:$G$15001,"Свега за пројекат 1801-П13:",'ПО КОРИСНИЦИМА'!$H$6:$H$15001)</f>
        <v>0</v>
      </c>
      <c r="E403" s="638">
        <f t="shared" si="26"/>
        <v>0</v>
      </c>
      <c r="F403" s="642">
        <f>SUMIF('ПО КОРИСНИЦИМА'!$G$6:$G$15001,"Свега за пројекат 1801-П13:",'ПО КОРИСНИЦИМА'!$I$6:$I$15001)</f>
        <v>0</v>
      </c>
      <c r="G403" s="637">
        <f t="shared" si="15"/>
        <v>0</v>
      </c>
      <c r="H403" s="643"/>
    </row>
    <row r="404" spans="1:8" hidden="1" x14ac:dyDescent="0.2">
      <c r="A404" s="611"/>
      <c r="B404" s="611" t="s">
        <v>4726</v>
      </c>
      <c r="C404" s="538" t="str">
        <f>IFERROR(VLOOKUP(B404,'ПО КОРИСНИЦИМА'!$C$6:$J$15001,5,FALSE),"")</f>
        <v/>
      </c>
      <c r="D404" s="641">
        <f>SUMIF('ПО КОРИСНИЦИМА'!$G$6:$G$15001,"Свега за пројекат 1801-П14:",'ПО КОРИСНИЦИМА'!$H$6:$H$15001)</f>
        <v>0</v>
      </c>
      <c r="E404" s="638">
        <f t="shared" si="26"/>
        <v>0</v>
      </c>
      <c r="F404" s="642">
        <f>SUMIF('ПО КОРИСНИЦИМА'!$G$6:$G$15001,"Свега за пројекат 1801-П14:",'ПО КОРИСНИЦИМА'!$I$6:$I$15001)</f>
        <v>0</v>
      </c>
      <c r="G404" s="637">
        <f t="shared" si="15"/>
        <v>0</v>
      </c>
      <c r="H404" s="643"/>
    </row>
    <row r="405" spans="1:8" hidden="1" x14ac:dyDescent="0.2">
      <c r="A405" s="611"/>
      <c r="B405" s="611" t="s">
        <v>4727</v>
      </c>
      <c r="C405" s="538" t="str">
        <f>IFERROR(VLOOKUP(B405,'ПО КОРИСНИЦИМА'!$C$6:$J$15001,5,FALSE),"")</f>
        <v/>
      </c>
      <c r="D405" s="641">
        <f>SUMIF('ПО КОРИСНИЦИМА'!$G$6:$G$15001,"Свега за пројекат 1801-П15:",'ПО КОРИСНИЦИМА'!$H$6:$H$15001)</f>
        <v>0</v>
      </c>
      <c r="E405" s="638">
        <f t="shared" si="26"/>
        <v>0</v>
      </c>
      <c r="F405" s="642">
        <f>SUMIF('ПО КОРИСНИЦИМА'!$G$6:$G$15001,"Свега за пројекат 1801-П15:",'ПО КОРИСНИЦИМА'!$I$6:$I$15001)</f>
        <v>0</v>
      </c>
      <c r="G405" s="637">
        <f t="shared" si="15"/>
        <v>0</v>
      </c>
      <c r="H405" s="643"/>
    </row>
    <row r="406" spans="1:8" hidden="1" x14ac:dyDescent="0.2">
      <c r="A406" s="611"/>
      <c r="B406" s="611" t="s">
        <v>4728</v>
      </c>
      <c r="C406" s="538" t="str">
        <f>IFERROR(VLOOKUP(B406,'ПО КОРИСНИЦИМА'!$C$6:$J$15001,5,FALSE),"")</f>
        <v/>
      </c>
      <c r="D406" s="641">
        <f>SUMIF('ПО КОРИСНИЦИМА'!$G$6:$G$15001,"Свега за пројекат 1801-П16:",'ПО КОРИСНИЦИМА'!$H$6:$H$15001)</f>
        <v>0</v>
      </c>
      <c r="E406" s="638">
        <f t="shared" si="26"/>
        <v>0</v>
      </c>
      <c r="F406" s="642">
        <f>SUMIF('ПО КОРИСНИЦИМА'!$G$6:$G$15001,"Свега за пројекат 1801-П16:",'ПО КОРИСНИЦИМА'!$I$6:$I$15001)</f>
        <v>0</v>
      </c>
      <c r="G406" s="637">
        <f t="shared" si="15"/>
        <v>0</v>
      </c>
      <c r="H406" s="643"/>
    </row>
    <row r="407" spans="1:8" hidden="1" x14ac:dyDescent="0.2">
      <c r="A407" s="611"/>
      <c r="B407" s="611" t="s">
        <v>4729</v>
      </c>
      <c r="C407" s="538" t="str">
        <f>IFERROR(VLOOKUP(B407,'ПО КОРИСНИЦИМА'!$C$6:$J$15001,5,FALSE),"")</f>
        <v/>
      </c>
      <c r="D407" s="641">
        <f>SUMIF('ПО КОРИСНИЦИМА'!$G$6:$G$15001,"Свега за пројекат 1801-П17:",'ПО КОРИСНИЦИМА'!$H$6:$H$15001)</f>
        <v>0</v>
      </c>
      <c r="E407" s="638">
        <f t="shared" si="26"/>
        <v>0</v>
      </c>
      <c r="F407" s="642">
        <f>SUMIF('ПО КОРИСНИЦИМА'!$G$6:$G$15001,"Свега за пројекат 1801-П17:",'ПО КОРИСНИЦИМА'!$I$6:$I$15001)</f>
        <v>0</v>
      </c>
      <c r="G407" s="637">
        <f t="shared" si="15"/>
        <v>0</v>
      </c>
      <c r="H407" s="643"/>
    </row>
    <row r="408" spans="1:8" hidden="1" x14ac:dyDescent="0.2">
      <c r="A408" s="611"/>
      <c r="B408" s="611" t="s">
        <v>4730</v>
      </c>
      <c r="C408" s="538" t="str">
        <f>IFERROR(VLOOKUP(B408,'ПО КОРИСНИЦИМА'!$C$6:$J$15001,5,FALSE),"")</f>
        <v/>
      </c>
      <c r="D408" s="641">
        <f>SUMIF('ПО КОРИСНИЦИМА'!$G$6:$G$15001,"Свега за пројекат 1801-П18:",'ПО КОРИСНИЦИМА'!$H$6:$H$15001)</f>
        <v>0</v>
      </c>
      <c r="E408" s="638">
        <f t="shared" si="26"/>
        <v>0</v>
      </c>
      <c r="F408" s="642">
        <f>SUMIF('ПО КОРИСНИЦИМА'!$G$6:$G$15001,"Свега за пројекат 1801-П18:",'ПО КОРИСНИЦИМА'!$I$6:$I$15001)</f>
        <v>0</v>
      </c>
      <c r="G408" s="637">
        <f t="shared" si="15"/>
        <v>0</v>
      </c>
      <c r="H408" s="643"/>
    </row>
    <row r="409" spans="1:8" hidden="1" x14ac:dyDescent="0.2">
      <c r="A409" s="611"/>
      <c r="B409" s="611" t="s">
        <v>4731</v>
      </c>
      <c r="C409" s="538" t="str">
        <f>IFERROR(VLOOKUP(B409,'ПО КОРИСНИЦИМА'!$C$6:$J$15001,5,FALSE),"")</f>
        <v/>
      </c>
      <c r="D409" s="641">
        <f>SUMIF('ПО КОРИСНИЦИМА'!$G$6:$G$15001,"Свега за пројекат 1801-П19:",'ПО КОРИСНИЦИМА'!$H$6:$H$15001)</f>
        <v>0</v>
      </c>
      <c r="E409" s="638">
        <f t="shared" si="26"/>
        <v>0</v>
      </c>
      <c r="F409" s="642">
        <f>SUMIF('ПО КОРИСНИЦИМА'!$G$6:$G$15001,"Свега за пројекат 1801-П19:",'ПО КОРИСНИЦИМА'!$I$6:$I$15001)</f>
        <v>0</v>
      </c>
      <c r="G409" s="637">
        <f t="shared" si="15"/>
        <v>0</v>
      </c>
      <c r="H409" s="643"/>
    </row>
    <row r="410" spans="1:8" hidden="1" x14ac:dyDescent="0.2">
      <c r="A410" s="611"/>
      <c r="B410" s="611" t="s">
        <v>4732</v>
      </c>
      <c r="C410" s="538" t="str">
        <f>IFERROR(VLOOKUP(B410,'ПО КОРИСНИЦИМА'!$C$6:$J$15001,5,FALSE),"")</f>
        <v/>
      </c>
      <c r="D410" s="641">
        <f>SUMIF('ПО КОРИСНИЦИМА'!$G$6:$G$15001,"Свега за пројекат 1801-П20:",'ПО КОРИСНИЦИМА'!$H$6:$H$15001)</f>
        <v>0</v>
      </c>
      <c r="E410" s="638">
        <f t="shared" si="26"/>
        <v>0</v>
      </c>
      <c r="F410" s="642">
        <f>SUMIF('ПО КОРИСНИЦИМА'!$G$6:$G$15001,"Свега за пројекат 1801-П20:",'ПО КОРИСНИЦИМА'!$I$6:$I$15001)</f>
        <v>0</v>
      </c>
      <c r="G410" s="637">
        <f t="shared" si="15"/>
        <v>0</v>
      </c>
      <c r="H410" s="643"/>
    </row>
    <row r="411" spans="1:8" hidden="1" x14ac:dyDescent="0.2">
      <c r="A411" s="611"/>
      <c r="B411" s="611" t="s">
        <v>4733</v>
      </c>
      <c r="C411" s="538" t="str">
        <f>IFERROR(VLOOKUP(B411,'ПО КОРИСНИЦИМА'!$C$6:$J$15001,5,FALSE),"")</f>
        <v/>
      </c>
      <c r="D411" s="641">
        <f>SUMIF('ПО КОРИСНИЦИМА'!$G$6:$G$15001,"Свега за пројекат 1801-П21:",'ПО КОРИСНИЦИМА'!$H$6:$H$15001)</f>
        <v>0</v>
      </c>
      <c r="E411" s="638">
        <f t="shared" si="26"/>
        <v>0</v>
      </c>
      <c r="F411" s="642">
        <f>SUMIF('ПО КОРИСНИЦИМА'!$G$6:$G$15001,"Свега за пројекат 1801-П21:",'ПО КОРИСНИЦИМА'!$I$6:$I$15001)</f>
        <v>0</v>
      </c>
      <c r="G411" s="637">
        <f t="shared" si="15"/>
        <v>0</v>
      </c>
      <c r="H411" s="643"/>
    </row>
    <row r="412" spans="1:8" hidden="1" x14ac:dyDescent="0.2">
      <c r="A412" s="611"/>
      <c r="B412" s="611" t="s">
        <v>4734</v>
      </c>
      <c r="C412" s="538" t="str">
        <f>IFERROR(VLOOKUP(B412,'ПО КОРИСНИЦИМА'!$C$6:$J$15001,5,FALSE),"")</f>
        <v/>
      </c>
      <c r="D412" s="641">
        <f>SUMIF('ПО КОРИСНИЦИМА'!$G$6:$G$15001,"Свега за пројекат 1801-П22:",'ПО КОРИСНИЦИМА'!$H$6:$H$15001)</f>
        <v>0</v>
      </c>
      <c r="E412" s="638">
        <f t="shared" si="26"/>
        <v>0</v>
      </c>
      <c r="F412" s="642">
        <f>SUMIF('ПО КОРИСНИЦИМА'!$G$6:$G$15001,"Свега за пројекат 1801-П22:",'ПО КОРИСНИЦИМА'!$I$6:$I$15001)</f>
        <v>0</v>
      </c>
      <c r="G412" s="637">
        <f t="shared" si="15"/>
        <v>0</v>
      </c>
      <c r="H412" s="643"/>
    </row>
    <row r="413" spans="1:8" hidden="1" x14ac:dyDescent="0.2">
      <c r="A413" s="611"/>
      <c r="B413" s="611" t="s">
        <v>4735</v>
      </c>
      <c r="C413" s="538" t="str">
        <f>IFERROR(VLOOKUP(B413,'ПО КОРИСНИЦИМА'!$C$6:$J$15001,5,FALSE),"")</f>
        <v/>
      </c>
      <c r="D413" s="641">
        <f>SUMIF('ПО КОРИСНИЦИМА'!$G$6:$G$15001,"Свега за пројекат 1801-П23:",'ПО КОРИСНИЦИМА'!$H$6:$H$15001)</f>
        <v>0</v>
      </c>
      <c r="E413" s="638">
        <f t="shared" si="26"/>
        <v>0</v>
      </c>
      <c r="F413" s="642">
        <f>SUMIF('ПО КОРИСНИЦИМА'!$G$6:$G$15001,"Свега за пројекат 1801-П23:",'ПО КОРИСНИЦИМА'!$I$6:$I$15001)</f>
        <v>0</v>
      </c>
      <c r="G413" s="637">
        <f t="shared" si="15"/>
        <v>0</v>
      </c>
      <c r="H413" s="643"/>
    </row>
    <row r="414" spans="1:8" hidden="1" x14ac:dyDescent="0.2">
      <c r="A414" s="611"/>
      <c r="B414" s="611" t="s">
        <v>4736</v>
      </c>
      <c r="C414" s="538" t="str">
        <f>IFERROR(VLOOKUP(B414,'ПО КОРИСНИЦИМА'!$C$6:$J$15001,5,FALSE),"")</f>
        <v/>
      </c>
      <c r="D414" s="641">
        <f>SUMIF('ПО КОРИСНИЦИМА'!$G$6:$G$15001,"Свега за пројекат 1801-П24:",'ПО КОРИСНИЦИМА'!$H$6:$H$15001)</f>
        <v>0</v>
      </c>
      <c r="E414" s="638">
        <f t="shared" si="26"/>
        <v>0</v>
      </c>
      <c r="F414" s="642">
        <f>SUMIF('ПО КОРИСНИЦИМА'!$G$6:$G$15001,"Свега за пројекат 1801-П24:",'ПО КОРИСНИЦИМА'!$I$6:$I$15001)</f>
        <v>0</v>
      </c>
      <c r="G414" s="637">
        <f t="shared" si="15"/>
        <v>0</v>
      </c>
      <c r="H414" s="643"/>
    </row>
    <row r="415" spans="1:8" hidden="1" x14ac:dyDescent="0.2">
      <c r="A415" s="611"/>
      <c r="B415" s="611" t="s">
        <v>4737</v>
      </c>
      <c r="C415" s="538" t="str">
        <f>IFERROR(VLOOKUP(B415,'ПО КОРИСНИЦИМА'!$C$6:$J$15001,5,FALSE),"")</f>
        <v/>
      </c>
      <c r="D415" s="641">
        <f>SUMIF('ПО КОРИСНИЦИМА'!$G$6:$G$15001,"Свега за пројекат 1801-П25:",'ПО КОРИСНИЦИМА'!$H$6:$H$15001)</f>
        <v>0</v>
      </c>
      <c r="E415" s="638">
        <f t="shared" si="26"/>
        <v>0</v>
      </c>
      <c r="F415" s="642">
        <f>SUMIF('ПО КОРИСНИЦИМА'!$G$6:$G$15001,"Свега за пројекат 1801-П25:",'ПО КОРИСНИЦИМА'!$I$6:$I$15001)</f>
        <v>0</v>
      </c>
      <c r="G415" s="637">
        <f t="shared" si="15"/>
        <v>0</v>
      </c>
      <c r="H415" s="643"/>
    </row>
    <row r="416" spans="1:8" hidden="1" x14ac:dyDescent="0.2">
      <c r="A416" s="611"/>
      <c r="B416" s="611" t="s">
        <v>4738</v>
      </c>
      <c r="C416" s="538" t="str">
        <f>IFERROR(VLOOKUP(B416,'ПО КОРИСНИЦИМА'!$C$6:$J$15001,5,FALSE),"")</f>
        <v/>
      </c>
      <c r="D416" s="641">
        <f>SUMIF('ПО КОРИСНИЦИМА'!$G$6:$G$15001,"Свега за пројекат 1801-П26:",'ПО КОРИСНИЦИМА'!$H$6:$H$15001)</f>
        <v>0</v>
      </c>
      <c r="E416" s="638">
        <f t="shared" si="26"/>
        <v>0</v>
      </c>
      <c r="F416" s="642">
        <f>SUMIF('ПО КОРИСНИЦИМА'!$G$6:$G$15001,"Свега за пројекат 1801-П26:",'ПО КОРИСНИЦИМА'!$I$6:$I$15001)</f>
        <v>0</v>
      </c>
      <c r="G416" s="637">
        <f t="shared" si="15"/>
        <v>0</v>
      </c>
      <c r="H416" s="643"/>
    </row>
    <row r="417" spans="1:8" hidden="1" x14ac:dyDescent="0.2">
      <c r="A417" s="611"/>
      <c r="B417" s="611" t="s">
        <v>4739</v>
      </c>
      <c r="C417" s="538" t="str">
        <f>IFERROR(VLOOKUP(B417,'ПО КОРИСНИЦИМА'!$C$6:$J$15001,5,FALSE),"")</f>
        <v/>
      </c>
      <c r="D417" s="641">
        <f>SUMIF('ПО КОРИСНИЦИМА'!$G$6:$G$15001,"Свега за пројекат 1801-П27:",'ПО КОРИСНИЦИМА'!$H$6:$H$15001)</f>
        <v>0</v>
      </c>
      <c r="E417" s="638">
        <f t="shared" si="26"/>
        <v>0</v>
      </c>
      <c r="F417" s="642">
        <f>SUMIF('ПО КОРИСНИЦИМА'!$G$6:$G$15001,"Свега за пројекат 1801-П27:",'ПО КОРИСНИЦИМА'!$I$6:$I$15001)</f>
        <v>0</v>
      </c>
      <c r="G417" s="637">
        <f t="shared" si="15"/>
        <v>0</v>
      </c>
      <c r="H417" s="640"/>
    </row>
    <row r="418" spans="1:8" hidden="1" x14ac:dyDescent="0.2">
      <c r="A418" s="611"/>
      <c r="B418" s="611" t="s">
        <v>4740</v>
      </c>
      <c r="C418" s="538" t="str">
        <f>IFERROR(VLOOKUP(B418,'ПО КОРИСНИЦИМА'!$C$6:$J$15001,5,FALSE),"")</f>
        <v/>
      </c>
      <c r="D418" s="641">
        <f>SUMIF('ПО КОРИСНИЦИМА'!$G$6:$G$15001,"Свега за пројекат 1801-П28:",'ПО КОРИСНИЦИМА'!$H$6:$H$15001)</f>
        <v>0</v>
      </c>
      <c r="E418" s="638">
        <f t="shared" si="26"/>
        <v>0</v>
      </c>
      <c r="F418" s="642">
        <f>SUMIF('ПО КОРИСНИЦИМА'!$G$6:$G$15001,"Свега за пројекат 1801-П28:",'ПО КОРИСНИЦИМА'!$I$6:$I$15001)</f>
        <v>0</v>
      </c>
      <c r="G418" s="637">
        <f t="shared" si="15"/>
        <v>0</v>
      </c>
      <c r="H418" s="640"/>
    </row>
    <row r="419" spans="1:8" hidden="1" x14ac:dyDescent="0.2">
      <c r="A419" s="611"/>
      <c r="B419" s="611" t="s">
        <v>4741</v>
      </c>
      <c r="C419" s="538" t="str">
        <f>IFERROR(VLOOKUP(B419,'ПО КОРИСНИЦИМА'!$C$6:$J$15001,5,FALSE),"")</f>
        <v/>
      </c>
      <c r="D419" s="641">
        <f>SUMIF('ПО КОРИСНИЦИМА'!$G$6:$G$15001,"Свега за пројекат 1801-П29:",'ПО КОРИСНИЦИМА'!$H$6:$H$15001)</f>
        <v>0</v>
      </c>
      <c r="E419" s="638">
        <f t="shared" si="26"/>
        <v>0</v>
      </c>
      <c r="F419" s="642">
        <f>SUMIF('ПО КОРИСНИЦИМА'!$G$6:$G$15001,"Свега за пројекат 1801-П29:",'ПО КОРИСНИЦИМА'!$I$6:$I$15001)</f>
        <v>0</v>
      </c>
      <c r="G419" s="637">
        <f t="shared" si="15"/>
        <v>0</v>
      </c>
      <c r="H419" s="640"/>
    </row>
    <row r="420" spans="1:8" hidden="1" x14ac:dyDescent="0.2">
      <c r="A420" s="612"/>
      <c r="B420" s="611" t="s">
        <v>4742</v>
      </c>
      <c r="C420" s="538" t="str">
        <f>IFERROR(VLOOKUP(B420,'ПО КОРИСНИЦИМА'!$C$6:$J$15001,5,FALSE),"")</f>
        <v/>
      </c>
      <c r="D420" s="641">
        <f>SUMIF('ПО КОРИСНИЦИМА'!$G$6:$G$15001,"Свега за пројекат 1801-П30:",'ПО КОРИСНИЦИМА'!$H$6:$H$15001)</f>
        <v>0</v>
      </c>
      <c r="E420" s="638">
        <f t="shared" si="26"/>
        <v>0</v>
      </c>
      <c r="F420" s="642">
        <f>SUMIF('ПО КОРИСНИЦИМА'!$G$6:$G$15001,"Свега за пројекат 1801-П30:",'ПО КОРИСНИЦИМА'!$I$6:$I$15001)</f>
        <v>0</v>
      </c>
      <c r="G420" s="637">
        <f t="shared" si="15"/>
        <v>0</v>
      </c>
      <c r="H420" s="649"/>
    </row>
    <row r="421" spans="1:8" s="609" customFormat="1" x14ac:dyDescent="0.2">
      <c r="A421" s="602" t="s">
        <v>3593</v>
      </c>
      <c r="B421" s="603"/>
      <c r="C421" s="536" t="s">
        <v>5162</v>
      </c>
      <c r="D421" s="629">
        <f>SUM(D422:D478)</f>
        <v>21564000</v>
      </c>
      <c r="E421" s="630">
        <f>IFERROR(D421/$D$615,"-")</f>
        <v>5.4282706419342866E-2</v>
      </c>
      <c r="F421" s="631">
        <f>SUM(F422:F478)</f>
        <v>825000</v>
      </c>
      <c r="G421" s="629">
        <f t="shared" si="15"/>
        <v>22389000</v>
      </c>
      <c r="H421" s="650"/>
    </row>
    <row r="422" spans="1:8" x14ac:dyDescent="0.2">
      <c r="A422" s="605"/>
      <c r="B422" s="511" t="s">
        <v>4089</v>
      </c>
      <c r="C422" s="539" t="s">
        <v>4088</v>
      </c>
      <c r="D422" s="633">
        <f>SUMIF('ПО КОРИСНИЦИМА'!$G$6:$G$15001,"Свега за програмску активност 1201-0001:",'ПО КОРИСНИЦИМА'!$H$6:$H$15001)</f>
        <v>8029000</v>
      </c>
      <c r="E422" s="634">
        <f>IFERROR(D422/$D$615,"-")</f>
        <v>2.0211271092603594E-2</v>
      </c>
      <c r="F422" s="635">
        <f>SUMIF('ПО КОРИСНИЦИМА'!$G$6:$G$15001,"Свега за програмску активност 1201-0001:",'ПО КОРИСНИЦИМА'!$I$6:$I$15001)</f>
        <v>25000</v>
      </c>
      <c r="G422" s="633">
        <f t="shared" si="15"/>
        <v>8054000</v>
      </c>
      <c r="H422" s="636"/>
    </row>
    <row r="423" spans="1:8" x14ac:dyDescent="0.2">
      <c r="A423" s="607"/>
      <c r="B423" s="89" t="s">
        <v>4090</v>
      </c>
      <c r="C423" s="545" t="s">
        <v>5123</v>
      </c>
      <c r="D423" s="637">
        <f>SUMIF('ПО КОРИСНИЦИМА'!$G$6:$G$15001,"Свега за програмску активност 1201-0002:",'ПО КОРИСНИЦИМА'!$H$6:$H$15001)</f>
        <v>2000000</v>
      </c>
      <c r="E423" s="634">
        <f t="shared" ref="E423:E478" si="27">IFERROR(D423/$D$615,"-")</f>
        <v>5.0345674660863355E-3</v>
      </c>
      <c r="F423" s="639">
        <f>SUMIF('ПО КОРИСНИЦИМА'!$G$6:$G$15001,"Свега за програмску активност 1201-0002:",'ПО КОРИСНИЦИМА'!$I$6:$I$15001)</f>
        <v>0</v>
      </c>
      <c r="G423" s="637">
        <f t="shared" si="15"/>
        <v>2000000</v>
      </c>
      <c r="H423" s="640"/>
    </row>
    <row r="424" spans="1:8" x14ac:dyDescent="0.2">
      <c r="A424" s="607"/>
      <c r="B424" s="89" t="s">
        <v>4360</v>
      </c>
      <c r="C424" s="545" t="s">
        <v>5124</v>
      </c>
      <c r="D424" s="637">
        <f>SUMIF('ПО КОРИСНИЦИМА'!$G$6:$G$15001,"Свега за програмску активност 1201-0003:",'ПО КОРИСНИЦИМА'!$H$6:$H$15001)</f>
        <v>3500000</v>
      </c>
      <c r="E424" s="634"/>
      <c r="F424" s="639"/>
      <c r="G424" s="637"/>
      <c r="H424" s="643"/>
    </row>
    <row r="425" spans="1:8" ht="25.5" x14ac:dyDescent="0.2">
      <c r="A425" s="607"/>
      <c r="B425" s="89" t="s">
        <v>4361</v>
      </c>
      <c r="C425" s="704" t="s">
        <v>5125</v>
      </c>
      <c r="D425" s="637">
        <f>SUMIF('ПО КОРИСНИЦИМА'!$G$6:$G$15001,"Свега за програмску активност 1201-0004:",'ПО КОРИСНИЦИМА'!$H$6:$H$15001)</f>
        <v>2000000</v>
      </c>
      <c r="E425" s="634"/>
      <c r="F425" s="639"/>
      <c r="G425" s="637"/>
      <c r="H425" s="643"/>
    </row>
    <row r="426" spans="1:8" ht="25.5" hidden="1" x14ac:dyDescent="0.2">
      <c r="A426" s="607"/>
      <c r="B426" s="89" t="s">
        <v>5126</v>
      </c>
      <c r="C426" s="704" t="s">
        <v>5127</v>
      </c>
      <c r="D426" s="637"/>
      <c r="E426" s="634"/>
      <c r="F426" s="639"/>
      <c r="G426" s="637"/>
      <c r="H426" s="643"/>
    </row>
    <row r="427" spans="1:8" hidden="1" x14ac:dyDescent="0.2">
      <c r="A427" s="607"/>
      <c r="B427" s="89" t="s">
        <v>5128</v>
      </c>
      <c r="C427" s="545" t="s">
        <v>5129</v>
      </c>
      <c r="D427" s="637"/>
      <c r="E427" s="634"/>
      <c r="F427" s="639"/>
      <c r="G427" s="637"/>
      <c r="H427" s="643"/>
    </row>
    <row r="428" spans="1:8" hidden="1" x14ac:dyDescent="0.2">
      <c r="A428" s="607"/>
      <c r="B428" s="89"/>
      <c r="C428" s="545"/>
      <c r="D428" s="637"/>
      <c r="E428" s="634"/>
      <c r="F428" s="639"/>
      <c r="G428" s="637"/>
      <c r="H428" s="643"/>
    </row>
    <row r="429" spans="1:8" ht="25.5" x14ac:dyDescent="0.2">
      <c r="A429" s="611"/>
      <c r="B429" s="611" t="s">
        <v>4743</v>
      </c>
      <c r="C429" s="899" t="s">
        <v>5323</v>
      </c>
      <c r="D429" s="641">
        <f>SUMIF('ПО КОРИСНИЦИМА'!$G$6:$G$15001,"Свега за пројекат 1201-П1:",'ПО КОРИСНИЦИМА'!$H$6:$H$15001)</f>
        <v>400000</v>
      </c>
      <c r="E429" s="638">
        <f>IFERROR(D429/$D$615,"-")</f>
        <v>1.0069134932172671E-3</v>
      </c>
      <c r="F429" s="642">
        <f>SUMIF('ПО КОРИСНИЦИМА'!$G$6:$G$15001,"Свега за пројекат 1201-П1:",'ПО КОРИСНИЦИМА'!$I$6:$I$15001)</f>
        <v>0</v>
      </c>
      <c r="G429" s="637">
        <f t="shared" si="15"/>
        <v>400000</v>
      </c>
      <c r="H429" s="640"/>
    </row>
    <row r="430" spans="1:8" x14ac:dyDescent="0.2">
      <c r="A430" s="611"/>
      <c r="B430" s="611" t="s">
        <v>4744</v>
      </c>
      <c r="C430" s="898" t="s">
        <v>5411</v>
      </c>
      <c r="D430" s="641">
        <f>SUMIF('ПО КОРИСНИЦИМА'!$G$6:$G$15001,"Свега за пројекат 1201-П2:",'ПО КОРИСНИЦИМА'!$H$6:$H$15001)</f>
        <v>300000</v>
      </c>
      <c r="E430" s="634">
        <f t="shared" si="27"/>
        <v>7.5518511991295035E-4</v>
      </c>
      <c r="F430" s="642">
        <f>SUMIF('ПО КОРИСНИЦИМА'!$G$6:$G$15001,"Свега за пројекат 1201-П2:",'ПО КОРИСНИЦИМА'!$I$6:$I$15001)</f>
        <v>0</v>
      </c>
      <c r="G430" s="637">
        <f t="shared" si="15"/>
        <v>300000</v>
      </c>
      <c r="H430" s="643"/>
    </row>
    <row r="431" spans="1:8" x14ac:dyDescent="0.2">
      <c r="A431" s="611"/>
      <c r="B431" s="611" t="s">
        <v>4745</v>
      </c>
      <c r="C431" s="898" t="s">
        <v>5328</v>
      </c>
      <c r="D431" s="641">
        <f>SUMIF('ПО КОРИСНИЦИМА'!$G$6:$G$15001,"Свега за пројекат 1201-П3:",'ПО КОРИСНИЦИМА'!$H$6:$H$15001)</f>
        <v>1250000</v>
      </c>
      <c r="E431" s="634">
        <f t="shared" si="27"/>
        <v>3.1466046663039598E-3</v>
      </c>
      <c r="F431" s="642">
        <f>SUMIF('ПО КОРИСНИЦИМА'!$G$6:$G$15001,"Свега за пројекат 1201-П3:",'ПО КОРИСНИЦИМА'!$I$6:$I$15001)</f>
        <v>0</v>
      </c>
      <c r="G431" s="637">
        <f t="shared" si="15"/>
        <v>1250000</v>
      </c>
      <c r="H431" s="643"/>
    </row>
    <row r="432" spans="1:8" x14ac:dyDescent="0.2">
      <c r="A432" s="611"/>
      <c r="B432" s="611" t="s">
        <v>4746</v>
      </c>
      <c r="C432" s="898" t="s">
        <v>5331</v>
      </c>
      <c r="D432" s="641">
        <f>SUMIF('ПО КОРИСНИЦИМА'!$G$6:$G$15001,"Свега за пројекат 1201-П4:",'ПО КОРИСНИЦИМА'!$H$6:$H$15001)</f>
        <v>1429000</v>
      </c>
      <c r="E432" s="634">
        <f t="shared" si="27"/>
        <v>3.5971984545186868E-3</v>
      </c>
      <c r="F432" s="642">
        <f>SUMIF('ПО КОРИСНИЦИМА'!$G$6:$G$15001,"Свега за пројекат 1201-П4:",'ПО КОРИСНИЦИМА'!$I$6:$I$15001)</f>
        <v>600000</v>
      </c>
      <c r="G432" s="637">
        <f t="shared" si="15"/>
        <v>2029000</v>
      </c>
      <c r="H432" s="643"/>
    </row>
    <row r="433" spans="1:8" x14ac:dyDescent="0.2">
      <c r="A433" s="611"/>
      <c r="B433" s="611" t="s">
        <v>4747</v>
      </c>
      <c r="C433" s="898" t="s">
        <v>5332</v>
      </c>
      <c r="D433" s="641">
        <f>SUMIF('ПО КОРИСНИЦИМА'!$G$6:$G$15001,"Свега за пројекат 1201-П5:",'ПО КОРИСНИЦИМА'!$H$6:$H$15001)</f>
        <v>1170000</v>
      </c>
      <c r="E433" s="634">
        <f t="shared" si="27"/>
        <v>2.945221967660506E-3</v>
      </c>
      <c r="F433" s="642">
        <f>SUMIF('ПО КОРИСНИЦИМА'!$G$6:$G$15001,"Свега за пројекат 1201-П5:",'ПО КОРИСНИЦИМА'!$I$6:$I$15001)</f>
        <v>0</v>
      </c>
      <c r="G433" s="637">
        <f t="shared" si="15"/>
        <v>1170000</v>
      </c>
      <c r="H433" s="643"/>
    </row>
    <row r="434" spans="1:8" x14ac:dyDescent="0.2">
      <c r="A434" s="611"/>
      <c r="B434" s="611" t="s">
        <v>4748</v>
      </c>
      <c r="C434" s="538" t="str">
        <f>IFERROR(VLOOKUP(B434,'ПО КОРИСНИЦИМА'!$C$6:$J$15001,5,FALSE),"")</f>
        <v>Крени коло да кренемо</v>
      </c>
      <c r="D434" s="641">
        <f>SUMIF('ПО КОРИСНИЦИМА'!$G$6:$G$15001,"Свега за пројекат 1201-П6:",'ПО КОРИСНИЦИМА'!$H$6:$H$15001)</f>
        <v>440000</v>
      </c>
      <c r="E434" s="634">
        <f t="shared" si="27"/>
        <v>1.1076048425389937E-3</v>
      </c>
      <c r="F434" s="642">
        <f>SUMIF('ПО КОРИСНИЦИМА'!$G$6:$G$15001,"Свега за пројекат 1201-П6:",'ПО КОРИСНИЦИМА'!$I$6:$I$15001)</f>
        <v>50000</v>
      </c>
      <c r="G434" s="637">
        <f t="shared" si="15"/>
        <v>490000</v>
      </c>
      <c r="H434" s="643"/>
    </row>
    <row r="435" spans="1:8" x14ac:dyDescent="0.2">
      <c r="A435" s="611"/>
      <c r="B435" s="611" t="s">
        <v>4749</v>
      </c>
      <c r="C435" s="538" t="str">
        <f>IFERROR(VLOOKUP(B435,'ПО КОРИСНИЦИМА'!$C$6:$J$15001,5,FALSE),"")</f>
        <v>Часопис "Стиг"</v>
      </c>
      <c r="D435" s="641">
        <f>SUMIF('ПО КОРИСНИЦИМА'!$G$6:$G$15001,"Свега за пројекат 1201-П7:",'ПО КОРИСНИЦИМА'!$H$6:$H$15001)</f>
        <v>246000</v>
      </c>
      <c r="E435" s="634">
        <f t="shared" si="27"/>
        <v>6.1925179832861927E-4</v>
      </c>
      <c r="F435" s="642">
        <f>SUMIF('ПО КОРИСНИЦИМА'!$G$6:$G$15001,"Свега за пројекат 1201-П7:",'ПО КОРИСНИЦИМА'!$I$6:$I$15001)</f>
        <v>150000</v>
      </c>
      <c r="G435" s="637">
        <f t="shared" si="15"/>
        <v>396000</v>
      </c>
      <c r="H435" s="643"/>
    </row>
    <row r="436" spans="1:8" x14ac:dyDescent="0.2">
      <c r="A436" s="611"/>
      <c r="B436" s="611" t="s">
        <v>4750</v>
      </c>
      <c r="C436" s="538" t="str">
        <f>IFERROR(VLOOKUP(B436,'ПО КОРИСНИЦИМА'!$C$6:$J$15001,5,FALSE),"")</f>
        <v>Набавка опреме</v>
      </c>
      <c r="D436" s="641">
        <f>SUMIF('ПО КОРИСНИЦИМА'!$G$6:$G$15001,"Свега за пројекат 1201-П8:",'ПО КОРИСНИЦИМА'!$H$6:$H$15001)</f>
        <v>800000</v>
      </c>
      <c r="E436" s="634">
        <f t="shared" si="27"/>
        <v>2.0138269864345341E-3</v>
      </c>
      <c r="F436" s="642">
        <f>SUMIF('ПО КОРИСНИЦИМА'!$G$6:$G$15001,"Свега за пројекат 1201-П8:",'ПО КОРИСНИЦИМА'!$I$6:$I$15001)</f>
        <v>0</v>
      </c>
      <c r="G436" s="637">
        <f t="shared" si="15"/>
        <v>800000</v>
      </c>
      <c r="H436" s="643"/>
    </row>
    <row r="437" spans="1:8" hidden="1" x14ac:dyDescent="0.2">
      <c r="A437" s="611"/>
      <c r="B437" s="611" t="s">
        <v>4751</v>
      </c>
      <c r="C437" s="538" t="str">
        <f>IFERROR(VLOOKUP(B437,'ПО КОРИСНИЦИМА'!$C$6:$J$15001,5,FALSE),"")</f>
        <v xml:space="preserve">Пројекат: </v>
      </c>
      <c r="D437" s="641">
        <f>SUMIF('ПО КОРИСНИЦИМА'!$G$6:$G$15001,"Свега за пројекат 1201-П9:",'ПО КОРИСНИЦИМА'!$H$6:$H$15001)</f>
        <v>0</v>
      </c>
      <c r="E437" s="634">
        <f t="shared" si="27"/>
        <v>0</v>
      </c>
      <c r="F437" s="642">
        <f>SUMIF('ПО КОРИСНИЦИМА'!$G$6:$G$15001,"Свега за пројекат 1201-П9:",'ПО КОРИСНИЦИМА'!$I$6:$I$15001)</f>
        <v>0</v>
      </c>
      <c r="G437" s="637">
        <f t="shared" si="15"/>
        <v>0</v>
      </c>
      <c r="H437" s="643"/>
    </row>
    <row r="438" spans="1:8" hidden="1" x14ac:dyDescent="0.2">
      <c r="A438" s="611"/>
      <c r="B438" s="611" t="s">
        <v>4752</v>
      </c>
      <c r="C438" s="538" t="str">
        <f>IFERROR(VLOOKUP(B438,'ПО КОРИСНИЦИМА'!$C$6:$J$15001,5,FALSE),"")</f>
        <v xml:space="preserve">Пројекат: </v>
      </c>
      <c r="D438" s="641">
        <f>SUMIF('ПО КОРИСНИЦИМА'!$G$6:$G$15001,"Свега за пројекат 1201-П10:",'ПО КОРИСНИЦИМА'!$H$6:$H$15001)</f>
        <v>0</v>
      </c>
      <c r="E438" s="634">
        <f t="shared" si="27"/>
        <v>0</v>
      </c>
      <c r="F438" s="642">
        <f>SUMIF('ПО КОРИСНИЦИМА'!$G$6:$G$15001,"Свега за пројекат 1201-П10:",'ПО КОРИСНИЦИМА'!$I$6:$I$15001)</f>
        <v>0</v>
      </c>
      <c r="G438" s="637">
        <f t="shared" si="15"/>
        <v>0</v>
      </c>
      <c r="H438" s="643"/>
    </row>
    <row r="439" spans="1:8" hidden="1" x14ac:dyDescent="0.2">
      <c r="A439" s="611"/>
      <c r="B439" s="611" t="s">
        <v>4753</v>
      </c>
      <c r="C439" s="538" t="str">
        <f>IFERROR(VLOOKUP(B439,'ПО КОРИСНИЦИМА'!$C$6:$J$15001,5,FALSE),"")</f>
        <v xml:space="preserve">Пројекат: </v>
      </c>
      <c r="D439" s="641">
        <f>SUMIF('ПО КОРИСНИЦИМА'!$G$6:$G$15001,"Свега за пројекат 1201-П11:",'ПО КОРИСНИЦИМА'!$H$6:$H$15001)</f>
        <v>0</v>
      </c>
      <c r="E439" s="634">
        <f t="shared" si="27"/>
        <v>0</v>
      </c>
      <c r="F439" s="642">
        <f>SUMIF('ПО КОРИСНИЦИМА'!$G$6:$G$15001,"Свега за пројекат 1201-П11:",'ПО КОРИСНИЦИМА'!$I$6:$I$15001)</f>
        <v>0</v>
      </c>
      <c r="G439" s="637">
        <f t="shared" si="15"/>
        <v>0</v>
      </c>
      <c r="H439" s="643"/>
    </row>
    <row r="440" spans="1:8" hidden="1" x14ac:dyDescent="0.2">
      <c r="A440" s="611"/>
      <c r="B440" s="611" t="s">
        <v>4754</v>
      </c>
      <c r="C440" s="538" t="str">
        <f>IFERROR(VLOOKUP(B440,'ПО КОРИСНИЦИМА'!$C$6:$J$15001,5,FALSE),"")</f>
        <v xml:space="preserve">Пројекат: </v>
      </c>
      <c r="D440" s="641">
        <f>SUMIF('ПО КОРИСНИЦИМА'!$G$6:$G$15001,"Свега за пројекат 1201-П12:",'ПО КОРИСНИЦИМА'!$H$6:$H$15001)</f>
        <v>0</v>
      </c>
      <c r="E440" s="634">
        <f t="shared" si="27"/>
        <v>0</v>
      </c>
      <c r="F440" s="642">
        <f>SUMIF('ПО КОРИСНИЦИМА'!$G$6:$G$15001,"Свега за пројекат 1201-П12:",'ПО КОРИСНИЦИМА'!$I$6:$I$15001)</f>
        <v>0</v>
      </c>
      <c r="G440" s="637">
        <f t="shared" si="15"/>
        <v>0</v>
      </c>
      <c r="H440" s="643"/>
    </row>
    <row r="441" spans="1:8" hidden="1" x14ac:dyDescent="0.2">
      <c r="A441" s="611"/>
      <c r="B441" s="611" t="s">
        <v>4755</v>
      </c>
      <c r="C441" s="538" t="str">
        <f>IFERROR(VLOOKUP(B441,'ПО КОРИСНИЦИМА'!$C$6:$J$15001,5,FALSE),"")</f>
        <v/>
      </c>
      <c r="D441" s="641">
        <f>SUMIF('ПО КОРИСНИЦИМА'!$G$6:$G$15001,"Свега за пројекат 1201-П13:",'ПО КОРИСНИЦИМА'!$H$6:$H$15001)</f>
        <v>0</v>
      </c>
      <c r="E441" s="634">
        <f t="shared" si="27"/>
        <v>0</v>
      </c>
      <c r="F441" s="642">
        <f>SUMIF('ПО КОРИСНИЦИМА'!$G$6:$G$15001,"Свега за пројекат 1201-П13:",'ПО КОРИСНИЦИМА'!$I$6:$I$15001)</f>
        <v>0</v>
      </c>
      <c r="G441" s="637">
        <f t="shared" si="15"/>
        <v>0</v>
      </c>
      <c r="H441" s="643"/>
    </row>
    <row r="442" spans="1:8" hidden="1" x14ac:dyDescent="0.2">
      <c r="A442" s="611"/>
      <c r="B442" s="611" t="s">
        <v>4756</v>
      </c>
      <c r="C442" s="538" t="str">
        <f>IFERROR(VLOOKUP(B442,'ПО КОРИСНИЦИМА'!$C$6:$J$15001,5,FALSE),"")</f>
        <v/>
      </c>
      <c r="D442" s="641">
        <f>SUMIF('ПО КОРИСНИЦИМА'!$G$6:$G$15001,"Свега за пројекат 1201-П14:",'ПО КОРИСНИЦИМА'!$H$6:$H$15001)</f>
        <v>0</v>
      </c>
      <c r="E442" s="634">
        <f t="shared" si="27"/>
        <v>0</v>
      </c>
      <c r="F442" s="642">
        <f>SUMIF('ПО КОРИСНИЦИМА'!$G$6:$G$15001,"Свега за пројекат 1201-П14:",'ПО КОРИСНИЦИМА'!$I$6:$I$15001)</f>
        <v>0</v>
      </c>
      <c r="G442" s="637">
        <f t="shared" si="15"/>
        <v>0</v>
      </c>
      <c r="H442" s="643"/>
    </row>
    <row r="443" spans="1:8" hidden="1" x14ac:dyDescent="0.2">
      <c r="A443" s="611"/>
      <c r="B443" s="611" t="s">
        <v>4757</v>
      </c>
      <c r="C443" s="538" t="str">
        <f>IFERROR(VLOOKUP(B443,'ПО КОРИСНИЦИМА'!$C$6:$J$15001,5,FALSE),"")</f>
        <v/>
      </c>
      <c r="D443" s="641">
        <f>SUMIF('ПО КОРИСНИЦИМА'!$G$6:$G$15001,"Свега за пројекат 1201-П15:",'ПО КОРИСНИЦИМА'!$H$6:$H$15001)</f>
        <v>0</v>
      </c>
      <c r="E443" s="634">
        <f t="shared" si="27"/>
        <v>0</v>
      </c>
      <c r="F443" s="642">
        <f>SUMIF('ПО КОРИСНИЦИМА'!$G$6:$G$15001,"Свега за пројекат 1201-П15:",'ПО КОРИСНИЦИМА'!$I$6:$I$15001)</f>
        <v>0</v>
      </c>
      <c r="G443" s="637">
        <f t="shared" si="15"/>
        <v>0</v>
      </c>
      <c r="H443" s="643"/>
    </row>
    <row r="444" spans="1:8" hidden="1" x14ac:dyDescent="0.2">
      <c r="A444" s="611"/>
      <c r="B444" s="611" t="s">
        <v>4758</v>
      </c>
      <c r="C444" s="538" t="str">
        <f>IFERROR(VLOOKUP(B444,'ПО КОРИСНИЦИМА'!$C$6:$J$15001,5,FALSE),"")</f>
        <v/>
      </c>
      <c r="D444" s="641">
        <f>SUMIF('ПО КОРИСНИЦИМА'!$G$6:$G$15001,"Свега за пројекат 1201-П16:",'ПО КОРИСНИЦИМА'!$H$6:$H$15001)</f>
        <v>0</v>
      </c>
      <c r="E444" s="634">
        <f t="shared" si="27"/>
        <v>0</v>
      </c>
      <c r="F444" s="642">
        <f>SUMIF('ПО КОРИСНИЦИМА'!$G$6:$G$15001,"Свега за пројекат 1201-П16:",'ПО КОРИСНИЦИМА'!$I$6:$I$15001)</f>
        <v>0</v>
      </c>
      <c r="G444" s="637">
        <f t="shared" si="15"/>
        <v>0</v>
      </c>
      <c r="H444" s="643"/>
    </row>
    <row r="445" spans="1:8" hidden="1" x14ac:dyDescent="0.2">
      <c r="A445" s="611"/>
      <c r="B445" s="611" t="s">
        <v>4759</v>
      </c>
      <c r="C445" s="538" t="str">
        <f>IFERROR(VLOOKUP(B445,'ПО КОРИСНИЦИМА'!$C$6:$J$15001,5,FALSE),"")</f>
        <v/>
      </c>
      <c r="D445" s="641">
        <f>SUMIF('ПО КОРИСНИЦИМА'!$G$6:$G$15001,"Свега за пројекат 1201-П17:",'ПО КОРИСНИЦИМА'!$H$6:$H$15001)</f>
        <v>0</v>
      </c>
      <c r="E445" s="634">
        <f t="shared" si="27"/>
        <v>0</v>
      </c>
      <c r="F445" s="642">
        <f>SUMIF('ПО КОРИСНИЦИМА'!$G$6:$G$15001,"Свега за пројекат 1201-П17:",'ПО КОРИСНИЦИМА'!$I$6:$I$15001)</f>
        <v>0</v>
      </c>
      <c r="G445" s="637">
        <f t="shared" si="15"/>
        <v>0</v>
      </c>
      <c r="H445" s="643"/>
    </row>
    <row r="446" spans="1:8" hidden="1" x14ac:dyDescent="0.2">
      <c r="A446" s="611"/>
      <c r="B446" s="611" t="s">
        <v>4760</v>
      </c>
      <c r="C446" s="538" t="str">
        <f>IFERROR(VLOOKUP(B446,'ПО КОРИСНИЦИМА'!$C$6:$J$15001,5,FALSE),"")</f>
        <v/>
      </c>
      <c r="D446" s="641">
        <f>SUMIF('ПО КОРИСНИЦИМА'!$G$6:$G$15001,"Свега за пројекат 1201-П18:",'ПО КОРИСНИЦИМА'!$H$6:$H$15001)</f>
        <v>0</v>
      </c>
      <c r="E446" s="634">
        <f t="shared" si="27"/>
        <v>0</v>
      </c>
      <c r="F446" s="642">
        <f>SUMIF('ПО КОРИСНИЦИМА'!$G$6:$G$15001,"Свега за пројекат 1201-П18:",'ПО КОРИСНИЦИМА'!$I$6:$I$15001)</f>
        <v>0</v>
      </c>
      <c r="G446" s="637">
        <f t="shared" si="15"/>
        <v>0</v>
      </c>
      <c r="H446" s="643"/>
    </row>
    <row r="447" spans="1:8" hidden="1" x14ac:dyDescent="0.2">
      <c r="A447" s="611"/>
      <c r="B447" s="611" t="s">
        <v>4761</v>
      </c>
      <c r="C447" s="538" t="str">
        <f>IFERROR(VLOOKUP(B447,'ПО КОРИСНИЦИМА'!$C$6:$J$15001,5,FALSE),"")</f>
        <v/>
      </c>
      <c r="D447" s="641">
        <f>SUMIF('ПО КОРИСНИЦИМА'!$G$6:$G$15001,"Свега за пројекат 1201-П19:",'ПО КОРИСНИЦИМА'!$H$6:$H$15001)</f>
        <v>0</v>
      </c>
      <c r="E447" s="634">
        <f t="shared" si="27"/>
        <v>0</v>
      </c>
      <c r="F447" s="642">
        <f>SUMIF('ПО КОРИСНИЦИМА'!$G$6:$G$15001,"Свега за пројекат 1201-П19:",'ПО КОРИСНИЦИМА'!$I$6:$I$15001)</f>
        <v>0</v>
      </c>
      <c r="G447" s="637">
        <f t="shared" si="15"/>
        <v>0</v>
      </c>
      <c r="H447" s="643"/>
    </row>
    <row r="448" spans="1:8" hidden="1" x14ac:dyDescent="0.2">
      <c r="A448" s="611"/>
      <c r="B448" s="611" t="s">
        <v>4762</v>
      </c>
      <c r="C448" s="538" t="str">
        <f>IFERROR(VLOOKUP(B448,'ПО КОРИСНИЦИМА'!$C$6:$J$15001,5,FALSE),"")</f>
        <v/>
      </c>
      <c r="D448" s="641">
        <f>SUMIF('ПО КОРИСНИЦИМА'!$G$6:$G$15001,"Свега за пројекат 1201-П20:",'ПО КОРИСНИЦИМА'!$H$6:$H$15001)</f>
        <v>0</v>
      </c>
      <c r="E448" s="634">
        <f t="shared" si="27"/>
        <v>0</v>
      </c>
      <c r="F448" s="642">
        <f>SUMIF('ПО КОРИСНИЦИМА'!$G$6:$G$15001,"Свега за пројекат 1201-П20:",'ПО КОРИСНИЦИМА'!$I$6:$I$15001)</f>
        <v>0</v>
      </c>
      <c r="G448" s="637">
        <f t="shared" si="15"/>
        <v>0</v>
      </c>
      <c r="H448" s="643"/>
    </row>
    <row r="449" spans="1:8" hidden="1" x14ac:dyDescent="0.2">
      <c r="A449" s="611"/>
      <c r="B449" s="611" t="s">
        <v>4763</v>
      </c>
      <c r="C449" s="538" t="str">
        <f>IFERROR(VLOOKUP(B449,'ПО КОРИСНИЦИМА'!$C$6:$J$15001,5,FALSE),"")</f>
        <v/>
      </c>
      <c r="D449" s="641">
        <f>SUMIF('ПО КОРИСНИЦИМА'!$G$6:$G$15001,"Свега за пројекат 1201-П21:",'ПО КОРИСНИЦИМА'!$H$6:$H$15001)</f>
        <v>0</v>
      </c>
      <c r="E449" s="634">
        <f t="shared" si="27"/>
        <v>0</v>
      </c>
      <c r="F449" s="642">
        <f>SUMIF('ПО КОРИСНИЦИМА'!$G$6:$G$15001,"Свега за пројекат 1201-П21:",'ПО КОРИСНИЦИМА'!$I$6:$I$15001)</f>
        <v>0</v>
      </c>
      <c r="G449" s="637">
        <f t="shared" si="15"/>
        <v>0</v>
      </c>
      <c r="H449" s="643"/>
    </row>
    <row r="450" spans="1:8" hidden="1" x14ac:dyDescent="0.2">
      <c r="A450" s="611"/>
      <c r="B450" s="611" t="s">
        <v>4764</v>
      </c>
      <c r="C450" s="538" t="str">
        <f>IFERROR(VLOOKUP(B450,'ПО КОРИСНИЦИМА'!$C$6:$J$15001,5,FALSE),"")</f>
        <v/>
      </c>
      <c r="D450" s="641">
        <f>SUMIF('ПО КОРИСНИЦИМА'!$G$6:$G$15001,"Свега за пројекат 1201-П22:",'ПО КОРИСНИЦИМА'!$H$6:$H$15001)</f>
        <v>0</v>
      </c>
      <c r="E450" s="634">
        <f t="shared" si="27"/>
        <v>0</v>
      </c>
      <c r="F450" s="642">
        <f>SUMIF('ПО КОРИСНИЦИМА'!$G$6:$G$15001,"Свега за пројекат 1201-П22:",'ПО КОРИСНИЦИМА'!$I$6:$I$15001)</f>
        <v>0</v>
      </c>
      <c r="G450" s="637">
        <f t="shared" si="15"/>
        <v>0</v>
      </c>
      <c r="H450" s="643"/>
    </row>
    <row r="451" spans="1:8" hidden="1" x14ac:dyDescent="0.2">
      <c r="A451" s="611"/>
      <c r="B451" s="611" t="s">
        <v>4765</v>
      </c>
      <c r="C451" s="538" t="str">
        <f>IFERROR(VLOOKUP(B451,'ПО КОРИСНИЦИМА'!$C$6:$J$15001,5,FALSE),"")</f>
        <v/>
      </c>
      <c r="D451" s="641">
        <f>SUMIF('ПО КОРИСНИЦИМА'!$G$6:$G$15001,"Свега за пројекат 1201-П23:",'ПО КОРИСНИЦИМА'!$H$6:$H$15001)</f>
        <v>0</v>
      </c>
      <c r="E451" s="634">
        <f t="shared" si="27"/>
        <v>0</v>
      </c>
      <c r="F451" s="642">
        <f>SUMIF('ПО КОРИСНИЦИМА'!$G$6:$G$15001,"Свега за пројекат 1201-П23:",'ПО КОРИСНИЦИМА'!$I$6:$I$15001)</f>
        <v>0</v>
      </c>
      <c r="G451" s="637">
        <f t="shared" si="15"/>
        <v>0</v>
      </c>
      <c r="H451" s="643"/>
    </row>
    <row r="452" spans="1:8" hidden="1" x14ac:dyDescent="0.2">
      <c r="A452" s="611"/>
      <c r="B452" s="611" t="s">
        <v>4766</v>
      </c>
      <c r="C452" s="538" t="str">
        <f>IFERROR(VLOOKUP(B452,'ПО КОРИСНИЦИМА'!$C$6:$J$15001,5,FALSE),"")</f>
        <v/>
      </c>
      <c r="D452" s="641">
        <f>SUMIF('ПО КОРИСНИЦИМА'!$G$6:$G$15001,"Свега за пројекат 1201-П24:",'ПО КОРИСНИЦИМА'!$H$6:$H$15001)</f>
        <v>0</v>
      </c>
      <c r="E452" s="634">
        <f t="shared" si="27"/>
        <v>0</v>
      </c>
      <c r="F452" s="642">
        <f>SUMIF('ПО КОРИСНИЦИМА'!$G$6:$G$15001,"Свега за пројекат 1201-П24:",'ПО КОРИСНИЦИМА'!$I$6:$I$15001)</f>
        <v>0</v>
      </c>
      <c r="G452" s="637">
        <f t="shared" si="15"/>
        <v>0</v>
      </c>
      <c r="H452" s="643"/>
    </row>
    <row r="453" spans="1:8" hidden="1" x14ac:dyDescent="0.2">
      <c r="A453" s="611"/>
      <c r="B453" s="611" t="s">
        <v>4767</v>
      </c>
      <c r="C453" s="538" t="str">
        <f>IFERROR(VLOOKUP(B453,'ПО КОРИСНИЦИМА'!$C$6:$J$15001,5,FALSE),"")</f>
        <v/>
      </c>
      <c r="D453" s="641">
        <f>SUMIF('ПО КОРИСНИЦИМА'!$G$6:$G$15001,"Свега за пројекат 1201-П25:",'ПО КОРИСНИЦИМА'!$H$6:$H$15001)</f>
        <v>0</v>
      </c>
      <c r="E453" s="634">
        <f t="shared" si="27"/>
        <v>0</v>
      </c>
      <c r="F453" s="642">
        <f>SUMIF('ПО КОРИСНИЦИМА'!$G$6:$G$15001,"Свега за пројекат 1201-П25:",'ПО КОРИСНИЦИМА'!$I$6:$I$15001)</f>
        <v>0</v>
      </c>
      <c r="G453" s="637">
        <f t="shared" si="15"/>
        <v>0</v>
      </c>
      <c r="H453" s="643"/>
    </row>
    <row r="454" spans="1:8" hidden="1" x14ac:dyDescent="0.2">
      <c r="A454" s="611"/>
      <c r="B454" s="611" t="s">
        <v>4768</v>
      </c>
      <c r="C454" s="538" t="str">
        <f>IFERROR(VLOOKUP(B454,'ПО КОРИСНИЦИМА'!$C$6:$J$15001,5,FALSE),"")</f>
        <v/>
      </c>
      <c r="D454" s="641">
        <f>SUMIF('ПО КОРИСНИЦИМА'!$G$6:$G$15001,"Свега за пројекат 1201-П26:",'ПО КОРИСНИЦИМА'!$H$6:$H$15001)</f>
        <v>0</v>
      </c>
      <c r="E454" s="634">
        <f t="shared" si="27"/>
        <v>0</v>
      </c>
      <c r="F454" s="642">
        <f>SUMIF('ПО КОРИСНИЦИМА'!$G$6:$G$15001,"Свега за пројекат 1201-П26:",'ПО КОРИСНИЦИМА'!$I$6:$I$15001)</f>
        <v>0</v>
      </c>
      <c r="G454" s="637">
        <f t="shared" si="15"/>
        <v>0</v>
      </c>
      <c r="H454" s="643"/>
    </row>
    <row r="455" spans="1:8" hidden="1" x14ac:dyDescent="0.2">
      <c r="A455" s="611"/>
      <c r="B455" s="611" t="s">
        <v>4769</v>
      </c>
      <c r="C455" s="538" t="str">
        <f>IFERROR(VLOOKUP(B455,'ПО КОРИСНИЦИМА'!$C$6:$J$15001,5,FALSE),"")</f>
        <v/>
      </c>
      <c r="D455" s="641">
        <f>SUMIF('ПО КОРИСНИЦИМА'!$G$6:$G$15001,"Свега за пројекат 1201-П27:",'ПО КОРИСНИЦИМА'!$H$6:$H$15001)</f>
        <v>0</v>
      </c>
      <c r="E455" s="634">
        <f t="shared" si="27"/>
        <v>0</v>
      </c>
      <c r="F455" s="642">
        <f>SUMIF('ПО КОРИСНИЦИМА'!$G$6:$G$15001,"Свега за пројекат 1201-П27:",'ПО КОРИСНИЦИМА'!$I$6:$I$15001)</f>
        <v>0</v>
      </c>
      <c r="G455" s="637">
        <f t="shared" si="15"/>
        <v>0</v>
      </c>
      <c r="H455" s="643"/>
    </row>
    <row r="456" spans="1:8" hidden="1" x14ac:dyDescent="0.2">
      <c r="A456" s="611"/>
      <c r="B456" s="611" t="s">
        <v>4770</v>
      </c>
      <c r="C456" s="538" t="str">
        <f>IFERROR(VLOOKUP(B456,'ПО КОРИСНИЦИМА'!$C$6:$J$15001,5,FALSE),"")</f>
        <v/>
      </c>
      <c r="D456" s="641">
        <f>SUMIF('ПО КОРИСНИЦИМА'!$G$6:$G$15001,"Свега за пројекат 1201-П28:",'ПО КОРИСНИЦИМА'!$H$6:$H$15001)</f>
        <v>0</v>
      </c>
      <c r="E456" s="634">
        <f t="shared" si="27"/>
        <v>0</v>
      </c>
      <c r="F456" s="642">
        <f>SUMIF('ПО КОРИСНИЦИМА'!$G$6:$G$15001,"Свега за пројекат 1201-П28:",'ПО КОРИСНИЦИМА'!$I$6:$I$15001)</f>
        <v>0</v>
      </c>
      <c r="G456" s="637">
        <f t="shared" si="15"/>
        <v>0</v>
      </c>
      <c r="H456" s="643"/>
    </row>
    <row r="457" spans="1:8" hidden="1" x14ac:dyDescent="0.2">
      <c r="A457" s="611"/>
      <c r="B457" s="611" t="s">
        <v>4771</v>
      </c>
      <c r="C457" s="538" t="str">
        <f>IFERROR(VLOOKUP(B457,'ПО КОРИСНИЦИМА'!$C$6:$J$15001,5,FALSE),"")</f>
        <v/>
      </c>
      <c r="D457" s="641">
        <f>SUMIF('ПО КОРИСНИЦИМА'!$G$6:$G$15001,"Свега за пројекат 1201-П29:",'ПО КОРИСНИЦИМА'!$H$6:$H$15001)</f>
        <v>0</v>
      </c>
      <c r="E457" s="634">
        <f t="shared" si="27"/>
        <v>0</v>
      </c>
      <c r="F457" s="642">
        <f>SUMIF('ПО КОРИСНИЦИМА'!$G$6:$G$15001,"Свега за пројекат 1201-П29:",'ПО КОРИСНИЦИМА'!$I$6:$I$15001)</f>
        <v>0</v>
      </c>
      <c r="G457" s="637">
        <f t="shared" si="15"/>
        <v>0</v>
      </c>
      <c r="H457" s="643"/>
    </row>
    <row r="458" spans="1:8" hidden="1" x14ac:dyDescent="0.2">
      <c r="A458" s="611"/>
      <c r="B458" s="611" t="s">
        <v>4772</v>
      </c>
      <c r="C458" s="538" t="str">
        <f>IFERROR(VLOOKUP(B458,'ПО КОРИСНИЦИМА'!$C$6:$J$15001,5,FALSE),"")</f>
        <v/>
      </c>
      <c r="D458" s="641">
        <f>SUMIF('ПО КОРИСНИЦИМА'!$G$6:$G$15001,"Свега за пројекат 1201-П30:",'ПО КОРИСНИЦИМА'!$H$6:$H$15001)</f>
        <v>0</v>
      </c>
      <c r="E458" s="634">
        <f t="shared" si="27"/>
        <v>0</v>
      </c>
      <c r="F458" s="642">
        <f>SUMIF('ПО КОРИСНИЦИМА'!$G$6:$G$15001,"Свега за пројекат 1201-П30:",'ПО КОРИСНИЦИМА'!$I$6:$I$15001)</f>
        <v>0</v>
      </c>
      <c r="G458" s="637">
        <f t="shared" si="15"/>
        <v>0</v>
      </c>
      <c r="H458" s="643"/>
    </row>
    <row r="459" spans="1:8" hidden="1" x14ac:dyDescent="0.2">
      <c r="A459" s="611"/>
      <c r="B459" s="611" t="s">
        <v>4773</v>
      </c>
      <c r="C459" s="538" t="str">
        <f>IFERROR(VLOOKUP(B459,'ПО КОРИСНИЦИМА'!$C$6:$J$15001,5,FALSE),"")</f>
        <v/>
      </c>
      <c r="D459" s="641">
        <f>SUMIF('ПО КОРИСНИЦИМА'!$G$6:$G$15001,"Свега за пројекат 1201-П31:",'ПО КОРИСНИЦИМА'!$H$6:$H$15001)</f>
        <v>0</v>
      </c>
      <c r="E459" s="634">
        <f t="shared" si="27"/>
        <v>0</v>
      </c>
      <c r="F459" s="642">
        <f>SUMIF('ПО КОРИСНИЦИМА'!$G$6:$G$15001,"Свега за пројекат 1201-П31:",'ПО КОРИСНИЦИМА'!$I$6:$I$15001)</f>
        <v>0</v>
      </c>
      <c r="G459" s="637">
        <f t="shared" si="15"/>
        <v>0</v>
      </c>
      <c r="H459" s="643"/>
    </row>
    <row r="460" spans="1:8" hidden="1" x14ac:dyDescent="0.2">
      <c r="A460" s="611"/>
      <c r="B460" s="611" t="s">
        <v>4774</v>
      </c>
      <c r="C460" s="538" t="str">
        <f>IFERROR(VLOOKUP(B460,'ПО КОРИСНИЦИМА'!$C$6:$J$15001,5,FALSE),"")</f>
        <v/>
      </c>
      <c r="D460" s="641">
        <f>SUMIF('ПО КОРИСНИЦИМА'!$G$6:$G$15001,"Свега за пројекат 1201-П32:",'ПО КОРИСНИЦИМА'!$H$6:$H$15001)</f>
        <v>0</v>
      </c>
      <c r="E460" s="634">
        <f t="shared" si="27"/>
        <v>0</v>
      </c>
      <c r="F460" s="642">
        <f>SUMIF('ПО КОРИСНИЦИМА'!$G$6:$G$15001,"Свега за пројекат 1201-П32:",'ПО КОРИСНИЦИМА'!$I$6:$I$15001)</f>
        <v>0</v>
      </c>
      <c r="G460" s="637">
        <f t="shared" si="15"/>
        <v>0</v>
      </c>
      <c r="H460" s="643"/>
    </row>
    <row r="461" spans="1:8" hidden="1" x14ac:dyDescent="0.2">
      <c r="A461" s="611"/>
      <c r="B461" s="611" t="s">
        <v>4775</v>
      </c>
      <c r="C461" s="538" t="str">
        <f>IFERROR(VLOOKUP(B461,'ПО КОРИСНИЦИМА'!$C$6:$J$15001,5,FALSE),"")</f>
        <v/>
      </c>
      <c r="D461" s="641">
        <f>SUMIF('ПО КОРИСНИЦИМА'!$G$6:$G$15001,"Свега за пројекат 1201-П33:",'ПО КОРИСНИЦИМА'!$H$6:$H$15001)</f>
        <v>0</v>
      </c>
      <c r="E461" s="634">
        <f t="shared" si="27"/>
        <v>0</v>
      </c>
      <c r="F461" s="642">
        <f>SUMIF('ПО КОРИСНИЦИМА'!$G$6:$G$15001,"Свега за пројекат 1201-П33:",'ПО КОРИСНИЦИМА'!$I$6:$I$15001)</f>
        <v>0</v>
      </c>
      <c r="G461" s="637">
        <f t="shared" si="15"/>
        <v>0</v>
      </c>
      <c r="H461" s="643"/>
    </row>
    <row r="462" spans="1:8" hidden="1" x14ac:dyDescent="0.2">
      <c r="A462" s="611"/>
      <c r="B462" s="611" t="s">
        <v>4776</v>
      </c>
      <c r="C462" s="538" t="str">
        <f>IFERROR(VLOOKUP(B462,'ПО КОРИСНИЦИМА'!$C$6:$J$15001,5,FALSE),"")</f>
        <v/>
      </c>
      <c r="D462" s="641">
        <f>SUMIF('ПО КОРИСНИЦИМА'!$G$6:$G$15001,"Свега за пројекат 1201-П34:",'ПО КОРИСНИЦИМА'!$H$6:$H$15001)</f>
        <v>0</v>
      </c>
      <c r="E462" s="634">
        <f t="shared" si="27"/>
        <v>0</v>
      </c>
      <c r="F462" s="642">
        <f>SUMIF('ПО КОРИСНИЦИМА'!$G$6:$G$15001,"Свега за пројекат 1201-П34:",'ПО КОРИСНИЦИМА'!$I$6:$I$15001)</f>
        <v>0</v>
      </c>
      <c r="G462" s="637">
        <f t="shared" si="15"/>
        <v>0</v>
      </c>
      <c r="H462" s="643"/>
    </row>
    <row r="463" spans="1:8" hidden="1" x14ac:dyDescent="0.2">
      <c r="A463" s="611"/>
      <c r="B463" s="611" t="s">
        <v>4777</v>
      </c>
      <c r="C463" s="538" t="str">
        <f>IFERROR(VLOOKUP(B463,'ПО КОРИСНИЦИМА'!$C$6:$J$15001,5,FALSE),"")</f>
        <v/>
      </c>
      <c r="D463" s="641">
        <f>SUMIF('ПО КОРИСНИЦИМА'!$G$6:$G$15001,"Свега за пројекат 1201-П35:",'ПО КОРИСНИЦИМА'!$H$6:$H$15001)</f>
        <v>0</v>
      </c>
      <c r="E463" s="634">
        <f t="shared" si="27"/>
        <v>0</v>
      </c>
      <c r="F463" s="642">
        <f>SUMIF('ПО КОРИСНИЦИМА'!$G$6:$G$15001,"Свега за пројекат 1201-П35:",'ПО КОРИСНИЦИМА'!$I$6:$I$15001)</f>
        <v>0</v>
      </c>
      <c r="G463" s="637">
        <f t="shared" si="15"/>
        <v>0</v>
      </c>
      <c r="H463" s="643"/>
    </row>
    <row r="464" spans="1:8" hidden="1" x14ac:dyDescent="0.2">
      <c r="A464" s="611"/>
      <c r="B464" s="611" t="s">
        <v>4778</v>
      </c>
      <c r="C464" s="538" t="str">
        <f>IFERROR(VLOOKUP(B464,'ПО КОРИСНИЦИМА'!$C$6:$J$15001,5,FALSE),"")</f>
        <v/>
      </c>
      <c r="D464" s="641">
        <f>SUMIF('ПО КОРИСНИЦИМА'!$G$6:$G$15001,"Свега за пројекат 1201-П36:",'ПО КОРИСНИЦИМА'!$H$6:$H$15001)</f>
        <v>0</v>
      </c>
      <c r="E464" s="634">
        <f t="shared" si="27"/>
        <v>0</v>
      </c>
      <c r="F464" s="642">
        <f>SUMIF('ПО КОРИСНИЦИМА'!$G$6:$G$15001,"Свега за пројекат 1201-П36:",'ПО КОРИСНИЦИМА'!$I$6:$I$15001)</f>
        <v>0</v>
      </c>
      <c r="G464" s="637">
        <f t="shared" si="15"/>
        <v>0</v>
      </c>
      <c r="H464" s="643"/>
    </row>
    <row r="465" spans="1:8" hidden="1" x14ac:dyDescent="0.2">
      <c r="A465" s="611"/>
      <c r="B465" s="611" t="s">
        <v>4779</v>
      </c>
      <c r="C465" s="538" t="str">
        <f>IFERROR(VLOOKUP(B465,'ПО КОРИСНИЦИМА'!$C$6:$J$15001,5,FALSE),"")</f>
        <v/>
      </c>
      <c r="D465" s="641">
        <f>SUMIF('ПО КОРИСНИЦИМА'!$G$6:$G$15001,"Свега за пројекат 1201-П37:",'ПО КОРИСНИЦИМА'!$H$6:$H$15001)</f>
        <v>0</v>
      </c>
      <c r="E465" s="634">
        <f t="shared" si="27"/>
        <v>0</v>
      </c>
      <c r="F465" s="642">
        <f>SUMIF('ПО КОРИСНИЦИМА'!$G$6:$G$15001,"Свега за пројекат 1201-П37:",'ПО КОРИСНИЦИМА'!$I$6:$I$15001)</f>
        <v>0</v>
      </c>
      <c r="G465" s="637">
        <f t="shared" si="15"/>
        <v>0</v>
      </c>
      <c r="H465" s="643"/>
    </row>
    <row r="466" spans="1:8" hidden="1" x14ac:dyDescent="0.2">
      <c r="A466" s="611"/>
      <c r="B466" s="611" t="s">
        <v>4780</v>
      </c>
      <c r="C466" s="538" t="str">
        <f>IFERROR(VLOOKUP(B466,'ПО КОРИСНИЦИМА'!$C$6:$J$15001,5,FALSE),"")</f>
        <v/>
      </c>
      <c r="D466" s="641">
        <f>SUMIF('ПО КОРИСНИЦИМА'!$G$6:$G$15001,"Свега за пројекат 1201-П38:",'ПО КОРИСНИЦИМА'!$H$6:$H$15001)</f>
        <v>0</v>
      </c>
      <c r="E466" s="634">
        <f t="shared" si="27"/>
        <v>0</v>
      </c>
      <c r="F466" s="642">
        <f>SUMIF('ПО КОРИСНИЦИМА'!$G$6:$G$15001,"Свега за пројекат 1201-П38:",'ПО КОРИСНИЦИМА'!$I$6:$I$15001)</f>
        <v>0</v>
      </c>
      <c r="G466" s="637">
        <f t="shared" si="15"/>
        <v>0</v>
      </c>
      <c r="H466" s="643"/>
    </row>
    <row r="467" spans="1:8" hidden="1" x14ac:dyDescent="0.2">
      <c r="A467" s="611"/>
      <c r="B467" s="611" t="s">
        <v>4781</v>
      </c>
      <c r="C467" s="538" t="str">
        <f>IFERROR(VLOOKUP(B467,'ПО КОРИСНИЦИМА'!$C$6:$J$15001,5,FALSE),"")</f>
        <v/>
      </c>
      <c r="D467" s="641">
        <f>SUMIF('ПО КОРИСНИЦИМА'!$G$6:$G$15001,"Свега за пројекат 1201-П39:",'ПО КОРИСНИЦИМА'!$H$6:$H$15001)</f>
        <v>0</v>
      </c>
      <c r="E467" s="634">
        <f t="shared" si="27"/>
        <v>0</v>
      </c>
      <c r="F467" s="642">
        <f>SUMIF('ПО КОРИСНИЦИМА'!$G$6:$G$15001,"Свега за пројекат 1201-П39:",'ПО КОРИСНИЦИМА'!$I$6:$I$15001)</f>
        <v>0</v>
      </c>
      <c r="G467" s="637">
        <f t="shared" si="15"/>
        <v>0</v>
      </c>
      <c r="H467" s="643"/>
    </row>
    <row r="468" spans="1:8" hidden="1" x14ac:dyDescent="0.2">
      <c r="A468" s="611"/>
      <c r="B468" s="611" t="s">
        <v>4782</v>
      </c>
      <c r="C468" s="538" t="str">
        <f>IFERROR(VLOOKUP(B468,'ПО КОРИСНИЦИМА'!$C$6:$J$15001,5,FALSE),"")</f>
        <v/>
      </c>
      <c r="D468" s="641">
        <f>SUMIF('ПО КОРИСНИЦИМА'!$G$6:$G$15001,"Свега за пројекат 1201-П40:",'ПО КОРИСНИЦИМА'!$H$6:$H$15001)</f>
        <v>0</v>
      </c>
      <c r="E468" s="634">
        <f t="shared" si="27"/>
        <v>0</v>
      </c>
      <c r="F468" s="642">
        <f>SUMIF('ПО КОРИСНИЦИМА'!$G$6:$G$15001,"Свега за пројекат 1201-П40:",'ПО КОРИСНИЦИМА'!$I$6:$I$15001)</f>
        <v>0</v>
      </c>
      <c r="G468" s="637">
        <f t="shared" si="15"/>
        <v>0</v>
      </c>
      <c r="H468" s="643"/>
    </row>
    <row r="469" spans="1:8" hidden="1" x14ac:dyDescent="0.2">
      <c r="A469" s="611"/>
      <c r="B469" s="611" t="s">
        <v>4783</v>
      </c>
      <c r="C469" s="538" t="str">
        <f>IFERROR(VLOOKUP(B469,'ПО КОРИСНИЦИМА'!$C$6:$J$15001,5,FALSE),"")</f>
        <v/>
      </c>
      <c r="D469" s="641">
        <f>SUMIF('ПО КОРИСНИЦИМА'!$G$6:$G$15001,"Свега за пројекат 1201-П41:",'ПО КОРИСНИЦИМА'!$H$6:$H$15001)</f>
        <v>0</v>
      </c>
      <c r="E469" s="634">
        <f t="shared" si="27"/>
        <v>0</v>
      </c>
      <c r="F469" s="642">
        <f>SUMIF('ПО КОРИСНИЦИМА'!$G$6:$G$15001,"Свега за пројекат 1201-П41:",'ПО КОРИСНИЦИМА'!$I$6:$I$15001)</f>
        <v>0</v>
      </c>
      <c r="G469" s="637">
        <f t="shared" si="15"/>
        <v>0</v>
      </c>
      <c r="H469" s="643"/>
    </row>
    <row r="470" spans="1:8" hidden="1" x14ac:dyDescent="0.2">
      <c r="A470" s="611"/>
      <c r="B470" s="611" t="s">
        <v>4784</v>
      </c>
      <c r="C470" s="538" t="str">
        <f>IFERROR(VLOOKUP(B470,'ПО КОРИСНИЦИМА'!$C$6:$J$15001,5,FALSE),"")</f>
        <v/>
      </c>
      <c r="D470" s="641">
        <f>SUMIF('ПО КОРИСНИЦИМА'!$G$6:$G$15001,"Свега за пројекат 1201-П42:",'ПО КОРИСНИЦИМА'!$H$6:$H$15001)</f>
        <v>0</v>
      </c>
      <c r="E470" s="634">
        <f t="shared" si="27"/>
        <v>0</v>
      </c>
      <c r="F470" s="642">
        <f>SUMIF('ПО КОРИСНИЦИМА'!$G$6:$G$15001,"Свега за пројекат 1201-П42:",'ПО КОРИСНИЦИМА'!$I$6:$I$15001)</f>
        <v>0</v>
      </c>
      <c r="G470" s="637">
        <f t="shared" si="15"/>
        <v>0</v>
      </c>
      <c r="H470" s="643"/>
    </row>
    <row r="471" spans="1:8" hidden="1" x14ac:dyDescent="0.2">
      <c r="A471" s="611"/>
      <c r="B471" s="611" t="s">
        <v>4785</v>
      </c>
      <c r="C471" s="538" t="str">
        <f>IFERROR(VLOOKUP(B471,'ПО КОРИСНИЦИМА'!$C$6:$J$15001,5,FALSE),"")</f>
        <v/>
      </c>
      <c r="D471" s="641">
        <f>SUMIF('ПО КОРИСНИЦИМА'!$G$6:$G$15001,"Свега за пројекат 1201-П43:",'ПО КОРИСНИЦИМА'!$H$6:$H$15001)</f>
        <v>0</v>
      </c>
      <c r="E471" s="634">
        <f t="shared" si="27"/>
        <v>0</v>
      </c>
      <c r="F471" s="642">
        <f>SUMIF('ПО КОРИСНИЦИМА'!$G$6:$G$15001,"Свега за пројекат 1201-П43:",'ПО КОРИСНИЦИМА'!$I$6:$I$15001)</f>
        <v>0</v>
      </c>
      <c r="G471" s="637">
        <f t="shared" si="15"/>
        <v>0</v>
      </c>
      <c r="H471" s="643"/>
    </row>
    <row r="472" spans="1:8" hidden="1" x14ac:dyDescent="0.2">
      <c r="A472" s="611"/>
      <c r="B472" s="611" t="s">
        <v>4786</v>
      </c>
      <c r="C472" s="538" t="str">
        <f>IFERROR(VLOOKUP(B472,'ПО КОРИСНИЦИМА'!$C$6:$J$15001,5,FALSE),"")</f>
        <v/>
      </c>
      <c r="D472" s="641">
        <f>SUMIF('ПО КОРИСНИЦИМА'!$G$6:$G$15001,"Свега за пројекат 1201-П44:",'ПО КОРИСНИЦИМА'!$H$6:$H$15001)</f>
        <v>0</v>
      </c>
      <c r="E472" s="634">
        <f t="shared" si="27"/>
        <v>0</v>
      </c>
      <c r="F472" s="642">
        <f>SUMIF('ПО КОРИСНИЦИМА'!$G$6:$G$15001,"Свега за пројекат 1201-П44:",'ПО КОРИСНИЦИМА'!$I$6:$I$15001)</f>
        <v>0</v>
      </c>
      <c r="G472" s="637">
        <f t="shared" si="15"/>
        <v>0</v>
      </c>
      <c r="H472" s="643"/>
    </row>
    <row r="473" spans="1:8" hidden="1" x14ac:dyDescent="0.2">
      <c r="A473" s="611"/>
      <c r="B473" s="611" t="s">
        <v>4787</v>
      </c>
      <c r="C473" s="538" t="str">
        <f>IFERROR(VLOOKUP(B473,'ПО КОРИСНИЦИМА'!$C$6:$J$15001,5,FALSE),"")</f>
        <v/>
      </c>
      <c r="D473" s="641">
        <f>SUMIF('ПО КОРИСНИЦИМА'!$G$6:$G$15001,"Свега за пројекат 1201-П45:",'ПО КОРИСНИЦИМА'!$H$6:$H$15001)</f>
        <v>0</v>
      </c>
      <c r="E473" s="634">
        <f t="shared" si="27"/>
        <v>0</v>
      </c>
      <c r="F473" s="642">
        <f>SUMIF('ПО КОРИСНИЦИМА'!$G$6:$G$15001,"Свега за пројекат 1201-П45:",'ПО КОРИСНИЦИМА'!$I$6:$I$15001)</f>
        <v>0</v>
      </c>
      <c r="G473" s="637">
        <f t="shared" si="15"/>
        <v>0</v>
      </c>
      <c r="H473" s="643"/>
    </row>
    <row r="474" spans="1:8" hidden="1" x14ac:dyDescent="0.2">
      <c r="A474" s="611"/>
      <c r="B474" s="611" t="s">
        <v>4788</v>
      </c>
      <c r="C474" s="538" t="str">
        <f>IFERROR(VLOOKUP(B474,'ПО КОРИСНИЦИМА'!$C$6:$J$15001,5,FALSE),"")</f>
        <v/>
      </c>
      <c r="D474" s="641">
        <f>SUMIF('ПО КОРИСНИЦИМА'!$G$6:$G$15001,"Свега за пројекат 1201-П46:",'ПО КОРИСНИЦИМА'!$H$6:$H$15001)</f>
        <v>0</v>
      </c>
      <c r="E474" s="634">
        <f t="shared" si="27"/>
        <v>0</v>
      </c>
      <c r="F474" s="642">
        <f>SUMIF('ПО КОРИСНИЦИМА'!$G$6:$G$15001,"Свега за пројекат 1201-П46:",'ПО КОРИСНИЦИМА'!$I$6:$I$15001)</f>
        <v>0</v>
      </c>
      <c r="G474" s="637">
        <f t="shared" si="15"/>
        <v>0</v>
      </c>
      <c r="H474" s="643"/>
    </row>
    <row r="475" spans="1:8" hidden="1" x14ac:dyDescent="0.2">
      <c r="A475" s="611"/>
      <c r="B475" s="611" t="s">
        <v>4789</v>
      </c>
      <c r="C475" s="538" t="str">
        <f>IFERROR(VLOOKUP(B475,'ПО КОРИСНИЦИМА'!$C$6:$J$15001,5,FALSE),"")</f>
        <v/>
      </c>
      <c r="D475" s="641">
        <f>SUMIF('ПО КОРИСНИЦИМА'!$G$6:$G$15001,"Свега за пројекат 1201-П47:",'ПО КОРИСНИЦИМА'!$H$6:$H$15001)</f>
        <v>0</v>
      </c>
      <c r="E475" s="634">
        <f t="shared" si="27"/>
        <v>0</v>
      </c>
      <c r="F475" s="642">
        <f>SUMIF('ПО КОРИСНИЦИМА'!$G$6:$G$15001,"Свега за пројекат 1201-П47:",'ПО КОРИСНИЦИМА'!$I$6:$I$15001)</f>
        <v>0</v>
      </c>
      <c r="G475" s="637">
        <f t="shared" si="15"/>
        <v>0</v>
      </c>
      <c r="H475" s="643"/>
    </row>
    <row r="476" spans="1:8" hidden="1" x14ac:dyDescent="0.2">
      <c r="A476" s="611"/>
      <c r="B476" s="611" t="s">
        <v>4790</v>
      </c>
      <c r="C476" s="538" t="str">
        <f>IFERROR(VLOOKUP(B476,'ПО КОРИСНИЦИМА'!$C$6:$J$15001,5,FALSE),"")</f>
        <v/>
      </c>
      <c r="D476" s="641">
        <f>SUMIF('ПО КОРИСНИЦИМА'!$G$6:$G$15001,"Свега за пројекат 1201-П48:",'ПО КОРИСНИЦИМА'!$H$6:$H$15001)</f>
        <v>0</v>
      </c>
      <c r="E476" s="634">
        <f t="shared" si="27"/>
        <v>0</v>
      </c>
      <c r="F476" s="642">
        <f>SUMIF('ПО КОРИСНИЦИМА'!$G$6:$G$15001,"Свега за пројекат 1201-П48:",'ПО КОРИСНИЦИМА'!$I$6:$I$15001)</f>
        <v>0</v>
      </c>
      <c r="G476" s="637">
        <f t="shared" si="15"/>
        <v>0</v>
      </c>
      <c r="H476" s="640"/>
    </row>
    <row r="477" spans="1:8" hidden="1" x14ac:dyDescent="0.2">
      <c r="A477" s="611"/>
      <c r="B477" s="611" t="s">
        <v>4791</v>
      </c>
      <c r="C477" s="538" t="str">
        <f>IFERROR(VLOOKUP(B477,'ПО КОРИСНИЦИМА'!$C$6:$J$15001,5,FALSE),"")</f>
        <v/>
      </c>
      <c r="D477" s="641">
        <f>SUMIF('ПО КОРИСНИЦИМА'!$G$6:$G$15001,"Свега за пројекат 1201-П49:",'ПО КОРИСНИЦИМА'!$H$6:$H$15001)</f>
        <v>0</v>
      </c>
      <c r="E477" s="634">
        <f t="shared" si="27"/>
        <v>0</v>
      </c>
      <c r="F477" s="642">
        <f>SUMIF('ПО КОРИСНИЦИМА'!$G$6:$G$15001,"Свега за пројекат 1201-П49:",'ПО КОРИСНИЦИМА'!$I$6:$I$15001)</f>
        <v>0</v>
      </c>
      <c r="G477" s="637">
        <f t="shared" si="15"/>
        <v>0</v>
      </c>
      <c r="H477" s="640"/>
    </row>
    <row r="478" spans="1:8" hidden="1" x14ac:dyDescent="0.2">
      <c r="A478" s="612"/>
      <c r="B478" s="611" t="s">
        <v>4792</v>
      </c>
      <c r="C478" s="538" t="str">
        <f>IFERROR(VLOOKUP(B478,'ПО КОРИСНИЦИМА'!$C$6:$J$15001,5,FALSE),"")</f>
        <v/>
      </c>
      <c r="D478" s="641">
        <f>SUMIF('ПО КОРИСНИЦИМА'!$G$6:$G$15001,"Свега за пројекат 1201-П50:",'ПО КОРИСНИЦИМА'!$H$6:$H$15001)</f>
        <v>0</v>
      </c>
      <c r="E478" s="634">
        <f t="shared" si="27"/>
        <v>0</v>
      </c>
      <c r="F478" s="642">
        <f>SUMIF('ПО КОРИСНИЦИМА'!$G$6:$G$15001,"Свега за пројекат 1201-П50:",'ПО КОРИСНИЦИМА'!$I$6:$I$15001)</f>
        <v>0</v>
      </c>
      <c r="G478" s="637">
        <f t="shared" si="15"/>
        <v>0</v>
      </c>
      <c r="H478" s="649"/>
    </row>
    <row r="479" spans="1:8" s="609" customFormat="1" x14ac:dyDescent="0.2">
      <c r="A479" s="602" t="s">
        <v>3596</v>
      </c>
      <c r="B479" s="603"/>
      <c r="C479" s="536" t="s">
        <v>3676</v>
      </c>
      <c r="D479" s="629">
        <f>SUM(D480:D534)</f>
        <v>4545000</v>
      </c>
      <c r="E479" s="630">
        <f>IFERROR(D479/$D$615,"-")</f>
        <v>1.1441054566681198E-2</v>
      </c>
      <c r="F479" s="631">
        <f>SUM(F480:F534)</f>
        <v>0</v>
      </c>
      <c r="G479" s="629">
        <f t="shared" si="15"/>
        <v>4545000</v>
      </c>
      <c r="H479" s="650"/>
    </row>
    <row r="480" spans="1:8" x14ac:dyDescent="0.2">
      <c r="A480" s="605"/>
      <c r="B480" s="613" t="s">
        <v>4092</v>
      </c>
      <c r="C480" s="544" t="s">
        <v>4093</v>
      </c>
      <c r="D480" s="633">
        <f>SUMIF('ПО КОРИСНИЦИМА'!$G$6:$G$15001,"Свега за програмску активност 1301-0001:",'ПО КОРИСНИЦИМА'!$H$6:$H$15001)</f>
        <v>4300000</v>
      </c>
      <c r="E480" s="634">
        <f>IFERROR(D480/$D$615,"-")</f>
        <v>1.0824320052085621E-2</v>
      </c>
      <c r="F480" s="635">
        <f>SUMIF('ПО КОРИСНИЦИМА'!$G$6:$G$15001,"Свега за програмску активност 1301-0001:",'ПО КОРИСНИЦИМА'!$I$6:$I$15001)</f>
        <v>0</v>
      </c>
      <c r="G480" s="657">
        <f t="shared" si="15"/>
        <v>4300000</v>
      </c>
      <c r="H480" s="636"/>
    </row>
    <row r="481" spans="1:8" x14ac:dyDescent="0.2">
      <c r="A481" s="607"/>
      <c r="B481" s="611" t="s">
        <v>4094</v>
      </c>
      <c r="C481" s="545" t="s">
        <v>4095</v>
      </c>
      <c r="D481" s="637">
        <f>SUMIF('ПО КОРИСНИЦИМА'!$G$6:$G$15001,"Свега за програмску активност 1301-0002:",'ПО КОРИСНИЦИМА'!$H$6:$H$15001)</f>
        <v>150000</v>
      </c>
      <c r="E481" s="634">
        <f t="shared" ref="E481:E534" si="28">IFERROR(D481/$D$615,"-")</f>
        <v>3.7759255995647518E-4</v>
      </c>
      <c r="F481" s="639">
        <f>SUMIF('ПО КОРИСНИЦИМА'!$G$6:$G$15001,"Свега за програмску активност 1301-0002:",'ПО КОРИСНИЦИМА'!$I$6:$I$15001)</f>
        <v>0</v>
      </c>
      <c r="G481" s="658">
        <f t="shared" si="15"/>
        <v>150000</v>
      </c>
      <c r="H481" s="640"/>
    </row>
    <row r="482" spans="1:8" x14ac:dyDescent="0.2">
      <c r="A482" s="607"/>
      <c r="B482" s="611" t="s">
        <v>4096</v>
      </c>
      <c r="C482" s="545" t="s">
        <v>4097</v>
      </c>
      <c r="D482" s="637">
        <f>SUMIF('ПО КОРИСНИЦИМА'!$G$6:$G$15001,"Свега за програмску активност 1301-0003:",'ПО КОРИСНИЦИМА'!$H$6:$H$15001)</f>
        <v>95000</v>
      </c>
      <c r="E482" s="634">
        <f t="shared" si="28"/>
        <v>2.3914195463910093E-4</v>
      </c>
      <c r="F482" s="639">
        <f>SUMIF('ПО КОРИСНИЦИМА'!$G$6:$G$15001,"Свега за програмску активност 1301-0003:",'ПО КОРИСНИЦИМА'!$I$6:$I$15001)</f>
        <v>0</v>
      </c>
      <c r="G482" s="658">
        <f t="shared" si="15"/>
        <v>95000</v>
      </c>
      <c r="H482" s="640"/>
    </row>
    <row r="483" spans="1:8" hidden="1" x14ac:dyDescent="0.2">
      <c r="A483" s="607"/>
      <c r="B483" s="611" t="s">
        <v>5133</v>
      </c>
      <c r="C483" s="545" t="s">
        <v>5134</v>
      </c>
      <c r="D483" s="637"/>
      <c r="E483" s="634"/>
      <c r="F483" s="639"/>
      <c r="G483" s="658"/>
      <c r="H483" s="643"/>
    </row>
    <row r="484" spans="1:8" hidden="1" x14ac:dyDescent="0.2">
      <c r="A484" s="607"/>
      <c r="B484" s="611" t="s">
        <v>5135</v>
      </c>
      <c r="C484" s="545" t="s">
        <v>5136</v>
      </c>
      <c r="D484" s="637"/>
      <c r="E484" s="634"/>
      <c r="F484" s="639"/>
      <c r="G484" s="658"/>
      <c r="H484" s="643"/>
    </row>
    <row r="485" spans="1:8" hidden="1" x14ac:dyDescent="0.2">
      <c r="A485" s="611"/>
      <c r="B485" s="611" t="s">
        <v>4793</v>
      </c>
      <c r="C485" s="538" t="str">
        <f>IFERROR(VLOOKUP(B485,'ПО КОРИСНИЦИМА'!$C$6:$J$15001,5,FALSE),"")</f>
        <v/>
      </c>
      <c r="D485" s="641">
        <f>SUMIF('ПО КОРИСНИЦИМА'!$G$6:$G$15001,"Свега за пројекат 1301-П1:",'ПО КОРИСНИЦИМА'!$H$6:$H$15001)</f>
        <v>0</v>
      </c>
      <c r="E485" s="638">
        <f>IFERROR(D485/$D$615,"-")</f>
        <v>0</v>
      </c>
      <c r="F485" s="642">
        <f>SUMIF('ПО КОРИСНИЦИМА'!$G$6:$G$15001,"Свега за пројекат 1301-П1:",'ПО КОРИСНИЦИМА'!$I$6:$I$15001)</f>
        <v>0</v>
      </c>
      <c r="G485" s="658">
        <f t="shared" si="15"/>
        <v>0</v>
      </c>
      <c r="H485" s="640"/>
    </row>
    <row r="486" spans="1:8" hidden="1" x14ac:dyDescent="0.2">
      <c r="A486" s="611"/>
      <c r="B486" s="611" t="s">
        <v>4794</v>
      </c>
      <c r="C486" s="538" t="str">
        <f>IFERROR(VLOOKUP(B486,'ПО КОРИСНИЦИМА'!$C$6:$J$15001,5,FALSE),"")</f>
        <v/>
      </c>
      <c r="D486" s="641">
        <f>SUMIF('ПО КОРИСНИЦИМА'!$G$6:$G$15001,"Свега за пројекат 1301-П2:",'ПО КОРИСНИЦИМА'!$H$6:$H$15001)</f>
        <v>0</v>
      </c>
      <c r="E486" s="634">
        <f t="shared" si="28"/>
        <v>0</v>
      </c>
      <c r="F486" s="642">
        <f>SUMIF('ПО КОРИСНИЦИМА'!$G$6:$G$15001,"Свега за пројекат 1301-П2:",'ПО КОРИСНИЦИМА'!$I$6:$I$15001)</f>
        <v>0</v>
      </c>
      <c r="G486" s="637">
        <f t="shared" si="15"/>
        <v>0</v>
      </c>
      <c r="H486" s="640"/>
    </row>
    <row r="487" spans="1:8" hidden="1" x14ac:dyDescent="0.2">
      <c r="A487" s="611"/>
      <c r="B487" s="611" t="s">
        <v>4795</v>
      </c>
      <c r="C487" s="538" t="str">
        <f>IFERROR(VLOOKUP(B487,'ПО КОРИСНИЦИМА'!$C$6:$J$15001,5,FALSE),"")</f>
        <v/>
      </c>
      <c r="D487" s="641">
        <f>SUMIF('ПО КОРИСНИЦИМА'!$G$6:$G$15001,"Свега за пројекат 1301-П3:",'ПО КОРИСНИЦИМА'!$H$6:$H$15001)</f>
        <v>0</v>
      </c>
      <c r="E487" s="634">
        <f t="shared" si="28"/>
        <v>0</v>
      </c>
      <c r="F487" s="642">
        <f>SUMIF('ПО КОРИСНИЦИМА'!$G$6:$G$15001,"Свега за пројекат 1301-П3:",'ПО КОРИСНИЦИМА'!$I$6:$I$15001)</f>
        <v>0</v>
      </c>
      <c r="G487" s="637">
        <f t="shared" si="15"/>
        <v>0</v>
      </c>
      <c r="H487" s="643"/>
    </row>
    <row r="488" spans="1:8" hidden="1" x14ac:dyDescent="0.2">
      <c r="A488" s="611"/>
      <c r="B488" s="611" t="s">
        <v>4796</v>
      </c>
      <c r="C488" s="538" t="str">
        <f>IFERROR(VLOOKUP(B488,'ПО КОРИСНИЦИМА'!$C$6:$J$15001,5,FALSE),"")</f>
        <v/>
      </c>
      <c r="D488" s="641">
        <f>SUMIF('ПО КОРИСНИЦИМА'!$G$6:$G$15001,"Свега за пројекат 1301-П4:",'ПО КОРИСНИЦИМА'!$H$6:$H$15001)</f>
        <v>0</v>
      </c>
      <c r="E488" s="634">
        <f t="shared" si="28"/>
        <v>0</v>
      </c>
      <c r="F488" s="642">
        <f>SUMIF('ПО КОРИСНИЦИМА'!$G$6:$G$15001,"Свега за пројекат 1301-П4:",'ПО КОРИСНИЦИМА'!$I$6:$I$15001)</f>
        <v>0</v>
      </c>
      <c r="G488" s="637">
        <f t="shared" si="15"/>
        <v>0</v>
      </c>
      <c r="H488" s="643"/>
    </row>
    <row r="489" spans="1:8" hidden="1" x14ac:dyDescent="0.2">
      <c r="A489" s="611"/>
      <c r="B489" s="611" t="s">
        <v>4797</v>
      </c>
      <c r="C489" s="538" t="str">
        <f>IFERROR(VLOOKUP(B489,'ПО КОРИСНИЦИМА'!$C$6:$J$15001,5,FALSE),"")</f>
        <v/>
      </c>
      <c r="D489" s="641">
        <f>SUMIF('ПО КОРИСНИЦИМА'!$G$6:$G$15001,"Свега за пројекат 1301-П5:",'ПО КОРИСНИЦИМА'!$H$6:$H$15001)</f>
        <v>0</v>
      </c>
      <c r="E489" s="634">
        <f t="shared" si="28"/>
        <v>0</v>
      </c>
      <c r="F489" s="642">
        <f>SUMIF('ПО КОРИСНИЦИМА'!$G$6:$G$15001,"Свега за пројекат 1301-П5:",'ПО КОРИСНИЦИМА'!$I$6:$I$15001)</f>
        <v>0</v>
      </c>
      <c r="G489" s="637">
        <f t="shared" si="15"/>
        <v>0</v>
      </c>
      <c r="H489" s="643"/>
    </row>
    <row r="490" spans="1:8" hidden="1" x14ac:dyDescent="0.2">
      <c r="A490" s="611"/>
      <c r="B490" s="611" t="s">
        <v>4798</v>
      </c>
      <c r="C490" s="538" t="str">
        <f>IFERROR(VLOOKUP(B490,'ПО КОРИСНИЦИМА'!$C$6:$J$15001,5,FALSE),"")</f>
        <v/>
      </c>
      <c r="D490" s="641">
        <f>SUMIF('ПО КОРИСНИЦИМА'!$G$6:$G$15001,"Свега за пројекат 1301-П6:",'ПО КОРИСНИЦИМА'!$H$6:$H$15001)</f>
        <v>0</v>
      </c>
      <c r="E490" s="634">
        <f t="shared" si="28"/>
        <v>0</v>
      </c>
      <c r="F490" s="642">
        <f>SUMIF('ПО КОРИСНИЦИМА'!$G$6:$G$15001,"Свега за пројекат 1301-П6:",'ПО КОРИСНИЦИМА'!$I$6:$I$15001)</f>
        <v>0</v>
      </c>
      <c r="G490" s="637">
        <f t="shared" si="15"/>
        <v>0</v>
      </c>
      <c r="H490" s="643"/>
    </row>
    <row r="491" spans="1:8" hidden="1" x14ac:dyDescent="0.2">
      <c r="A491" s="611"/>
      <c r="B491" s="611" t="s">
        <v>4799</v>
      </c>
      <c r="C491" s="538" t="str">
        <f>IFERROR(VLOOKUP(B491,'ПО КОРИСНИЦИМА'!$C$6:$J$15001,5,FALSE),"")</f>
        <v/>
      </c>
      <c r="D491" s="641">
        <f>SUMIF('ПО КОРИСНИЦИМА'!$G$6:$G$15001,"Свега за пројекат 1301-П7:",'ПО КОРИСНИЦИМА'!$H$6:$H$15001)</f>
        <v>0</v>
      </c>
      <c r="E491" s="634">
        <f t="shared" si="28"/>
        <v>0</v>
      </c>
      <c r="F491" s="642">
        <f>SUMIF('ПО КОРИСНИЦИМА'!$G$6:$G$15001,"Свега за пројекат 1301-П7:",'ПО КОРИСНИЦИМА'!$I$6:$I$15001)</f>
        <v>0</v>
      </c>
      <c r="G491" s="637">
        <f t="shared" si="15"/>
        <v>0</v>
      </c>
      <c r="H491" s="643"/>
    </row>
    <row r="492" spans="1:8" hidden="1" x14ac:dyDescent="0.2">
      <c r="A492" s="611"/>
      <c r="B492" s="611" t="s">
        <v>4800</v>
      </c>
      <c r="C492" s="538" t="str">
        <f>IFERROR(VLOOKUP(B492,'ПО КОРИСНИЦИМА'!$C$6:$J$15001,5,FALSE),"")</f>
        <v/>
      </c>
      <c r="D492" s="641">
        <f>SUMIF('ПО КОРИСНИЦИМА'!$G$6:$G$15001,"Свега за пројекат 1301-П8:",'ПО КОРИСНИЦИМА'!$H$6:$H$15001)</f>
        <v>0</v>
      </c>
      <c r="E492" s="634">
        <f t="shared" si="28"/>
        <v>0</v>
      </c>
      <c r="F492" s="642">
        <f>SUMIF('ПО КОРИСНИЦИМА'!$G$6:$G$15001,"Свега за пројекат 1301-П8:",'ПО КОРИСНИЦИМА'!$I$6:$I$15001)</f>
        <v>0</v>
      </c>
      <c r="G492" s="637">
        <f t="shared" si="15"/>
        <v>0</v>
      </c>
      <c r="H492" s="643"/>
    </row>
    <row r="493" spans="1:8" hidden="1" x14ac:dyDescent="0.2">
      <c r="A493" s="611"/>
      <c r="B493" s="611" t="s">
        <v>4801</v>
      </c>
      <c r="C493" s="538" t="str">
        <f>IFERROR(VLOOKUP(B493,'ПО КОРИСНИЦИМА'!$C$6:$J$15001,5,FALSE),"")</f>
        <v/>
      </c>
      <c r="D493" s="641">
        <f>SUMIF('ПО КОРИСНИЦИМА'!$G$6:$G$15001,"Свега за пројекат 1301-П9:",'ПО КОРИСНИЦИМА'!$H$6:$H$15001)</f>
        <v>0</v>
      </c>
      <c r="E493" s="634">
        <f t="shared" si="28"/>
        <v>0</v>
      </c>
      <c r="F493" s="642">
        <f>SUMIF('ПО КОРИСНИЦИМА'!$G$6:$G$15001,"Свега за пројекат 1301-П9:",'ПО КОРИСНИЦИМА'!$I$6:$I$15001)</f>
        <v>0</v>
      </c>
      <c r="G493" s="637">
        <f t="shared" si="15"/>
        <v>0</v>
      </c>
      <c r="H493" s="643"/>
    </row>
    <row r="494" spans="1:8" hidden="1" x14ac:dyDescent="0.2">
      <c r="A494" s="611"/>
      <c r="B494" s="611" t="s">
        <v>4802</v>
      </c>
      <c r="C494" s="538" t="str">
        <f>IFERROR(VLOOKUP(B494,'ПО КОРИСНИЦИМА'!$C$6:$J$15001,5,FALSE),"")</f>
        <v/>
      </c>
      <c r="D494" s="641">
        <f>SUMIF('ПО КОРИСНИЦИМА'!$G$6:$G$15001,"Свега за пројекат 1301-П10:",'ПО КОРИСНИЦИМА'!$H$6:$H$15001)</f>
        <v>0</v>
      </c>
      <c r="E494" s="634">
        <f t="shared" si="28"/>
        <v>0</v>
      </c>
      <c r="F494" s="642">
        <f>SUMIF('ПО КОРИСНИЦИМА'!$G$6:$G$15001,"Свега за пројекат 1301-П10:",'ПО КОРИСНИЦИМА'!$I$6:$I$15001)</f>
        <v>0</v>
      </c>
      <c r="G494" s="637">
        <f t="shared" si="15"/>
        <v>0</v>
      </c>
      <c r="H494" s="643"/>
    </row>
    <row r="495" spans="1:8" hidden="1" x14ac:dyDescent="0.2">
      <c r="A495" s="611"/>
      <c r="B495" s="611" t="s">
        <v>4803</v>
      </c>
      <c r="C495" s="538" t="str">
        <f>IFERROR(VLOOKUP(B495,'ПО КОРИСНИЦИМА'!$C$6:$J$15001,5,FALSE),"")</f>
        <v/>
      </c>
      <c r="D495" s="641">
        <f>SUMIF('ПО КОРИСНИЦИМА'!$G$6:$G$15001,"Свега за пројекат 1301-П11:",'ПО КОРИСНИЦИМА'!$H$6:$H$15001)</f>
        <v>0</v>
      </c>
      <c r="E495" s="634">
        <f t="shared" si="28"/>
        <v>0</v>
      </c>
      <c r="F495" s="642">
        <f>SUMIF('ПО КОРИСНИЦИМА'!$G$6:$G$15001,"Свега за пројекат 1301-П11:",'ПО КОРИСНИЦИМА'!$I$6:$I$15001)</f>
        <v>0</v>
      </c>
      <c r="G495" s="637">
        <f t="shared" si="15"/>
        <v>0</v>
      </c>
      <c r="H495" s="643"/>
    </row>
    <row r="496" spans="1:8" hidden="1" x14ac:dyDescent="0.2">
      <c r="A496" s="611"/>
      <c r="B496" s="611" t="s">
        <v>4804</v>
      </c>
      <c r="C496" s="538" t="str">
        <f>IFERROR(VLOOKUP(B496,'ПО КОРИСНИЦИМА'!$C$6:$J$15001,5,FALSE),"")</f>
        <v/>
      </c>
      <c r="D496" s="641">
        <f>SUMIF('ПО КОРИСНИЦИМА'!$G$6:$G$15001,"Свега за пројекат 1301-П12:",'ПО КОРИСНИЦИМА'!$H$6:$H$15001)</f>
        <v>0</v>
      </c>
      <c r="E496" s="634">
        <f t="shared" si="28"/>
        <v>0</v>
      </c>
      <c r="F496" s="642">
        <f>SUMIF('ПО КОРИСНИЦИМА'!$G$6:$G$15001,"Свега за пројекат 1301-П12:",'ПО КОРИСНИЦИМА'!$I$6:$I$15001)</f>
        <v>0</v>
      </c>
      <c r="G496" s="637">
        <f t="shared" si="15"/>
        <v>0</v>
      </c>
      <c r="H496" s="643"/>
    </row>
    <row r="497" spans="1:8" hidden="1" x14ac:dyDescent="0.2">
      <c r="A497" s="611"/>
      <c r="B497" s="611" t="s">
        <v>4805</v>
      </c>
      <c r="C497" s="538" t="str">
        <f>IFERROR(VLOOKUP(B497,'ПО КОРИСНИЦИМА'!$C$6:$J$15001,5,FALSE),"")</f>
        <v/>
      </c>
      <c r="D497" s="641">
        <f>SUMIF('ПО КОРИСНИЦИМА'!$G$6:$G$15001,"Свега за пројекат 1301-П13:",'ПО КОРИСНИЦИМА'!$H$6:$H$15001)</f>
        <v>0</v>
      </c>
      <c r="E497" s="634">
        <f t="shared" si="28"/>
        <v>0</v>
      </c>
      <c r="F497" s="642">
        <f>SUMIF('ПО КОРИСНИЦИМА'!$G$6:$G$15001,"Свега за пројекат 1301-П13:",'ПО КОРИСНИЦИМА'!$I$6:$I$15001)</f>
        <v>0</v>
      </c>
      <c r="G497" s="637">
        <f t="shared" si="15"/>
        <v>0</v>
      </c>
      <c r="H497" s="643"/>
    </row>
    <row r="498" spans="1:8" hidden="1" x14ac:dyDescent="0.2">
      <c r="A498" s="611"/>
      <c r="B498" s="611" t="s">
        <v>4806</v>
      </c>
      <c r="C498" s="538" t="str">
        <f>IFERROR(VLOOKUP(B498,'ПО КОРИСНИЦИМА'!$C$6:$J$15001,5,FALSE),"")</f>
        <v/>
      </c>
      <c r="D498" s="641">
        <f>SUMIF('ПО КОРИСНИЦИМА'!$G$6:$G$15001,"Свега за пројекат 1301-П14:",'ПО КОРИСНИЦИМА'!$H$6:$H$15001)</f>
        <v>0</v>
      </c>
      <c r="E498" s="634">
        <f t="shared" si="28"/>
        <v>0</v>
      </c>
      <c r="F498" s="642">
        <f>SUMIF('ПО КОРИСНИЦИМА'!$G$6:$G$15001,"Свега за пројекат 1301-П14:",'ПО КОРИСНИЦИМА'!$I$6:$I$15001)</f>
        <v>0</v>
      </c>
      <c r="G498" s="637">
        <f t="shared" si="15"/>
        <v>0</v>
      </c>
      <c r="H498" s="643"/>
    </row>
    <row r="499" spans="1:8" hidden="1" x14ac:dyDescent="0.2">
      <c r="A499" s="611"/>
      <c r="B499" s="611" t="s">
        <v>4807</v>
      </c>
      <c r="C499" s="538" t="str">
        <f>IFERROR(VLOOKUP(B499,'ПО КОРИСНИЦИМА'!$C$6:$J$15001,5,FALSE),"")</f>
        <v/>
      </c>
      <c r="D499" s="641">
        <f>SUMIF('ПО КОРИСНИЦИМА'!$G$6:$G$15001,"Свега за пројекат 1301-П15:",'ПО КОРИСНИЦИМА'!$H$6:$H$15001)</f>
        <v>0</v>
      </c>
      <c r="E499" s="634">
        <f t="shared" si="28"/>
        <v>0</v>
      </c>
      <c r="F499" s="642">
        <f>SUMIF('ПО КОРИСНИЦИМА'!$G$6:$G$15001,"Свега за пројекат 1301-П15:",'ПО КОРИСНИЦИМА'!$I$6:$I$15001)</f>
        <v>0</v>
      </c>
      <c r="G499" s="637">
        <f t="shared" si="15"/>
        <v>0</v>
      </c>
      <c r="H499" s="643"/>
    </row>
    <row r="500" spans="1:8" hidden="1" x14ac:dyDescent="0.2">
      <c r="A500" s="611"/>
      <c r="B500" s="611" t="s">
        <v>4808</v>
      </c>
      <c r="C500" s="538" t="str">
        <f>IFERROR(VLOOKUP(B500,'ПО КОРИСНИЦИМА'!$C$6:$J$15001,5,FALSE),"")</f>
        <v/>
      </c>
      <c r="D500" s="641">
        <f>SUMIF('ПО КОРИСНИЦИМА'!$G$6:$G$15001,"Свега за пројекат 1301-П16:",'ПО КОРИСНИЦИМА'!$H$6:$H$15001)</f>
        <v>0</v>
      </c>
      <c r="E500" s="634">
        <f t="shared" si="28"/>
        <v>0</v>
      </c>
      <c r="F500" s="642">
        <f>SUMIF('ПО КОРИСНИЦИМА'!$G$6:$G$15001,"Свега за пројекат 1301-П16:",'ПО КОРИСНИЦИМА'!$I$6:$I$15001)</f>
        <v>0</v>
      </c>
      <c r="G500" s="637">
        <f t="shared" si="15"/>
        <v>0</v>
      </c>
      <c r="H500" s="643"/>
    </row>
    <row r="501" spans="1:8" hidden="1" x14ac:dyDescent="0.2">
      <c r="A501" s="611"/>
      <c r="B501" s="611" t="s">
        <v>4809</v>
      </c>
      <c r="C501" s="538" t="str">
        <f>IFERROR(VLOOKUP(B501,'ПО КОРИСНИЦИМА'!$C$6:$J$15001,5,FALSE),"")</f>
        <v/>
      </c>
      <c r="D501" s="641">
        <f>SUMIF('ПО КОРИСНИЦИМА'!$G$6:$G$15001,"Свега за пројекат 1301-П17:",'ПО КОРИСНИЦИМА'!$H$6:$H$15001)</f>
        <v>0</v>
      </c>
      <c r="E501" s="634">
        <f t="shared" si="28"/>
        <v>0</v>
      </c>
      <c r="F501" s="642">
        <f>SUMIF('ПО КОРИСНИЦИМА'!$G$6:$G$15001,"Свега за пројекат 1301-П17:",'ПО КОРИСНИЦИМА'!$I$6:$I$15001)</f>
        <v>0</v>
      </c>
      <c r="G501" s="637">
        <f t="shared" si="15"/>
        <v>0</v>
      </c>
      <c r="H501" s="643"/>
    </row>
    <row r="502" spans="1:8" hidden="1" x14ac:dyDescent="0.2">
      <c r="A502" s="611"/>
      <c r="B502" s="611" t="s">
        <v>4810</v>
      </c>
      <c r="C502" s="538" t="str">
        <f>IFERROR(VLOOKUP(B502,'ПО КОРИСНИЦИМА'!$C$6:$J$15001,5,FALSE),"")</f>
        <v/>
      </c>
      <c r="D502" s="641">
        <f>SUMIF('ПО КОРИСНИЦИМА'!$G$6:$G$15001,"Свега за пројекат 1301-П18:",'ПО КОРИСНИЦИМА'!$H$6:$H$15001)</f>
        <v>0</v>
      </c>
      <c r="E502" s="634">
        <f t="shared" si="28"/>
        <v>0</v>
      </c>
      <c r="F502" s="642">
        <f>SUMIF('ПО КОРИСНИЦИМА'!$G$6:$G$15001,"Свега за пројекат 1301-П18:",'ПО КОРИСНИЦИМА'!$I$6:$I$15001)</f>
        <v>0</v>
      </c>
      <c r="G502" s="637">
        <f t="shared" si="15"/>
        <v>0</v>
      </c>
      <c r="H502" s="643"/>
    </row>
    <row r="503" spans="1:8" hidden="1" x14ac:dyDescent="0.2">
      <c r="A503" s="611"/>
      <c r="B503" s="611" t="s">
        <v>4811</v>
      </c>
      <c r="C503" s="538" t="str">
        <f>IFERROR(VLOOKUP(B503,'ПО КОРИСНИЦИМА'!$C$6:$J$15001,5,FALSE),"")</f>
        <v/>
      </c>
      <c r="D503" s="641">
        <f>SUMIF('ПО КОРИСНИЦИМА'!$G$6:$G$15001,"Свега за пројекат 1301-П19:",'ПО КОРИСНИЦИМА'!$H$6:$H$15001)</f>
        <v>0</v>
      </c>
      <c r="E503" s="634">
        <f t="shared" si="28"/>
        <v>0</v>
      </c>
      <c r="F503" s="642">
        <f>SUMIF('ПО КОРИСНИЦИМА'!$G$6:$G$15001,"Свега за пројекат 1301-П19:",'ПО КОРИСНИЦИМА'!$I$6:$I$15001)</f>
        <v>0</v>
      </c>
      <c r="G503" s="637">
        <f t="shared" si="15"/>
        <v>0</v>
      </c>
      <c r="H503" s="643"/>
    </row>
    <row r="504" spans="1:8" hidden="1" x14ac:dyDescent="0.2">
      <c r="A504" s="611"/>
      <c r="B504" s="611" t="s">
        <v>4812</v>
      </c>
      <c r="C504" s="538" t="str">
        <f>IFERROR(VLOOKUP(B504,'ПО КОРИСНИЦИМА'!$C$6:$J$15001,5,FALSE),"")</f>
        <v/>
      </c>
      <c r="D504" s="641">
        <f>SUMIF('ПО КОРИСНИЦИМА'!$G$6:$G$15001,"Свега за пројекат 1301-П20:",'ПО КОРИСНИЦИМА'!$H$6:$H$15001)</f>
        <v>0</v>
      </c>
      <c r="E504" s="634">
        <f t="shared" si="28"/>
        <v>0</v>
      </c>
      <c r="F504" s="642">
        <f>SUMIF('ПО КОРИСНИЦИМА'!$G$6:$G$15001,"Свега за пројекат 1301-П20:",'ПО КОРИСНИЦИМА'!$I$6:$I$15001)</f>
        <v>0</v>
      </c>
      <c r="G504" s="637">
        <f t="shared" si="15"/>
        <v>0</v>
      </c>
      <c r="H504" s="643"/>
    </row>
    <row r="505" spans="1:8" hidden="1" x14ac:dyDescent="0.2">
      <c r="A505" s="611"/>
      <c r="B505" s="611" t="s">
        <v>4813</v>
      </c>
      <c r="C505" s="538" t="str">
        <f>IFERROR(VLOOKUP(B505,'ПО КОРИСНИЦИМА'!$C$6:$J$15001,5,FALSE),"")</f>
        <v/>
      </c>
      <c r="D505" s="641">
        <f>SUMIF('ПО КОРИСНИЦИМА'!$G$6:$G$15001,"Свега за пројекат 1301-П21:",'ПО КОРИСНИЦИМА'!$H$6:$H$15001)</f>
        <v>0</v>
      </c>
      <c r="E505" s="634">
        <f t="shared" si="28"/>
        <v>0</v>
      </c>
      <c r="F505" s="642">
        <f>SUMIF('ПО КОРИСНИЦИМА'!$G$6:$G$15001,"Свега за пројекат 1301-П21:",'ПО КОРИСНИЦИМА'!$I$6:$I$15001)</f>
        <v>0</v>
      </c>
      <c r="G505" s="637">
        <f t="shared" si="15"/>
        <v>0</v>
      </c>
      <c r="H505" s="643"/>
    </row>
    <row r="506" spans="1:8" hidden="1" x14ac:dyDescent="0.2">
      <c r="A506" s="611"/>
      <c r="B506" s="611" t="s">
        <v>4814</v>
      </c>
      <c r="C506" s="538" t="str">
        <f>IFERROR(VLOOKUP(B506,'ПО КОРИСНИЦИМА'!$C$6:$J$15001,5,FALSE),"")</f>
        <v/>
      </c>
      <c r="D506" s="641">
        <f>SUMIF('ПО КОРИСНИЦИМА'!$G$6:$G$15001,"Свега за пројекат 1301-П22:",'ПО КОРИСНИЦИМА'!$H$6:$H$15001)</f>
        <v>0</v>
      </c>
      <c r="E506" s="634">
        <f t="shared" si="28"/>
        <v>0</v>
      </c>
      <c r="F506" s="642">
        <f>SUMIF('ПО КОРИСНИЦИМА'!$G$6:$G$15001,"Свега за пројекат 1301-П22:",'ПО КОРИСНИЦИМА'!$I$6:$I$15001)</f>
        <v>0</v>
      </c>
      <c r="G506" s="637">
        <f t="shared" si="15"/>
        <v>0</v>
      </c>
      <c r="H506" s="643"/>
    </row>
    <row r="507" spans="1:8" hidden="1" x14ac:dyDescent="0.2">
      <c r="A507" s="611"/>
      <c r="B507" s="611" t="s">
        <v>4815</v>
      </c>
      <c r="C507" s="538" t="str">
        <f>IFERROR(VLOOKUP(B507,'ПО КОРИСНИЦИМА'!$C$6:$J$15001,5,FALSE),"")</f>
        <v/>
      </c>
      <c r="D507" s="641">
        <f>SUMIF('ПО КОРИСНИЦИМА'!$G$6:$G$15001,"Свега за пројекат 1301-П23:",'ПО КОРИСНИЦИМА'!$H$6:$H$15001)</f>
        <v>0</v>
      </c>
      <c r="E507" s="634">
        <f t="shared" si="28"/>
        <v>0</v>
      </c>
      <c r="F507" s="642">
        <f>SUMIF('ПО КОРИСНИЦИМА'!$G$6:$G$15001,"Свега за пројекат 1301-П23:",'ПО КОРИСНИЦИМА'!$I$6:$I$15001)</f>
        <v>0</v>
      </c>
      <c r="G507" s="637">
        <f t="shared" si="15"/>
        <v>0</v>
      </c>
      <c r="H507" s="643"/>
    </row>
    <row r="508" spans="1:8" hidden="1" x14ac:dyDescent="0.2">
      <c r="A508" s="611"/>
      <c r="B508" s="611" t="s">
        <v>4816</v>
      </c>
      <c r="C508" s="538" t="str">
        <f>IFERROR(VLOOKUP(B508,'ПО КОРИСНИЦИМА'!$C$6:$J$15001,5,FALSE),"")</f>
        <v/>
      </c>
      <c r="D508" s="641">
        <f>SUMIF('ПО КОРИСНИЦИМА'!$G$6:$G$15001,"Свега за пројекат 1301-П24:",'ПО КОРИСНИЦИМА'!$H$6:$H$15001)</f>
        <v>0</v>
      </c>
      <c r="E508" s="634">
        <f t="shared" si="28"/>
        <v>0</v>
      </c>
      <c r="F508" s="642">
        <f>SUMIF('ПО КОРИСНИЦИМА'!$G$6:$G$15001,"Свега за пројекат 1301-П24:",'ПО КОРИСНИЦИМА'!$I$6:$I$15001)</f>
        <v>0</v>
      </c>
      <c r="G508" s="637">
        <f t="shared" si="15"/>
        <v>0</v>
      </c>
      <c r="H508" s="643"/>
    </row>
    <row r="509" spans="1:8" hidden="1" x14ac:dyDescent="0.2">
      <c r="A509" s="611"/>
      <c r="B509" s="611" t="s">
        <v>4817</v>
      </c>
      <c r="C509" s="538" t="str">
        <f>IFERROR(VLOOKUP(B509,'ПО КОРИСНИЦИМА'!$C$6:$J$15001,5,FALSE),"")</f>
        <v/>
      </c>
      <c r="D509" s="641">
        <f>SUMIF('ПО КОРИСНИЦИМА'!$G$6:$G$15001,"Свега за пројекат 1301-П25:",'ПО КОРИСНИЦИМА'!$H$6:$H$15001)</f>
        <v>0</v>
      </c>
      <c r="E509" s="634">
        <f t="shared" si="28"/>
        <v>0</v>
      </c>
      <c r="F509" s="642">
        <f>SUMIF('ПО КОРИСНИЦИМА'!$G$6:$G$15001,"Свега за пројекат 1301-П25:",'ПО КОРИСНИЦИМА'!$I$6:$I$15001)</f>
        <v>0</v>
      </c>
      <c r="G509" s="637">
        <f t="shared" si="15"/>
        <v>0</v>
      </c>
      <c r="H509" s="643"/>
    </row>
    <row r="510" spans="1:8" hidden="1" x14ac:dyDescent="0.2">
      <c r="A510" s="611"/>
      <c r="B510" s="611" t="s">
        <v>4818</v>
      </c>
      <c r="C510" s="538" t="str">
        <f>IFERROR(VLOOKUP(B510,'ПО КОРИСНИЦИМА'!$C$6:$J$15001,5,FALSE),"")</f>
        <v/>
      </c>
      <c r="D510" s="641">
        <f>SUMIF('ПО КОРИСНИЦИМА'!$G$6:$G$15001,"Свега за пројекат 1301-П26:",'ПО КОРИСНИЦИМА'!$H$6:$H$15001)</f>
        <v>0</v>
      </c>
      <c r="E510" s="634">
        <f t="shared" si="28"/>
        <v>0</v>
      </c>
      <c r="F510" s="642">
        <f>SUMIF('ПО КОРИСНИЦИМА'!$G$6:$G$15001,"Свега за пројекат 1301-П26:",'ПО КОРИСНИЦИМА'!$I$6:$I$15001)</f>
        <v>0</v>
      </c>
      <c r="G510" s="637">
        <f t="shared" si="15"/>
        <v>0</v>
      </c>
      <c r="H510" s="643"/>
    </row>
    <row r="511" spans="1:8" hidden="1" x14ac:dyDescent="0.2">
      <c r="A511" s="611"/>
      <c r="B511" s="611" t="s">
        <v>4819</v>
      </c>
      <c r="C511" s="538" t="str">
        <f>IFERROR(VLOOKUP(B511,'ПО КОРИСНИЦИМА'!$C$6:$J$15001,5,FALSE),"")</f>
        <v/>
      </c>
      <c r="D511" s="641">
        <f>SUMIF('ПО КОРИСНИЦИМА'!$G$6:$G$15001,"Свега за пројекат 1301-П27:",'ПО КОРИСНИЦИМА'!$H$6:$H$15001)</f>
        <v>0</v>
      </c>
      <c r="E511" s="634">
        <f t="shared" si="28"/>
        <v>0</v>
      </c>
      <c r="F511" s="642">
        <f>SUMIF('ПО КОРИСНИЦИМА'!$G$6:$G$15001,"Свега за пројекат 1301-П27:",'ПО КОРИСНИЦИМА'!$I$6:$I$15001)</f>
        <v>0</v>
      </c>
      <c r="G511" s="637">
        <f t="shared" si="15"/>
        <v>0</v>
      </c>
      <c r="H511" s="643"/>
    </row>
    <row r="512" spans="1:8" hidden="1" x14ac:dyDescent="0.2">
      <c r="A512" s="611"/>
      <c r="B512" s="611" t="s">
        <v>4820</v>
      </c>
      <c r="C512" s="538" t="str">
        <f>IFERROR(VLOOKUP(B512,'ПО КОРИСНИЦИМА'!$C$6:$J$15001,5,FALSE),"")</f>
        <v/>
      </c>
      <c r="D512" s="641">
        <f>SUMIF('ПО КОРИСНИЦИМА'!$G$6:$G$15001,"Свега за пројекат 1301-П28:",'ПО КОРИСНИЦИМА'!$H$6:$H$15001)</f>
        <v>0</v>
      </c>
      <c r="E512" s="634">
        <f t="shared" si="28"/>
        <v>0</v>
      </c>
      <c r="F512" s="642">
        <f>SUMIF('ПО КОРИСНИЦИМА'!$G$6:$G$15001,"Свега за пројекат 1301-П28:",'ПО КОРИСНИЦИМА'!$I$6:$I$15001)</f>
        <v>0</v>
      </c>
      <c r="G512" s="637">
        <f t="shared" si="15"/>
        <v>0</v>
      </c>
      <c r="H512" s="643"/>
    </row>
    <row r="513" spans="1:8" hidden="1" x14ac:dyDescent="0.2">
      <c r="A513" s="611"/>
      <c r="B513" s="611" t="s">
        <v>4821</v>
      </c>
      <c r="C513" s="538" t="str">
        <f>IFERROR(VLOOKUP(B513,'ПО КОРИСНИЦИМА'!$C$6:$J$15001,5,FALSE),"")</f>
        <v/>
      </c>
      <c r="D513" s="641">
        <f>SUMIF('ПО КОРИСНИЦИМА'!$G$6:$G$15001,"Свега за пројекат 1301-П29:",'ПО КОРИСНИЦИМА'!$H$6:$H$15001)</f>
        <v>0</v>
      </c>
      <c r="E513" s="634">
        <f t="shared" si="28"/>
        <v>0</v>
      </c>
      <c r="F513" s="642">
        <f>SUMIF('ПО КОРИСНИЦИМА'!$G$6:$G$15001,"Свега за пројекат 1301-П29:",'ПО КОРИСНИЦИМА'!$I$6:$I$15001)</f>
        <v>0</v>
      </c>
      <c r="G513" s="637">
        <f t="shared" si="15"/>
        <v>0</v>
      </c>
      <c r="H513" s="643"/>
    </row>
    <row r="514" spans="1:8" hidden="1" x14ac:dyDescent="0.2">
      <c r="A514" s="611"/>
      <c r="B514" s="611" t="s">
        <v>4822</v>
      </c>
      <c r="C514" s="538" t="str">
        <f>IFERROR(VLOOKUP(B514,'ПО КОРИСНИЦИМА'!$C$6:$J$15001,5,FALSE),"")</f>
        <v/>
      </c>
      <c r="D514" s="641">
        <f>SUMIF('ПО КОРИСНИЦИМА'!$G$6:$G$15001,"Свега за пројекат 1301-П30:",'ПО КОРИСНИЦИМА'!$H$6:$H$15001)</f>
        <v>0</v>
      </c>
      <c r="E514" s="634">
        <f t="shared" si="28"/>
        <v>0</v>
      </c>
      <c r="F514" s="642">
        <f>SUMIF('ПО КОРИСНИЦИМА'!$G$6:$G$15001,"Свега за пројекат 1301-П30:",'ПО КОРИСНИЦИМА'!$I$6:$I$15001)</f>
        <v>0</v>
      </c>
      <c r="G514" s="637">
        <f t="shared" si="15"/>
        <v>0</v>
      </c>
      <c r="H514" s="643"/>
    </row>
    <row r="515" spans="1:8" hidden="1" x14ac:dyDescent="0.2">
      <c r="A515" s="611"/>
      <c r="B515" s="611" t="s">
        <v>4823</v>
      </c>
      <c r="C515" s="538" t="str">
        <f>IFERROR(VLOOKUP(B515,'ПО КОРИСНИЦИМА'!$C$6:$J$15001,5,FALSE),"")</f>
        <v/>
      </c>
      <c r="D515" s="641">
        <f>SUMIF('ПО КОРИСНИЦИМА'!$G$6:$G$15001,"Свега за пројекат 1301-П31:",'ПО КОРИСНИЦИМА'!$H$6:$H$15001)</f>
        <v>0</v>
      </c>
      <c r="E515" s="634">
        <f t="shared" si="28"/>
        <v>0</v>
      </c>
      <c r="F515" s="642">
        <f>SUMIF('ПО КОРИСНИЦИМА'!$G$6:$G$15001,"Свега за пројекат 1301-П31:",'ПО КОРИСНИЦИМА'!$I$6:$I$15001)</f>
        <v>0</v>
      </c>
      <c r="G515" s="637">
        <f t="shared" si="15"/>
        <v>0</v>
      </c>
      <c r="H515" s="643"/>
    </row>
    <row r="516" spans="1:8" hidden="1" x14ac:dyDescent="0.2">
      <c r="A516" s="611"/>
      <c r="B516" s="611" t="s">
        <v>4824</v>
      </c>
      <c r="C516" s="538" t="str">
        <f>IFERROR(VLOOKUP(B516,'ПО КОРИСНИЦИМА'!$C$6:$J$15001,5,FALSE),"")</f>
        <v/>
      </c>
      <c r="D516" s="641">
        <f>SUMIF('ПО КОРИСНИЦИМА'!$G$6:$G$15001,"Свега за пројекат 1301-П32:",'ПО КОРИСНИЦИМА'!$H$6:$H$15001)</f>
        <v>0</v>
      </c>
      <c r="E516" s="634">
        <f t="shared" si="28"/>
        <v>0</v>
      </c>
      <c r="F516" s="642">
        <f>SUMIF('ПО КОРИСНИЦИМА'!$G$6:$G$15001,"Свега за пројекат 1301-П32:",'ПО КОРИСНИЦИМА'!$I$6:$I$15001)</f>
        <v>0</v>
      </c>
      <c r="G516" s="637">
        <f t="shared" si="15"/>
        <v>0</v>
      </c>
      <c r="H516" s="643"/>
    </row>
    <row r="517" spans="1:8" hidden="1" x14ac:dyDescent="0.2">
      <c r="A517" s="611"/>
      <c r="B517" s="611" t="s">
        <v>4825</v>
      </c>
      <c r="C517" s="538" t="str">
        <f>IFERROR(VLOOKUP(B517,'ПО КОРИСНИЦИМА'!$C$6:$J$15001,5,FALSE),"")</f>
        <v/>
      </c>
      <c r="D517" s="641">
        <f>SUMIF('ПО КОРИСНИЦИМА'!$G$6:$G$15001,"Свега за пројекат 1301-П33:",'ПО КОРИСНИЦИМА'!$H$6:$H$15001)</f>
        <v>0</v>
      </c>
      <c r="E517" s="634">
        <f t="shared" si="28"/>
        <v>0</v>
      </c>
      <c r="F517" s="642">
        <f>SUMIF('ПО КОРИСНИЦИМА'!$G$6:$G$15001,"Свега за пројекат 1301-П33:",'ПО КОРИСНИЦИМА'!$I$6:$I$15001)</f>
        <v>0</v>
      </c>
      <c r="G517" s="637">
        <f t="shared" si="15"/>
        <v>0</v>
      </c>
      <c r="H517" s="643"/>
    </row>
    <row r="518" spans="1:8" hidden="1" x14ac:dyDescent="0.2">
      <c r="A518" s="611"/>
      <c r="B518" s="611" t="s">
        <v>4826</v>
      </c>
      <c r="C518" s="538" t="str">
        <f>IFERROR(VLOOKUP(B518,'ПО КОРИСНИЦИМА'!$C$6:$J$15001,5,FALSE),"")</f>
        <v/>
      </c>
      <c r="D518" s="641">
        <f>SUMIF('ПО КОРИСНИЦИМА'!$G$6:$G$15001,"Свега за пројекат 1301-П34:",'ПО КОРИСНИЦИМА'!$H$6:$H$15001)</f>
        <v>0</v>
      </c>
      <c r="E518" s="634">
        <f t="shared" si="28"/>
        <v>0</v>
      </c>
      <c r="F518" s="642">
        <f>SUMIF('ПО КОРИСНИЦИМА'!$G$6:$G$15001,"Свега за пројекат 1301-П34:",'ПО КОРИСНИЦИМА'!$I$6:$I$15001)</f>
        <v>0</v>
      </c>
      <c r="G518" s="637">
        <f t="shared" si="15"/>
        <v>0</v>
      </c>
      <c r="H518" s="643"/>
    </row>
    <row r="519" spans="1:8" hidden="1" x14ac:dyDescent="0.2">
      <c r="A519" s="611"/>
      <c r="B519" s="611" t="s">
        <v>4827</v>
      </c>
      <c r="C519" s="538" t="str">
        <f>IFERROR(VLOOKUP(B519,'ПО КОРИСНИЦИМА'!$C$6:$J$15001,5,FALSE),"")</f>
        <v/>
      </c>
      <c r="D519" s="641">
        <f>SUMIF('ПО КОРИСНИЦИМА'!$G$6:$G$15001,"Свега за пројекат 1301-П35:",'ПО КОРИСНИЦИМА'!$H$6:$H$15001)</f>
        <v>0</v>
      </c>
      <c r="E519" s="634">
        <f t="shared" si="28"/>
        <v>0</v>
      </c>
      <c r="F519" s="642">
        <f>SUMIF('ПО КОРИСНИЦИМА'!$G$6:$G$15001,"Свега за пројекат 1301-П35:",'ПО КОРИСНИЦИМА'!$I$6:$I$15001)</f>
        <v>0</v>
      </c>
      <c r="G519" s="637">
        <f t="shared" si="15"/>
        <v>0</v>
      </c>
      <c r="H519" s="643"/>
    </row>
    <row r="520" spans="1:8" hidden="1" x14ac:dyDescent="0.2">
      <c r="A520" s="611"/>
      <c r="B520" s="611" t="s">
        <v>4828</v>
      </c>
      <c r="C520" s="538" t="str">
        <f>IFERROR(VLOOKUP(B520,'ПО КОРИСНИЦИМА'!$C$6:$J$15001,5,FALSE),"")</f>
        <v/>
      </c>
      <c r="D520" s="641">
        <f>SUMIF('ПО КОРИСНИЦИМА'!$G$6:$G$15001,"Свега за пројекат 1301-П36:",'ПО КОРИСНИЦИМА'!$H$6:$H$15001)</f>
        <v>0</v>
      </c>
      <c r="E520" s="634">
        <f t="shared" si="28"/>
        <v>0</v>
      </c>
      <c r="F520" s="642">
        <f>SUMIF('ПО КОРИСНИЦИМА'!$G$6:$G$15001,"Свега за пројекат 1301-П36:",'ПО КОРИСНИЦИМА'!$I$6:$I$15001)</f>
        <v>0</v>
      </c>
      <c r="G520" s="637">
        <f t="shared" si="15"/>
        <v>0</v>
      </c>
      <c r="H520" s="643"/>
    </row>
    <row r="521" spans="1:8" hidden="1" x14ac:dyDescent="0.2">
      <c r="A521" s="611"/>
      <c r="B521" s="611" t="s">
        <v>4829</v>
      </c>
      <c r="C521" s="538" t="str">
        <f>IFERROR(VLOOKUP(B521,'ПО КОРИСНИЦИМА'!$C$6:$J$15001,5,FALSE),"")</f>
        <v/>
      </c>
      <c r="D521" s="641">
        <f>SUMIF('ПО КОРИСНИЦИМА'!$G$6:$G$15001,"Свега за пројекат 1301-П37:",'ПО КОРИСНИЦИМА'!$H$6:$H$15001)</f>
        <v>0</v>
      </c>
      <c r="E521" s="634">
        <f t="shared" si="28"/>
        <v>0</v>
      </c>
      <c r="F521" s="642">
        <f>SUMIF('ПО КОРИСНИЦИМА'!$G$6:$G$15001,"Свега за пројекат 1301-П37:",'ПО КОРИСНИЦИМА'!$I$6:$I$15001)</f>
        <v>0</v>
      </c>
      <c r="G521" s="637">
        <f t="shared" si="15"/>
        <v>0</v>
      </c>
      <c r="H521" s="643"/>
    </row>
    <row r="522" spans="1:8" hidden="1" x14ac:dyDescent="0.2">
      <c r="A522" s="611"/>
      <c r="B522" s="611" t="s">
        <v>4830</v>
      </c>
      <c r="C522" s="538" t="str">
        <f>IFERROR(VLOOKUP(B522,'ПО КОРИСНИЦИМА'!$C$6:$J$15001,5,FALSE),"")</f>
        <v/>
      </c>
      <c r="D522" s="641">
        <f>SUMIF('ПО КОРИСНИЦИМА'!$G$6:$G$15001,"Свега за пројекат 1301-П38:",'ПО КОРИСНИЦИМА'!$H$6:$H$15001)</f>
        <v>0</v>
      </c>
      <c r="E522" s="634">
        <f t="shared" si="28"/>
        <v>0</v>
      </c>
      <c r="F522" s="642">
        <f>SUMIF('ПО КОРИСНИЦИМА'!$G$6:$G$15001,"Свега за пројекат 1301-П38:",'ПО КОРИСНИЦИМА'!$I$6:$I$15001)</f>
        <v>0</v>
      </c>
      <c r="G522" s="637">
        <f t="shared" si="15"/>
        <v>0</v>
      </c>
      <c r="H522" s="643"/>
    </row>
    <row r="523" spans="1:8" hidden="1" x14ac:dyDescent="0.2">
      <c r="A523" s="611"/>
      <c r="B523" s="611" t="s">
        <v>4831</v>
      </c>
      <c r="C523" s="538" t="str">
        <f>IFERROR(VLOOKUP(B523,'ПО КОРИСНИЦИМА'!$C$6:$J$15001,5,FALSE),"")</f>
        <v/>
      </c>
      <c r="D523" s="641">
        <f>SUMIF('ПО КОРИСНИЦИМА'!$G$6:$G$15001,"Свега за пројекат 1301-П39:",'ПО КОРИСНИЦИМА'!$H$6:$H$15001)</f>
        <v>0</v>
      </c>
      <c r="E523" s="634">
        <f t="shared" si="28"/>
        <v>0</v>
      </c>
      <c r="F523" s="642">
        <f>SUMIF('ПО КОРИСНИЦИМА'!$G$6:$G$15001,"Свега за пројекат 1301-П39:",'ПО КОРИСНИЦИМА'!$I$6:$I$15001)</f>
        <v>0</v>
      </c>
      <c r="G523" s="637">
        <f t="shared" si="15"/>
        <v>0</v>
      </c>
      <c r="H523" s="643"/>
    </row>
    <row r="524" spans="1:8" hidden="1" x14ac:dyDescent="0.2">
      <c r="A524" s="611"/>
      <c r="B524" s="611" t="s">
        <v>4832</v>
      </c>
      <c r="C524" s="538" t="str">
        <f>IFERROR(VLOOKUP(B524,'ПО КОРИСНИЦИМА'!$C$6:$J$15001,5,FALSE),"")</f>
        <v/>
      </c>
      <c r="D524" s="641">
        <f>SUMIF('ПО КОРИСНИЦИМА'!$G$6:$G$15001,"Свега за пројекат 1301-П40:",'ПО КОРИСНИЦИМА'!$H$6:$H$15001)</f>
        <v>0</v>
      </c>
      <c r="E524" s="634">
        <f t="shared" si="28"/>
        <v>0</v>
      </c>
      <c r="F524" s="642">
        <f>SUMIF('ПО КОРИСНИЦИМА'!$G$6:$G$15001,"Свега за пројекат 1301-П40:",'ПО КОРИСНИЦИМА'!$I$6:$I$15001)</f>
        <v>0</v>
      </c>
      <c r="G524" s="637">
        <f t="shared" si="15"/>
        <v>0</v>
      </c>
      <c r="H524" s="643"/>
    </row>
    <row r="525" spans="1:8" hidden="1" x14ac:dyDescent="0.2">
      <c r="A525" s="611"/>
      <c r="B525" s="611" t="s">
        <v>4833</v>
      </c>
      <c r="C525" s="538" t="str">
        <f>IFERROR(VLOOKUP(B525,'ПО КОРИСНИЦИМА'!$C$6:$J$15001,5,FALSE),"")</f>
        <v/>
      </c>
      <c r="D525" s="641">
        <f>SUMIF('ПО КОРИСНИЦИМА'!$G$6:$G$15001,"Свега за пројекат 1301-П41:",'ПО КОРИСНИЦИМА'!$H$6:$H$15001)</f>
        <v>0</v>
      </c>
      <c r="E525" s="634">
        <f t="shared" si="28"/>
        <v>0</v>
      </c>
      <c r="F525" s="642">
        <f>SUMIF('ПО КОРИСНИЦИМА'!$G$6:$G$15001,"Свега за пројекат 1301-П41:",'ПО КОРИСНИЦИМА'!$I$6:$I$15001)</f>
        <v>0</v>
      </c>
      <c r="G525" s="637">
        <f t="shared" si="15"/>
        <v>0</v>
      </c>
      <c r="H525" s="643"/>
    </row>
    <row r="526" spans="1:8" hidden="1" x14ac:dyDescent="0.2">
      <c r="A526" s="611"/>
      <c r="B526" s="611" t="s">
        <v>4834</v>
      </c>
      <c r="C526" s="538" t="str">
        <f>IFERROR(VLOOKUP(B526,'ПО КОРИСНИЦИМА'!$C$6:$J$15001,5,FALSE),"")</f>
        <v/>
      </c>
      <c r="D526" s="641">
        <f>SUMIF('ПО КОРИСНИЦИМА'!$G$6:$G$15001,"Свега за пројекат 1301-П42:",'ПО КОРИСНИЦИМА'!$H$6:$H$15001)</f>
        <v>0</v>
      </c>
      <c r="E526" s="634">
        <f t="shared" si="28"/>
        <v>0</v>
      </c>
      <c r="F526" s="642">
        <f>SUMIF('ПО КОРИСНИЦИМА'!$G$6:$G$15001,"Свега за пројекат 1301-П42:",'ПО КОРИСНИЦИМА'!$I$6:$I$15001)</f>
        <v>0</v>
      </c>
      <c r="G526" s="637">
        <f t="shared" si="15"/>
        <v>0</v>
      </c>
      <c r="H526" s="643"/>
    </row>
    <row r="527" spans="1:8" hidden="1" x14ac:dyDescent="0.2">
      <c r="A527" s="611"/>
      <c r="B527" s="611" t="s">
        <v>4835</v>
      </c>
      <c r="C527" s="538" t="str">
        <f>IFERROR(VLOOKUP(B527,'ПО КОРИСНИЦИМА'!$C$6:$J$15001,5,FALSE),"")</f>
        <v/>
      </c>
      <c r="D527" s="641">
        <f>SUMIF('ПО КОРИСНИЦИМА'!$G$6:$G$15001,"Свега за пројекат 1301-П43:",'ПО КОРИСНИЦИМА'!$H$6:$H$15001)</f>
        <v>0</v>
      </c>
      <c r="E527" s="634">
        <f t="shared" si="28"/>
        <v>0</v>
      </c>
      <c r="F527" s="642">
        <f>SUMIF('ПО КОРИСНИЦИМА'!$G$6:$G$15001,"Свега за пројекат 1301-П43:",'ПО КОРИСНИЦИМА'!$I$6:$I$15001)</f>
        <v>0</v>
      </c>
      <c r="G527" s="637">
        <f t="shared" si="15"/>
        <v>0</v>
      </c>
      <c r="H527" s="643"/>
    </row>
    <row r="528" spans="1:8" hidden="1" x14ac:dyDescent="0.2">
      <c r="A528" s="611"/>
      <c r="B528" s="611" t="s">
        <v>4836</v>
      </c>
      <c r="C528" s="538" t="str">
        <f>IFERROR(VLOOKUP(B528,'ПО КОРИСНИЦИМА'!$C$6:$J$15001,5,FALSE),"")</f>
        <v/>
      </c>
      <c r="D528" s="641">
        <f>SUMIF('ПО КОРИСНИЦИМА'!$G$6:$G$15001,"Свега за пројекат 1301-П44:",'ПО КОРИСНИЦИМА'!$H$6:$H$15001)</f>
        <v>0</v>
      </c>
      <c r="E528" s="634">
        <f t="shared" si="28"/>
        <v>0</v>
      </c>
      <c r="F528" s="642">
        <f>SUMIF('ПО КОРИСНИЦИМА'!$G$6:$G$15001,"Свега за пројекат 1301-П44:",'ПО КОРИСНИЦИМА'!$I$6:$I$15001)</f>
        <v>0</v>
      </c>
      <c r="G528" s="637">
        <f t="shared" si="15"/>
        <v>0</v>
      </c>
      <c r="H528" s="643"/>
    </row>
    <row r="529" spans="1:8" hidden="1" x14ac:dyDescent="0.2">
      <c r="A529" s="611"/>
      <c r="B529" s="611" t="s">
        <v>4837</v>
      </c>
      <c r="C529" s="538" t="str">
        <f>IFERROR(VLOOKUP(B529,'ПО КОРИСНИЦИМА'!$C$6:$J$15001,5,FALSE),"")</f>
        <v/>
      </c>
      <c r="D529" s="641">
        <f>SUMIF('ПО КОРИСНИЦИМА'!$G$6:$G$15001,"Свега за пројекат 1301-П45:",'ПО КОРИСНИЦИМА'!$H$6:$H$15001)</f>
        <v>0</v>
      </c>
      <c r="E529" s="634">
        <f t="shared" si="28"/>
        <v>0</v>
      </c>
      <c r="F529" s="642">
        <f>SUMIF('ПО КОРИСНИЦИМА'!$G$6:$G$15001,"Свега за пројекат 1301-П45:",'ПО КОРИСНИЦИМА'!$I$6:$I$15001)</f>
        <v>0</v>
      </c>
      <c r="G529" s="637">
        <f t="shared" si="15"/>
        <v>0</v>
      </c>
      <c r="H529" s="643"/>
    </row>
    <row r="530" spans="1:8" hidden="1" x14ac:dyDescent="0.2">
      <c r="A530" s="611"/>
      <c r="B530" s="611" t="s">
        <v>4838</v>
      </c>
      <c r="C530" s="538" t="str">
        <f>IFERROR(VLOOKUP(B530,'ПО КОРИСНИЦИМА'!$C$6:$J$15001,5,FALSE),"")</f>
        <v/>
      </c>
      <c r="D530" s="641">
        <f>SUMIF('ПО КОРИСНИЦИМА'!$G$6:$G$15001,"Свега за пројекат 1301-П46:",'ПО КОРИСНИЦИМА'!$H$6:$H$15001)</f>
        <v>0</v>
      </c>
      <c r="E530" s="634">
        <f t="shared" si="28"/>
        <v>0</v>
      </c>
      <c r="F530" s="642">
        <f>SUMIF('ПО КОРИСНИЦИМА'!$G$6:$G$15001,"Свега за пројекат 1301-П46:",'ПО КОРИСНИЦИМА'!$I$6:$I$15001)</f>
        <v>0</v>
      </c>
      <c r="G530" s="637">
        <f t="shared" si="15"/>
        <v>0</v>
      </c>
      <c r="H530" s="643"/>
    </row>
    <row r="531" spans="1:8" hidden="1" x14ac:dyDescent="0.2">
      <c r="A531" s="611"/>
      <c r="B531" s="611" t="s">
        <v>4839</v>
      </c>
      <c r="C531" s="538" t="str">
        <f>IFERROR(VLOOKUP(B531,'ПО КОРИСНИЦИМА'!$C$6:$J$15001,5,FALSE),"")</f>
        <v/>
      </c>
      <c r="D531" s="641">
        <f>SUMIF('ПО КОРИСНИЦИМА'!$G$6:$G$15001,"Свега за пројекат 1301-П47:",'ПО КОРИСНИЦИМА'!$H$6:$H$15001)</f>
        <v>0</v>
      </c>
      <c r="E531" s="634">
        <f t="shared" si="28"/>
        <v>0</v>
      </c>
      <c r="F531" s="642">
        <f>SUMIF('ПО КОРИСНИЦИМА'!$G$6:$G$15001,"Свега за пројекат 1301-П47:",'ПО КОРИСНИЦИМА'!$I$6:$I$15001)</f>
        <v>0</v>
      </c>
      <c r="G531" s="637">
        <f t="shared" si="15"/>
        <v>0</v>
      </c>
      <c r="H531" s="643"/>
    </row>
    <row r="532" spans="1:8" hidden="1" x14ac:dyDescent="0.2">
      <c r="A532" s="611"/>
      <c r="B532" s="611" t="s">
        <v>4840</v>
      </c>
      <c r="C532" s="538" t="str">
        <f>IFERROR(VLOOKUP(B532,'ПО КОРИСНИЦИМА'!$C$6:$J$15001,5,FALSE),"")</f>
        <v/>
      </c>
      <c r="D532" s="641">
        <f>SUMIF('ПО КОРИСНИЦИМА'!$G$6:$G$15001,"Свега за пројекат 1301-П48:",'ПО КОРИСНИЦИМА'!$H$6:$H$15001)</f>
        <v>0</v>
      </c>
      <c r="E532" s="634">
        <f t="shared" si="28"/>
        <v>0</v>
      </c>
      <c r="F532" s="642">
        <f>SUMIF('ПО КОРИСНИЦИМА'!$G$6:$G$15001,"Свега за пројекат 1301-П48:",'ПО КОРИСНИЦИМА'!$I$6:$I$15001)</f>
        <v>0</v>
      </c>
      <c r="G532" s="637">
        <f t="shared" si="15"/>
        <v>0</v>
      </c>
      <c r="H532" s="640"/>
    </row>
    <row r="533" spans="1:8" hidden="1" x14ac:dyDescent="0.2">
      <c r="A533" s="611"/>
      <c r="B533" s="611" t="s">
        <v>4841</v>
      </c>
      <c r="C533" s="538" t="str">
        <f>IFERROR(VLOOKUP(B533,'ПО КОРИСНИЦИМА'!$C$6:$J$15001,5,FALSE),"")</f>
        <v/>
      </c>
      <c r="D533" s="641">
        <f>SUMIF('ПО КОРИСНИЦИМА'!$G$6:$G$15001,"Свега за пројекат 1301-П49:",'ПО КОРИСНИЦИМА'!$H$6:$H$15001)</f>
        <v>0</v>
      </c>
      <c r="E533" s="634">
        <f t="shared" si="28"/>
        <v>0</v>
      </c>
      <c r="F533" s="642">
        <f>SUMIF('ПО КОРИСНИЦИМА'!$G$6:$G$15001,"Свега за пројекат 1301-П49:",'ПО КОРИСНИЦИМА'!$I$6:$I$15001)</f>
        <v>0</v>
      </c>
      <c r="G533" s="637">
        <f t="shared" si="15"/>
        <v>0</v>
      </c>
      <c r="H533" s="640"/>
    </row>
    <row r="534" spans="1:8" hidden="1" x14ac:dyDescent="0.2">
      <c r="A534" s="612"/>
      <c r="B534" s="611" t="s">
        <v>4842</v>
      </c>
      <c r="C534" s="538" t="str">
        <f>IFERROR(VLOOKUP(B534,'ПО КОРИСНИЦИМА'!$C$6:$J$15001,5,FALSE),"")</f>
        <v/>
      </c>
      <c r="D534" s="641">
        <f>SUMIF('ПО КОРИСНИЦИМА'!$G$6:$G$15001,"Свега за пројекат 1301-П50:",'ПО КОРИСНИЦИМА'!$H$6:$H$15001)</f>
        <v>0</v>
      </c>
      <c r="E534" s="634">
        <f t="shared" si="28"/>
        <v>0</v>
      </c>
      <c r="F534" s="642">
        <f>SUMIF('ПО КОРИСНИЦИМА'!$G$6:$G$15001,"Свега за пројекат 1301-П50:",'ПО КОРИСНИЦИМА'!$I$6:$I$15001)</f>
        <v>0</v>
      </c>
      <c r="G534" s="637">
        <f t="shared" si="15"/>
        <v>0</v>
      </c>
      <c r="H534" s="649"/>
    </row>
    <row r="535" spans="1:8" s="609" customFormat="1" x14ac:dyDescent="0.2">
      <c r="A535" s="602" t="s">
        <v>3599</v>
      </c>
      <c r="B535" s="603"/>
      <c r="C535" s="536" t="s">
        <v>5140</v>
      </c>
      <c r="D535" s="629">
        <f>SUM(D536:D614)</f>
        <v>101517840</v>
      </c>
      <c r="E535" s="630">
        <f t="shared" ref="E535:E566" si="29">IFERROR(D535/$D$615,"-")</f>
        <v>0.25554920724567903</v>
      </c>
      <c r="F535" s="631">
        <f>SUM(F536:F614)</f>
        <v>1126000</v>
      </c>
      <c r="G535" s="629">
        <f t="shared" si="15"/>
        <v>102643840</v>
      </c>
      <c r="H535" s="650"/>
    </row>
    <row r="536" spans="1:8" x14ac:dyDescent="0.2">
      <c r="A536" s="605"/>
      <c r="B536" s="512" t="s">
        <v>4098</v>
      </c>
      <c r="C536" s="539" t="s">
        <v>4099</v>
      </c>
      <c r="D536" s="633">
        <f>SUMIF('ПО КОРИСНИЦИМА'!$G$6:$G$15001,"Свега за програмску активност 0602-0001:",'ПО КОРИСНИЦИМА'!$H$6:$H$15001)</f>
        <v>76675000</v>
      </c>
      <c r="E536" s="634">
        <f t="shared" si="29"/>
        <v>0.19301273023108489</v>
      </c>
      <c r="F536" s="635">
        <f>SUMIF('ПО КОРИСНИЦИМА'!$G$6:$G$15001,"Свега за програмску активност 0602-0001:",'ПО КОРИСНИЦИМА'!$I$6:$I$15001)</f>
        <v>1126000</v>
      </c>
      <c r="G536" s="657">
        <f t="shared" ref="G536:G615" si="30">D536+F536</f>
        <v>77801000</v>
      </c>
      <c r="H536" s="636"/>
    </row>
    <row r="537" spans="1:8" x14ac:dyDescent="0.2">
      <c r="A537" s="607"/>
      <c r="B537" s="90" t="s">
        <v>4100</v>
      </c>
      <c r="C537" s="540" t="s">
        <v>5137</v>
      </c>
      <c r="D537" s="637">
        <f>SUMIF('ПО КОРИСНИЦИМА'!$G$6:$G$15001,"Свега за програмску активност 0602-0002:",'ПО КОРИСНИЦИМА'!$H$6:$H$15001)</f>
        <v>7000000</v>
      </c>
      <c r="E537" s="634">
        <f t="shared" si="29"/>
        <v>1.7620986131302176E-2</v>
      </c>
      <c r="F537" s="639">
        <f>SUMIF('ПО КОРИСНИЦИМА'!$G$6:$G$15001,"Свега за програмску активност 0602-0002:",'ПО КОРИСНИЦИМА'!$I$6:$I$15001)</f>
        <v>0</v>
      </c>
      <c r="G537" s="658">
        <f t="shared" si="30"/>
        <v>7000000</v>
      </c>
      <c r="H537" s="640"/>
    </row>
    <row r="538" spans="1:8" x14ac:dyDescent="0.2">
      <c r="A538" s="607"/>
      <c r="B538" s="90" t="s">
        <v>4103</v>
      </c>
      <c r="C538" s="540" t="s">
        <v>4104</v>
      </c>
      <c r="D538" s="637">
        <f>SUMIF('ПО КОРИСНИЦИМА'!$G$6:$G$15001,"Свега за програмску активност 0602-0004:",'ПО КОРИСНИЦИМА'!$H$6:$H$15001)</f>
        <v>1736000</v>
      </c>
      <c r="E538" s="634">
        <f t="shared" si="29"/>
        <v>4.3700045605629392E-3</v>
      </c>
      <c r="F538" s="639">
        <f>SUMIF('ПО КОРИСНИЦИМА'!$G$6:$G$15001,"Свега за програмску активност 0602-0004:",'ПО КОРИСНИЦИМА'!$I$6:$I$15001)</f>
        <v>0</v>
      </c>
      <c r="G538" s="658">
        <f t="shared" si="30"/>
        <v>1736000</v>
      </c>
      <c r="H538" s="640"/>
    </row>
    <row r="539" spans="1:8" hidden="1" x14ac:dyDescent="0.2">
      <c r="A539" s="607"/>
      <c r="B539" s="90" t="s">
        <v>4105</v>
      </c>
      <c r="C539" s="540" t="s">
        <v>5138</v>
      </c>
      <c r="D539" s="637">
        <f>SUMIF('ПО КОРИСНИЦИМА'!$G$6:$G$15001,"Свега за програмску активност 0602-0005:",'ПО КОРИСНИЦИМА'!$H$6:$H$15001)</f>
        <v>0</v>
      </c>
      <c r="E539" s="634">
        <f t="shared" si="29"/>
        <v>0</v>
      </c>
      <c r="F539" s="639">
        <f>SUMIF('ПО КОРИСНИЦИМА'!$G$6:$G$15001,"Свега за програмску активност 0602-0005:",'ПО КОРИСНИЦИМА'!$I$6:$I$15001)</f>
        <v>0</v>
      </c>
      <c r="G539" s="658">
        <f t="shared" si="30"/>
        <v>0</v>
      </c>
      <c r="H539" s="640"/>
    </row>
    <row r="540" spans="1:8" hidden="1" x14ac:dyDescent="0.2">
      <c r="A540" s="607"/>
      <c r="B540" s="90" t="s">
        <v>4106</v>
      </c>
      <c r="C540" s="540" t="s">
        <v>5139</v>
      </c>
      <c r="D540" s="637">
        <f>SUMIF('ПО КОРИСНИЦИМА'!$G$6:$G$15001,"Свега за програмску активност 0602-0006:",'ПО КОРИСНИЦИМА'!$H$6:$H$15001)</f>
        <v>0</v>
      </c>
      <c r="E540" s="634">
        <f t="shared" si="29"/>
        <v>0</v>
      </c>
      <c r="F540" s="639">
        <f>SUMIF('ПО КОРИСНИЦИМА'!$G$6:$G$15001,"Свега за програмску активност 0602-0006:",'ПО КОРИСНИЦИМА'!$I$6:$I$15001)</f>
        <v>0</v>
      </c>
      <c r="G540" s="658">
        <f t="shared" si="30"/>
        <v>0</v>
      </c>
      <c r="H540" s="640"/>
    </row>
    <row r="541" spans="1:8" hidden="1" x14ac:dyDescent="0.2">
      <c r="A541" s="607"/>
      <c r="B541" s="90" t="s">
        <v>4108</v>
      </c>
      <c r="C541" s="540" t="s">
        <v>5141</v>
      </c>
      <c r="D541" s="637">
        <f>SUMIF('ПО КОРИСНИЦИМА'!$G$6:$G$15001,"Свега за програмску активност 0602-0007:",'ПО КОРИСНИЦИМА'!$H$6:$H$15001)</f>
        <v>0</v>
      </c>
      <c r="E541" s="634">
        <f t="shared" si="29"/>
        <v>0</v>
      </c>
      <c r="F541" s="639">
        <f>SUMIF('ПО КОРИСНИЦИМА'!$G$6:$G$15001,"Свега за програмску активност 0602-0007:",'ПО КОРИСНИЦИМА'!$I$6:$I$15001)</f>
        <v>0</v>
      </c>
      <c r="G541" s="658">
        <f t="shared" si="30"/>
        <v>0</v>
      </c>
      <c r="H541" s="640"/>
    </row>
    <row r="542" spans="1:8" x14ac:dyDescent="0.2">
      <c r="A542" s="607"/>
      <c r="B542" s="90" t="s">
        <v>4109</v>
      </c>
      <c r="C542" s="540" t="s">
        <v>4111</v>
      </c>
      <c r="D542" s="637">
        <f>SUMIF('ПО КОРИСНИЦИМА'!$G$6:$G$15001,"Свега за програмску активност 0602-0008:",'ПО КОРИСНИЦИМА'!$H$6:$H$15001)</f>
        <v>100000</v>
      </c>
      <c r="E542" s="634">
        <f t="shared" si="29"/>
        <v>2.5172837330431677E-4</v>
      </c>
      <c r="F542" s="639">
        <f>SUMIF('ПО КОРИСНИЦИМА'!$G$6:$G$15001,"Свега за програмску активност 0602-0008:",'ПО КОРИСНИЦИМА'!$I$6:$I$15001)</f>
        <v>0</v>
      </c>
      <c r="G542" s="658">
        <f t="shared" si="30"/>
        <v>100000</v>
      </c>
      <c r="H542" s="640"/>
    </row>
    <row r="543" spans="1:8" x14ac:dyDescent="0.2">
      <c r="A543" s="607"/>
      <c r="B543" s="90" t="s">
        <v>4110</v>
      </c>
      <c r="C543" s="540" t="s">
        <v>5142</v>
      </c>
      <c r="D543" s="637">
        <f>SUMIF('ПО КОРИСНИЦИМА'!$G$6:$G$15001,"Свега за програмску активност 0602-0009:",'ПО КОРИСНИЦИМА'!$H$6:$H$15001)</f>
        <v>5750000</v>
      </c>
      <c r="E543" s="634">
        <f t="shared" si="29"/>
        <v>1.4474381464998215E-2</v>
      </c>
      <c r="F543" s="639">
        <f>SUMIF('ПО КОРИСНИЦИМА'!$G$6:$G$15001,"Свега за програмску активност 0602-0009:",'ПО КОРИСНИЦИМА'!$I$6:$I$15001)</f>
        <v>0</v>
      </c>
      <c r="G543" s="658">
        <f t="shared" si="30"/>
        <v>5750000</v>
      </c>
      <c r="H543" s="640"/>
    </row>
    <row r="544" spans="1:8" x14ac:dyDescent="0.2">
      <c r="A544" s="607"/>
      <c r="B544" s="90" t="s">
        <v>4112</v>
      </c>
      <c r="C544" s="540" t="s">
        <v>5143</v>
      </c>
      <c r="D544" s="637">
        <f>SUMIF('ПО КОРИСНИЦИМА'!$G$6:$G$15001,"Свега за програмску активност 0602-0010:",'ПО КОРИСНИЦИМА'!$H$6:$H$15001)</f>
        <v>1000000</v>
      </c>
      <c r="E544" s="634">
        <f t="shared" si="29"/>
        <v>2.5172837330431678E-3</v>
      </c>
      <c r="F544" s="639">
        <f>SUMIF('ПО КОРИСНИЦИМА'!$G$6:$G$15001,"Свега за програмску активност 0602-0010:",'ПО КОРИСНИЦИМА'!$I$6:$I$15001)</f>
        <v>0</v>
      </c>
      <c r="G544" s="658">
        <f t="shared" si="30"/>
        <v>1000000</v>
      </c>
      <c r="H544" s="640"/>
    </row>
    <row r="545" spans="1:8" hidden="1" x14ac:dyDescent="0.2">
      <c r="A545" s="607"/>
      <c r="B545" s="90" t="s">
        <v>5144</v>
      </c>
      <c r="C545" s="538" t="s">
        <v>4162</v>
      </c>
      <c r="D545" s="641"/>
      <c r="E545" s="638">
        <f t="shared" si="29"/>
        <v>0</v>
      </c>
      <c r="F545" s="642">
        <f>SUMIF('ПО КОРИСНИЦИМА'!$G$6:$G$15001,"Свега за пројекат 0602-П1:",'ПО КОРИСНИЦИМА'!$I$6:$I$15001)</f>
        <v>0</v>
      </c>
      <c r="G545" s="658">
        <f t="shared" si="30"/>
        <v>0</v>
      </c>
      <c r="H545" s="640"/>
    </row>
    <row r="546" spans="1:8" hidden="1" x14ac:dyDescent="0.2">
      <c r="A546" s="607"/>
      <c r="B546" s="90" t="s">
        <v>5145</v>
      </c>
      <c r="C546" s="538" t="s">
        <v>5146</v>
      </c>
      <c r="D546" s="641"/>
      <c r="E546" s="634">
        <f t="shared" si="29"/>
        <v>0</v>
      </c>
      <c r="F546" s="642">
        <f>SUMIF('ПО КОРИСНИЦИМА'!$G$6:$G$15001,"Свега за пројекат 0602-П2:",'ПО КОРИСНИЦИМА'!$I$6:$I$15001)</f>
        <v>0</v>
      </c>
      <c r="G546" s="658">
        <f t="shared" si="30"/>
        <v>0</v>
      </c>
      <c r="H546" s="640"/>
    </row>
    <row r="547" spans="1:8" x14ac:dyDescent="0.2">
      <c r="A547" s="607"/>
      <c r="B547" s="90" t="s">
        <v>5147</v>
      </c>
      <c r="C547" s="538" t="s">
        <v>5148</v>
      </c>
      <c r="D547" s="641"/>
      <c r="E547" s="634">
        <f t="shared" si="29"/>
        <v>0</v>
      </c>
      <c r="F547" s="642">
        <f>SUMIF('ПО КОРИСНИЦИМА'!$G$6:$G$15001,"Свега за пројекат 0602-П3:",'ПО КОРИСНИЦИМА'!$I$6:$I$15001)</f>
        <v>0</v>
      </c>
      <c r="G547" s="658">
        <f t="shared" si="30"/>
        <v>0</v>
      </c>
      <c r="H547" s="643"/>
    </row>
    <row r="548" spans="1:8" x14ac:dyDescent="0.2">
      <c r="A548" s="607"/>
      <c r="B548" s="90" t="s">
        <v>5149</v>
      </c>
      <c r="C548" s="538" t="s">
        <v>5150</v>
      </c>
      <c r="D548" s="641">
        <f>SUMIF('ПО КОРИСНИЦИМА'!$G$6:$G$15001,"Свега за програмску активност 0602-0014:",'ПО КОРИСНИЦИМА'!$H$6:$H$15001)</f>
        <v>5200000</v>
      </c>
      <c r="E548" s="634">
        <f t="shared" si="29"/>
        <v>1.3089875411824473E-2</v>
      </c>
      <c r="F548" s="642">
        <f>SUMIF('ПО КОРИСНИЦИМА'!$G$6:$G$15001,"Свега за пројекат 0602-0014:",'ПО КОРИСНИЦИМА'!$I$6:$I$15001)</f>
        <v>0</v>
      </c>
      <c r="G548" s="658">
        <f t="shared" si="30"/>
        <v>5200000</v>
      </c>
      <c r="H548" s="643"/>
    </row>
    <row r="549" spans="1:8" x14ac:dyDescent="0.2">
      <c r="A549" s="607"/>
      <c r="B549" s="90" t="s">
        <v>4843</v>
      </c>
      <c r="C549" s="538" t="s">
        <v>5250</v>
      </c>
      <c r="D549" s="641">
        <f>SUMIF('ПО КОРИСНИЦИМА'!$G$6:$G$15001,"Свега за пројекат 0602-П1:",'ПО КОРИСНИЦИМА'!$H$6:$H$15001)</f>
        <v>1806840</v>
      </c>
      <c r="E549" s="634">
        <f t="shared" si="29"/>
        <v>4.5483289402117174E-3</v>
      </c>
      <c r="F549" s="642">
        <f>SUMIF('ПО КОРИСНИЦИМА'!$G$6:$G$15001,"Свега за пројекат 0602-П5:",'ПО КОРИСНИЦИМА'!$I$6:$I$15001)</f>
        <v>0</v>
      </c>
      <c r="G549" s="658">
        <f t="shared" si="30"/>
        <v>1806840</v>
      </c>
      <c r="H549" s="643"/>
    </row>
    <row r="550" spans="1:8" x14ac:dyDescent="0.2">
      <c r="A550" s="607"/>
      <c r="B550" s="90" t="s">
        <v>4844</v>
      </c>
      <c r="C550" s="538" t="s">
        <v>5251</v>
      </c>
      <c r="D550" s="641">
        <f>SUMIF('ПО КОРИСНИЦИМА'!$G$6:$G$15001,"Свега за пројекат 0602-П2:",'ПО КОРИСНИЦИМА'!$H$6:$H$15001)</f>
        <v>1500000</v>
      </c>
      <c r="E550" s="634">
        <f t="shared" si="29"/>
        <v>3.7759255995647514E-3</v>
      </c>
      <c r="F550" s="642">
        <f>SUMIF('ПО КОРИСНИЦИМА'!$G$6:$G$15001,"Свега за пројекат 0602-П6:",'ПО КОРИСНИЦИМА'!$I$6:$I$15001)</f>
        <v>0</v>
      </c>
      <c r="G550" s="658">
        <f t="shared" si="30"/>
        <v>1500000</v>
      </c>
      <c r="H550" s="643"/>
    </row>
    <row r="551" spans="1:8" x14ac:dyDescent="0.2">
      <c r="A551" s="607"/>
      <c r="B551" s="90" t="s">
        <v>4845</v>
      </c>
      <c r="C551" s="538" t="str">
        <f>IFERROR(VLOOKUP(B551,'ПО КОРИСНИЦИМА'!$C$6:$J$15001,5,FALSE),"")</f>
        <v>Увођење електронске управе</v>
      </c>
      <c r="D551" s="641">
        <f>SUMIF('ПО КОРИСНИЦИМА'!$G$6:$G$15001,"Свега за пројекат 0602-П3:",'ПО КОРИСНИЦИМА'!$H$6:$H$15001)</f>
        <v>750000</v>
      </c>
      <c r="E551" s="634">
        <f t="shared" si="29"/>
        <v>1.8879627997823757E-3</v>
      </c>
      <c r="F551" s="642">
        <f>SUMIF('ПО КОРИСНИЦИМА'!$G$6:$G$15001,"Свега за пројекат 0602-П7:",'ПО КОРИСНИЦИМА'!$I$6:$I$15001)</f>
        <v>0</v>
      </c>
      <c r="G551" s="658">
        <f t="shared" si="30"/>
        <v>750000</v>
      </c>
      <c r="H551" s="643"/>
    </row>
    <row r="552" spans="1:8" hidden="1" x14ac:dyDescent="0.2">
      <c r="A552" s="607"/>
      <c r="B552" s="90" t="s">
        <v>4846</v>
      </c>
      <c r="C552" s="538" t="str">
        <f>IFERROR(VLOOKUP(B552,'ПО КОРИСНИЦИМА'!$C$6:$J$15001,5,FALSE),"")</f>
        <v/>
      </c>
      <c r="D552" s="641">
        <f>SUMIF('ПО КОРИСНИЦИМА'!$G$6:$G$15001,"Свега за пројекат 0602-П8:",'ПО КОРИСНИЦИМА'!$H$6:$H$15001)</f>
        <v>0</v>
      </c>
      <c r="E552" s="634">
        <f t="shared" si="29"/>
        <v>0</v>
      </c>
      <c r="F552" s="642">
        <f>SUMIF('ПО КОРИСНИЦИМА'!$G$6:$G$15001,"Свега за пројекат 0602-П8:",'ПО КОРИСНИЦИМА'!$I$6:$I$15001)</f>
        <v>0</v>
      </c>
      <c r="G552" s="658">
        <f t="shared" si="30"/>
        <v>0</v>
      </c>
      <c r="H552" s="643"/>
    </row>
    <row r="553" spans="1:8" hidden="1" x14ac:dyDescent="0.2">
      <c r="A553" s="607"/>
      <c r="B553" s="90" t="s">
        <v>4847</v>
      </c>
      <c r="C553" s="538" t="str">
        <f>IFERROR(VLOOKUP(B553,'ПО КОРИСНИЦИМА'!$C$6:$J$15001,5,FALSE),"")</f>
        <v/>
      </c>
      <c r="D553" s="641">
        <f>SUMIF('ПО КОРИСНИЦИМА'!$G$6:$G$15001,"Свега за пројекат 0602-П9:",'ПО КОРИСНИЦИМА'!$H$6:$H$15001)</f>
        <v>0</v>
      </c>
      <c r="E553" s="634">
        <f t="shared" si="29"/>
        <v>0</v>
      </c>
      <c r="F553" s="642">
        <f>SUMIF('ПО КОРИСНИЦИМА'!$G$6:$G$15001,"Свега за пројекат 0602-П9:",'ПО КОРИСНИЦИМА'!$I$6:$I$15001)</f>
        <v>0</v>
      </c>
      <c r="G553" s="658">
        <f t="shared" si="30"/>
        <v>0</v>
      </c>
      <c r="H553" s="643"/>
    </row>
    <row r="554" spans="1:8" hidden="1" x14ac:dyDescent="0.2">
      <c r="A554" s="607"/>
      <c r="B554" s="90" t="s">
        <v>4848</v>
      </c>
      <c r="C554" s="538" t="str">
        <f>IFERROR(VLOOKUP(B554,'ПО КОРИСНИЦИМА'!$C$6:$J$15001,5,FALSE),"")</f>
        <v/>
      </c>
      <c r="D554" s="641">
        <f>SUMIF('ПО КОРИСНИЦИМА'!$G$6:$G$15001,"Свега за пројекат 0602-П10:",'ПО КОРИСНИЦИМА'!$H$6:$H$15001)</f>
        <v>0</v>
      </c>
      <c r="E554" s="634">
        <f t="shared" si="29"/>
        <v>0</v>
      </c>
      <c r="F554" s="642">
        <f>SUMIF('ПО КОРИСНИЦИМА'!$G$6:$G$15001,"Свега за пројекат 0602-П10:",'ПО КОРИСНИЦИМА'!$I$6:$I$15001)</f>
        <v>0</v>
      </c>
      <c r="G554" s="659">
        <f t="shared" si="30"/>
        <v>0</v>
      </c>
      <c r="H554" s="643"/>
    </row>
    <row r="555" spans="1:8" hidden="1" x14ac:dyDescent="0.2">
      <c r="A555" s="607"/>
      <c r="B555" s="90" t="s">
        <v>4849</v>
      </c>
      <c r="C555" s="538" t="str">
        <f>IFERROR(VLOOKUP(B555,'ПО КОРИСНИЦИМА'!$C$6:$J$15001,5,FALSE),"")</f>
        <v/>
      </c>
      <c r="D555" s="641">
        <f>SUMIF('ПО КОРИСНИЦИМА'!$G$6:$G$15001,"Свега за пројекат 0602-П11:",'ПО КОРИСНИЦИМА'!$H$6:$H$15001)</f>
        <v>0</v>
      </c>
      <c r="E555" s="634">
        <f t="shared" si="29"/>
        <v>0</v>
      </c>
      <c r="F555" s="642">
        <f>SUMIF('ПО КОРИСНИЦИМА'!$G$6:$G$15001,"Свега за пројекат 0602-П11:",'ПО КОРИСНИЦИМА'!$I$6:$I$15001)</f>
        <v>0</v>
      </c>
      <c r="G555" s="659">
        <f t="shared" si="30"/>
        <v>0</v>
      </c>
      <c r="H555" s="643"/>
    </row>
    <row r="556" spans="1:8" hidden="1" x14ac:dyDescent="0.2">
      <c r="A556" s="607"/>
      <c r="B556" s="90" t="s">
        <v>4850</v>
      </c>
      <c r="C556" s="538" t="str">
        <f>IFERROR(VLOOKUP(B556,'ПО КОРИСНИЦИМА'!$C$6:$J$15001,5,FALSE),"")</f>
        <v/>
      </c>
      <c r="D556" s="641">
        <f>SUMIF('ПО КОРИСНИЦИМА'!$G$6:$G$15001,"Свега за пројекат 0602-П12:",'ПО КОРИСНИЦИМА'!$H$6:$H$15001)</f>
        <v>0</v>
      </c>
      <c r="E556" s="634">
        <f t="shared" si="29"/>
        <v>0</v>
      </c>
      <c r="F556" s="642">
        <f>SUMIF('ПО КОРИСНИЦИМА'!$G$6:$G$15001,"Свега за пројекат 0602-П12:",'ПО КОРИСНИЦИМА'!$I$6:$I$15001)</f>
        <v>0</v>
      </c>
      <c r="G556" s="659">
        <f t="shared" si="30"/>
        <v>0</v>
      </c>
      <c r="H556" s="643"/>
    </row>
    <row r="557" spans="1:8" hidden="1" x14ac:dyDescent="0.2">
      <c r="A557" s="607"/>
      <c r="B557" s="90" t="s">
        <v>4851</v>
      </c>
      <c r="C557" s="538" t="str">
        <f>IFERROR(VLOOKUP(B557,'ПО КОРИСНИЦИМА'!$C$6:$J$15001,5,FALSE),"")</f>
        <v/>
      </c>
      <c r="D557" s="641">
        <f>SUMIF('ПО КОРИСНИЦИМА'!$G$6:$G$15001,"Свега за пројекат 0602-П13:",'ПО КОРИСНИЦИМА'!$H$6:$H$15001)</f>
        <v>0</v>
      </c>
      <c r="E557" s="634">
        <f t="shared" si="29"/>
        <v>0</v>
      </c>
      <c r="F557" s="642">
        <f>SUMIF('ПО КОРИСНИЦИМА'!$G$6:$G$15001,"Свега за пројекат 0602-П13:",'ПО КОРИСНИЦИМА'!$I$6:$I$15001)</f>
        <v>0</v>
      </c>
      <c r="G557" s="659">
        <f t="shared" si="30"/>
        <v>0</v>
      </c>
      <c r="H557" s="643"/>
    </row>
    <row r="558" spans="1:8" hidden="1" x14ac:dyDescent="0.2">
      <c r="A558" s="607"/>
      <c r="B558" s="90" t="s">
        <v>4852</v>
      </c>
      <c r="C558" s="538" t="str">
        <f>IFERROR(VLOOKUP(B558,'ПО КОРИСНИЦИМА'!$C$6:$J$15001,5,FALSE),"")</f>
        <v/>
      </c>
      <c r="D558" s="641">
        <f>SUMIF('ПО КОРИСНИЦИМА'!$G$6:$G$15001,"Свега за пројекат 0602-П14:",'ПО КОРИСНИЦИМА'!$H$6:$H$15001)</f>
        <v>0</v>
      </c>
      <c r="E558" s="634">
        <f t="shared" si="29"/>
        <v>0</v>
      </c>
      <c r="F558" s="642">
        <f>SUMIF('ПО КОРИСНИЦИМА'!$G$6:$G$15001,"Свега за пројекат 0602-П14:",'ПО КОРИСНИЦИМА'!$I$6:$I$15001)</f>
        <v>0</v>
      </c>
      <c r="G558" s="659">
        <f t="shared" si="30"/>
        <v>0</v>
      </c>
      <c r="H558" s="643"/>
    </row>
    <row r="559" spans="1:8" hidden="1" x14ac:dyDescent="0.2">
      <c r="A559" s="607"/>
      <c r="B559" s="90" t="s">
        <v>4853</v>
      </c>
      <c r="C559" s="538" t="str">
        <f>IFERROR(VLOOKUP(B559,'ПО КОРИСНИЦИМА'!$C$6:$J$15001,5,FALSE),"")</f>
        <v/>
      </c>
      <c r="D559" s="641">
        <f>SUMIF('ПО КОРИСНИЦИМА'!$G$6:$G$15001,"Свега за пројекат 0602-П15:",'ПО КОРИСНИЦИМА'!$H$6:$H$15001)</f>
        <v>0</v>
      </c>
      <c r="E559" s="634">
        <f t="shared" si="29"/>
        <v>0</v>
      </c>
      <c r="F559" s="642">
        <f>SUMIF('ПО КОРИСНИЦИМА'!$G$6:$G$15001,"Свега за пројекат 0602-П15:",'ПО КОРИСНИЦИМА'!$I$6:$I$15001)</f>
        <v>0</v>
      </c>
      <c r="G559" s="659">
        <f t="shared" si="30"/>
        <v>0</v>
      </c>
      <c r="H559" s="643"/>
    </row>
    <row r="560" spans="1:8" hidden="1" x14ac:dyDescent="0.2">
      <c r="A560" s="607"/>
      <c r="B560" s="90" t="s">
        <v>4854</v>
      </c>
      <c r="C560" s="538" t="str">
        <f>IFERROR(VLOOKUP(B560,'ПО КОРИСНИЦИМА'!$C$6:$J$15001,5,FALSE),"")</f>
        <v/>
      </c>
      <c r="D560" s="641">
        <f>SUMIF('ПО КОРИСНИЦИМА'!$G$6:$G$15001,"Свега за пројекат 0602-П16:",'ПО КОРИСНИЦИМА'!$H$6:$H$15001)</f>
        <v>0</v>
      </c>
      <c r="E560" s="634">
        <f t="shared" si="29"/>
        <v>0</v>
      </c>
      <c r="F560" s="642">
        <f>SUMIF('ПО КОРИСНИЦИМА'!$G$6:$G$15001,"Свега за пројекат 0602-П16:",'ПО КОРИСНИЦИМА'!$I$6:$I$15001)</f>
        <v>0</v>
      </c>
      <c r="G560" s="659">
        <f t="shared" si="30"/>
        <v>0</v>
      </c>
      <c r="H560" s="643"/>
    </row>
    <row r="561" spans="1:8" hidden="1" x14ac:dyDescent="0.2">
      <c r="A561" s="607"/>
      <c r="B561" s="90" t="s">
        <v>4855</v>
      </c>
      <c r="C561" s="538" t="str">
        <f>IFERROR(VLOOKUP(B561,'ПО КОРИСНИЦИМА'!$C$6:$J$15001,5,FALSE),"")</f>
        <v/>
      </c>
      <c r="D561" s="641">
        <f>SUMIF('ПО КОРИСНИЦИМА'!$G$6:$G$15001,"Свега за пројекат 0602-П17:",'ПО КОРИСНИЦИМА'!$H$6:$H$15001)</f>
        <v>0</v>
      </c>
      <c r="E561" s="634">
        <f t="shared" si="29"/>
        <v>0</v>
      </c>
      <c r="F561" s="642">
        <f>SUMIF('ПО КОРИСНИЦИМА'!$G$6:$G$15001,"Свега за пројекат 0602-П17:",'ПО КОРИСНИЦИМА'!$I$6:$I$15001)</f>
        <v>0</v>
      </c>
      <c r="G561" s="659">
        <f t="shared" si="30"/>
        <v>0</v>
      </c>
      <c r="H561" s="643"/>
    </row>
    <row r="562" spans="1:8" hidden="1" x14ac:dyDescent="0.2">
      <c r="A562" s="607"/>
      <c r="B562" s="90" t="s">
        <v>4856</v>
      </c>
      <c r="C562" s="538" t="str">
        <f>IFERROR(VLOOKUP(B562,'ПО КОРИСНИЦИМА'!$C$6:$J$15001,5,FALSE),"")</f>
        <v/>
      </c>
      <c r="D562" s="641">
        <f>SUMIF('ПО КОРИСНИЦИМА'!$G$6:$G$15001,"Свега за пројекат 0602-П18:",'ПО КОРИСНИЦИМА'!$H$6:$H$15001)</f>
        <v>0</v>
      </c>
      <c r="E562" s="634">
        <f t="shared" si="29"/>
        <v>0</v>
      </c>
      <c r="F562" s="642">
        <f>SUMIF('ПО КОРИСНИЦИМА'!$G$6:$G$15001,"Свега за пројекат 0602-П18:",'ПО КОРИСНИЦИМА'!$I$6:$I$15001)</f>
        <v>0</v>
      </c>
      <c r="G562" s="659">
        <f t="shared" si="30"/>
        <v>0</v>
      </c>
      <c r="H562" s="643"/>
    </row>
    <row r="563" spans="1:8" hidden="1" x14ac:dyDescent="0.2">
      <c r="A563" s="607"/>
      <c r="B563" s="90" t="s">
        <v>4857</v>
      </c>
      <c r="C563" s="538" t="str">
        <f>IFERROR(VLOOKUP(B563,'ПО КОРИСНИЦИМА'!$C$6:$J$15001,5,FALSE),"")</f>
        <v/>
      </c>
      <c r="D563" s="641">
        <f>SUMIF('ПО КОРИСНИЦИМА'!$G$6:$G$15001,"Свега за пројекат 0602-П19:",'ПО КОРИСНИЦИМА'!$H$6:$H$15001)</f>
        <v>0</v>
      </c>
      <c r="E563" s="634">
        <f t="shared" si="29"/>
        <v>0</v>
      </c>
      <c r="F563" s="642">
        <f>SUMIF('ПО КОРИСНИЦИМА'!$G$6:$G$15001,"Свега за пројекат 0602-П19:",'ПО КОРИСНИЦИМА'!$I$6:$I$15001)</f>
        <v>0</v>
      </c>
      <c r="G563" s="659">
        <f t="shared" si="30"/>
        <v>0</v>
      </c>
      <c r="H563" s="643"/>
    </row>
    <row r="564" spans="1:8" hidden="1" x14ac:dyDescent="0.2">
      <c r="A564" s="607"/>
      <c r="B564" s="90" t="s">
        <v>4858</v>
      </c>
      <c r="C564" s="538" t="str">
        <f>IFERROR(VLOOKUP(B564,'ПО КОРИСНИЦИМА'!$C$6:$J$15001,5,FALSE),"")</f>
        <v/>
      </c>
      <c r="D564" s="641">
        <f>SUMIF('ПО КОРИСНИЦИМА'!$G$6:$G$15001,"Свега за пројекат 0602-П20:",'ПО КОРИСНИЦИМА'!$H$6:$H$15001)</f>
        <v>0</v>
      </c>
      <c r="E564" s="634">
        <f t="shared" si="29"/>
        <v>0</v>
      </c>
      <c r="F564" s="642">
        <f>SUMIF('ПО КОРИСНИЦИМА'!$G$6:$G$15001,"Свега за пројекат 0602-П20:",'ПО КОРИСНИЦИМА'!$I$6:$I$15001)</f>
        <v>0</v>
      </c>
      <c r="G564" s="659">
        <f t="shared" si="30"/>
        <v>0</v>
      </c>
      <c r="H564" s="643"/>
    </row>
    <row r="565" spans="1:8" hidden="1" x14ac:dyDescent="0.2">
      <c r="A565" s="607"/>
      <c r="B565" s="90" t="s">
        <v>4859</v>
      </c>
      <c r="C565" s="538" t="str">
        <f>IFERROR(VLOOKUP(B565,'ПО КОРИСНИЦИМА'!$C$6:$J$15001,5,FALSE),"")</f>
        <v/>
      </c>
      <c r="D565" s="641">
        <f>SUMIF('ПО КОРИСНИЦИМА'!$G$6:$G$15001,"Свега за пројекат 0602-П21:",'ПО КОРИСНИЦИМА'!$H$6:$H$15001)</f>
        <v>0</v>
      </c>
      <c r="E565" s="634">
        <f t="shared" si="29"/>
        <v>0</v>
      </c>
      <c r="F565" s="642">
        <f>SUMIF('ПО КОРИСНИЦИМА'!$G$6:$G$15001,"Свега за пројекат 0602-П21:",'ПО КОРИСНИЦИМА'!$I$6:$I$15001)</f>
        <v>0</v>
      </c>
      <c r="G565" s="659">
        <f t="shared" si="30"/>
        <v>0</v>
      </c>
      <c r="H565" s="643"/>
    </row>
    <row r="566" spans="1:8" hidden="1" x14ac:dyDescent="0.2">
      <c r="A566" s="607"/>
      <c r="B566" s="90" t="s">
        <v>4860</v>
      </c>
      <c r="C566" s="538" t="str">
        <f>IFERROR(VLOOKUP(B566,'ПО КОРИСНИЦИМА'!$C$6:$J$15001,5,FALSE),"")</f>
        <v/>
      </c>
      <c r="D566" s="641">
        <f>SUMIF('ПО КОРИСНИЦИМА'!$G$6:$G$15001,"Свега за пројекат 0602-П22:",'ПО КОРИСНИЦИМА'!$H$6:$H$15001)</f>
        <v>0</v>
      </c>
      <c r="E566" s="634">
        <f t="shared" si="29"/>
        <v>0</v>
      </c>
      <c r="F566" s="642">
        <f>SUMIF('ПО КОРИСНИЦИМА'!$G$6:$G$15001,"Свега за пројекат 0602-П22:",'ПО КОРИСНИЦИМА'!$I$6:$I$15001)</f>
        <v>0</v>
      </c>
      <c r="G566" s="659">
        <f t="shared" si="30"/>
        <v>0</v>
      </c>
      <c r="H566" s="643"/>
    </row>
    <row r="567" spans="1:8" hidden="1" x14ac:dyDescent="0.2">
      <c r="A567" s="607"/>
      <c r="B567" s="90" t="s">
        <v>4861</v>
      </c>
      <c r="C567" s="538" t="str">
        <f>IFERROR(VLOOKUP(B567,'ПО КОРИСНИЦИМА'!$C$6:$J$15001,5,FALSE),"")</f>
        <v/>
      </c>
      <c r="D567" s="641">
        <f>SUMIF('ПО КОРИСНИЦИМА'!$G$6:$G$15001,"Свега за пројекат 0602-П23:",'ПО КОРИСНИЦИМА'!$H$6:$H$15001)</f>
        <v>0</v>
      </c>
      <c r="E567" s="634">
        <f t="shared" ref="E567:E598" si="31">IFERROR(D567/$D$615,"-")</f>
        <v>0</v>
      </c>
      <c r="F567" s="642">
        <f>SUMIF('ПО КОРИСНИЦИМА'!$G$6:$G$15001,"Свега за пројекат 0602-П23:",'ПО КОРИСНИЦИМА'!$I$6:$I$15001)</f>
        <v>0</v>
      </c>
      <c r="G567" s="659">
        <f t="shared" si="30"/>
        <v>0</v>
      </c>
      <c r="H567" s="643"/>
    </row>
    <row r="568" spans="1:8" hidden="1" x14ac:dyDescent="0.2">
      <c r="A568" s="607"/>
      <c r="B568" s="90" t="s">
        <v>4862</v>
      </c>
      <c r="C568" s="538" t="str">
        <f>IFERROR(VLOOKUP(B568,'ПО КОРИСНИЦИМА'!$C$6:$J$15001,5,FALSE),"")</f>
        <v/>
      </c>
      <c r="D568" s="641">
        <f>SUMIF('ПО КОРИСНИЦИМА'!$G$6:$G$15001,"Свега за пројекат 0602-П24:",'ПО КОРИСНИЦИМА'!$H$6:$H$15001)</f>
        <v>0</v>
      </c>
      <c r="E568" s="634">
        <f t="shared" si="31"/>
        <v>0</v>
      </c>
      <c r="F568" s="642">
        <f>SUMIF('ПО КОРИСНИЦИМА'!$G$6:$G$15001,"Свега за пројекат 0602-П24:",'ПО КОРИСНИЦИМА'!$I$6:$I$15001)</f>
        <v>0</v>
      </c>
      <c r="G568" s="659">
        <f t="shared" si="30"/>
        <v>0</v>
      </c>
      <c r="H568" s="643"/>
    </row>
    <row r="569" spans="1:8" hidden="1" x14ac:dyDescent="0.2">
      <c r="A569" s="607"/>
      <c r="B569" s="90" t="s">
        <v>4863</v>
      </c>
      <c r="C569" s="538" t="str">
        <f>IFERROR(VLOOKUP(B569,'ПО КОРИСНИЦИМА'!$C$6:$J$15001,5,FALSE),"")</f>
        <v/>
      </c>
      <c r="D569" s="641">
        <f>SUMIF('ПО КОРИСНИЦИМА'!$G$6:$G$15001,"Свега за пројекат 0602-П25:",'ПО КОРИСНИЦИМА'!$H$6:$H$15001)</f>
        <v>0</v>
      </c>
      <c r="E569" s="634">
        <f t="shared" si="31"/>
        <v>0</v>
      </c>
      <c r="F569" s="642">
        <f>SUMIF('ПО КОРИСНИЦИМА'!$G$6:$G$15001,"Свега за пројекат 0602-П25:",'ПО КОРИСНИЦИМА'!$I$6:$I$15001)</f>
        <v>0</v>
      </c>
      <c r="G569" s="659">
        <f t="shared" si="30"/>
        <v>0</v>
      </c>
      <c r="H569" s="643"/>
    </row>
    <row r="570" spans="1:8" hidden="1" x14ac:dyDescent="0.2">
      <c r="A570" s="607"/>
      <c r="B570" s="90" t="s">
        <v>4864</v>
      </c>
      <c r="C570" s="538" t="str">
        <f>IFERROR(VLOOKUP(B570,'ПО КОРИСНИЦИМА'!$C$6:$J$15001,5,FALSE),"")</f>
        <v/>
      </c>
      <c r="D570" s="641">
        <f>SUMIF('ПО КОРИСНИЦИМА'!$G$6:$G$15001,"Свега за пројекат 0602-П26:",'ПО КОРИСНИЦИМА'!$H$6:$H$15001)</f>
        <v>0</v>
      </c>
      <c r="E570" s="634">
        <f t="shared" si="31"/>
        <v>0</v>
      </c>
      <c r="F570" s="642">
        <f>SUMIF('ПО КОРИСНИЦИМА'!$G$6:$G$15001,"Свега за пројекат 0602-П26:",'ПО КОРИСНИЦИМА'!$I$6:$I$15001)</f>
        <v>0</v>
      </c>
      <c r="G570" s="659">
        <f t="shared" si="30"/>
        <v>0</v>
      </c>
      <c r="H570" s="643"/>
    </row>
    <row r="571" spans="1:8" hidden="1" x14ac:dyDescent="0.2">
      <c r="A571" s="607"/>
      <c r="B571" s="90" t="s">
        <v>4865</v>
      </c>
      <c r="C571" s="538" t="str">
        <f>IFERROR(VLOOKUP(B571,'ПО КОРИСНИЦИМА'!$C$6:$J$15001,5,FALSE),"")</f>
        <v/>
      </c>
      <c r="D571" s="641">
        <f>SUMIF('ПО КОРИСНИЦИМА'!$G$6:$G$15001,"Свега за пројекат 0602-П27:",'ПО КОРИСНИЦИМА'!$H$6:$H$15001)</f>
        <v>0</v>
      </c>
      <c r="E571" s="634">
        <f t="shared" si="31"/>
        <v>0</v>
      </c>
      <c r="F571" s="642">
        <f>SUMIF('ПО КОРИСНИЦИМА'!$G$6:$G$15001,"Свега за пројекат 0602-П27:",'ПО КОРИСНИЦИМА'!$I$6:$I$15001)</f>
        <v>0</v>
      </c>
      <c r="G571" s="659">
        <f t="shared" si="30"/>
        <v>0</v>
      </c>
      <c r="H571" s="643"/>
    </row>
    <row r="572" spans="1:8" hidden="1" x14ac:dyDescent="0.2">
      <c r="A572" s="607"/>
      <c r="B572" s="90" t="s">
        <v>4866</v>
      </c>
      <c r="C572" s="538" t="str">
        <f>IFERROR(VLOOKUP(B572,'ПО КОРИСНИЦИМА'!$C$6:$J$15001,5,FALSE),"")</f>
        <v/>
      </c>
      <c r="D572" s="641">
        <f>SUMIF('ПО КОРИСНИЦИМА'!$G$6:$G$15001,"Свега за пројекат 0602-П28:",'ПО КОРИСНИЦИМА'!$H$6:$H$15001)</f>
        <v>0</v>
      </c>
      <c r="E572" s="634">
        <f t="shared" si="31"/>
        <v>0</v>
      </c>
      <c r="F572" s="642">
        <f>SUMIF('ПО КОРИСНИЦИМА'!$G$6:$G$15001,"Свега за пројекат 0602-П28:",'ПО КОРИСНИЦИМА'!$I$6:$I$15001)</f>
        <v>0</v>
      </c>
      <c r="G572" s="659">
        <f t="shared" si="30"/>
        <v>0</v>
      </c>
      <c r="H572" s="643"/>
    </row>
    <row r="573" spans="1:8" hidden="1" x14ac:dyDescent="0.2">
      <c r="A573" s="607"/>
      <c r="B573" s="90" t="s">
        <v>4867</v>
      </c>
      <c r="C573" s="538" t="str">
        <f>IFERROR(VLOOKUP(B573,'ПО КОРИСНИЦИМА'!$C$6:$J$15001,5,FALSE),"")</f>
        <v/>
      </c>
      <c r="D573" s="641">
        <f>SUMIF('ПО КОРИСНИЦИМА'!$G$6:$G$15001,"Свега за пројекат 0602-П29:",'ПО КОРИСНИЦИМА'!$H$6:$H$15001)</f>
        <v>0</v>
      </c>
      <c r="E573" s="634">
        <f t="shared" si="31"/>
        <v>0</v>
      </c>
      <c r="F573" s="642">
        <f>SUMIF('ПО КОРИСНИЦИМА'!$G$6:$G$15001,"Свега за пројекат 0602-П29:",'ПО КОРИСНИЦИМА'!$I$6:$I$15001)</f>
        <v>0</v>
      </c>
      <c r="G573" s="659">
        <f t="shared" si="30"/>
        <v>0</v>
      </c>
      <c r="H573" s="643"/>
    </row>
    <row r="574" spans="1:8" hidden="1" x14ac:dyDescent="0.2">
      <c r="A574" s="607"/>
      <c r="B574" s="90" t="s">
        <v>4868</v>
      </c>
      <c r="C574" s="538" t="str">
        <f>IFERROR(VLOOKUP(B574,'ПО КОРИСНИЦИМА'!$C$6:$J$15001,5,FALSE),"")</f>
        <v/>
      </c>
      <c r="D574" s="641">
        <f>SUMIF('ПО КОРИСНИЦИМА'!$G$6:$G$15001,"Свега за пројекат 0602-П30:",'ПО КОРИСНИЦИМА'!$H$6:$H$15001)</f>
        <v>0</v>
      </c>
      <c r="E574" s="634">
        <f t="shared" si="31"/>
        <v>0</v>
      </c>
      <c r="F574" s="642">
        <f>SUMIF('ПО КОРИСНИЦИМА'!$G$6:$G$15001,"Свега за пројекат 0602-П30:",'ПО КОРИСНИЦИМА'!$I$6:$I$15001)</f>
        <v>0</v>
      </c>
      <c r="G574" s="659">
        <f t="shared" si="30"/>
        <v>0</v>
      </c>
      <c r="H574" s="643"/>
    </row>
    <row r="575" spans="1:8" hidden="1" x14ac:dyDescent="0.2">
      <c r="A575" s="607"/>
      <c r="B575" s="90" t="s">
        <v>4869</v>
      </c>
      <c r="C575" s="538" t="str">
        <f>IFERROR(VLOOKUP(B575,'ПО КОРИСНИЦИМА'!$C$6:$J$15001,5,FALSE),"")</f>
        <v/>
      </c>
      <c r="D575" s="641">
        <f>SUMIF('ПО КОРИСНИЦИМА'!$G$6:$G$15001,"Свега за пројекат 0602-П31:",'ПО КОРИСНИЦИМА'!$H$6:$H$15001)</f>
        <v>0</v>
      </c>
      <c r="E575" s="634">
        <f t="shared" si="31"/>
        <v>0</v>
      </c>
      <c r="F575" s="642">
        <f>SUMIF('ПО КОРИСНИЦИМА'!$G$6:$G$15001,"Свега за пројекат 0602-П31:",'ПО КОРИСНИЦИМА'!$I$6:$I$15001)</f>
        <v>0</v>
      </c>
      <c r="G575" s="659">
        <f t="shared" si="30"/>
        <v>0</v>
      </c>
      <c r="H575" s="643"/>
    </row>
    <row r="576" spans="1:8" hidden="1" x14ac:dyDescent="0.2">
      <c r="A576" s="607"/>
      <c r="B576" s="90" t="s">
        <v>4870</v>
      </c>
      <c r="C576" s="538" t="str">
        <f>IFERROR(VLOOKUP(B576,'ПО КОРИСНИЦИМА'!$C$6:$J$15001,5,FALSE),"")</f>
        <v/>
      </c>
      <c r="D576" s="641">
        <f>SUMIF('ПО КОРИСНИЦИМА'!$G$6:$G$15001,"Свега за пројекат 0602-П32:",'ПО КОРИСНИЦИМА'!$H$6:$H$15001)</f>
        <v>0</v>
      </c>
      <c r="E576" s="634">
        <f t="shared" si="31"/>
        <v>0</v>
      </c>
      <c r="F576" s="642">
        <f>SUMIF('ПО КОРИСНИЦИМА'!$G$6:$G$15001,"Свега за пројекат 0602-П32:",'ПО КОРИСНИЦИМА'!$I$6:$I$15001)</f>
        <v>0</v>
      </c>
      <c r="G576" s="659">
        <f t="shared" si="30"/>
        <v>0</v>
      </c>
      <c r="H576" s="643"/>
    </row>
    <row r="577" spans="1:8" hidden="1" x14ac:dyDescent="0.2">
      <c r="A577" s="607"/>
      <c r="B577" s="90" t="s">
        <v>4871</v>
      </c>
      <c r="C577" s="538" t="str">
        <f>IFERROR(VLOOKUP(B577,'ПО КОРИСНИЦИМА'!$C$6:$J$15001,5,FALSE),"")</f>
        <v/>
      </c>
      <c r="D577" s="641">
        <f>SUMIF('ПО КОРИСНИЦИМА'!$G$6:$G$15001,"Свега за пројекат 0602-П33:",'ПО КОРИСНИЦИМА'!$H$6:$H$15001)</f>
        <v>0</v>
      </c>
      <c r="E577" s="634">
        <f t="shared" si="31"/>
        <v>0</v>
      </c>
      <c r="F577" s="642">
        <f>SUMIF('ПО КОРИСНИЦИМА'!$G$6:$G$15001,"Свега за пројекат 0602-П33:",'ПО КОРИСНИЦИМА'!$I$6:$I$15001)</f>
        <v>0</v>
      </c>
      <c r="G577" s="659">
        <f t="shared" si="30"/>
        <v>0</v>
      </c>
      <c r="H577" s="643"/>
    </row>
    <row r="578" spans="1:8" hidden="1" x14ac:dyDescent="0.2">
      <c r="A578" s="607"/>
      <c r="B578" s="90" t="s">
        <v>4872</v>
      </c>
      <c r="C578" s="538" t="str">
        <f>IFERROR(VLOOKUP(B578,'ПО КОРИСНИЦИМА'!$C$6:$J$15001,5,FALSE),"")</f>
        <v/>
      </c>
      <c r="D578" s="641">
        <f>SUMIF('ПО КОРИСНИЦИМА'!$G$6:$G$15001,"Свега за пројекат 0602-П34:",'ПО КОРИСНИЦИМА'!$H$6:$H$15001)</f>
        <v>0</v>
      </c>
      <c r="E578" s="634">
        <f t="shared" si="31"/>
        <v>0</v>
      </c>
      <c r="F578" s="642">
        <f>SUMIF('ПО КОРИСНИЦИМА'!$G$6:$G$15001,"Свега за пројекат 0602-П34:",'ПО КОРИСНИЦИМА'!$I$6:$I$15001)</f>
        <v>0</v>
      </c>
      <c r="G578" s="659">
        <f t="shared" si="30"/>
        <v>0</v>
      </c>
      <c r="H578" s="643"/>
    </row>
    <row r="579" spans="1:8" hidden="1" x14ac:dyDescent="0.2">
      <c r="A579" s="607"/>
      <c r="B579" s="90" t="s">
        <v>4873</v>
      </c>
      <c r="C579" s="538" t="str">
        <f>IFERROR(VLOOKUP(B579,'ПО КОРИСНИЦИМА'!$C$6:$J$15001,5,FALSE),"")</f>
        <v/>
      </c>
      <c r="D579" s="641">
        <f>SUMIF('ПО КОРИСНИЦИМА'!$G$6:$G$15001,"Свега за пројекат 0602-П35:",'ПО КОРИСНИЦИМА'!$H$6:$H$15001)</f>
        <v>0</v>
      </c>
      <c r="E579" s="634">
        <f t="shared" si="31"/>
        <v>0</v>
      </c>
      <c r="F579" s="642">
        <f>SUMIF('ПО КОРИСНИЦИМА'!$G$6:$G$15001,"Свега за пројекат 0602-П35:",'ПО КОРИСНИЦИМА'!$I$6:$I$15001)</f>
        <v>0</v>
      </c>
      <c r="G579" s="659">
        <f t="shared" si="30"/>
        <v>0</v>
      </c>
      <c r="H579" s="643"/>
    </row>
    <row r="580" spans="1:8" hidden="1" x14ac:dyDescent="0.2">
      <c r="A580" s="607"/>
      <c r="B580" s="90" t="s">
        <v>4874</v>
      </c>
      <c r="C580" s="538" t="str">
        <f>IFERROR(VLOOKUP(B580,'ПО КОРИСНИЦИМА'!$C$6:$J$15001,5,FALSE),"")</f>
        <v/>
      </c>
      <c r="D580" s="641">
        <f>SUMIF('ПО КОРИСНИЦИМА'!$G$6:$G$15001,"Свега за пројекат 0602-П36:",'ПО КОРИСНИЦИМА'!$H$6:$H$15001)</f>
        <v>0</v>
      </c>
      <c r="E580" s="634">
        <f t="shared" si="31"/>
        <v>0</v>
      </c>
      <c r="F580" s="642">
        <f>SUMIF('ПО КОРИСНИЦИМА'!$G$6:$G$15001,"Свега за пројекат 0602-П36:",'ПО КОРИСНИЦИМА'!$I$6:$I$15001)</f>
        <v>0</v>
      </c>
      <c r="G580" s="659">
        <f t="shared" si="30"/>
        <v>0</v>
      </c>
      <c r="H580" s="643"/>
    </row>
    <row r="581" spans="1:8" hidden="1" x14ac:dyDescent="0.2">
      <c r="A581" s="607"/>
      <c r="B581" s="90" t="s">
        <v>4875</v>
      </c>
      <c r="C581" s="538" t="str">
        <f>IFERROR(VLOOKUP(B581,'ПО КОРИСНИЦИМА'!$C$6:$J$15001,5,FALSE),"")</f>
        <v/>
      </c>
      <c r="D581" s="641">
        <f>SUMIF('ПО КОРИСНИЦИМА'!$G$6:$G$15001,"Свега за пројекат 0602-П37:",'ПО КОРИСНИЦИМА'!$H$6:$H$15001)</f>
        <v>0</v>
      </c>
      <c r="E581" s="634">
        <f t="shared" si="31"/>
        <v>0</v>
      </c>
      <c r="F581" s="642">
        <f>SUMIF('ПО КОРИСНИЦИМА'!$G$6:$G$15001,"Свега за пројекат 0602-П37:",'ПО КОРИСНИЦИМА'!$I$6:$I$15001)</f>
        <v>0</v>
      </c>
      <c r="G581" s="659">
        <f t="shared" si="30"/>
        <v>0</v>
      </c>
      <c r="H581" s="643"/>
    </row>
    <row r="582" spans="1:8" hidden="1" x14ac:dyDescent="0.2">
      <c r="A582" s="607"/>
      <c r="B582" s="90" t="s">
        <v>4876</v>
      </c>
      <c r="C582" s="538" t="str">
        <f>IFERROR(VLOOKUP(B582,'ПО КОРИСНИЦИМА'!$C$6:$J$15001,5,FALSE),"")</f>
        <v/>
      </c>
      <c r="D582" s="641">
        <f>SUMIF('ПО КОРИСНИЦИМА'!$G$6:$G$15001,"Свега за пројекат 0602-П38:",'ПО КОРИСНИЦИМА'!$H$6:$H$15001)</f>
        <v>0</v>
      </c>
      <c r="E582" s="634">
        <f t="shared" si="31"/>
        <v>0</v>
      </c>
      <c r="F582" s="642">
        <f>SUMIF('ПО КОРИСНИЦИМА'!$G$6:$G$15001,"Свега за пројекат 0602-П38:",'ПО КОРИСНИЦИМА'!$I$6:$I$15001)</f>
        <v>0</v>
      </c>
      <c r="G582" s="659">
        <f t="shared" si="30"/>
        <v>0</v>
      </c>
      <c r="H582" s="643"/>
    </row>
    <row r="583" spans="1:8" hidden="1" x14ac:dyDescent="0.2">
      <c r="A583" s="607"/>
      <c r="B583" s="90" t="s">
        <v>4877</v>
      </c>
      <c r="C583" s="538" t="str">
        <f>IFERROR(VLOOKUP(B583,'ПО КОРИСНИЦИМА'!$C$6:$J$15001,5,FALSE),"")</f>
        <v/>
      </c>
      <c r="D583" s="641">
        <f>SUMIF('ПО КОРИСНИЦИМА'!$G$6:$G$15001,"Свега за пројекат 0602-П39:",'ПО КОРИСНИЦИМА'!$H$6:$H$15001)</f>
        <v>0</v>
      </c>
      <c r="E583" s="634">
        <f t="shared" si="31"/>
        <v>0</v>
      </c>
      <c r="F583" s="642">
        <f>SUMIF('ПО КОРИСНИЦИМА'!$G$6:$G$15001,"Свега за пројекат 0602-П39:",'ПО КОРИСНИЦИМА'!$I$6:$I$15001)</f>
        <v>0</v>
      </c>
      <c r="G583" s="659">
        <f t="shared" si="30"/>
        <v>0</v>
      </c>
      <c r="H583" s="643"/>
    </row>
    <row r="584" spans="1:8" hidden="1" x14ac:dyDescent="0.2">
      <c r="A584" s="607"/>
      <c r="B584" s="90" t="s">
        <v>4878</v>
      </c>
      <c r="C584" s="538" t="str">
        <f>IFERROR(VLOOKUP(B584,'ПО КОРИСНИЦИМА'!$C$6:$J$15001,5,FALSE),"")</f>
        <v/>
      </c>
      <c r="D584" s="641">
        <f>SUMIF('ПО КОРИСНИЦИМА'!$G$6:$G$15001,"Свега за пројекат 0602-П40:",'ПО КОРИСНИЦИМА'!$H$6:$H$15001)</f>
        <v>0</v>
      </c>
      <c r="E584" s="634">
        <f t="shared" si="31"/>
        <v>0</v>
      </c>
      <c r="F584" s="642">
        <f>SUMIF('ПО КОРИСНИЦИМА'!$G$6:$G$15001,"Свега за пројекат 0602-П40:",'ПО КОРИСНИЦИМА'!$I$6:$I$15001)</f>
        <v>0</v>
      </c>
      <c r="G584" s="659">
        <f t="shared" si="30"/>
        <v>0</v>
      </c>
      <c r="H584" s="643"/>
    </row>
    <row r="585" spans="1:8" hidden="1" x14ac:dyDescent="0.2">
      <c r="A585" s="607"/>
      <c r="B585" s="90" t="s">
        <v>4879</v>
      </c>
      <c r="C585" s="538" t="str">
        <f>IFERROR(VLOOKUP(B585,'ПО КОРИСНИЦИМА'!$C$6:$J$15001,5,FALSE),"")</f>
        <v/>
      </c>
      <c r="D585" s="641">
        <f>SUMIF('ПО КОРИСНИЦИМА'!$G$6:$G$15001,"Свега за пројекат 0602-П41:",'ПО КОРИСНИЦИМА'!$H$6:$H$15001)</f>
        <v>0</v>
      </c>
      <c r="E585" s="634">
        <f t="shared" si="31"/>
        <v>0</v>
      </c>
      <c r="F585" s="642">
        <f>SUMIF('ПО КОРИСНИЦИМА'!$G$6:$G$15001,"Свега за пројекат 0602-П41:",'ПО КОРИСНИЦИМА'!$I$6:$I$15001)</f>
        <v>0</v>
      </c>
      <c r="G585" s="659">
        <f t="shared" si="30"/>
        <v>0</v>
      </c>
      <c r="H585" s="643"/>
    </row>
    <row r="586" spans="1:8" hidden="1" x14ac:dyDescent="0.2">
      <c r="A586" s="607"/>
      <c r="B586" s="90" t="s">
        <v>4880</v>
      </c>
      <c r="C586" s="538" t="str">
        <f>IFERROR(VLOOKUP(B586,'ПО КОРИСНИЦИМА'!$C$6:$J$15001,5,FALSE),"")</f>
        <v/>
      </c>
      <c r="D586" s="641">
        <f>SUMIF('ПО КОРИСНИЦИМА'!$G$6:$G$15001,"Свега за пројекат 0602-П42:",'ПО КОРИСНИЦИМА'!$H$6:$H$15001)</f>
        <v>0</v>
      </c>
      <c r="E586" s="634">
        <f t="shared" si="31"/>
        <v>0</v>
      </c>
      <c r="F586" s="642">
        <f>SUMIF('ПО КОРИСНИЦИМА'!$G$6:$G$15001,"Свега за пројекат 0602-П42:",'ПО КОРИСНИЦИМА'!$I$6:$I$15001)</f>
        <v>0</v>
      </c>
      <c r="G586" s="659">
        <f t="shared" si="30"/>
        <v>0</v>
      </c>
      <c r="H586" s="643"/>
    </row>
    <row r="587" spans="1:8" hidden="1" x14ac:dyDescent="0.2">
      <c r="A587" s="607"/>
      <c r="B587" s="90" t="s">
        <v>4881</v>
      </c>
      <c r="C587" s="538" t="str">
        <f>IFERROR(VLOOKUP(B587,'ПО КОРИСНИЦИМА'!$C$6:$J$15001,5,FALSE),"")</f>
        <v/>
      </c>
      <c r="D587" s="641">
        <f>SUMIF('ПО КОРИСНИЦИМА'!$G$6:$G$15001,"Свега за пројекат 0602-П43:",'ПО КОРИСНИЦИМА'!$H$6:$H$15001)</f>
        <v>0</v>
      </c>
      <c r="E587" s="634">
        <f t="shared" si="31"/>
        <v>0</v>
      </c>
      <c r="F587" s="642">
        <f>SUMIF('ПО КОРИСНИЦИМА'!$G$6:$G$15001,"Свега за пројекат 0602-П43:",'ПО КОРИСНИЦИМА'!$I$6:$I$15001)</f>
        <v>0</v>
      </c>
      <c r="G587" s="659">
        <f t="shared" si="30"/>
        <v>0</v>
      </c>
      <c r="H587" s="643"/>
    </row>
    <row r="588" spans="1:8" hidden="1" x14ac:dyDescent="0.2">
      <c r="A588" s="607"/>
      <c r="B588" s="90" t="s">
        <v>4882</v>
      </c>
      <c r="C588" s="538" t="str">
        <f>IFERROR(VLOOKUP(B588,'ПО КОРИСНИЦИМА'!$C$6:$J$15001,5,FALSE),"")</f>
        <v/>
      </c>
      <c r="D588" s="641">
        <f>SUMIF('ПО КОРИСНИЦИМА'!$G$6:$G$15001,"Свега за пројекат 0602-П44:",'ПО КОРИСНИЦИМА'!$H$6:$H$15001)</f>
        <v>0</v>
      </c>
      <c r="E588" s="634">
        <f t="shared" si="31"/>
        <v>0</v>
      </c>
      <c r="F588" s="642">
        <f>SUMIF('ПО КОРИСНИЦИМА'!$G$6:$G$15001,"Свега за пројекат 0602-П44:",'ПО КОРИСНИЦИМА'!$I$6:$I$15001)</f>
        <v>0</v>
      </c>
      <c r="G588" s="659">
        <f t="shared" si="30"/>
        <v>0</v>
      </c>
      <c r="H588" s="643"/>
    </row>
    <row r="589" spans="1:8" hidden="1" x14ac:dyDescent="0.2">
      <c r="A589" s="607"/>
      <c r="B589" s="90" t="s">
        <v>4883</v>
      </c>
      <c r="C589" s="538" t="str">
        <f>IFERROR(VLOOKUP(B589,'ПО КОРИСНИЦИМА'!$C$6:$J$15001,5,FALSE),"")</f>
        <v/>
      </c>
      <c r="D589" s="641">
        <f>SUMIF('ПО КОРИСНИЦИМА'!$G$6:$G$15001,"Свега за пројекат 0602-П45:",'ПО КОРИСНИЦИМА'!$H$6:$H$15001)</f>
        <v>0</v>
      </c>
      <c r="E589" s="634">
        <f t="shared" si="31"/>
        <v>0</v>
      </c>
      <c r="F589" s="642">
        <f>SUMIF('ПО КОРИСНИЦИМА'!$G$6:$G$15001,"Свега за пројекат 0602-П45:",'ПО КОРИСНИЦИМА'!$I$6:$I$15001)</f>
        <v>0</v>
      </c>
      <c r="G589" s="659">
        <f t="shared" si="30"/>
        <v>0</v>
      </c>
      <c r="H589" s="643"/>
    </row>
    <row r="590" spans="1:8" hidden="1" x14ac:dyDescent="0.2">
      <c r="A590" s="607"/>
      <c r="B590" s="90" t="s">
        <v>4884</v>
      </c>
      <c r="C590" s="538" t="str">
        <f>IFERROR(VLOOKUP(B590,'ПО КОРИСНИЦИМА'!$C$6:$J$15001,5,FALSE),"")</f>
        <v/>
      </c>
      <c r="D590" s="641">
        <f>SUMIF('ПО КОРИСНИЦИМА'!$G$6:$G$15001,"Свега за пројекат 0602-П46:",'ПО КОРИСНИЦИМА'!$H$6:$H$15001)</f>
        <v>0</v>
      </c>
      <c r="E590" s="634">
        <f t="shared" si="31"/>
        <v>0</v>
      </c>
      <c r="F590" s="642">
        <f>SUMIF('ПО КОРИСНИЦИМА'!$G$6:$G$15001,"Свега за пројекат 0602-П46:",'ПО КОРИСНИЦИМА'!$I$6:$I$15001)</f>
        <v>0</v>
      </c>
      <c r="G590" s="659">
        <f t="shared" si="30"/>
        <v>0</v>
      </c>
      <c r="H590" s="643"/>
    </row>
    <row r="591" spans="1:8" hidden="1" x14ac:dyDescent="0.2">
      <c r="A591" s="607"/>
      <c r="B591" s="90" t="s">
        <v>4885</v>
      </c>
      <c r="C591" s="538" t="str">
        <f>IFERROR(VLOOKUP(B591,'ПО КОРИСНИЦИМА'!$C$6:$J$15001,5,FALSE),"")</f>
        <v/>
      </c>
      <c r="D591" s="641">
        <f>SUMIF('ПО КОРИСНИЦИМА'!$G$6:$G$15001,"Свега за пројекат 0602-П47:",'ПО КОРИСНИЦИМА'!$H$6:$H$15001)</f>
        <v>0</v>
      </c>
      <c r="E591" s="634">
        <f t="shared" si="31"/>
        <v>0</v>
      </c>
      <c r="F591" s="642">
        <f>SUMIF('ПО КОРИСНИЦИМА'!$G$6:$G$15001,"Свега за пројекат 0602-П47:",'ПО КОРИСНИЦИМА'!$I$6:$I$15001)</f>
        <v>0</v>
      </c>
      <c r="G591" s="659">
        <f t="shared" si="30"/>
        <v>0</v>
      </c>
      <c r="H591" s="643"/>
    </row>
    <row r="592" spans="1:8" hidden="1" x14ac:dyDescent="0.2">
      <c r="A592" s="607"/>
      <c r="B592" s="90" t="s">
        <v>4886</v>
      </c>
      <c r="C592" s="538" t="str">
        <f>IFERROR(VLOOKUP(B592,'ПО КОРИСНИЦИМА'!$C$6:$J$15001,5,FALSE),"")</f>
        <v/>
      </c>
      <c r="D592" s="641">
        <f>SUMIF('ПО КОРИСНИЦИМА'!$G$6:$G$15001,"Свега за пројекат 0602-П48:",'ПО КОРИСНИЦИМА'!$H$6:$H$15001)</f>
        <v>0</v>
      </c>
      <c r="E592" s="634">
        <f t="shared" si="31"/>
        <v>0</v>
      </c>
      <c r="F592" s="642">
        <f>SUMIF('ПО КОРИСНИЦИМА'!$G$6:$G$15001,"Свега за пројекат 0602-П48:",'ПО КОРИСНИЦИМА'!$I$6:$I$15001)</f>
        <v>0</v>
      </c>
      <c r="G592" s="659">
        <f t="shared" si="30"/>
        <v>0</v>
      </c>
      <c r="H592" s="643"/>
    </row>
    <row r="593" spans="1:8" hidden="1" x14ac:dyDescent="0.2">
      <c r="A593" s="607"/>
      <c r="B593" s="90" t="s">
        <v>4887</v>
      </c>
      <c r="C593" s="538" t="str">
        <f>IFERROR(VLOOKUP(B593,'ПО КОРИСНИЦИМА'!$C$6:$J$15001,5,FALSE),"")</f>
        <v/>
      </c>
      <c r="D593" s="641">
        <f>SUMIF('ПО КОРИСНИЦИМА'!$G$6:$G$15001,"Свега за пројекат 0602-П49:",'ПО КОРИСНИЦИМА'!$H$6:$H$15001)</f>
        <v>0</v>
      </c>
      <c r="E593" s="634">
        <f t="shared" si="31"/>
        <v>0</v>
      </c>
      <c r="F593" s="642">
        <f>SUMIF('ПО КОРИСНИЦИМА'!$G$6:$G$15001,"Свега за пројекат 0602-П49:",'ПО КОРИСНИЦИМА'!$I$6:$I$15001)</f>
        <v>0</v>
      </c>
      <c r="G593" s="659">
        <f t="shared" si="30"/>
        <v>0</v>
      </c>
      <c r="H593" s="643"/>
    </row>
    <row r="594" spans="1:8" hidden="1" x14ac:dyDescent="0.2">
      <c r="A594" s="607"/>
      <c r="B594" s="90" t="s">
        <v>4888</v>
      </c>
      <c r="C594" s="538" t="str">
        <f>IFERROR(VLOOKUP(B594,'ПО КОРИСНИЦИМА'!$C$6:$J$15001,5,FALSE),"")</f>
        <v/>
      </c>
      <c r="D594" s="641">
        <f>SUMIF('ПО КОРИСНИЦИМА'!$G$6:$G$15001,"Свега за пројекат 0602-П50:",'ПО КОРИСНИЦИМА'!$H$6:$H$15001)</f>
        <v>0</v>
      </c>
      <c r="E594" s="634">
        <f t="shared" si="31"/>
        <v>0</v>
      </c>
      <c r="F594" s="642">
        <f>SUMIF('ПО КОРИСНИЦИМА'!$G$6:$G$15001,"Свега за пројекат 0602-П50:",'ПО КОРИСНИЦИМА'!$I$6:$I$15001)</f>
        <v>0</v>
      </c>
      <c r="G594" s="659">
        <f t="shared" si="30"/>
        <v>0</v>
      </c>
      <c r="H594" s="643"/>
    </row>
    <row r="595" spans="1:8" hidden="1" x14ac:dyDescent="0.2">
      <c r="A595" s="607"/>
      <c r="B595" s="90" t="s">
        <v>4889</v>
      </c>
      <c r="C595" s="538" t="str">
        <f>IFERROR(VLOOKUP(B595,'ПО КОРИСНИЦИМА'!$C$6:$J$15001,5,FALSE),"")</f>
        <v/>
      </c>
      <c r="D595" s="641">
        <f>SUMIF('ПО КОРИСНИЦИМА'!$G$6:$G$15001,"Свега за пројекат 0602-П51:",'ПО КОРИСНИЦИМА'!$H$6:$H$15001)</f>
        <v>0</v>
      </c>
      <c r="E595" s="634">
        <f t="shared" si="31"/>
        <v>0</v>
      </c>
      <c r="F595" s="642">
        <f>SUMIF('ПО КОРИСНИЦИМА'!$G$6:$G$15001,"Свега за пројекат 0602-П51:",'ПО КОРИСНИЦИМА'!$I$6:$I$15001)</f>
        <v>0</v>
      </c>
      <c r="G595" s="659">
        <f t="shared" si="30"/>
        <v>0</v>
      </c>
      <c r="H595" s="643"/>
    </row>
    <row r="596" spans="1:8" hidden="1" x14ac:dyDescent="0.2">
      <c r="A596" s="607"/>
      <c r="B596" s="90" t="s">
        <v>4890</v>
      </c>
      <c r="C596" s="538" t="str">
        <f>IFERROR(VLOOKUP(B596,'ПО КОРИСНИЦИМА'!$C$6:$J$15001,5,FALSE),"")</f>
        <v/>
      </c>
      <c r="D596" s="641">
        <f>SUMIF('ПО КОРИСНИЦИМА'!$G$6:$G$15001,"Свега за пројекат 0602-П52:",'ПО КОРИСНИЦИМА'!$H$6:$H$15001)</f>
        <v>0</v>
      </c>
      <c r="E596" s="634">
        <f t="shared" si="31"/>
        <v>0</v>
      </c>
      <c r="F596" s="642">
        <f>SUMIF('ПО КОРИСНИЦИМА'!$G$6:$G$15001,"Свега за пројекат 0602-П52:",'ПО КОРИСНИЦИМА'!$I$6:$I$15001)</f>
        <v>0</v>
      </c>
      <c r="G596" s="659">
        <f t="shared" si="30"/>
        <v>0</v>
      </c>
      <c r="H596" s="643"/>
    </row>
    <row r="597" spans="1:8" hidden="1" x14ac:dyDescent="0.2">
      <c r="A597" s="607"/>
      <c r="B597" s="90" t="s">
        <v>4891</v>
      </c>
      <c r="C597" s="538" t="str">
        <f>IFERROR(VLOOKUP(B597,'ПО КОРИСНИЦИМА'!$C$6:$J$15001,5,FALSE),"")</f>
        <v/>
      </c>
      <c r="D597" s="641">
        <f>SUMIF('ПО КОРИСНИЦИМА'!$G$6:$G$15001,"Свега за пројекат 0602-П53:",'ПО КОРИСНИЦИМА'!$H$6:$H$15001)</f>
        <v>0</v>
      </c>
      <c r="E597" s="634">
        <f t="shared" si="31"/>
        <v>0</v>
      </c>
      <c r="F597" s="642">
        <f>SUMIF('ПО КОРИСНИЦИМА'!$G$6:$G$15001,"Свега за пројекат 0602-П53:",'ПО КОРИСНИЦИМА'!$I$6:$I$15001)</f>
        <v>0</v>
      </c>
      <c r="G597" s="659">
        <f t="shared" si="30"/>
        <v>0</v>
      </c>
      <c r="H597" s="643"/>
    </row>
    <row r="598" spans="1:8" hidden="1" x14ac:dyDescent="0.2">
      <c r="A598" s="607"/>
      <c r="B598" s="90" t="s">
        <v>4892</v>
      </c>
      <c r="C598" s="538" t="str">
        <f>IFERROR(VLOOKUP(B598,'ПО КОРИСНИЦИМА'!$C$6:$J$15001,5,FALSE),"")</f>
        <v/>
      </c>
      <c r="D598" s="641">
        <f>SUMIF('ПО КОРИСНИЦИМА'!$G$6:$G$15001,"Свега за пројекат 0602-П54:",'ПО КОРИСНИЦИМА'!$H$6:$H$15001)</f>
        <v>0</v>
      </c>
      <c r="E598" s="634">
        <f t="shared" si="31"/>
        <v>0</v>
      </c>
      <c r="F598" s="642">
        <f>SUMIF('ПО КОРИСНИЦИМА'!$G$6:$G$15001,"Свега за пројекат 0602-П54:",'ПО КОРИСНИЦИМА'!$I$6:$I$15001)</f>
        <v>0</v>
      </c>
      <c r="G598" s="659">
        <f t="shared" si="30"/>
        <v>0</v>
      </c>
      <c r="H598" s="643"/>
    </row>
    <row r="599" spans="1:8" hidden="1" x14ac:dyDescent="0.2">
      <c r="A599" s="607"/>
      <c r="B599" s="90" t="s">
        <v>4893</v>
      </c>
      <c r="C599" s="538" t="str">
        <f>IFERROR(VLOOKUP(B599,'ПО КОРИСНИЦИМА'!$C$6:$J$15001,5,FALSE),"")</f>
        <v/>
      </c>
      <c r="D599" s="641">
        <f>SUMIF('ПО КОРИСНИЦИМА'!$G$6:$G$15001,"Свега за пројекат 0602-П55:",'ПО КОРИСНИЦИМА'!$H$6:$H$15001)</f>
        <v>0</v>
      </c>
      <c r="E599" s="634">
        <f t="shared" ref="E599" si="32">IFERROR(D599/$D$615,"-")</f>
        <v>0</v>
      </c>
      <c r="F599" s="642">
        <f>SUMIF('ПО КОРИСНИЦИМА'!$G$6:$G$15001,"Свега за пројекат 0602-П55:",'ПО КОРИСНИЦИМА'!$I$6:$I$15001)</f>
        <v>0</v>
      </c>
      <c r="G599" s="659">
        <f t="shared" si="30"/>
        <v>0</v>
      </c>
      <c r="H599" s="643"/>
    </row>
    <row r="600" spans="1:8" hidden="1" x14ac:dyDescent="0.2">
      <c r="A600" s="607"/>
      <c r="B600" s="90" t="s">
        <v>4894</v>
      </c>
      <c r="C600" s="538" t="str">
        <f>IFERROR(VLOOKUP(B600,'ПО КОРИСНИЦИМА'!$C$6:$J$15001,5,FALSE),"")</f>
        <v/>
      </c>
      <c r="D600" s="641">
        <f>SUMIF('ПО КОРИСНИЦИМА'!$G$6:$G$15001,"Свега за пројекат 0602-П56:",'ПО КОРИСНИЦИМА'!$H$6:$H$15001)</f>
        <v>0</v>
      </c>
      <c r="E600" s="634">
        <f t="shared" ref="E600:E614" si="33">IFERROR(D600/$D$615,"-")</f>
        <v>0</v>
      </c>
      <c r="F600" s="642">
        <f>SUMIF('ПО КОРИСНИЦИМА'!$G$6:$G$15001,"Свега за пројекат 0602-П56:",'ПО КОРИСНИЦИМА'!$I$6:$I$15001)</f>
        <v>0</v>
      </c>
      <c r="G600" s="659">
        <f t="shared" si="30"/>
        <v>0</v>
      </c>
      <c r="H600" s="643"/>
    </row>
    <row r="601" spans="1:8" hidden="1" x14ac:dyDescent="0.2">
      <c r="A601" s="607"/>
      <c r="B601" s="90" t="s">
        <v>4895</v>
      </c>
      <c r="C601" s="538" t="str">
        <f>IFERROR(VLOOKUP(B601,'ПО КОРИСНИЦИМА'!$C$6:$J$15001,5,FALSE),"")</f>
        <v/>
      </c>
      <c r="D601" s="641">
        <f>SUMIF('ПО КОРИСНИЦИМА'!$G$6:$G$15001,"Свега за пројекат 0602-П57:",'ПО КОРИСНИЦИМА'!$H$6:$H$15001)</f>
        <v>0</v>
      </c>
      <c r="E601" s="634">
        <f t="shared" si="33"/>
        <v>0</v>
      </c>
      <c r="F601" s="642">
        <f>SUMIF('ПО КОРИСНИЦИМА'!$G$6:$G$15001,"Свега за пројекат 0602-П57:",'ПО КОРИСНИЦИМА'!$I$6:$I$15001)</f>
        <v>0</v>
      </c>
      <c r="G601" s="659">
        <f t="shared" si="30"/>
        <v>0</v>
      </c>
      <c r="H601" s="643"/>
    </row>
    <row r="602" spans="1:8" hidden="1" x14ac:dyDescent="0.2">
      <c r="A602" s="607"/>
      <c r="B602" s="90" t="s">
        <v>4896</v>
      </c>
      <c r="C602" s="538" t="str">
        <f>IFERROR(VLOOKUP(B602,'ПО КОРИСНИЦИМА'!$C$6:$J$15001,5,FALSE),"")</f>
        <v/>
      </c>
      <c r="D602" s="641">
        <f>SUMIF('ПО КОРИСНИЦИМА'!$G$6:$G$15001,"Свега за пројекат 0602-П58:",'ПО КОРИСНИЦИМА'!$H$6:$H$15001)</f>
        <v>0</v>
      </c>
      <c r="E602" s="634">
        <f t="shared" si="33"/>
        <v>0</v>
      </c>
      <c r="F602" s="642">
        <f>SUMIF('ПО КОРИСНИЦИМА'!$G$6:$G$15001,"Свега за пројекат 0602-П58:",'ПО КОРИСНИЦИМА'!$I$6:$I$15001)</f>
        <v>0</v>
      </c>
      <c r="G602" s="659">
        <f t="shared" si="30"/>
        <v>0</v>
      </c>
      <c r="H602" s="643"/>
    </row>
    <row r="603" spans="1:8" hidden="1" x14ac:dyDescent="0.2">
      <c r="A603" s="607"/>
      <c r="B603" s="90" t="s">
        <v>4897</v>
      </c>
      <c r="C603" s="538" t="str">
        <f>IFERROR(VLOOKUP(B603,'ПО КОРИСНИЦИМА'!$C$6:$J$15001,5,FALSE),"")</f>
        <v/>
      </c>
      <c r="D603" s="641">
        <f>SUMIF('ПО КОРИСНИЦИМА'!$G$6:$G$15001,"Свега за пројекат 0602-П59:",'ПО КОРИСНИЦИМА'!$H$6:$H$15001)</f>
        <v>0</v>
      </c>
      <c r="E603" s="634">
        <f t="shared" si="33"/>
        <v>0</v>
      </c>
      <c r="F603" s="642">
        <f>SUMIF('ПО КОРИСНИЦИМА'!$G$6:$G$15001,"Свега за пројекат 0602-П59:",'ПО КОРИСНИЦИМА'!$I$6:$I$15001)</f>
        <v>0</v>
      </c>
      <c r="G603" s="659">
        <f t="shared" si="30"/>
        <v>0</v>
      </c>
      <c r="H603" s="643"/>
    </row>
    <row r="604" spans="1:8" hidden="1" x14ac:dyDescent="0.2">
      <c r="A604" s="607"/>
      <c r="B604" s="90" t="s">
        <v>4898</v>
      </c>
      <c r="C604" s="538" t="str">
        <f>IFERROR(VLOOKUP(B604,'ПО КОРИСНИЦИМА'!$C$6:$J$15001,5,FALSE),"")</f>
        <v/>
      </c>
      <c r="D604" s="641">
        <f>SUMIF('ПО КОРИСНИЦИМА'!$G$6:$G$15001,"Свега за пројекат 0602-П60:",'ПО КОРИСНИЦИМА'!$H$6:$H$15001)</f>
        <v>0</v>
      </c>
      <c r="E604" s="634">
        <f t="shared" si="33"/>
        <v>0</v>
      </c>
      <c r="F604" s="642">
        <f>SUMIF('ПО КОРИСНИЦИМА'!$G$6:$G$15001,"Свега за пројекат 0602-П60:",'ПО КОРИСНИЦИМА'!$I$6:$I$15001)</f>
        <v>0</v>
      </c>
      <c r="G604" s="659">
        <f t="shared" si="30"/>
        <v>0</v>
      </c>
      <c r="H604" s="643"/>
    </row>
    <row r="605" spans="1:8" hidden="1" x14ac:dyDescent="0.2">
      <c r="A605" s="607"/>
      <c r="B605" s="90" t="s">
        <v>4899</v>
      </c>
      <c r="C605" s="538" t="str">
        <f>IFERROR(VLOOKUP(B605,'ПО КОРИСНИЦИМА'!$C$6:$J$15001,5,FALSE),"")</f>
        <v/>
      </c>
      <c r="D605" s="641">
        <f>SUMIF('ПО КОРИСНИЦИМА'!$G$6:$G$15001,"Свега за пројекат 0602-П61:",'ПО КОРИСНИЦИМА'!$H$6:$H$15001)</f>
        <v>0</v>
      </c>
      <c r="E605" s="634">
        <f t="shared" si="33"/>
        <v>0</v>
      </c>
      <c r="F605" s="642">
        <f>SUMIF('ПО КОРИСНИЦИМА'!$G$6:$G$15001,"Свега за пројекат 0602-П61:",'ПО КОРИСНИЦИМА'!$I$6:$I$15001)</f>
        <v>0</v>
      </c>
      <c r="G605" s="659">
        <f t="shared" si="30"/>
        <v>0</v>
      </c>
      <c r="H605" s="643"/>
    </row>
    <row r="606" spans="1:8" hidden="1" x14ac:dyDescent="0.2">
      <c r="A606" s="607"/>
      <c r="B606" s="90" t="s">
        <v>4900</v>
      </c>
      <c r="C606" s="538" t="str">
        <f>IFERROR(VLOOKUP(B606,'ПО КОРИСНИЦИМА'!$C$6:$J$15001,5,FALSE),"")</f>
        <v/>
      </c>
      <c r="D606" s="641">
        <f>SUMIF('ПО КОРИСНИЦИМА'!$G$6:$G$15001,"Свега за пројекат 0602-П62:",'ПО КОРИСНИЦИМА'!$H$6:$H$15001)</f>
        <v>0</v>
      </c>
      <c r="E606" s="634">
        <f t="shared" si="33"/>
        <v>0</v>
      </c>
      <c r="F606" s="642">
        <f>SUMIF('ПО КОРИСНИЦИМА'!$G$6:$G$15001,"Свега за пројекат 0602-П62:",'ПО КОРИСНИЦИМА'!$I$6:$I$15001)</f>
        <v>0</v>
      </c>
      <c r="G606" s="659">
        <f t="shared" si="30"/>
        <v>0</v>
      </c>
      <c r="H606" s="643"/>
    </row>
    <row r="607" spans="1:8" hidden="1" x14ac:dyDescent="0.2">
      <c r="A607" s="607"/>
      <c r="B607" s="90" t="s">
        <v>4901</v>
      </c>
      <c r="C607" s="538" t="str">
        <f>IFERROR(VLOOKUP(B607,'ПО КОРИСНИЦИМА'!$C$6:$J$15001,5,FALSE),"")</f>
        <v/>
      </c>
      <c r="D607" s="641">
        <f>SUMIF('ПО КОРИСНИЦИМА'!$G$6:$G$15001,"Свега за пројекат 0602-П63:",'ПО КОРИСНИЦИМА'!$H$6:$H$15001)</f>
        <v>0</v>
      </c>
      <c r="E607" s="634">
        <f t="shared" si="33"/>
        <v>0</v>
      </c>
      <c r="F607" s="642">
        <f>SUMIF('ПО КОРИСНИЦИМА'!$G$6:$G$15001,"Свега за пројекат 0602-П63:",'ПО КОРИСНИЦИМА'!$I$6:$I$15001)</f>
        <v>0</v>
      </c>
      <c r="G607" s="659">
        <f t="shared" si="30"/>
        <v>0</v>
      </c>
      <c r="H607" s="643"/>
    </row>
    <row r="608" spans="1:8" hidden="1" x14ac:dyDescent="0.2">
      <c r="A608" s="607"/>
      <c r="B608" s="90" t="s">
        <v>4902</v>
      </c>
      <c r="C608" s="538" t="str">
        <f>IFERROR(VLOOKUP(B608,'ПО КОРИСНИЦИМА'!$C$6:$J$15001,5,FALSE),"")</f>
        <v/>
      </c>
      <c r="D608" s="641">
        <f>SUMIF('ПО КОРИСНИЦИМА'!$G$6:$G$15001,"Свега за пројекат 0602-П64:",'ПО КОРИСНИЦИМА'!$H$6:$H$15001)</f>
        <v>0</v>
      </c>
      <c r="E608" s="634">
        <f t="shared" si="33"/>
        <v>0</v>
      </c>
      <c r="F608" s="642">
        <f>SUMIF('ПО КОРИСНИЦИМА'!$G$6:$G$15001,"Свега за пројекат 0602-П64:",'ПО КОРИСНИЦИМА'!$I$6:$I$15001)</f>
        <v>0</v>
      </c>
      <c r="G608" s="659">
        <f t="shared" si="30"/>
        <v>0</v>
      </c>
      <c r="H608" s="643"/>
    </row>
    <row r="609" spans="1:8" hidden="1" x14ac:dyDescent="0.2">
      <c r="A609" s="607"/>
      <c r="B609" s="90" t="s">
        <v>4903</v>
      </c>
      <c r="C609" s="538" t="str">
        <f>IFERROR(VLOOKUP(B609,'ПО КОРИСНИЦИМА'!$C$6:$J$15001,5,FALSE),"")</f>
        <v/>
      </c>
      <c r="D609" s="641">
        <f>SUMIF('ПО КОРИСНИЦИМА'!$G$6:$G$15001,"Свега за пројекат 0602-П65:",'ПО КОРИСНИЦИМА'!$H$6:$H$15001)</f>
        <v>0</v>
      </c>
      <c r="E609" s="634">
        <f t="shared" si="33"/>
        <v>0</v>
      </c>
      <c r="F609" s="642">
        <f>SUMIF('ПО КОРИСНИЦИМА'!$G$6:$G$15001,"Свега за пројекат 0602-П65:",'ПО КОРИСНИЦИМА'!$I$6:$I$15001)</f>
        <v>0</v>
      </c>
      <c r="G609" s="659">
        <f t="shared" si="30"/>
        <v>0</v>
      </c>
      <c r="H609" s="643"/>
    </row>
    <row r="610" spans="1:8" hidden="1" x14ac:dyDescent="0.2">
      <c r="A610" s="607"/>
      <c r="B610" s="90" t="s">
        <v>4904</v>
      </c>
      <c r="C610" s="538" t="str">
        <f>IFERROR(VLOOKUP(B610,'ПО КОРИСНИЦИМА'!$C$6:$J$15001,5,FALSE),"")</f>
        <v/>
      </c>
      <c r="D610" s="641">
        <f>SUMIF('ПО КОРИСНИЦИМА'!$G$6:$G$15001,"Свега за пројекат 0602-П66:",'ПО КОРИСНИЦИМА'!$H$6:$H$15001)</f>
        <v>0</v>
      </c>
      <c r="E610" s="634">
        <f t="shared" si="33"/>
        <v>0</v>
      </c>
      <c r="F610" s="642">
        <f>SUMIF('ПО КОРИСНИЦИМА'!$G$6:$G$15001,"Свега за пројекат 0602-П66:",'ПО КОРИСНИЦИМА'!$I$6:$I$15001)</f>
        <v>0</v>
      </c>
      <c r="G610" s="659">
        <f t="shared" si="30"/>
        <v>0</v>
      </c>
      <c r="H610" s="643"/>
    </row>
    <row r="611" spans="1:8" hidden="1" x14ac:dyDescent="0.2">
      <c r="A611" s="607"/>
      <c r="B611" s="90" t="s">
        <v>4905</v>
      </c>
      <c r="C611" s="538" t="str">
        <f>IFERROR(VLOOKUP(B611,'ПО КОРИСНИЦИМА'!$C$6:$J$15001,5,FALSE),"")</f>
        <v/>
      </c>
      <c r="D611" s="641">
        <f>SUMIF('ПО КОРИСНИЦИМА'!$G$6:$G$15001,"Свега за пројекат 0602-П67:",'ПО КОРИСНИЦИМА'!$H$6:$H$15001)</f>
        <v>0</v>
      </c>
      <c r="E611" s="634">
        <f t="shared" si="33"/>
        <v>0</v>
      </c>
      <c r="F611" s="642">
        <f>SUMIF('ПО КОРИСНИЦИМА'!$G$6:$G$15001,"Свега за пројекат 0602-П67:",'ПО КОРИСНИЦИМА'!$I$6:$I$15001)</f>
        <v>0</v>
      </c>
      <c r="G611" s="659">
        <f t="shared" si="30"/>
        <v>0</v>
      </c>
      <c r="H611" s="640"/>
    </row>
    <row r="612" spans="1:8" hidden="1" x14ac:dyDescent="0.2">
      <c r="A612" s="607"/>
      <c r="B612" s="90" t="s">
        <v>4906</v>
      </c>
      <c r="C612" s="538" t="str">
        <f>IFERROR(VLOOKUP(B612,'ПО КОРИСНИЦИМА'!$C$6:$J$15001,5,FALSE),"")</f>
        <v/>
      </c>
      <c r="D612" s="641">
        <f>SUMIF('ПО КОРИСНИЦИМА'!$G$6:$G$15001,"Свега за пројекат 0602-П68:",'ПО КОРИСНИЦИМА'!$H$6:$H$15001)</f>
        <v>0</v>
      </c>
      <c r="E612" s="634">
        <f t="shared" si="33"/>
        <v>0</v>
      </c>
      <c r="F612" s="642">
        <f>SUMIF('ПО КОРИСНИЦИМА'!$G$6:$G$15001,"Свега за пројекат 0602-П68:",'ПО КОРИСНИЦИМА'!$I$6:$I$15001)</f>
        <v>0</v>
      </c>
      <c r="G612" s="659">
        <f t="shared" si="30"/>
        <v>0</v>
      </c>
      <c r="H612" s="640"/>
    </row>
    <row r="613" spans="1:8" hidden="1" x14ac:dyDescent="0.2">
      <c r="A613" s="607"/>
      <c r="B613" s="90" t="s">
        <v>4907</v>
      </c>
      <c r="C613" s="538" t="str">
        <f>IFERROR(VLOOKUP(B613,'ПО КОРИСНИЦИМА'!$C$6:$J$15001,5,FALSE),"")</f>
        <v/>
      </c>
      <c r="D613" s="641">
        <f>SUMIF('ПО КОРИСНИЦИМА'!$G$6:$G$15001,"Свега за пројекат 0602-П69:",'ПО КОРИСНИЦИМА'!$H$6:$H$15001)</f>
        <v>0</v>
      </c>
      <c r="E613" s="634">
        <f t="shared" si="33"/>
        <v>0</v>
      </c>
      <c r="F613" s="642">
        <f>SUMIF('ПО КОРИСНИЦИМА'!$G$6:$G$15001,"Свега за пројекат 0602-П69:",'ПО КОРИСНИЦИМА'!$I$6:$I$15001)</f>
        <v>0</v>
      </c>
      <c r="G613" s="659">
        <f t="shared" si="30"/>
        <v>0</v>
      </c>
      <c r="H613" s="640"/>
    </row>
    <row r="614" spans="1:8" ht="12.75" hidden="1" customHeight="1" x14ac:dyDescent="0.2">
      <c r="A614" s="615"/>
      <c r="B614" s="90" t="s">
        <v>4908</v>
      </c>
      <c r="C614" s="538" t="str">
        <f>IFERROR(VLOOKUP(B614,'ПО КОРИСНИЦИМА'!$C$6:$J$15001,5,FALSE),"")</f>
        <v/>
      </c>
      <c r="D614" s="641">
        <f>SUMIF('ПО КОРИСНИЦИМА'!$G$6:$G$15001,"Свега за пројекат 0602-П70:",'ПО КОРИСНИЦИМА'!$H$6:$H$15001)</f>
        <v>0</v>
      </c>
      <c r="E614" s="634">
        <f t="shared" si="33"/>
        <v>0</v>
      </c>
      <c r="F614" s="642">
        <f>SUMIF('ПО КОРИСНИЦИМА'!$G$6:$G$15001,"Свега за пројекат 0602-П70:",'ПО КОРИСНИЦИМА'!$I$6:$I$15001)</f>
        <v>0</v>
      </c>
      <c r="G614" s="659">
        <f t="shared" si="30"/>
        <v>0</v>
      </c>
      <c r="H614" s="649"/>
    </row>
    <row r="615" spans="1:8" ht="27.75" customHeight="1" x14ac:dyDescent="0.2">
      <c r="A615" s="1116"/>
      <c r="B615" s="1117"/>
      <c r="C615" s="616" t="s">
        <v>4116</v>
      </c>
      <c r="D615" s="660">
        <f>SUM(D535,D479,D421,D387,D348,D284,D252,D197,D177,D158,D131,D36,D33,D6)</f>
        <v>397253590</v>
      </c>
      <c r="E615" s="661">
        <f>IFERROR(D615/$D$615,"-")</f>
        <v>1</v>
      </c>
      <c r="F615" s="662">
        <f>SUM(F535,F479,F421,F387,F348,F316,F284,F252,F197,F177,F158,F131,F101,F36,F33,F6)</f>
        <v>16480273</v>
      </c>
      <c r="G615" s="660">
        <f t="shared" si="30"/>
        <v>413733863</v>
      </c>
      <c r="H615" s="663"/>
    </row>
    <row r="616" spans="1:8" ht="28.5" customHeight="1" x14ac:dyDescent="0.2">
      <c r="D616" s="625">
        <f>D615-'По основ. нам.'!C88</f>
        <v>0</v>
      </c>
      <c r="E616" s="618"/>
      <c r="F616" s="618"/>
      <c r="G616" s="626"/>
    </row>
    <row r="621" spans="1:8" x14ac:dyDescent="0.2">
      <c r="A621" s="699"/>
      <c r="B621" s="700"/>
    </row>
    <row r="622" spans="1:8" x14ac:dyDescent="0.2">
      <c r="A622" s="699"/>
      <c r="B622" s="700"/>
    </row>
    <row r="623" spans="1:8" x14ac:dyDescent="0.2">
      <c r="A623" s="699"/>
      <c r="B623" s="700"/>
    </row>
    <row r="624" spans="1:8" x14ac:dyDescent="0.2">
      <c r="A624" s="699"/>
      <c r="B624" s="700"/>
    </row>
    <row r="625" spans="1:2" x14ac:dyDescent="0.2">
      <c r="A625" s="699"/>
      <c r="B625" s="700"/>
    </row>
    <row r="626" spans="1:2" x14ac:dyDescent="0.2">
      <c r="A626" s="699"/>
      <c r="B626" s="700"/>
    </row>
    <row r="627" spans="1:2" x14ac:dyDescent="0.2">
      <c r="A627" s="699"/>
      <c r="B627" s="700"/>
    </row>
    <row r="628" spans="1:2" x14ac:dyDescent="0.2">
      <c r="A628" s="699"/>
      <c r="B628" s="700"/>
    </row>
    <row r="629" spans="1:2" x14ac:dyDescent="0.2">
      <c r="A629" s="699"/>
      <c r="B629" s="700"/>
    </row>
    <row r="630" spans="1:2" x14ac:dyDescent="0.2">
      <c r="A630" s="699"/>
      <c r="B630" s="700"/>
    </row>
    <row r="631" spans="1:2" x14ac:dyDescent="0.2">
      <c r="A631" s="699"/>
      <c r="B631" s="700"/>
    </row>
    <row r="632" spans="1:2" x14ac:dyDescent="0.2">
      <c r="A632" s="699"/>
      <c r="B632" s="700"/>
    </row>
    <row r="633" spans="1:2" x14ac:dyDescent="0.2">
      <c r="A633" s="699"/>
      <c r="B633" s="700"/>
    </row>
    <row r="634" spans="1:2" x14ac:dyDescent="0.2">
      <c r="A634" s="699"/>
      <c r="B634" s="700"/>
    </row>
    <row r="635" spans="1:2" x14ac:dyDescent="0.2">
      <c r="A635" s="699"/>
      <c r="B635" s="700"/>
    </row>
  </sheetData>
  <mergeCells count="10">
    <mergeCell ref="C1:G1"/>
    <mergeCell ref="F3:F4"/>
    <mergeCell ref="G3:G4"/>
    <mergeCell ref="H3:H4"/>
    <mergeCell ref="A2:H2"/>
    <mergeCell ref="A615:B615"/>
    <mergeCell ref="A3:B3"/>
    <mergeCell ref="C3:C4"/>
    <mergeCell ref="D3:D4"/>
    <mergeCell ref="E3:E4"/>
  </mergeCells>
  <conditionalFormatting sqref="D616:G616">
    <cfRule type="cellIs" dxfId="1" priority="1" operator="notEqual">
      <formula>0</formula>
    </cfRule>
  </conditionalFormatting>
  <dataValidations count="1">
    <dataValidation type="whole" operator="equal" showInputMessage="1" showErrorMessage="1" errorTitle="gjkgkjgjh" error="jklhlglkjhkjhlk" sqref="D616">
      <formula1>0</formula1>
    </dataValidation>
  </dataValidations>
  <pageMargins left="0.31496062992125984" right="0.31496062992125984" top="0.35433070866141736" bottom="0.15748031496062992" header="0.31496062992125984" footer="0.31496062992125984"/>
  <pageSetup paperSize="9" scale="80" orientation="landscape" r:id="rId1"/>
  <cellWatches>
    <cellWatch r="D616"/>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G141"/>
  <sheetViews>
    <sheetView topLeftCell="A86" workbookViewId="0">
      <selection activeCell="I4" sqref="I4"/>
    </sheetView>
  </sheetViews>
  <sheetFormatPr defaultColWidth="9.140625" defaultRowHeight="15" x14ac:dyDescent="0.25"/>
  <cols>
    <col min="1" max="1" width="8.7109375" style="84" customWidth="1"/>
    <col min="2" max="2" width="41" style="84" customWidth="1"/>
    <col min="3" max="3" width="15" style="84" customWidth="1"/>
    <col min="4" max="4" width="7.5703125" style="84" customWidth="1"/>
    <col min="5" max="5" width="13.140625" style="84" customWidth="1"/>
    <col min="6" max="6" width="12.28515625" style="84" customWidth="1"/>
    <col min="7" max="7" width="9.5703125" style="858" bestFit="1" customWidth="1"/>
    <col min="8" max="16384" width="9.140625" style="84"/>
  </cols>
  <sheetData>
    <row r="1" spans="1:6" ht="15.75" x14ac:dyDescent="0.25">
      <c r="A1" s="1069"/>
      <c r="B1" s="1103" t="s">
        <v>5403</v>
      </c>
      <c r="C1" s="1103"/>
      <c r="D1" s="1103"/>
      <c r="E1" s="1103"/>
      <c r="F1" s="1069"/>
    </row>
    <row r="2" spans="1:6" ht="45.75" customHeight="1" x14ac:dyDescent="0.25">
      <c r="A2" s="1102" t="s">
        <v>5710</v>
      </c>
      <c r="B2" s="1102"/>
      <c r="C2" s="1102"/>
      <c r="D2" s="1102"/>
      <c r="E2" s="1102"/>
      <c r="F2" s="1102"/>
    </row>
    <row r="3" spans="1:6" ht="29.25" customHeight="1" x14ac:dyDescent="0.25">
      <c r="A3" s="532" t="s">
        <v>3859</v>
      </c>
      <c r="B3" s="532" t="s">
        <v>3860</v>
      </c>
      <c r="C3" s="533" t="s">
        <v>24</v>
      </c>
      <c r="D3" s="533" t="s">
        <v>3759</v>
      </c>
      <c r="E3" s="533" t="s">
        <v>3756</v>
      </c>
      <c r="F3" s="533" t="s">
        <v>4121</v>
      </c>
    </row>
    <row r="4" spans="1:6" x14ac:dyDescent="0.25">
      <c r="A4" s="530" t="s">
        <v>3762</v>
      </c>
      <c r="B4" s="531">
        <v>2</v>
      </c>
      <c r="C4" s="251">
        <v>3</v>
      </c>
      <c r="D4" s="251">
        <v>4</v>
      </c>
      <c r="E4" s="251">
        <v>5</v>
      </c>
      <c r="F4" s="251">
        <v>6</v>
      </c>
    </row>
    <row r="5" spans="1:6" x14ac:dyDescent="0.25">
      <c r="A5" s="92" t="s">
        <v>3861</v>
      </c>
      <c r="B5" s="93" t="s">
        <v>94</v>
      </c>
      <c r="C5" s="94">
        <f>SUM(C6:C14)</f>
        <v>12593000</v>
      </c>
      <c r="D5" s="534">
        <f t="shared" ref="D5:D36" si="0">IFERROR(C5/$C$140,"-")</f>
        <v>3.1700154050212613E-2</v>
      </c>
      <c r="E5" s="94">
        <f>SUM(E6:E14)</f>
        <v>2882745</v>
      </c>
      <c r="F5" s="94">
        <f>SUM(F6:F14)</f>
        <v>15475745</v>
      </c>
    </row>
    <row r="6" spans="1:6" x14ac:dyDescent="0.25">
      <c r="A6" s="91" t="s">
        <v>3862</v>
      </c>
      <c r="B6" s="95" t="s">
        <v>3863</v>
      </c>
      <c r="C6" s="96">
        <f>SUMIF('ПО КОРИСНИЦИМА'!$G$6:$G$15001,"Функција 010:",'ПО КОРИСНИЦИМА'!$H$6:$H$15001)</f>
        <v>300000</v>
      </c>
      <c r="D6" s="97">
        <f t="shared" si="0"/>
        <v>7.5518511991295035E-4</v>
      </c>
      <c r="E6" s="96">
        <f>SUMIF('ПО КОРИСНИЦИМА'!$G$6:$G$15001,"Функција 010:",'ПО КОРИСНИЦИМА'!$I$6:$I$15001)</f>
        <v>0</v>
      </c>
      <c r="F6" s="96">
        <f>SUM(E6,C6)</f>
        <v>300000</v>
      </c>
    </row>
    <row r="7" spans="1:6" x14ac:dyDescent="0.25">
      <c r="A7" s="91" t="s">
        <v>3864</v>
      </c>
      <c r="B7" s="95" t="s">
        <v>3865</v>
      </c>
      <c r="C7" s="96">
        <f>SUMIF('ПО КОРИСНИЦИМА'!$G$6:$G$15001,"Функција 020:",'ПО КОРИСНИЦИМА'!$H$6:$H$15001)</f>
        <v>500000</v>
      </c>
      <c r="D7" s="97">
        <f t="shared" si="0"/>
        <v>1.2586418665215839E-3</v>
      </c>
      <c r="E7" s="96">
        <f>SUMIF('ПО КОРИСНИЦИМА'!$G$6:$G$15001,"Функција 020:",'ПО КОРИСНИЦИМА'!$I$6:$I$15001)</f>
        <v>1600000</v>
      </c>
      <c r="F7" s="96">
        <f t="shared" ref="F7:F70" si="1">SUM(E7,C7)</f>
        <v>2100000</v>
      </c>
    </row>
    <row r="8" spans="1:6" hidden="1" x14ac:dyDescent="0.25">
      <c r="A8" s="91" t="s">
        <v>3866</v>
      </c>
      <c r="B8" s="95" t="s">
        <v>3867</v>
      </c>
      <c r="C8" s="96">
        <f>SUMIF('ПО КОРИСНИЦИМА'!$G$6:$G$15001,"Функција 030:",'ПО КОРИСНИЦИМА'!$H$6:$H$15001)</f>
        <v>0</v>
      </c>
      <c r="D8" s="97">
        <f t="shared" si="0"/>
        <v>0</v>
      </c>
      <c r="E8" s="96">
        <f>SUMIF('ПО КОРИСНИЦИМА'!$G$6:$G$15001,"Функција 030:",'ПО КОРИСНИЦИМА'!$I$6:$I$15001)</f>
        <v>0</v>
      </c>
      <c r="F8" s="96">
        <f t="shared" si="1"/>
        <v>0</v>
      </c>
    </row>
    <row r="9" spans="1:6" x14ac:dyDescent="0.25">
      <c r="A9" s="91" t="s">
        <v>3868</v>
      </c>
      <c r="B9" s="95" t="s">
        <v>3869</v>
      </c>
      <c r="C9" s="96">
        <f>SUMIF('ПО КОРИСНИЦИМА'!$G$6:$G$15001,"Функција 040:",'ПО КОРИСНИЦИМА'!$H$6:$H$15001)</f>
        <v>4900000</v>
      </c>
      <c r="D9" s="97">
        <f t="shared" si="0"/>
        <v>1.2334690291911522E-2</v>
      </c>
      <c r="E9" s="96">
        <f>SUMIF('ПО КОРИСНИЦИМА'!$G$6:$G$15001,"Функција 040:",'ПО КОРИСНИЦИМА'!$I$6:$I$15001)</f>
        <v>332745</v>
      </c>
      <c r="F9" s="96">
        <f t="shared" si="1"/>
        <v>5232745</v>
      </c>
    </row>
    <row r="10" spans="1:6" hidden="1" x14ac:dyDescent="0.25">
      <c r="A10" s="91" t="s">
        <v>3870</v>
      </c>
      <c r="B10" s="95" t="s">
        <v>3871</v>
      </c>
      <c r="C10" s="96">
        <f>SUMIF('ПО КОРИСНИЦИМА'!$G$6:$G$15001,"Функција 050:",'ПО КОРИСНИЦИМА'!$H$6:$H$15001)</f>
        <v>0</v>
      </c>
      <c r="D10" s="97">
        <f t="shared" si="0"/>
        <v>0</v>
      </c>
      <c r="E10" s="96">
        <f>SUMIF('ПО КОРИСНИЦИМА'!$G$6:$G$15001,"Функција 050:",'ПО КОРИСНИЦИМА'!$I$6:$I$15001)</f>
        <v>0</v>
      </c>
      <c r="F10" s="96">
        <f t="shared" si="1"/>
        <v>0</v>
      </c>
    </row>
    <row r="11" spans="1:6" x14ac:dyDescent="0.25">
      <c r="A11" s="91" t="s">
        <v>3872</v>
      </c>
      <c r="B11" s="95" t="s">
        <v>3873</v>
      </c>
      <c r="C11" s="96">
        <f>SUMIF('ПО КОРИСНИЦИМА'!$G$6:$G$15001,"Функција 060:",'ПО КОРИСНИЦИМА'!$H$6:$H$15001)</f>
        <v>1300000</v>
      </c>
      <c r="D11" s="97">
        <f t="shared" si="0"/>
        <v>3.2724688529561182E-3</v>
      </c>
      <c r="E11" s="96">
        <f>SUMIF('ПО КОРИСНИЦИМА'!$G$6:$G$15001,"Функција 060:",'ПО КОРИСНИЦИМА'!$I$6:$I$15001)</f>
        <v>950000</v>
      </c>
      <c r="F11" s="96">
        <f t="shared" si="1"/>
        <v>2250000</v>
      </c>
    </row>
    <row r="12" spans="1:6" ht="22.5" x14ac:dyDescent="0.25">
      <c r="A12" s="91" t="s">
        <v>3874</v>
      </c>
      <c r="B12" s="95" t="s">
        <v>3875</v>
      </c>
      <c r="C12" s="96">
        <f>SUMIF('ПО КОРИСНИЦИМА'!$G$6:$G$15001,"Функција 070:",'ПО КОРИСНИЦИМА'!$H$6:$H$15001)</f>
        <v>5593000</v>
      </c>
      <c r="D12" s="97">
        <f t="shared" si="0"/>
        <v>1.4079167918910437E-2</v>
      </c>
      <c r="E12" s="96">
        <f>SUMIF('ПО КОРИСНИЦИМА'!$G$6:$G$15001,"Функција 070:",'ПО КОРИСНИЦИМА'!$I$6:$I$15001)</f>
        <v>0</v>
      </c>
      <c r="F12" s="96">
        <f t="shared" si="1"/>
        <v>5593000</v>
      </c>
    </row>
    <row r="13" spans="1:6" hidden="1" x14ac:dyDescent="0.25">
      <c r="A13" s="91" t="s">
        <v>3876</v>
      </c>
      <c r="B13" s="95" t="s">
        <v>3877</v>
      </c>
      <c r="C13" s="96">
        <f>SUMIF('ПО КОРИСНИЦИМА'!$G$6:$G$15001,"Функција 080:",'ПО КОРИСНИЦИМА'!$H$6:$H$15001)</f>
        <v>0</v>
      </c>
      <c r="D13" s="97">
        <f t="shared" si="0"/>
        <v>0</v>
      </c>
      <c r="E13" s="96">
        <f>SUMIF('ПО КОРИСНИЦИМА'!$G$6:$G$15001,"Функција 080:",'ПО КОРИСНИЦИМА'!$I$6:$I$15001)</f>
        <v>0</v>
      </c>
      <c r="F13" s="96">
        <f t="shared" si="1"/>
        <v>0</v>
      </c>
    </row>
    <row r="14" spans="1:6" hidden="1" x14ac:dyDescent="0.25">
      <c r="A14" s="91" t="s">
        <v>3878</v>
      </c>
      <c r="B14" s="95" t="s">
        <v>103</v>
      </c>
      <c r="C14" s="96">
        <f>SUMIF('ПО КОРИСНИЦИМА'!$G$6:$G$15001,"Функција 090:",'ПО КОРИСНИЦИМА'!$H$6:$H$15001)</f>
        <v>0</v>
      </c>
      <c r="D14" s="97">
        <f t="shared" si="0"/>
        <v>0</v>
      </c>
      <c r="E14" s="96">
        <f>SUMIF('ПО КОРИСНИЦИМА'!$G$6:$G$15001,"Функција 090:",'ПО КОРИСНИЦИМА'!$I$6:$I$15001)</f>
        <v>0</v>
      </c>
      <c r="F14" s="96">
        <f t="shared" si="1"/>
        <v>0</v>
      </c>
    </row>
    <row r="15" spans="1:6" ht="11.25" customHeight="1" x14ac:dyDescent="0.25">
      <c r="A15" s="98" t="s">
        <v>3879</v>
      </c>
      <c r="B15" s="99" t="s">
        <v>104</v>
      </c>
      <c r="C15" s="94">
        <f>SUM(C16:C31)</f>
        <v>112089200</v>
      </c>
      <c r="D15" s="100">
        <f t="shared" si="0"/>
        <v>0.28216031980982226</v>
      </c>
      <c r="E15" s="94">
        <f>SUM(E16:E31)</f>
        <v>1126000</v>
      </c>
      <c r="F15" s="94">
        <f t="shared" ref="F15:F39" si="2">C15+E15</f>
        <v>113215200</v>
      </c>
    </row>
    <row r="16" spans="1:6" ht="23.25" x14ac:dyDescent="0.25">
      <c r="A16" s="101" t="s">
        <v>3880</v>
      </c>
      <c r="B16" s="102" t="s">
        <v>3881</v>
      </c>
      <c r="C16" s="96">
        <f>SUMIF('ПО КОРИСНИЦИМА'!$G$6:$G$15001,"Функција 110:",'ПО КОРИСНИЦИМА'!$H$6:$H$15001)</f>
        <v>7549000</v>
      </c>
      <c r="D16" s="97">
        <f t="shared" si="0"/>
        <v>1.9002974900742872E-2</v>
      </c>
      <c r="E16" s="96">
        <f>SUMIF('ПО КОРИСНИЦИМА'!$G$6:$G$15001,"Функција 110:",'ПО КОРИСНИЦИМА'!$I$6:$I$15001)</f>
        <v>0</v>
      </c>
      <c r="F16" s="96">
        <f t="shared" si="1"/>
        <v>7549000</v>
      </c>
    </row>
    <row r="17" spans="1:6" x14ac:dyDescent="0.25">
      <c r="A17" s="103" t="s">
        <v>3882</v>
      </c>
      <c r="B17" s="102" t="s">
        <v>106</v>
      </c>
      <c r="C17" s="96">
        <f>SUMIF('ПО КОРИСНИЦИМА'!$G$6:$G$15001,"Функција 111:",'ПО КОРИСНИЦИМА'!$H$6:$H$15001)</f>
        <v>7465200</v>
      </c>
      <c r="D17" s="97">
        <f t="shared" si="0"/>
        <v>1.8792026523913857E-2</v>
      </c>
      <c r="E17" s="96">
        <f>SUMIF('ПО КОРИСНИЦИМА'!$G$6:$G$15001,"Функција 111:",'ПО КОРИСНИЦИМА'!$I$6:$I$15001)</f>
        <v>0</v>
      </c>
      <c r="F17" s="96">
        <f t="shared" si="1"/>
        <v>7465200</v>
      </c>
    </row>
    <row r="18" spans="1:6" x14ac:dyDescent="0.25">
      <c r="A18" s="103" t="s">
        <v>3883</v>
      </c>
      <c r="B18" s="102" t="s">
        <v>107</v>
      </c>
      <c r="C18" s="96">
        <f>SUMIF('ПО КОРИСНИЦИМА'!$G$6:$G$15001,"Функција 112:",'ПО КОРИСНИЦИМА'!$H$6:$H$15001)</f>
        <v>6750000</v>
      </c>
      <c r="D18" s="97">
        <f t="shared" si="0"/>
        <v>1.6991665198041381E-2</v>
      </c>
      <c r="E18" s="96">
        <f>SUMIF('ПО КОРИСНИЦИМА'!$G$6:$G$15001,"Функција 112:",'ПО КОРИСНИЦИМА'!$I$6:$I$15001)</f>
        <v>0</v>
      </c>
      <c r="F18" s="96">
        <f t="shared" si="1"/>
        <v>6750000</v>
      </c>
    </row>
    <row r="19" spans="1:6" hidden="1" x14ac:dyDescent="0.25">
      <c r="A19" s="103" t="s">
        <v>3884</v>
      </c>
      <c r="B19" s="102" t="s">
        <v>108</v>
      </c>
      <c r="C19" s="96">
        <f>SUMIF('ПО КОРИСНИЦИМА'!$G$6:$G$15001,"Функција 113:",'ПО КОРИСНИЦИМА'!$H$6:$H$15001)</f>
        <v>0</v>
      </c>
      <c r="D19" s="97">
        <f t="shared" si="0"/>
        <v>0</v>
      </c>
      <c r="E19" s="96">
        <f>SUMIF('ПО КОРИСНИЦИМА'!$G$6:$G$15001,"Функција 113:",'ПО КОРИСНИЦИМА'!$I$6:$I$15001)</f>
        <v>0</v>
      </c>
      <c r="F19" s="96">
        <f t="shared" si="1"/>
        <v>0</v>
      </c>
    </row>
    <row r="20" spans="1:6" hidden="1" x14ac:dyDescent="0.25">
      <c r="A20" s="101" t="s">
        <v>3885</v>
      </c>
      <c r="B20" s="102" t="s">
        <v>3886</v>
      </c>
      <c r="C20" s="96">
        <f>SUMIF('ПО КОРИСНИЦИМА'!$G$6:$G$15001,"Функција 120:",'ПО КОРИСНИЦИМА'!$H$6:$H$15001)</f>
        <v>0</v>
      </c>
      <c r="D20" s="97">
        <f t="shared" si="0"/>
        <v>0</v>
      </c>
      <c r="E20" s="96">
        <f>SUMIF('ПО КОРИСНИЦИМА'!$G$6:$G$15001,"Функција 120:",'ПО КОРИСНИЦИМА'!$I$6:$I$15001)</f>
        <v>0</v>
      </c>
      <c r="F20" s="96">
        <f t="shared" si="1"/>
        <v>0</v>
      </c>
    </row>
    <row r="21" spans="1:6" ht="23.25" hidden="1" x14ac:dyDescent="0.25">
      <c r="A21" s="103" t="s">
        <v>3887</v>
      </c>
      <c r="B21" s="102" t="s">
        <v>110</v>
      </c>
      <c r="C21" s="96">
        <f>SUMIF('ПО КОРИСНИЦИМА'!$G$6:$G$15001,"Функција 121:",'ПО КОРИСНИЦИМА'!$H$6:$H$15001)</f>
        <v>0</v>
      </c>
      <c r="D21" s="97">
        <f t="shared" si="0"/>
        <v>0</v>
      </c>
      <c r="E21" s="96">
        <f>SUMIF('ПО КОРИСНИЦИМА'!$G$6:$G$15001,"Функција 121:",'ПО КОРИСНИЦИМА'!$I$6:$I$15001)</f>
        <v>0</v>
      </c>
      <c r="F21" s="96">
        <f t="shared" si="1"/>
        <v>0</v>
      </c>
    </row>
    <row r="22" spans="1:6" hidden="1" x14ac:dyDescent="0.25">
      <c r="A22" s="103" t="s">
        <v>3888</v>
      </c>
      <c r="B22" s="102" t="s">
        <v>111</v>
      </c>
      <c r="C22" s="96">
        <f>SUMIF('ПО КОРИСНИЦИМА'!$G$6:$G$15001,"Функција 122:",'ПО КОРИСНИЦИМА'!$H$6:$H$15001)</f>
        <v>0</v>
      </c>
      <c r="D22" s="97">
        <f t="shared" si="0"/>
        <v>0</v>
      </c>
      <c r="E22" s="96">
        <f>SUMIF('ПО КОРИСНИЦИМА'!$G$6:$G$15001,"Функција 122:",'ПО КОРИСНИЦИМА'!$I$6:$I$15001)</f>
        <v>0</v>
      </c>
      <c r="F22" s="96">
        <f t="shared" si="1"/>
        <v>0</v>
      </c>
    </row>
    <row r="23" spans="1:6" x14ac:dyDescent="0.25">
      <c r="A23" s="101" t="s">
        <v>3889</v>
      </c>
      <c r="B23" s="102" t="s">
        <v>3890</v>
      </c>
      <c r="C23" s="96">
        <f>SUMIF('ПО КОРИСНИЦИМА'!$G$6:$G$15001,"Функција 130:",'ПО КОРИСНИЦИМА'!$H$6:$H$15001)</f>
        <v>80225000</v>
      </c>
      <c r="D23" s="97">
        <f t="shared" si="0"/>
        <v>0.20194908748338813</v>
      </c>
      <c r="E23" s="96">
        <f>SUMIF('ПО КОРИСНИЦИМА'!$G$6:$G$15001,"Функција 130:",'ПО КОРИСНИЦИМА'!$I$6:$I$15001)</f>
        <v>1126000</v>
      </c>
      <c r="F23" s="96">
        <f t="shared" si="1"/>
        <v>81351000</v>
      </c>
    </row>
    <row r="24" spans="1:6" hidden="1" x14ac:dyDescent="0.25">
      <c r="A24" s="103" t="s">
        <v>3891</v>
      </c>
      <c r="B24" s="102" t="s">
        <v>113</v>
      </c>
      <c r="C24" s="96">
        <f>SUMIF('ПО КОРИСНИЦИМА'!$G$6:$G$15001,"Функција 131:",'ПО КОРИСНИЦИМА'!$H$6:$H$15001)</f>
        <v>0</v>
      </c>
      <c r="D24" s="97">
        <f t="shared" si="0"/>
        <v>0</v>
      </c>
      <c r="E24" s="96">
        <f>SUMIF('ПО КОРИСНИЦИМА'!$G$6:$G$15001,"Функција 131:",'ПО КОРИСНИЦИМА'!$I$6:$I$15001)</f>
        <v>0</v>
      </c>
      <c r="F24" s="96">
        <f t="shared" si="1"/>
        <v>0</v>
      </c>
    </row>
    <row r="25" spans="1:6" hidden="1" x14ac:dyDescent="0.25">
      <c r="A25" s="103" t="s">
        <v>3892</v>
      </c>
      <c r="B25" s="102" t="s">
        <v>114</v>
      </c>
      <c r="C25" s="96">
        <f>SUMIF('ПО КОРИСНИЦИМА'!$G$6:$G$15001,"Функција 132:",'ПО КОРИСНИЦИМА'!$H$6:$H$15001)</f>
        <v>0</v>
      </c>
      <c r="D25" s="97">
        <f t="shared" si="0"/>
        <v>0</v>
      </c>
      <c r="E25" s="96">
        <f>SUMIF('ПО КОРИСНИЦИМА'!$G$6:$G$15001,"Функција 132:",'ПО КОРИСНИЦИМА'!$I$6:$I$15001)</f>
        <v>0</v>
      </c>
      <c r="F25" s="96">
        <f t="shared" si="1"/>
        <v>0</v>
      </c>
    </row>
    <row r="26" spans="1:6" x14ac:dyDescent="0.25">
      <c r="A26" s="103" t="s">
        <v>3893</v>
      </c>
      <c r="B26" s="102" t="s">
        <v>115</v>
      </c>
      <c r="C26" s="96">
        <f>SUMIF('ПО КОРИСНИЦИМА'!$G$6:$G$15001,"Функција 133:",'ПО КОРИСНИЦИМА'!$H$6:$H$15001)</f>
        <v>2425000</v>
      </c>
      <c r="D26" s="97">
        <f t="shared" si="0"/>
        <v>6.1044130526296814E-3</v>
      </c>
      <c r="E26" s="96">
        <f>SUMIF('ПО КОРИСНИЦИМА'!$G$6:$G$15001,"Функција 133:",'ПО КОРИСНИЦИМА'!$I$6:$I$15001)</f>
        <v>0</v>
      </c>
      <c r="F26" s="96">
        <f t="shared" si="1"/>
        <v>2425000</v>
      </c>
    </row>
    <row r="27" spans="1:6" hidden="1" x14ac:dyDescent="0.25">
      <c r="A27" s="101" t="s">
        <v>3894</v>
      </c>
      <c r="B27" s="102" t="s">
        <v>3895</v>
      </c>
      <c r="C27" s="96">
        <f>SUMIF('ПО КОРИСНИЦИМА'!$G$6:$G$15001,"Функција 140:",'ПО КОРИСНИЦИМА'!$H$6:$H$15001)</f>
        <v>0</v>
      </c>
      <c r="D27" s="97">
        <f t="shared" si="0"/>
        <v>0</v>
      </c>
      <c r="E27" s="96">
        <f>SUMIF('ПО КОРИСНИЦИМА'!$G$6:$G$15001,"Функција 140:",'ПО КОРИСНИЦИМА'!$I$6:$I$15001)</f>
        <v>0</v>
      </c>
      <c r="F27" s="96">
        <f t="shared" si="1"/>
        <v>0</v>
      </c>
    </row>
    <row r="28" spans="1:6" hidden="1" x14ac:dyDescent="0.25">
      <c r="A28" s="101" t="s">
        <v>3896</v>
      </c>
      <c r="B28" s="102" t="s">
        <v>3897</v>
      </c>
      <c r="C28" s="96">
        <f>SUMIF('ПО КОРИСНИЦИМА'!$G$6:$G$15001,"Функција 150:",'ПО КОРИСНИЦИМА'!$H$6:$H$15001)</f>
        <v>0</v>
      </c>
      <c r="D28" s="97">
        <f t="shared" si="0"/>
        <v>0</v>
      </c>
      <c r="E28" s="96">
        <f>SUMIF('ПО КОРИСНИЦИМА'!$G$6:$G$15001,"Функција 150:",'ПО КОРИСНИЦИМА'!$I$6:$I$15001)</f>
        <v>0</v>
      </c>
      <c r="F28" s="96">
        <f t="shared" si="1"/>
        <v>0</v>
      </c>
    </row>
    <row r="29" spans="1:6" x14ac:dyDescent="0.25">
      <c r="A29" s="101" t="s">
        <v>3898</v>
      </c>
      <c r="B29" s="102" t="s">
        <v>3899</v>
      </c>
      <c r="C29" s="96">
        <f>SUMIF('ПО КОРИСНИЦИМА'!$G$6:$G$15001,"Функција 160:",'ПО КОРИСНИЦИМА'!$H$6:$H$15001)</f>
        <v>7675000</v>
      </c>
      <c r="D29" s="97">
        <f t="shared" si="0"/>
        <v>1.9320152651106311E-2</v>
      </c>
      <c r="E29" s="96">
        <f>SUMIF('ПО КОРИСНИЦИМА'!$G$6:$G$15001,"Функција 160:",'ПО КОРИСНИЦИМА'!$I$6:$I$15001)</f>
        <v>0</v>
      </c>
      <c r="F29" s="96">
        <f t="shared" si="1"/>
        <v>7675000</v>
      </c>
    </row>
    <row r="30" spans="1:6" hidden="1" x14ac:dyDescent="0.25">
      <c r="A30" s="101" t="s">
        <v>3900</v>
      </c>
      <c r="B30" s="102" t="s">
        <v>3901</v>
      </c>
      <c r="C30" s="96">
        <f>SUMIF('ПО КОРИСНИЦИМА'!$G$6:$G$15001,"Функција 170:",'ПО КОРИСНИЦИМА'!$H$6:$H$15001)</f>
        <v>0</v>
      </c>
      <c r="D30" s="97">
        <f t="shared" si="0"/>
        <v>0</v>
      </c>
      <c r="E30" s="96">
        <f>SUMIF('ПО КОРИСНИЦИМА'!$G$6:$G$15001,"Функција 170:",'ПО КОРИСНИЦИМА'!$I$6:$I$15001)</f>
        <v>0</v>
      </c>
      <c r="F30" s="96">
        <f t="shared" si="1"/>
        <v>0</v>
      </c>
    </row>
    <row r="31" spans="1:6" ht="23.25" hidden="1" x14ac:dyDescent="0.25">
      <c r="A31" s="101" t="s">
        <v>3902</v>
      </c>
      <c r="B31" s="102" t="s">
        <v>120</v>
      </c>
      <c r="C31" s="96">
        <f>SUMIF('ПО КОРИСНИЦИМА'!$G$6:$G$15001,"Функција 180:",'ПО КОРИСНИЦИМА'!$H$6:$H$15001)</f>
        <v>0</v>
      </c>
      <c r="D31" s="97">
        <f t="shared" si="0"/>
        <v>0</v>
      </c>
      <c r="E31" s="96">
        <f>SUMIF('ПО КОРИСНИЦИМА'!$G$6:$G$15001,"Функција 180:",'ПО КОРИСНИЦИМА'!$I$6:$I$15001)</f>
        <v>0</v>
      </c>
      <c r="F31" s="96">
        <f t="shared" si="1"/>
        <v>0</v>
      </c>
    </row>
    <row r="32" spans="1:6" x14ac:dyDescent="0.25">
      <c r="A32" s="98" t="s">
        <v>3903</v>
      </c>
      <c r="B32" s="104" t="s">
        <v>127</v>
      </c>
      <c r="C32" s="94">
        <f>SUM(C33:C38)</f>
        <v>1736000</v>
      </c>
      <c r="D32" s="100">
        <f t="shared" si="0"/>
        <v>4.3700045605629392E-3</v>
      </c>
      <c r="E32" s="94">
        <f>SUM(E33:E38)</f>
        <v>0</v>
      </c>
      <c r="F32" s="94">
        <f t="shared" si="2"/>
        <v>1736000</v>
      </c>
    </row>
    <row r="33" spans="1:6" hidden="1" x14ac:dyDescent="0.25">
      <c r="A33" s="101" t="s">
        <v>3904</v>
      </c>
      <c r="B33" s="102" t="s">
        <v>3905</v>
      </c>
      <c r="C33" s="96">
        <f>SUMIF('ПО КОРИСНИЦИМА'!$G$6:$G$15001,"Функција 310:",'ПО КОРИСНИЦИМА'!$H$6:$H$15001)</f>
        <v>0</v>
      </c>
      <c r="D33" s="97">
        <f t="shared" si="0"/>
        <v>0</v>
      </c>
      <c r="E33" s="96">
        <f>SUMIF('ПО КОРИСНИЦИМА'!$G$6:$G$15001,"Функција 310:",'ПО КОРИСНИЦИМА'!$I$6:$I$15001)</f>
        <v>0</v>
      </c>
      <c r="F33" s="96">
        <f t="shared" si="1"/>
        <v>0</v>
      </c>
    </row>
    <row r="34" spans="1:6" hidden="1" x14ac:dyDescent="0.25">
      <c r="A34" s="101" t="s">
        <v>3906</v>
      </c>
      <c r="B34" s="102" t="s">
        <v>3907</v>
      </c>
      <c r="C34" s="96">
        <f>SUMIF('ПО КОРИСНИЦИМА'!$G$6:$G$15001,"Функција 320:",'ПО КОРИСНИЦИМА'!$H$6:$H$15001)</f>
        <v>0</v>
      </c>
      <c r="D34" s="97">
        <f t="shared" si="0"/>
        <v>0</v>
      </c>
      <c r="E34" s="96">
        <f>SUMIF('ПО КОРИСНИЦИМА'!$G$6:$G$15001,"Функција 320:",'ПО КОРИСНИЦИМА'!$I$6:$I$15001)</f>
        <v>0</v>
      </c>
      <c r="F34" s="96">
        <f t="shared" si="1"/>
        <v>0</v>
      </c>
    </row>
    <row r="35" spans="1:6" x14ac:dyDescent="0.25">
      <c r="A35" s="101" t="s">
        <v>3908</v>
      </c>
      <c r="B35" s="102" t="s">
        <v>3909</v>
      </c>
      <c r="C35" s="96">
        <f>SUMIF('ПО КОРИСНИЦИМА'!$G$6:$G$15001,"Функција 330:",'ПО КОРИСНИЦИМА'!$H$6:$H$15001)</f>
        <v>1736000</v>
      </c>
      <c r="D35" s="97">
        <f t="shared" si="0"/>
        <v>4.3700045605629392E-3</v>
      </c>
      <c r="E35" s="96">
        <f>SUMIF('ПО КОРИСНИЦИМА'!$G$6:$G$15001,"Функција 330:",'ПО КОРИСНИЦИМА'!$I$6:$I$15001)</f>
        <v>0</v>
      </c>
      <c r="F35" s="96">
        <f t="shared" si="1"/>
        <v>1736000</v>
      </c>
    </row>
    <row r="36" spans="1:6" hidden="1" x14ac:dyDescent="0.25">
      <c r="A36" s="101" t="s">
        <v>3910</v>
      </c>
      <c r="B36" s="102" t="s">
        <v>3911</v>
      </c>
      <c r="C36" s="96">
        <f>SUMIF('ПО КОРИСНИЦИМА'!$G$6:$G$15001,"Функција 340:",'ПО КОРИСНИЦИМА'!$H$6:$H$15001)</f>
        <v>0</v>
      </c>
      <c r="D36" s="97">
        <f t="shared" si="0"/>
        <v>0</v>
      </c>
      <c r="E36" s="96">
        <f>SUMIF('ПО КОРИСНИЦИМА'!$G$6:$G$15001,"Функција 340:",'ПО КОРИСНИЦИМА'!$I$6:$I$15001)</f>
        <v>0</v>
      </c>
      <c r="F36" s="96">
        <f t="shared" si="1"/>
        <v>0</v>
      </c>
    </row>
    <row r="37" spans="1:6" hidden="1" x14ac:dyDescent="0.25">
      <c r="A37" s="101" t="s">
        <v>3912</v>
      </c>
      <c r="B37" s="102" t="s">
        <v>3913</v>
      </c>
      <c r="C37" s="96">
        <f>SUMIF('ПО КОРИСНИЦИМА'!$G$6:$G$15001,"Функција 350:",'ПО КОРИСНИЦИМА'!$H$6:$H$15001)</f>
        <v>0</v>
      </c>
      <c r="D37" s="97">
        <f t="shared" ref="D37:D68" si="3">IFERROR(C37/$C$140,"-")</f>
        <v>0</v>
      </c>
      <c r="E37" s="96">
        <f>SUMIF('ПО КОРИСНИЦИМА'!$G$6:$G$15001,"Функција 350:",'ПО КОРИСНИЦИМА'!$I$6:$I$15001)</f>
        <v>0</v>
      </c>
      <c r="F37" s="96">
        <f t="shared" si="1"/>
        <v>0</v>
      </c>
    </row>
    <row r="38" spans="1:6" hidden="1" x14ac:dyDescent="0.25">
      <c r="A38" s="101" t="s">
        <v>3914</v>
      </c>
      <c r="B38" s="102" t="s">
        <v>3915</v>
      </c>
      <c r="C38" s="96">
        <f>SUMIF('ПО КОРИСНИЦИМА'!$G$6:$G$15001,"Функција 360:",'ПО КОРИСНИЦИМА'!$H$6:$H$15001)</f>
        <v>0</v>
      </c>
      <c r="D38" s="97">
        <f t="shared" si="3"/>
        <v>0</v>
      </c>
      <c r="E38" s="96">
        <f>SUMIF('ПО КОРИСНИЦИМА'!$G$6:$G$15001,"Функција 360:",'ПО КОРИСНИЦИМА'!$I$6:$I$15001)</f>
        <v>0</v>
      </c>
      <c r="F38" s="96">
        <f t="shared" si="1"/>
        <v>0</v>
      </c>
    </row>
    <row r="39" spans="1:6" x14ac:dyDescent="0.25">
      <c r="A39" s="98" t="s">
        <v>3916</v>
      </c>
      <c r="B39" s="99" t="s">
        <v>133</v>
      </c>
      <c r="C39" s="94">
        <f>SUM(C40:C78)</f>
        <v>111555000</v>
      </c>
      <c r="D39" s="100">
        <f t="shared" si="3"/>
        <v>0.28081558683963059</v>
      </c>
      <c r="E39" s="94">
        <f>SUM(E40:E78)</f>
        <v>3615528</v>
      </c>
      <c r="F39" s="94">
        <f t="shared" si="2"/>
        <v>115170528</v>
      </c>
    </row>
    <row r="40" spans="1:6" ht="23.25" hidden="1" x14ac:dyDescent="0.25">
      <c r="A40" s="101" t="s">
        <v>3763</v>
      </c>
      <c r="B40" s="105" t="s">
        <v>3917</v>
      </c>
      <c r="C40" s="96">
        <f>SUMIF('ПО КОРИСНИЦИМА'!$G$6:$G$15001,"Функција 410:",'ПО КОРИСНИЦИМА'!$H$6:$H$15001)</f>
        <v>0</v>
      </c>
      <c r="D40" s="97">
        <f t="shared" si="3"/>
        <v>0</v>
      </c>
      <c r="E40" s="96">
        <f>SUMIF('ПО КОРИСНИЦИМА'!$G$6:$G$15001,"Функција 410:",'ПО КОРИСНИЦИМА'!$I$6:$I$15001)</f>
        <v>0</v>
      </c>
      <c r="F40" s="96">
        <f t="shared" si="1"/>
        <v>0</v>
      </c>
    </row>
    <row r="41" spans="1:6" hidden="1" x14ac:dyDescent="0.25">
      <c r="A41" s="103" t="s">
        <v>3918</v>
      </c>
      <c r="B41" s="105" t="s">
        <v>135</v>
      </c>
      <c r="C41" s="96">
        <f>SUMIF('ПО КОРИСНИЦИМА'!$G$6:$G$15001,"Функција 411:",'ПО КОРИСНИЦИМА'!$H$6:$H$15001)</f>
        <v>0</v>
      </c>
      <c r="D41" s="97">
        <f t="shared" si="3"/>
        <v>0</v>
      </c>
      <c r="E41" s="96">
        <f>SUMIF('ПО КОРИСНИЦИМА'!$G$6:$G$15001,"Функција 411:",'ПО КОРИСНИЦИМА'!$I$6:$I$15001)</f>
        <v>0</v>
      </c>
      <c r="F41" s="96">
        <f t="shared" si="1"/>
        <v>0</v>
      </c>
    </row>
    <row r="42" spans="1:6" hidden="1" x14ac:dyDescent="0.25">
      <c r="A42" s="103" t="s">
        <v>3919</v>
      </c>
      <c r="B42" s="105" t="s">
        <v>136</v>
      </c>
      <c r="C42" s="96">
        <f>SUMIF('ПО КОРИСНИЦИМА'!$G$6:$G$15001,"Функција 412:",'ПО КОРИСНИЦИМА'!$H$6:$H$15001)</f>
        <v>0</v>
      </c>
      <c r="D42" s="97">
        <f t="shared" si="3"/>
        <v>0</v>
      </c>
      <c r="E42" s="96">
        <f>SUMIF('ПО КОРИСНИЦИМА'!$G$6:$G$15001,"Функција 412:",'ПО КОРИСНИЦИМА'!$I$6:$I$15001)</f>
        <v>0</v>
      </c>
      <c r="F42" s="96">
        <f t="shared" si="1"/>
        <v>0</v>
      </c>
    </row>
    <row r="43" spans="1:6" hidden="1" x14ac:dyDescent="0.25">
      <c r="A43" s="101" t="s">
        <v>3776</v>
      </c>
      <c r="B43" s="102" t="s">
        <v>3920</v>
      </c>
      <c r="C43" s="96">
        <f>SUMIF('ПО КОРИСНИЦИМА'!$G$6:$G$15001,"Функција 420:",'ПО КОРИСНИЦИМА'!$H$6:$H$15001)</f>
        <v>0</v>
      </c>
      <c r="D43" s="97">
        <f t="shared" si="3"/>
        <v>0</v>
      </c>
      <c r="E43" s="96">
        <f>SUMIF('ПО КОРИСНИЦИМА'!$G$6:$G$15001,"Функција 420:",'ПО КОРИСНИЦИМА'!$I$6:$I$15001)</f>
        <v>0</v>
      </c>
      <c r="F43" s="96">
        <f t="shared" si="1"/>
        <v>0</v>
      </c>
    </row>
    <row r="44" spans="1:6" ht="12.75" customHeight="1" x14ac:dyDescent="0.25">
      <c r="A44" s="103" t="s">
        <v>3778</v>
      </c>
      <c r="B44" s="102" t="s">
        <v>138</v>
      </c>
      <c r="C44" s="96">
        <f>SUMIF('ПО КОРИСНИЦИМА'!$G$6:$G$15001,"Функција 421:",'ПО КОРИСНИЦИМА'!$H$6:$H$15001)</f>
        <v>28592000</v>
      </c>
      <c r="D44" s="97">
        <f t="shared" si="3"/>
        <v>7.1974176495170253E-2</v>
      </c>
      <c r="E44" s="96">
        <f>SUMIF('ПО КОРИСНИЦИМА'!$G$6:$G$15001,"Функција 421:",'ПО КОРИСНИЦИМА'!$I$6:$I$15001)</f>
        <v>0</v>
      </c>
      <c r="F44" s="96">
        <f t="shared" si="1"/>
        <v>28592000</v>
      </c>
    </row>
    <row r="45" spans="1:6" ht="13.5" hidden="1" customHeight="1" x14ac:dyDescent="0.25">
      <c r="A45" s="103" t="s">
        <v>3921</v>
      </c>
      <c r="B45" s="102" t="s">
        <v>139</v>
      </c>
      <c r="C45" s="96">
        <f>SUMIF('ПО КОРИСНИЦИМА'!$G$6:$G$15001,"Функција 422:",'ПО КОРИСНИЦИМА'!$H$6:$H$15001)</f>
        <v>0</v>
      </c>
      <c r="D45" s="97">
        <f t="shared" si="3"/>
        <v>0</v>
      </c>
      <c r="E45" s="96">
        <f>SUMIF('ПО КОРИСНИЦИМА'!$G$6:$G$15001,"Функција 422:",'ПО КОРИСНИЦИМА'!$I$6:$I$15001)</f>
        <v>0</v>
      </c>
      <c r="F45" s="96">
        <f t="shared" si="1"/>
        <v>0</v>
      </c>
    </row>
    <row r="46" spans="1:6" ht="12.75" hidden="1" customHeight="1" x14ac:dyDescent="0.25">
      <c r="A46" s="103" t="s">
        <v>3922</v>
      </c>
      <c r="B46" s="102" t="s">
        <v>140</v>
      </c>
      <c r="C46" s="96">
        <f>SUMIF('ПО КОРИСНИЦИМА'!$G$6:$G$15001,"Функција 423:",'ПО КОРИСНИЦИМА'!$H$6:$H$15001)</f>
        <v>0</v>
      </c>
      <c r="D46" s="97">
        <f t="shared" si="3"/>
        <v>0</v>
      </c>
      <c r="E46" s="96">
        <f>SUMIF('ПО КОРИСНИЦИМА'!$G$6:$G$15001,"Функција 423:",'ПО КОРИСНИЦИМА'!$I$6:$I$15001)</f>
        <v>0</v>
      </c>
      <c r="F46" s="96">
        <f t="shared" si="1"/>
        <v>0</v>
      </c>
    </row>
    <row r="47" spans="1:6" ht="9.75" hidden="1" customHeight="1" x14ac:dyDescent="0.25">
      <c r="A47" s="101" t="s">
        <v>3788</v>
      </c>
      <c r="B47" s="102" t="s">
        <v>3923</v>
      </c>
      <c r="C47" s="96">
        <f>SUMIF('ПО КОРИСНИЦИМА'!$G$6:$G$15001,"Функција 430:",'ПО КОРИСНИЦИМА'!$H$6:$H$15001)</f>
        <v>0</v>
      </c>
      <c r="D47" s="97">
        <f t="shared" si="3"/>
        <v>0</v>
      </c>
      <c r="E47" s="96">
        <f>SUMIF('ПО КОРИСНИЦИМА'!$G$6:$G$15001,"Функција 430:",'ПО КОРИСНИЦИМА'!$I$6:$I$15001)</f>
        <v>0</v>
      </c>
      <c r="F47" s="96">
        <f t="shared" si="1"/>
        <v>0</v>
      </c>
    </row>
    <row r="48" spans="1:6" ht="9.75" hidden="1" customHeight="1" x14ac:dyDescent="0.25">
      <c r="A48" s="103" t="s">
        <v>3924</v>
      </c>
      <c r="B48" s="102" t="s">
        <v>142</v>
      </c>
      <c r="C48" s="96">
        <f>SUMIF('ПО КОРИСНИЦИМА'!$G$6:$G$15001,"Функција 431:",'ПО КОРИСНИЦИМА'!$H$6:$H$15001)</f>
        <v>0</v>
      </c>
      <c r="D48" s="97">
        <f t="shared" si="3"/>
        <v>0</v>
      </c>
      <c r="E48" s="96">
        <f>SUMIF('ПО КОРИСНИЦИМА'!$G$6:$G$15001,"Функција 431:",'ПО КОРИСНИЦИМА'!$I$6:$I$15001)</f>
        <v>0</v>
      </c>
      <c r="F48" s="96">
        <f t="shared" si="1"/>
        <v>0</v>
      </c>
    </row>
    <row r="49" spans="1:6" ht="9.75" hidden="1" customHeight="1" x14ac:dyDescent="0.25">
      <c r="A49" s="103" t="s">
        <v>3925</v>
      </c>
      <c r="B49" s="102" t="s">
        <v>143</v>
      </c>
      <c r="C49" s="96">
        <f>SUMIF('ПО КОРИСНИЦИМА'!$G$6:$G$15001,"Функција 432:",'ПО КОРИСНИЦИМА'!$H$6:$H$15001)</f>
        <v>0</v>
      </c>
      <c r="D49" s="97">
        <f t="shared" si="3"/>
        <v>0</v>
      </c>
      <c r="E49" s="96">
        <f>SUMIF('ПО КОРИСНИЦИМА'!$G$6:$G$15001,"Функција 432:",'ПО КОРИСНИЦИМА'!$I$6:$I$15001)</f>
        <v>0</v>
      </c>
      <c r="F49" s="96">
        <f t="shared" si="1"/>
        <v>0</v>
      </c>
    </row>
    <row r="50" spans="1:6" ht="9.75" hidden="1" customHeight="1" x14ac:dyDescent="0.25">
      <c r="A50" s="103" t="s">
        <v>3926</v>
      </c>
      <c r="B50" s="102" t="s">
        <v>144</v>
      </c>
      <c r="C50" s="96">
        <f>SUMIF('ПО КОРИСНИЦИМА'!$G$6:$G$15001,"Функција 433:",'ПО КОРИСНИЦИМА'!$H$6:$H$15001)</f>
        <v>0</v>
      </c>
      <c r="D50" s="97">
        <f t="shared" si="3"/>
        <v>0</v>
      </c>
      <c r="E50" s="96">
        <f>SUMIF('ПО КОРИСНИЦИМА'!$G$6:$G$15001,"Функција 433:",'ПО КОРИСНИЦИМА'!$I$6:$I$15001)</f>
        <v>0</v>
      </c>
      <c r="F50" s="96">
        <f t="shared" si="1"/>
        <v>0</v>
      </c>
    </row>
    <row r="51" spans="1:6" ht="9.75" hidden="1" customHeight="1" x14ac:dyDescent="0.25">
      <c r="A51" s="103" t="s">
        <v>3927</v>
      </c>
      <c r="B51" s="102" t="s">
        <v>145</v>
      </c>
      <c r="C51" s="96">
        <f>SUMIF('ПО КОРИСНИЦИМА'!$G$6:$G$15001,"Функција 434:",'ПО КОРИСНИЦИМА'!$H$6:$H$15001)</f>
        <v>0</v>
      </c>
      <c r="D51" s="97">
        <f t="shared" si="3"/>
        <v>0</v>
      </c>
      <c r="E51" s="96">
        <f>SUMIF('ПО КОРИСНИЦИМА'!$G$6:$G$15001,"Функција 434:",'ПО КОРИСНИЦИМА'!$I$6:$I$15001)</f>
        <v>0</v>
      </c>
      <c r="F51" s="96">
        <f t="shared" si="1"/>
        <v>0</v>
      </c>
    </row>
    <row r="52" spans="1:6" ht="9.75" hidden="1" customHeight="1" x14ac:dyDescent="0.25">
      <c r="A52" s="103" t="s">
        <v>3928</v>
      </c>
      <c r="B52" s="102" t="s">
        <v>146</v>
      </c>
      <c r="C52" s="96">
        <f>SUMIF('ПО КОРИСНИЦИМА'!$G$6:$G$15001,"Функција 435:",'ПО КОРИСНИЦИМА'!$H$6:$H$15001)</f>
        <v>0</v>
      </c>
      <c r="D52" s="97">
        <f t="shared" si="3"/>
        <v>0</v>
      </c>
      <c r="E52" s="96">
        <f>SUMIF('ПО КОРИСНИЦИМА'!$G$6:$G$15001,"Функција 435:",'ПО КОРИСНИЦИМА'!$I$6:$I$15001)</f>
        <v>0</v>
      </c>
      <c r="F52" s="96">
        <f t="shared" si="1"/>
        <v>0</v>
      </c>
    </row>
    <row r="53" spans="1:6" ht="9.75" hidden="1" customHeight="1" x14ac:dyDescent="0.25">
      <c r="A53" s="103" t="s">
        <v>3929</v>
      </c>
      <c r="B53" s="102" t="s">
        <v>147</v>
      </c>
      <c r="C53" s="96">
        <f>SUMIF('ПО КОРИСНИЦИМА'!$G$6:$G$15001,"Функција 436:",'ПО КОРИСНИЦИМА'!$H$6:$H$15001)</f>
        <v>0</v>
      </c>
      <c r="D53" s="97">
        <f t="shared" si="3"/>
        <v>0</v>
      </c>
      <c r="E53" s="96">
        <f>SUMIF('ПО КОРИСНИЦИМА'!$G$6:$G$15001,"Функција 436:",'ПО КОРИСНИЦИМА'!$I$6:$I$15001)</f>
        <v>0</v>
      </c>
      <c r="F53" s="96">
        <f t="shared" si="1"/>
        <v>0</v>
      </c>
    </row>
    <row r="54" spans="1:6" ht="9.75" hidden="1" customHeight="1" x14ac:dyDescent="0.25">
      <c r="A54" s="101" t="s">
        <v>3795</v>
      </c>
      <c r="B54" s="102" t="s">
        <v>3930</v>
      </c>
      <c r="C54" s="96">
        <f>SUMIF('ПО КОРИСНИЦИМА'!$G$6:$G$15001,"Функција 440:",'ПО КОРИСНИЦИМА'!$H$6:$H$15001)</f>
        <v>0</v>
      </c>
      <c r="D54" s="97">
        <f t="shared" si="3"/>
        <v>0</v>
      </c>
      <c r="E54" s="96">
        <f>SUMIF('ПО КОРИСНИЦИМА'!$G$6:$G$15001,"Функција 440:",'ПО КОРИСНИЦИМА'!$I$6:$I$15001)</f>
        <v>0</v>
      </c>
      <c r="F54" s="96">
        <f t="shared" si="1"/>
        <v>0</v>
      </c>
    </row>
    <row r="55" spans="1:6" ht="9.75" hidden="1" customHeight="1" x14ac:dyDescent="0.25">
      <c r="A55" s="103" t="s">
        <v>3931</v>
      </c>
      <c r="B55" s="102" t="s">
        <v>149</v>
      </c>
      <c r="C55" s="96">
        <f>SUMIF('ПО КОРИСНИЦИМА'!$G$6:$G$15001,"Функција 441:",'ПО КОРИСНИЦИМА'!$H$6:$H$15001)</f>
        <v>0</v>
      </c>
      <c r="D55" s="97">
        <f t="shared" si="3"/>
        <v>0</v>
      </c>
      <c r="E55" s="96">
        <f>SUMIF('ПО КОРИСНИЦИМА'!$G$6:$G$15001,"Функција 441:",'ПО КОРИСНИЦИМА'!$I$6:$I$15001)</f>
        <v>0</v>
      </c>
      <c r="F55" s="96">
        <f t="shared" si="1"/>
        <v>0</v>
      </c>
    </row>
    <row r="56" spans="1:6" ht="9.75" hidden="1" customHeight="1" x14ac:dyDescent="0.25">
      <c r="A56" s="103" t="s">
        <v>3932</v>
      </c>
      <c r="B56" s="102" t="s">
        <v>150</v>
      </c>
      <c r="C56" s="96">
        <f>SUMIF('ПО КОРИСНИЦИМА'!$G$6:$G$15001,"Функција 442:",'ПО КОРИСНИЦИМА'!$H$6:$H$15001)</f>
        <v>0</v>
      </c>
      <c r="D56" s="97">
        <f t="shared" si="3"/>
        <v>0</v>
      </c>
      <c r="E56" s="96">
        <f>SUMIF('ПО КОРИСНИЦИМА'!$G$6:$G$15001,"Функција 442:",'ПО КОРИСНИЦИМА'!$I$6:$I$15001)</f>
        <v>0</v>
      </c>
      <c r="F56" s="96">
        <f t="shared" si="1"/>
        <v>0</v>
      </c>
    </row>
    <row r="57" spans="1:6" ht="9.75" hidden="1" customHeight="1" x14ac:dyDescent="0.25">
      <c r="A57" s="103" t="s">
        <v>3933</v>
      </c>
      <c r="B57" s="102" t="s">
        <v>151</v>
      </c>
      <c r="C57" s="96">
        <f>SUMIF('ПО КОРИСНИЦИМА'!$G$6:$G$15001,"Функција 443:",'ПО КОРИСНИЦИМА'!$H$6:$H$15001)</f>
        <v>0</v>
      </c>
      <c r="D57" s="97">
        <f t="shared" si="3"/>
        <v>0</v>
      </c>
      <c r="E57" s="96">
        <f>SUMIF('ПО КОРИСНИЦИМА'!$G$6:$G$15001,"Функција 443:",'ПО КОРИСНИЦИМА'!$I$6:$I$15001)</f>
        <v>0</v>
      </c>
      <c r="F57" s="96">
        <f t="shared" si="1"/>
        <v>0</v>
      </c>
    </row>
    <row r="58" spans="1:6" ht="9.75" hidden="1" customHeight="1" x14ac:dyDescent="0.25">
      <c r="A58" s="101" t="s">
        <v>3801</v>
      </c>
      <c r="B58" s="102" t="s">
        <v>3934</v>
      </c>
      <c r="C58" s="96">
        <f>SUMIF('ПО КОРИСНИЦИМА'!$G$6:$G$15001,"Функција 450:",'ПО КОРИСНИЦИМА'!$H$6:$H$15001)</f>
        <v>0</v>
      </c>
      <c r="D58" s="97">
        <f t="shared" si="3"/>
        <v>0</v>
      </c>
      <c r="E58" s="96">
        <f>SUMIF('ПО КОРИСНИЦИМА'!$G$6:$G$15001,"Функција 450:",'ПО КОРИСНИЦИМА'!$I$6:$I$15001)</f>
        <v>0</v>
      </c>
      <c r="F58" s="96">
        <f t="shared" si="1"/>
        <v>0</v>
      </c>
    </row>
    <row r="59" spans="1:6" ht="13.5" customHeight="1" x14ac:dyDescent="0.25">
      <c r="A59" s="106" t="s">
        <v>3935</v>
      </c>
      <c r="B59" s="102" t="s">
        <v>153</v>
      </c>
      <c r="C59" s="96">
        <f>SUMIF('ПО КОРИСНИЦИМА'!$G$6:$G$15001,"Функција 451:",'ПО КОРИСНИЦИМА'!$H$6:$H$15001)</f>
        <v>73100000</v>
      </c>
      <c r="D59" s="97">
        <f t="shared" si="3"/>
        <v>0.18401344088545557</v>
      </c>
      <c r="E59" s="96">
        <f>SUMIF('ПО КОРИСНИЦИМА'!$G$6:$G$15001,"Функција 451:",'ПО КОРИСНИЦИМА'!$I$6:$I$15001)</f>
        <v>3265528</v>
      </c>
      <c r="F59" s="96">
        <f t="shared" si="1"/>
        <v>76365528</v>
      </c>
    </row>
    <row r="60" spans="1:6" ht="9.75" hidden="1" customHeight="1" x14ac:dyDescent="0.25">
      <c r="A60" s="106" t="s">
        <v>3858</v>
      </c>
      <c r="B60" s="102" t="s">
        <v>154</v>
      </c>
      <c r="C60" s="96">
        <f>SUMIF('ПО КОРИСНИЦИМА'!$G$6:$G$15001,"Функција 452:",'ПО КОРИСНИЦИМА'!$H$6:$H$15001)</f>
        <v>0</v>
      </c>
      <c r="D60" s="97">
        <f t="shared" si="3"/>
        <v>0</v>
      </c>
      <c r="E60" s="96">
        <f>SUMIF('ПО КОРИСНИЦИМА'!$G$6:$G$15001,"Функција 452:",'ПО КОРИСНИЦИМА'!$I$6:$I$15001)</f>
        <v>0</v>
      </c>
      <c r="F60" s="96">
        <f t="shared" si="1"/>
        <v>0</v>
      </c>
    </row>
    <row r="61" spans="1:6" ht="9.75" hidden="1" customHeight="1" x14ac:dyDescent="0.25">
      <c r="A61" s="106" t="s">
        <v>3936</v>
      </c>
      <c r="B61" s="102" t="s">
        <v>155</v>
      </c>
      <c r="C61" s="96">
        <f>SUMIF('ПО КОРИСНИЦИМА'!$G$6:$G$15001,"Функција 453:",'ПО КОРИСНИЦИМА'!$H$6:$H$15001)</f>
        <v>0</v>
      </c>
      <c r="D61" s="97">
        <f t="shared" si="3"/>
        <v>0</v>
      </c>
      <c r="E61" s="96">
        <f>SUMIF('ПО КОРИСНИЦИМА'!$G$6:$G$15001,"Функција 453:",'ПО КОРИСНИЦИМА'!$I$6:$I$15001)</f>
        <v>0</v>
      </c>
      <c r="F61" s="96">
        <f t="shared" si="1"/>
        <v>0</v>
      </c>
    </row>
    <row r="62" spans="1:6" ht="9.75" hidden="1" customHeight="1" x14ac:dyDescent="0.25">
      <c r="A62" s="106" t="s">
        <v>3937</v>
      </c>
      <c r="B62" s="102" t="s">
        <v>156</v>
      </c>
      <c r="C62" s="96">
        <f>SUMIF('ПО КОРИСНИЦИМА'!$G$6:$G$15001,"Функција 454:",'ПО КОРИСНИЦИМА'!$H$6:$H$15001)</f>
        <v>0</v>
      </c>
      <c r="D62" s="97">
        <f t="shared" si="3"/>
        <v>0</v>
      </c>
      <c r="E62" s="96">
        <f>SUMIF('ПО КОРИСНИЦИМА'!$G$6:$G$15001,"Функција 454:",'ПО КОРИСНИЦИМА'!$I$6:$I$15001)</f>
        <v>0</v>
      </c>
      <c r="F62" s="96">
        <f t="shared" si="1"/>
        <v>0</v>
      </c>
    </row>
    <row r="63" spans="1:6" ht="9.75" hidden="1" customHeight="1" x14ac:dyDescent="0.25">
      <c r="A63" s="106" t="s">
        <v>3938</v>
      </c>
      <c r="B63" s="102" t="s">
        <v>157</v>
      </c>
      <c r="C63" s="96">
        <f>SUMIF('ПО КОРИСНИЦИМА'!$G$6:$G$15001,"Функција 455:",'ПО КОРИСНИЦИМА'!$H$6:$H$15001)</f>
        <v>0</v>
      </c>
      <c r="D63" s="97">
        <f t="shared" si="3"/>
        <v>0</v>
      </c>
      <c r="E63" s="96">
        <f>SUMIF('ПО КОРИСНИЦИМА'!$G$6:$G$15001,"Функција 455:",'ПО КОРИСНИЦИМА'!$I$6:$I$15001)</f>
        <v>0</v>
      </c>
      <c r="F63" s="96">
        <f t="shared" si="1"/>
        <v>0</v>
      </c>
    </row>
    <row r="64" spans="1:6" ht="9.75" hidden="1" customHeight="1" x14ac:dyDescent="0.25">
      <c r="A64" s="101" t="s">
        <v>3806</v>
      </c>
      <c r="B64" s="102" t="s">
        <v>3939</v>
      </c>
      <c r="C64" s="96">
        <f>SUMIF('ПО КОРИСНИЦИМА'!$G$6:$G$15001,"Функција 460:",'ПО КОРИСНИЦИМА'!$H$6:$H$15001)</f>
        <v>0</v>
      </c>
      <c r="D64" s="97">
        <f t="shared" si="3"/>
        <v>0</v>
      </c>
      <c r="E64" s="96">
        <f>SUMIF('ПО КОРИСНИЦИМА'!$G$6:$G$15001,"Функција 460:",'ПО КОРИСНИЦИМА'!$I$6:$I$15001)</f>
        <v>0</v>
      </c>
      <c r="F64" s="96">
        <f t="shared" si="1"/>
        <v>0</v>
      </c>
    </row>
    <row r="65" spans="1:6" ht="9.75" hidden="1" customHeight="1" x14ac:dyDescent="0.25">
      <c r="A65" s="101" t="s">
        <v>3813</v>
      </c>
      <c r="B65" s="102" t="s">
        <v>3940</v>
      </c>
      <c r="C65" s="96">
        <f>SUMIF('ПО КОРИСНИЦИМА'!$G$6:$G$15001,"Функција 470:",'ПО КОРИСНИЦИМА'!$H$6:$H$15001)</f>
        <v>0</v>
      </c>
      <c r="D65" s="97">
        <f t="shared" si="3"/>
        <v>0</v>
      </c>
      <c r="E65" s="96">
        <f>SUMIF('ПО КОРИСНИЦИМА'!$G$6:$G$15001,"Функција 470:",'ПО КОРИСНИЦИМА'!$I$6:$I$15001)</f>
        <v>0</v>
      </c>
      <c r="F65" s="96">
        <f t="shared" si="1"/>
        <v>0</v>
      </c>
    </row>
    <row r="66" spans="1:6" ht="9.75" hidden="1" customHeight="1" x14ac:dyDescent="0.25">
      <c r="A66" s="103" t="s">
        <v>3941</v>
      </c>
      <c r="B66" s="102" t="s">
        <v>160</v>
      </c>
      <c r="C66" s="96">
        <f>SUMIF('ПО КОРИСНИЦИМА'!$G$6:$G$15001,"Функција 471:",'ПО КОРИСНИЦИМА'!$H$6:$H$15001)</f>
        <v>0</v>
      </c>
      <c r="D66" s="97">
        <f t="shared" si="3"/>
        <v>0</v>
      </c>
      <c r="E66" s="96">
        <f>SUMIF('ПО КОРИСНИЦИМА'!$G$6:$G$15001,"Функција 471:",'ПО КОРИСНИЦИМА'!$I$6:$I$15001)</f>
        <v>0</v>
      </c>
      <c r="F66" s="96">
        <f t="shared" si="1"/>
        <v>0</v>
      </c>
    </row>
    <row r="67" spans="1:6" ht="9.75" hidden="1" customHeight="1" x14ac:dyDescent="0.25">
      <c r="A67" s="103" t="s">
        <v>3942</v>
      </c>
      <c r="B67" s="102" t="s">
        <v>161</v>
      </c>
      <c r="C67" s="96">
        <f>SUMIF('ПО КОРИСНИЦИМА'!$G$6:$G$15001,"Функција 472:",'ПО КОРИСНИЦИМА'!$H$6:$H$15001)</f>
        <v>0</v>
      </c>
      <c r="D67" s="97">
        <f t="shared" si="3"/>
        <v>0</v>
      </c>
      <c r="E67" s="96">
        <f>SUMIF('ПО КОРИСНИЦИМА'!$G$6:$G$15001,"Функција 472:",'ПО КОРИСНИЦИМА'!$I$6:$I$15001)</f>
        <v>0</v>
      </c>
      <c r="F67" s="96">
        <f t="shared" si="1"/>
        <v>0</v>
      </c>
    </row>
    <row r="68" spans="1:6" ht="13.5" customHeight="1" x14ac:dyDescent="0.25">
      <c r="A68" s="103" t="s">
        <v>3943</v>
      </c>
      <c r="B68" s="102" t="s">
        <v>162</v>
      </c>
      <c r="C68" s="96">
        <f>SUMIF('ПО КОРИСНИЦИМА'!$G$6:$G$15001,"Функција 473:",'ПО КОРИСНИЦИМА'!$H$6:$H$15001)</f>
        <v>3463000</v>
      </c>
      <c r="D68" s="97">
        <f t="shared" si="3"/>
        <v>8.7173535675284901E-3</v>
      </c>
      <c r="E68" s="96">
        <f>SUMIF('ПО КОРИСНИЦИМА'!$G$6:$G$15001,"Функција 473:",'ПО КОРИСНИЦИМА'!$I$6:$I$15001)</f>
        <v>350000</v>
      </c>
      <c r="F68" s="96">
        <f t="shared" si="1"/>
        <v>3813000</v>
      </c>
    </row>
    <row r="69" spans="1:6" hidden="1" x14ac:dyDescent="0.25">
      <c r="A69" s="103" t="s">
        <v>3944</v>
      </c>
      <c r="B69" s="102" t="s">
        <v>163</v>
      </c>
      <c r="C69" s="96">
        <f>SUMIF('ПО КОРИСНИЦИМА'!$G$6:$G$15001,"Функција 474:",'ПО КОРИСНИЦИМА'!$H$6:$H$15001)</f>
        <v>0</v>
      </c>
      <c r="D69" s="97">
        <f t="shared" ref="D69" si="4">IFERROR(C69/$C$140,"-")</f>
        <v>0</v>
      </c>
      <c r="E69" s="96">
        <f>SUMIF('ПО КОРИСНИЦИМА'!$G$6:$G$15001,"Функција 474:",'ПО КОРИСНИЦИМА'!$I$6:$I$15001)</f>
        <v>0</v>
      </c>
      <c r="F69" s="96">
        <f t="shared" si="1"/>
        <v>0</v>
      </c>
    </row>
    <row r="70" spans="1:6" hidden="1" x14ac:dyDescent="0.25">
      <c r="A70" s="101" t="s">
        <v>3816</v>
      </c>
      <c r="B70" s="102" t="s">
        <v>3945</v>
      </c>
      <c r="C70" s="96">
        <f>SUMIF('ПО КОРИСНИЦИМА'!$G$6:$G$15001,"Функција 480:",'ПО КОРИСНИЦИМА'!$H$6:$H$15001)</f>
        <v>0</v>
      </c>
      <c r="D70" s="97">
        <f t="shared" ref="D70:D133" si="5">IFERROR(C70/$C$140,"-")</f>
        <v>0</v>
      </c>
      <c r="E70" s="96">
        <f>SUMIF('ПО КОРИСНИЦИМА'!$G$6:$G$15001,"Функција 480:",'ПО КОРИСНИЦИМА'!$I$6:$I$15001)</f>
        <v>0</v>
      </c>
      <c r="F70" s="96">
        <f t="shared" si="1"/>
        <v>0</v>
      </c>
    </row>
    <row r="71" spans="1:6" ht="23.25" hidden="1" x14ac:dyDescent="0.25">
      <c r="A71" s="103" t="s">
        <v>3946</v>
      </c>
      <c r="B71" s="102" t="s">
        <v>165</v>
      </c>
      <c r="C71" s="96">
        <f>SUMIF('ПО КОРИСНИЦИМА'!$G$6:$G$15001,"Функција 481:",'ПО КОРИСНИЦИМА'!$H$6:$H$15001)</f>
        <v>0</v>
      </c>
      <c r="D71" s="97">
        <f t="shared" si="5"/>
        <v>0</v>
      </c>
      <c r="E71" s="96">
        <f>SUMIF('ПО КОРИСНИЦИМА'!$G$6:$G$15001,"Функција 481:",'ПО КОРИСНИЦИМА'!$I$6:$I$15001)</f>
        <v>0</v>
      </c>
      <c r="F71" s="96">
        <f t="shared" ref="F71:F134" si="6">SUM(E71,C71)</f>
        <v>0</v>
      </c>
    </row>
    <row r="72" spans="1:6" ht="23.25" hidden="1" x14ac:dyDescent="0.25">
      <c r="A72" s="103" t="s">
        <v>3947</v>
      </c>
      <c r="B72" s="102" t="s">
        <v>166</v>
      </c>
      <c r="C72" s="96">
        <f>SUMIF('ПО КОРИСНИЦИМА'!$G$6:$G$15001,"Функција 482:",'ПО КОРИСНИЦИМА'!$H$6:$H$15001)</f>
        <v>0</v>
      </c>
      <c r="D72" s="97">
        <f t="shared" si="5"/>
        <v>0</v>
      </c>
      <c r="E72" s="96">
        <f>SUMIF('ПО КОРИСНИЦИМА'!$G$6:$G$15001,"Функција 482:",'ПО КОРИСНИЦИМА'!$I$6:$I$15001)</f>
        <v>0</v>
      </c>
      <c r="F72" s="96">
        <f t="shared" si="6"/>
        <v>0</v>
      </c>
    </row>
    <row r="73" spans="1:6" hidden="1" x14ac:dyDescent="0.25">
      <c r="A73" s="103" t="s">
        <v>3948</v>
      </c>
      <c r="B73" s="102" t="s">
        <v>167</v>
      </c>
      <c r="C73" s="96">
        <f>SUMIF('ПО КОРИСНИЦИМА'!$G$6:$G$15001,"Функција 483:",'ПО КОРИСНИЦИМА'!$H$6:$H$15001)</f>
        <v>0</v>
      </c>
      <c r="D73" s="97">
        <f t="shared" si="5"/>
        <v>0</v>
      </c>
      <c r="E73" s="96">
        <f>SUMIF('ПО КОРИСНИЦИМА'!$G$6:$G$15001,"Функција 483:",'ПО КОРИСНИЦИМА'!$I$6:$I$15001)</f>
        <v>0</v>
      </c>
      <c r="F73" s="96">
        <f t="shared" si="6"/>
        <v>0</v>
      </c>
    </row>
    <row r="74" spans="1:6" ht="23.25" hidden="1" x14ac:dyDescent="0.25">
      <c r="A74" s="103" t="s">
        <v>3949</v>
      </c>
      <c r="B74" s="102" t="s">
        <v>168</v>
      </c>
      <c r="C74" s="96">
        <f>SUMIF('ПО КОРИСНИЦИМА'!$G$6:$G$15001,"Функција 484:",'ПО КОРИСНИЦИМА'!$H$6:$H$15001)</f>
        <v>0</v>
      </c>
      <c r="D74" s="97">
        <f t="shared" si="5"/>
        <v>0</v>
      </c>
      <c r="E74" s="96">
        <f>SUMIF('ПО КОРИСНИЦИМА'!$G$6:$G$15001,"Функција 484:",'ПО КОРИСНИЦИМА'!$I$6:$I$15001)</f>
        <v>0</v>
      </c>
      <c r="F74" s="96">
        <f t="shared" si="6"/>
        <v>0</v>
      </c>
    </row>
    <row r="75" spans="1:6" x14ac:dyDescent="0.25">
      <c r="A75" s="103" t="s">
        <v>3950</v>
      </c>
      <c r="B75" s="102" t="s">
        <v>169</v>
      </c>
      <c r="C75" s="96">
        <f>SUMIF('ПО КОРИСНИЦИМА'!$G$6:$G$15001,"Функција 485:",'ПО КОРИСНИЦИМА'!$H$6:$H$15001)</f>
        <v>6400000</v>
      </c>
      <c r="D75" s="97">
        <f t="shared" si="5"/>
        <v>1.6110615891476273E-2</v>
      </c>
      <c r="E75" s="96">
        <f>SUMIF('ПО КОРИСНИЦИМА'!$G$6:$G$15001,"Функција 485:",'ПО КОРИСНИЦИМА'!$I$6:$I$15001)</f>
        <v>0</v>
      </c>
      <c r="F75" s="96">
        <f t="shared" si="6"/>
        <v>6400000</v>
      </c>
    </row>
    <row r="76" spans="1:6" hidden="1" x14ac:dyDescent="0.25">
      <c r="A76" s="103" t="s">
        <v>3951</v>
      </c>
      <c r="B76" s="102" t="s">
        <v>170</v>
      </c>
      <c r="C76" s="96">
        <f>SUMIF('ПО КОРИСНИЦИМА'!$G$6:$G$15001,"Функција 486:",'ПО КОРИСНИЦИМА'!$H$6:$H$15001)</f>
        <v>0</v>
      </c>
      <c r="D76" s="97">
        <f t="shared" si="5"/>
        <v>0</v>
      </c>
      <c r="E76" s="96">
        <f>SUMIF('ПО КОРИСНИЦИМА'!$G$6:$G$15001,"Функција 486:",'ПО КОРИСНИЦИМА'!$I$6:$I$15001)</f>
        <v>0</v>
      </c>
      <c r="F76" s="96">
        <f t="shared" si="6"/>
        <v>0</v>
      </c>
    </row>
    <row r="77" spans="1:6" hidden="1" x14ac:dyDescent="0.25">
      <c r="A77" s="103" t="s">
        <v>3952</v>
      </c>
      <c r="B77" s="102" t="s">
        <v>171</v>
      </c>
      <c r="C77" s="96">
        <f>SUMIF('ПО КОРИСНИЦИМА'!$G$6:$G$15001,"Функција 487:",'ПО КОРИСНИЦИМА'!$H$6:$H$15001)</f>
        <v>0</v>
      </c>
      <c r="D77" s="97">
        <f t="shared" si="5"/>
        <v>0</v>
      </c>
      <c r="E77" s="96">
        <f>SUMIF('ПО КОРИСНИЦИМА'!$G$6:$G$15001,"Функција 487:",'ПО КОРИСНИЦИМА'!$I$6:$I$15001)</f>
        <v>0</v>
      </c>
      <c r="F77" s="96">
        <f t="shared" si="6"/>
        <v>0</v>
      </c>
    </row>
    <row r="78" spans="1:6" hidden="1" x14ac:dyDescent="0.25">
      <c r="A78" s="101" t="s">
        <v>3953</v>
      </c>
      <c r="B78" s="102" t="s">
        <v>172</v>
      </c>
      <c r="C78" s="96">
        <f>SUMIF('ПО КОРИСНИЦИМА'!$G$6:$G$15001,"Функција 490:",'ПО КОРИСНИЦИМА'!$H$6:$H$15001)</f>
        <v>0</v>
      </c>
      <c r="D78" s="97">
        <f t="shared" si="5"/>
        <v>0</v>
      </c>
      <c r="E78" s="96">
        <f>SUMIF('ПО КОРИСНИЦИМА'!$G$6:$G$15001,"Функција 490:",'ПО КОРИСНИЦИМА'!$I$6:$I$15001)</f>
        <v>0</v>
      </c>
      <c r="F78" s="96">
        <f t="shared" si="6"/>
        <v>0</v>
      </c>
    </row>
    <row r="79" spans="1:6" x14ac:dyDescent="0.25">
      <c r="A79" s="98" t="s">
        <v>3954</v>
      </c>
      <c r="B79" s="104" t="s">
        <v>173</v>
      </c>
      <c r="C79" s="94">
        <f>SUM(C80:C85)</f>
        <v>4200000</v>
      </c>
      <c r="D79" s="100">
        <f t="shared" si="5"/>
        <v>1.0572591678781305E-2</v>
      </c>
      <c r="E79" s="94">
        <f>SUM(E80:E85)</f>
        <v>0</v>
      </c>
      <c r="F79" s="94">
        <f t="shared" ref="F79:F118" si="7">C79+E79</f>
        <v>4200000</v>
      </c>
    </row>
    <row r="80" spans="1:6" x14ac:dyDescent="0.25">
      <c r="A80" s="101" t="s">
        <v>3828</v>
      </c>
      <c r="B80" s="102" t="s">
        <v>3955</v>
      </c>
      <c r="C80" s="96">
        <f>SUMIF('ПО КОРИСНИЦИМА'!$G$6:$G$15001,"Функција 510:",'ПО КОРИСНИЦИМА'!$H$6:$H$15001)</f>
        <v>2500000</v>
      </c>
      <c r="D80" s="97">
        <f t="shared" si="5"/>
        <v>6.2932093326079196E-3</v>
      </c>
      <c r="E80" s="96">
        <f>SUMIF('ПО КОРИСНИЦИМА'!$G$6:$G$15001,"Функција 510:",'ПО КОРИСНИЦИМА'!$I$6:$I$15001)</f>
        <v>0</v>
      </c>
      <c r="F80" s="96">
        <f t="shared" si="6"/>
        <v>2500000</v>
      </c>
    </row>
    <row r="81" spans="1:6" x14ac:dyDescent="0.25">
      <c r="A81" s="101" t="s">
        <v>3835</v>
      </c>
      <c r="B81" s="102" t="s">
        <v>3956</v>
      </c>
      <c r="C81" s="96">
        <f>SUMIF('ПО КОРИСНИЦИМА'!$G$6:$G$15001,"Функција 520:",'ПО КОРИСНИЦИМА'!$H$6:$H$15001)</f>
        <v>200000</v>
      </c>
      <c r="D81" s="97">
        <f t="shared" si="5"/>
        <v>5.0345674660863353E-4</v>
      </c>
      <c r="E81" s="96">
        <f>SUMIF('ПО КОРИСНИЦИМА'!$G$6:$G$15001,"Функција 520:",'ПО КОРИСНИЦИМА'!$I$6:$I$15001)</f>
        <v>0</v>
      </c>
      <c r="F81" s="96">
        <f t="shared" si="6"/>
        <v>200000</v>
      </c>
    </row>
    <row r="82" spans="1:6" hidden="1" x14ac:dyDescent="0.25">
      <c r="A82" s="101" t="s">
        <v>3957</v>
      </c>
      <c r="B82" s="102" t="s">
        <v>3958</v>
      </c>
      <c r="C82" s="96">
        <f>SUMIF('ПО КОРИСНИЦИМА'!$G$6:$G$15001,"Функција 530:",'ПО КОРИСНИЦИМА'!$H$6:$H$15001)</f>
        <v>0</v>
      </c>
      <c r="D82" s="97">
        <f t="shared" si="5"/>
        <v>0</v>
      </c>
      <c r="E82" s="96">
        <f>SUMIF('ПО КОРИСНИЦИМА'!$G$6:$G$15001,"Функција 530:",'ПО КОРИСНИЦИМА'!$I$6:$I$15001)</f>
        <v>0</v>
      </c>
      <c r="F82" s="96">
        <f t="shared" si="6"/>
        <v>0</v>
      </c>
    </row>
    <row r="83" spans="1:6" x14ac:dyDescent="0.25">
      <c r="A83" s="101" t="s">
        <v>3840</v>
      </c>
      <c r="B83" s="102" t="s">
        <v>3959</v>
      </c>
      <c r="C83" s="96">
        <f>SUMIF('ПО КОРИСНИЦИМА'!$G$6:$G$15001,"Функција 540:",'ПО КОРИСНИЦИМА'!$H$6:$H$15001)</f>
        <v>500000</v>
      </c>
      <c r="D83" s="97">
        <f t="shared" si="5"/>
        <v>1.2586418665215839E-3</v>
      </c>
      <c r="E83" s="96">
        <f>SUMIF('ПО КОРИСНИЦИМА'!$G$6:$G$15001,"Функција 540:",'ПО КОРИСНИЦИМА'!$I$6:$I$15001)</f>
        <v>0</v>
      </c>
      <c r="F83" s="96">
        <f t="shared" si="6"/>
        <v>500000</v>
      </c>
    </row>
    <row r="84" spans="1:6" hidden="1" x14ac:dyDescent="0.25">
      <c r="A84" s="101" t="s">
        <v>3960</v>
      </c>
      <c r="B84" s="102" t="s">
        <v>3961</v>
      </c>
      <c r="C84" s="96">
        <f>SUMIF('ПО КОРИСНИЦИМА'!$G$6:$G$15001,"Функција 550:",'ПО КОРИСНИЦИМА'!$H$6:$H$15001)</f>
        <v>0</v>
      </c>
      <c r="D84" s="97">
        <f t="shared" si="5"/>
        <v>0</v>
      </c>
      <c r="E84" s="96">
        <f>SUMIF('ПО КОРИСНИЦИМА'!$G$6:$G$15001,"Функција 550:",'ПО КОРИСНИЦИМА'!$I$6:$I$15001)</f>
        <v>0</v>
      </c>
      <c r="F84" s="96">
        <f t="shared" si="6"/>
        <v>0</v>
      </c>
    </row>
    <row r="85" spans="1:6" ht="23.25" x14ac:dyDescent="0.25">
      <c r="A85" s="101" t="s">
        <v>3962</v>
      </c>
      <c r="B85" s="102" t="s">
        <v>179</v>
      </c>
      <c r="C85" s="96">
        <f>SUMIF('ПО КОРИСНИЦИМА'!$G$6:$G$15001,"Функција 560:",'ПО КОРИСНИЦИМА'!$H$6:$H$15001)</f>
        <v>1000000</v>
      </c>
      <c r="D85" s="97">
        <f t="shared" si="5"/>
        <v>2.5172837330431678E-3</v>
      </c>
      <c r="E85" s="96">
        <f>SUMIF('ПО КОРИСНИЦИМА'!$G$6:$G$15001,"Функција 560:",'ПО КОРИСНИЦИМА'!$I$6:$I$15001)</f>
        <v>0</v>
      </c>
      <c r="F85" s="96">
        <f t="shared" si="6"/>
        <v>1000000</v>
      </c>
    </row>
    <row r="86" spans="1:6" x14ac:dyDescent="0.25">
      <c r="A86" s="107" t="s">
        <v>3963</v>
      </c>
      <c r="B86" s="108" t="s">
        <v>3964</v>
      </c>
      <c r="C86" s="109">
        <f>SUM(C87:C92)</f>
        <v>54417840</v>
      </c>
      <c r="D86" s="110">
        <f t="shared" si="5"/>
        <v>0.13698514341934581</v>
      </c>
      <c r="E86" s="109">
        <f>SUM(E87:E92)</f>
        <v>0</v>
      </c>
      <c r="F86" s="109">
        <f t="shared" si="7"/>
        <v>54417840</v>
      </c>
    </row>
    <row r="87" spans="1:6" hidden="1" x14ac:dyDescent="0.25">
      <c r="A87" s="101" t="s">
        <v>3847</v>
      </c>
      <c r="B87" s="102" t="s">
        <v>3965</v>
      </c>
      <c r="C87" s="96">
        <f>SUMIF('ПО КОРИСНИЦИМА'!$G$6:$G$15001,"Функција 610:",'ПО КОРИСНИЦИМА'!$H$6:$H$15001)</f>
        <v>0</v>
      </c>
      <c r="D87" s="97">
        <f t="shared" si="5"/>
        <v>0</v>
      </c>
      <c r="E87" s="96">
        <f>SUMIF('ПО КОРИСНИЦИМА'!$G$6:$G$15001,"Функција 610:",'ПО КОРИСНИЦИМА'!$I$6:$I$15001)</f>
        <v>0</v>
      </c>
      <c r="F87" s="96">
        <f t="shared" si="6"/>
        <v>0</v>
      </c>
    </row>
    <row r="88" spans="1:6" x14ac:dyDescent="0.25">
      <c r="A88" s="101" t="s">
        <v>3854</v>
      </c>
      <c r="B88" s="102" t="s">
        <v>3966</v>
      </c>
      <c r="C88" s="96">
        <f>SUMIF('ПО КОРИСНИЦИМА'!$G$6:$G$15001,"Функција 620:",'ПО КОРИСНИЦИМА'!$H$6:$H$15001)</f>
        <v>23661000</v>
      </c>
      <c r="D88" s="97">
        <f t="shared" si="5"/>
        <v>5.956145040753439E-2</v>
      </c>
      <c r="E88" s="96">
        <f>SUMIF('ПО КОРИСНИЦИМА'!$G$6:$G$15001,"Функција 620:",'ПО КОРИСНИЦИМА'!$I$6:$I$15001)</f>
        <v>0</v>
      </c>
      <c r="F88" s="96">
        <f t="shared" si="6"/>
        <v>23661000</v>
      </c>
    </row>
    <row r="89" spans="1:6" x14ac:dyDescent="0.25">
      <c r="A89" s="101" t="s">
        <v>3967</v>
      </c>
      <c r="B89" s="102" t="s">
        <v>3968</v>
      </c>
      <c r="C89" s="96">
        <f>SUMIF('ПО КОРИСНИЦИМА'!$G$6:$G$15001,"Функција 630:",'ПО КОРИСНИЦИМА'!$H$6:$H$15001)</f>
        <v>23100000</v>
      </c>
      <c r="D89" s="97">
        <f t="shared" si="5"/>
        <v>5.8149254233297178E-2</v>
      </c>
      <c r="E89" s="96">
        <f>SUMIF('ПО КОРИСНИЦИМА'!$G$6:$G$15001,"Функција 630:",'ПО КОРИСНИЦИМА'!$I$6:$I$15001)</f>
        <v>0</v>
      </c>
      <c r="F89" s="96">
        <f t="shared" si="6"/>
        <v>23100000</v>
      </c>
    </row>
    <row r="90" spans="1:6" hidden="1" x14ac:dyDescent="0.25">
      <c r="A90" s="101" t="s">
        <v>3969</v>
      </c>
      <c r="B90" s="102" t="s">
        <v>3970</v>
      </c>
      <c r="C90" s="96">
        <f>SUMIF('ПО КОРИСНИЦИМА'!$G$6:$G$15001,"Функција 640:",'ПО КОРИСНИЦИМА'!$H$6:$H$15001)</f>
        <v>0</v>
      </c>
      <c r="D90" s="97">
        <f t="shared" si="5"/>
        <v>0</v>
      </c>
      <c r="E90" s="96">
        <f>SUMIF('ПО КОРИСНИЦИМА'!$G$6:$G$15001,"Функција 640:",'ПО КОРИСНИЦИМА'!$I$6:$I$15001)</f>
        <v>0</v>
      </c>
      <c r="F90" s="96">
        <f t="shared" si="6"/>
        <v>0</v>
      </c>
    </row>
    <row r="91" spans="1:6" hidden="1" x14ac:dyDescent="0.25">
      <c r="A91" s="101" t="s">
        <v>3971</v>
      </c>
      <c r="B91" s="102" t="s">
        <v>3972</v>
      </c>
      <c r="C91" s="96">
        <f>SUMIF('ПО КОРИСНИЦИМА'!$G$6:$G$15001,"Функција 650:",'ПО КОРИСНИЦИМА'!$H$6:$H$15001)</f>
        <v>0</v>
      </c>
      <c r="D91" s="97">
        <f t="shared" si="5"/>
        <v>0</v>
      </c>
      <c r="E91" s="96">
        <f>SUMIF('ПО КОРИСНИЦИМА'!$G$6:$G$15001,"Функција 650:",'ПО КОРИСНИЦИМА'!$I$6:$I$15001)</f>
        <v>0</v>
      </c>
      <c r="F91" s="96">
        <f t="shared" si="6"/>
        <v>0</v>
      </c>
    </row>
    <row r="92" spans="1:6" ht="23.25" customHeight="1" x14ac:dyDescent="0.25">
      <c r="A92" s="101" t="s">
        <v>3973</v>
      </c>
      <c r="B92" s="95" t="s">
        <v>186</v>
      </c>
      <c r="C92" s="96">
        <f>SUMIF('ПО КОРИСНИЦИМА'!$G$6:$G$15001,"Функција 660:",'ПО КОРИСНИЦИМА'!$H$6:$H$15001)</f>
        <v>7656840</v>
      </c>
      <c r="D92" s="97">
        <f t="shared" si="5"/>
        <v>1.9274438778514248E-2</v>
      </c>
      <c r="E92" s="96">
        <f>SUMIF('ПО КОРИСНИЦИМА'!$G$6:$G$15001,"Функција 660:",'ПО КОРИСНИЦИМА'!$I$6:$I$15001)</f>
        <v>0</v>
      </c>
      <c r="F92" s="96">
        <f t="shared" si="6"/>
        <v>7656840</v>
      </c>
    </row>
    <row r="93" spans="1:6" x14ac:dyDescent="0.25">
      <c r="A93" s="111">
        <v>700</v>
      </c>
      <c r="B93" s="112" t="s">
        <v>187</v>
      </c>
      <c r="C93" s="113">
        <f>SUM(C94:C110)</f>
        <v>10989550</v>
      </c>
      <c r="D93" s="114">
        <f t="shared" si="5"/>
        <v>2.7663815448464545E-2</v>
      </c>
      <c r="E93" s="113">
        <f>SUM(E94:E110)</f>
        <v>0</v>
      </c>
      <c r="F93" s="113">
        <f t="shared" si="7"/>
        <v>10989550</v>
      </c>
    </row>
    <row r="94" spans="1:6" hidden="1" x14ac:dyDescent="0.25">
      <c r="A94" s="101" t="s">
        <v>3974</v>
      </c>
      <c r="B94" s="102" t="s">
        <v>3975</v>
      </c>
      <c r="C94" s="96">
        <f>SUMIF('ПО КОРИСНИЦИМА'!$G$6:$G$15001,"Функција 710:",'ПО КОРИСНИЦИМА'!$H$6:$H$15001)</f>
        <v>0</v>
      </c>
      <c r="D94" s="97">
        <f t="shared" si="5"/>
        <v>0</v>
      </c>
      <c r="E94" s="96">
        <f>SUMIF('ПО КОРИСНИЦИМА'!$G$6:$G$15001,"Функција 710:",'ПО КОРИСНИЦИМА'!$I$6:$I$15001)</f>
        <v>0</v>
      </c>
      <c r="F94" s="96">
        <f t="shared" si="6"/>
        <v>0</v>
      </c>
    </row>
    <row r="95" spans="1:6" hidden="1" x14ac:dyDescent="0.25">
      <c r="A95" s="103" t="s">
        <v>3976</v>
      </c>
      <c r="B95" s="102" t="s">
        <v>189</v>
      </c>
      <c r="C95" s="96">
        <f>SUMIF('ПО КОРИСНИЦИМА'!$G$6:$G$15001,"Функција 711:",'ПО КОРИСНИЦИМА'!$H$6:$H$15001)</f>
        <v>0</v>
      </c>
      <c r="D95" s="97">
        <f t="shared" si="5"/>
        <v>0</v>
      </c>
      <c r="E95" s="96">
        <f>SUMIF('ПО КОРИСНИЦИМА'!$G$6:$G$15001,"Функција 711:",'ПО КОРИСНИЦИМА'!$I$6:$I$15001)</f>
        <v>0</v>
      </c>
      <c r="F95" s="96">
        <f t="shared" si="6"/>
        <v>0</v>
      </c>
    </row>
    <row r="96" spans="1:6" hidden="1" x14ac:dyDescent="0.25">
      <c r="A96" s="103" t="s">
        <v>3977</v>
      </c>
      <c r="B96" s="102" t="s">
        <v>190</v>
      </c>
      <c r="C96" s="96">
        <f>SUMIF('ПО КОРИСНИЦИМА'!$G$6:$G$15001,"Функција 712:",'ПО КОРИСНИЦИМА'!$H$6:$H$15001)</f>
        <v>0</v>
      </c>
      <c r="D96" s="97">
        <f t="shared" si="5"/>
        <v>0</v>
      </c>
      <c r="E96" s="96">
        <f>SUMIF('ПО КОРИСНИЦИМА'!$G$6:$G$15001,"Функција 712:",'ПО КОРИСНИЦИМА'!$I$6:$I$15001)</f>
        <v>0</v>
      </c>
      <c r="F96" s="96">
        <f t="shared" si="6"/>
        <v>0</v>
      </c>
    </row>
    <row r="97" spans="1:6" hidden="1" x14ac:dyDescent="0.25">
      <c r="A97" s="103" t="s">
        <v>3978</v>
      </c>
      <c r="B97" s="102" t="s">
        <v>191</v>
      </c>
      <c r="C97" s="96">
        <f>SUMIF('ПО КОРИСНИЦИМА'!$G$6:$G$15001,"Функција 713:",'ПО КОРИСНИЦИМА'!$H$6:$H$15001)</f>
        <v>0</v>
      </c>
      <c r="D97" s="97">
        <f t="shared" si="5"/>
        <v>0</v>
      </c>
      <c r="E97" s="96">
        <f>SUMIF('ПО КОРИСНИЦИМА'!$G$6:$G$15001,"Функција 713:",'ПО КОРИСНИЦИМА'!$I$6:$I$15001)</f>
        <v>0</v>
      </c>
      <c r="F97" s="96">
        <f t="shared" si="6"/>
        <v>0</v>
      </c>
    </row>
    <row r="98" spans="1:6" hidden="1" x14ac:dyDescent="0.25">
      <c r="A98" s="101" t="s">
        <v>3979</v>
      </c>
      <c r="B98" s="102" t="s">
        <v>3980</v>
      </c>
      <c r="C98" s="96">
        <f>SUMIF('ПО КОРИСНИЦИМА'!$G$6:$G$15001,"Функција 720:",'ПО КОРИСНИЦИМА'!$H$6:$H$15001)</f>
        <v>0</v>
      </c>
      <c r="D98" s="97">
        <f t="shared" si="5"/>
        <v>0</v>
      </c>
      <c r="E98" s="96">
        <f>SUMIF('ПО КОРИСНИЦИМА'!$G$6:$G$15001,"Функција 720:",'ПО КОРИСНИЦИМА'!$I$6:$I$15001)</f>
        <v>0</v>
      </c>
      <c r="F98" s="96">
        <f t="shared" si="6"/>
        <v>0</v>
      </c>
    </row>
    <row r="99" spans="1:6" hidden="1" x14ac:dyDescent="0.25">
      <c r="A99" s="103" t="s">
        <v>3981</v>
      </c>
      <c r="B99" s="102" t="s">
        <v>193</v>
      </c>
      <c r="C99" s="96">
        <f>SUMIF('ПО КОРИСНИЦИМА'!$G$6:$G$15001,"Функција 721:",'ПО КОРИСНИЦИМА'!$H$6:$H$15001)</f>
        <v>0</v>
      </c>
      <c r="D99" s="97">
        <f t="shared" si="5"/>
        <v>0</v>
      </c>
      <c r="E99" s="96">
        <f>SUMIF('ПО КОРИСНИЦИМА'!$G$6:$G$15001,"Функција 721:",'ПО КОРИСНИЦИМА'!$I$6:$I$15001)</f>
        <v>0</v>
      </c>
      <c r="F99" s="96">
        <f t="shared" si="6"/>
        <v>0</v>
      </c>
    </row>
    <row r="100" spans="1:6" hidden="1" x14ac:dyDescent="0.25">
      <c r="A100" s="103" t="s">
        <v>3982</v>
      </c>
      <c r="B100" s="102" t="s">
        <v>194</v>
      </c>
      <c r="C100" s="96">
        <f>SUMIF('ПО КОРИСНИЦИМА'!$G$6:$G$15001,"Функција 722:",'ПО КОРИСНИЦИМА'!$H$6:$H$15001)</f>
        <v>0</v>
      </c>
      <c r="D100" s="97">
        <f t="shared" si="5"/>
        <v>0</v>
      </c>
      <c r="E100" s="96">
        <f>SUMIF('ПО КОРИСНИЦИМА'!$G$6:$G$15001,"Функција 722:",'ПО КОРИСНИЦИМА'!$I$6:$I$15001)</f>
        <v>0</v>
      </c>
      <c r="F100" s="96">
        <f t="shared" si="6"/>
        <v>0</v>
      </c>
    </row>
    <row r="101" spans="1:6" hidden="1" x14ac:dyDescent="0.25">
      <c r="A101" s="103" t="s">
        <v>3983</v>
      </c>
      <c r="B101" s="102" t="s">
        <v>195</v>
      </c>
      <c r="C101" s="96">
        <f>SUMIF('ПО КОРИСНИЦИМА'!$G$6:$G$15001,"Функција 723:",'ПО КОРИСНИЦИМА'!$H$6:$H$15001)</f>
        <v>0</v>
      </c>
      <c r="D101" s="97">
        <f t="shared" si="5"/>
        <v>0</v>
      </c>
      <c r="E101" s="96">
        <f>SUMIF('ПО КОРИСНИЦИМА'!$G$6:$G$15001,"Функција 723:",'ПО КОРИСНИЦИМА'!$I$6:$I$15001)</f>
        <v>0</v>
      </c>
      <c r="F101" s="96">
        <f t="shared" si="6"/>
        <v>0</v>
      </c>
    </row>
    <row r="102" spans="1:6" hidden="1" x14ac:dyDescent="0.25">
      <c r="A102" s="103" t="s">
        <v>3984</v>
      </c>
      <c r="B102" s="102" t="s">
        <v>196</v>
      </c>
      <c r="C102" s="96">
        <f>SUMIF('ПО КОРИСНИЦИМА'!$G$6:$G$15001,"Функција 724:",'ПО КОРИСНИЦИМА'!$H$6:$H$15001)</f>
        <v>0</v>
      </c>
      <c r="D102" s="97">
        <f t="shared" si="5"/>
        <v>0</v>
      </c>
      <c r="E102" s="96">
        <f>SUMIF('ПО КОРИСНИЦИМА'!$G$6:$G$15001,"Функција 724:",'ПО КОРИСНИЦИМА'!$I$6:$I$15001)</f>
        <v>0</v>
      </c>
      <c r="F102" s="96">
        <f t="shared" si="6"/>
        <v>0</v>
      </c>
    </row>
    <row r="103" spans="1:6" hidden="1" x14ac:dyDescent="0.25">
      <c r="A103" s="101" t="s">
        <v>3985</v>
      </c>
      <c r="B103" s="102" t="s">
        <v>3986</v>
      </c>
      <c r="C103" s="96">
        <f>SUMIF('ПО КОРИСНИЦИМА'!$G$6:$G$15001,"Функција 730:",'ПО КОРИСНИЦИМА'!$H$6:$H$15001)</f>
        <v>0</v>
      </c>
      <c r="D103" s="97">
        <f t="shared" si="5"/>
        <v>0</v>
      </c>
      <c r="E103" s="96">
        <f>SUMIF('ПО КОРИСНИЦИМА'!$G$6:$G$15001,"Функција 730:",'ПО КОРИСНИЦИМА'!$I$6:$I$15001)</f>
        <v>0</v>
      </c>
      <c r="F103" s="96">
        <f t="shared" si="6"/>
        <v>0</v>
      </c>
    </row>
    <row r="104" spans="1:6" hidden="1" x14ac:dyDescent="0.25">
      <c r="A104" s="103" t="s">
        <v>3987</v>
      </c>
      <c r="B104" s="102" t="s">
        <v>198</v>
      </c>
      <c r="C104" s="96">
        <f>SUMIF('ПО КОРИСНИЦИМА'!$G$6:$G$15001,"Функција 731:",'ПО КОРИСНИЦИМА'!$H$6:$H$15001)</f>
        <v>0</v>
      </c>
      <c r="D104" s="97">
        <f t="shared" si="5"/>
        <v>0</v>
      </c>
      <c r="E104" s="96">
        <f>SUMIF('ПО КОРИСНИЦИМА'!$G$6:$G$15001,"Функција 731:",'ПО КОРИСНИЦИМА'!$I$6:$I$15001)</f>
        <v>0</v>
      </c>
      <c r="F104" s="96">
        <f t="shared" si="6"/>
        <v>0</v>
      </c>
    </row>
    <row r="105" spans="1:6" hidden="1" x14ac:dyDescent="0.25">
      <c r="A105" s="103" t="s">
        <v>3988</v>
      </c>
      <c r="B105" s="102" t="s">
        <v>199</v>
      </c>
      <c r="C105" s="96">
        <f>SUMIF('ПО КОРИСНИЦИМА'!$G$6:$G$15001,"Функција 732:",'ПО КОРИСНИЦИМА'!$H$6:$H$15001)</f>
        <v>0</v>
      </c>
      <c r="D105" s="97">
        <f t="shared" si="5"/>
        <v>0</v>
      </c>
      <c r="E105" s="96">
        <f>SUMIF('ПО КОРИСНИЦИМА'!$G$6:$G$15001,"Функција 732:",'ПО КОРИСНИЦИМА'!$I$6:$I$15001)</f>
        <v>0</v>
      </c>
      <c r="F105" s="96">
        <f t="shared" si="6"/>
        <v>0</v>
      </c>
    </row>
    <row r="106" spans="1:6" hidden="1" x14ac:dyDescent="0.25">
      <c r="A106" s="103" t="s">
        <v>3989</v>
      </c>
      <c r="B106" s="102" t="s">
        <v>200</v>
      </c>
      <c r="C106" s="96">
        <f>SUMIF('ПО КОРИСНИЦИМА'!$G$6:$G$15001,"Функција 733:",'ПО КОРИСНИЦИМА'!$H$6:$H$15001)</f>
        <v>0</v>
      </c>
      <c r="D106" s="97">
        <f t="shared" si="5"/>
        <v>0</v>
      </c>
      <c r="E106" s="96">
        <f>SUMIF('ПО КОРИСНИЦИМА'!$G$6:$G$15001,"Функција 733:",'ПО КОРИСНИЦИМА'!$I$6:$I$15001)</f>
        <v>0</v>
      </c>
      <c r="F106" s="96">
        <f t="shared" si="6"/>
        <v>0</v>
      </c>
    </row>
    <row r="107" spans="1:6" hidden="1" x14ac:dyDescent="0.25">
      <c r="A107" s="103" t="s">
        <v>3990</v>
      </c>
      <c r="B107" s="102" t="s">
        <v>3991</v>
      </c>
      <c r="C107" s="96">
        <f>SUMIF('ПО КОРИСНИЦИМА'!$G$6:$G$15001,"Функција 734:",'ПО КОРИСНИЦИМА'!$H$6:$H$15001)</f>
        <v>0</v>
      </c>
      <c r="D107" s="97">
        <f t="shared" si="5"/>
        <v>0</v>
      </c>
      <c r="E107" s="96">
        <f>SUMIF('ПО КОРИСНИЦИМА'!$G$6:$G$15001,"Функција 734:",'ПО КОРИСНИЦИМА'!$I$6:$I$15001)</f>
        <v>0</v>
      </c>
      <c r="F107" s="96">
        <f t="shared" si="6"/>
        <v>0</v>
      </c>
    </row>
    <row r="108" spans="1:6" x14ac:dyDescent="0.25">
      <c r="A108" s="101" t="s">
        <v>3992</v>
      </c>
      <c r="B108" s="102" t="s">
        <v>3993</v>
      </c>
      <c r="C108" s="96">
        <f>SUMIF('ПО КОРИСНИЦИМА'!$G$6:$G$15001,"Функција 740:",'ПО КОРИСНИЦИМА'!$H$6:$H$15001)</f>
        <v>10989550</v>
      </c>
      <c r="D108" s="97">
        <f t="shared" si="5"/>
        <v>2.7663815448464545E-2</v>
      </c>
      <c r="E108" s="96">
        <f>SUMIF('ПО КОРИСНИЦИМА'!$G$6:$G$15001,"Функција 740:",'ПО КОРИСНИЦИМА'!$I$6:$I$15001)</f>
        <v>0</v>
      </c>
      <c r="F108" s="96">
        <f t="shared" si="6"/>
        <v>10989550</v>
      </c>
    </row>
    <row r="109" spans="1:6" hidden="1" x14ac:dyDescent="0.25">
      <c r="A109" s="101" t="s">
        <v>3994</v>
      </c>
      <c r="B109" s="102" t="s">
        <v>3995</v>
      </c>
      <c r="C109" s="96">
        <f>SUMIF('ПО КОРИСНИЦИМА'!$G$6:$G$15001,"Функција 750:",'ПО КОРИСНИЦИМА'!$H$6:$H$15001)</f>
        <v>0</v>
      </c>
      <c r="D109" s="97">
        <f t="shared" si="5"/>
        <v>0</v>
      </c>
      <c r="E109" s="96">
        <f>SUMIF('ПО КОРИСНИЦИМА'!$G$6:$G$15001,"Функција 750:",'ПО КОРИСНИЦИМА'!$I$6:$I$15001)</f>
        <v>0</v>
      </c>
      <c r="F109" s="96">
        <f t="shared" si="6"/>
        <v>0</v>
      </c>
    </row>
    <row r="110" spans="1:6" hidden="1" x14ac:dyDescent="0.25">
      <c r="A110" s="101" t="s">
        <v>3996</v>
      </c>
      <c r="B110" s="102" t="s">
        <v>3997</v>
      </c>
      <c r="C110" s="96">
        <f>SUMIF('ПО КОРИСНИЦИМА'!$G$6:$G$15001,"Функција 760:",'ПО КОРИСНИЦИМА'!$H$6:$H$15001)</f>
        <v>0</v>
      </c>
      <c r="D110" s="97">
        <f t="shared" si="5"/>
        <v>0</v>
      </c>
      <c r="E110" s="96">
        <f>SUMIF('ПО КОРИСНИЦИМА'!$G$6:$G$15001,"Функција 760:",'ПО КОРИСНИЦИМА'!$I$6:$I$15001)</f>
        <v>0</v>
      </c>
      <c r="F110" s="96">
        <f t="shared" si="6"/>
        <v>0</v>
      </c>
    </row>
    <row r="111" spans="1:6" ht="12" customHeight="1" x14ac:dyDescent="0.25">
      <c r="A111" s="98" t="s">
        <v>3998</v>
      </c>
      <c r="B111" s="104" t="s">
        <v>205</v>
      </c>
      <c r="C111" s="94">
        <f>SUM(C112:C117)</f>
        <v>26014000</v>
      </c>
      <c r="D111" s="100">
        <f t="shared" si="5"/>
        <v>6.5484619031384972E-2</v>
      </c>
      <c r="E111" s="94">
        <f>SUM(E112:E117)</f>
        <v>825000</v>
      </c>
      <c r="F111" s="94">
        <f t="shared" si="7"/>
        <v>26839000</v>
      </c>
    </row>
    <row r="112" spans="1:6" x14ac:dyDescent="0.25">
      <c r="A112" s="101" t="s">
        <v>3999</v>
      </c>
      <c r="B112" s="102" t="s">
        <v>4000</v>
      </c>
      <c r="C112" s="96">
        <f>SUMIF('ПО КОРИСНИЦИМА'!$G$6:$G$15001,"Функција 810:",'ПО КОРИСНИЦИМА'!$H$6:$H$15001)</f>
        <v>4300000</v>
      </c>
      <c r="D112" s="97">
        <f t="shared" si="5"/>
        <v>1.0824320052085621E-2</v>
      </c>
      <c r="E112" s="96">
        <f>SUMIF('ПО КОРИСНИЦИМА'!$G$6:$G$15001,"Функција 810:",'ПО КОРИСНИЦИМА'!$I$6:$I$15001)</f>
        <v>0</v>
      </c>
      <c r="F112" s="96">
        <f t="shared" si="6"/>
        <v>4300000</v>
      </c>
    </row>
    <row r="113" spans="1:6" x14ac:dyDescent="0.25">
      <c r="A113" s="101" t="s">
        <v>4001</v>
      </c>
      <c r="B113" s="102" t="s">
        <v>4002</v>
      </c>
      <c r="C113" s="96">
        <f>SUMIF('ПО КОРИСНИЦИМА'!$G$6:$G$15001,"Функција 820:",'ПО КОРИСНИЦИМА'!$H$6:$H$15001)</f>
        <v>13964000</v>
      </c>
      <c r="D113" s="97">
        <f t="shared" si="5"/>
        <v>3.5151350048214791E-2</v>
      </c>
      <c r="E113" s="96">
        <f>SUMIF('ПО КОРИСНИЦИМА'!$G$6:$G$15001,"Функција 820:",'ПО КОРИСНИЦИМА'!$I$6:$I$15001)</f>
        <v>825000</v>
      </c>
      <c r="F113" s="96">
        <f t="shared" si="6"/>
        <v>14789000</v>
      </c>
    </row>
    <row r="114" spans="1:6" x14ac:dyDescent="0.25">
      <c r="A114" s="101" t="s">
        <v>4003</v>
      </c>
      <c r="B114" s="102" t="s">
        <v>4004</v>
      </c>
      <c r="C114" s="96">
        <f>SUMIF('ПО КОРИСНИЦИМА'!$G$6:$G$15001,"Функција 830:",'ПО КОРИСНИЦИМА'!$H$6:$H$15001)</f>
        <v>2300000</v>
      </c>
      <c r="D114" s="97">
        <f t="shared" si="5"/>
        <v>5.789752585999286E-3</v>
      </c>
      <c r="E114" s="96">
        <f>SUMIF('ПО КОРИСНИЦИМА'!$G$6:$G$15001,"Функција 830:",'ПО КОРИСНИЦИМА'!$I$6:$I$15001)</f>
        <v>0</v>
      </c>
      <c r="F114" s="96">
        <f t="shared" si="6"/>
        <v>2300000</v>
      </c>
    </row>
    <row r="115" spans="1:6" x14ac:dyDescent="0.25">
      <c r="A115" s="101" t="s">
        <v>4005</v>
      </c>
      <c r="B115" s="102" t="s">
        <v>4006</v>
      </c>
      <c r="C115" s="96">
        <f>SUMIF('ПО КОРИСНИЦИМА'!$G$6:$G$15001,"Функција 840:",'ПО КОРИСНИЦИМА'!$H$6:$H$15001)</f>
        <v>4500000</v>
      </c>
      <c r="D115" s="97">
        <f t="shared" si="5"/>
        <v>1.1327776798694254E-2</v>
      </c>
      <c r="E115" s="96">
        <f>SUMIF('ПО КОРИСНИЦИМА'!$G$6:$G$15001,"Функција 840:",'ПО КОРИСНИЦИМА'!$I$6:$I$15001)</f>
        <v>0</v>
      </c>
      <c r="F115" s="96">
        <f t="shared" si="6"/>
        <v>4500000</v>
      </c>
    </row>
    <row r="116" spans="1:6" ht="23.25" hidden="1" x14ac:dyDescent="0.25">
      <c r="A116" s="101" t="s">
        <v>4007</v>
      </c>
      <c r="B116" s="102" t="s">
        <v>4008</v>
      </c>
      <c r="C116" s="96">
        <f>SUMIF('ПО КОРИСНИЦИМА'!$G$6:$G$15001,"Функција 850:",'ПО КОРИСНИЦИМА'!$H$6:$H$15001)</f>
        <v>0</v>
      </c>
      <c r="D116" s="97">
        <f t="shared" si="5"/>
        <v>0</v>
      </c>
      <c r="E116" s="96">
        <f>SUMIF('ПО КОРИСНИЦИМА'!$G$6:$G$15001,"Функција 850:",'ПО КОРИСНИЦИМА'!$I$6:$I$15001)</f>
        <v>0</v>
      </c>
      <c r="F116" s="96">
        <f t="shared" si="6"/>
        <v>0</v>
      </c>
    </row>
    <row r="117" spans="1:6" ht="23.25" x14ac:dyDescent="0.25">
      <c r="A117" s="101" t="s">
        <v>4009</v>
      </c>
      <c r="B117" s="102" t="s">
        <v>211</v>
      </c>
      <c r="C117" s="96">
        <f>SUMIF('ПО КОРИСНИЦИМА'!$G$6:$G$15001,"Функција 860:",'ПО КОРИСНИЦИМА'!$H$6:$H$15001)</f>
        <v>950000</v>
      </c>
      <c r="D117" s="97">
        <f t="shared" si="5"/>
        <v>2.3914195463910094E-3</v>
      </c>
      <c r="E117" s="96">
        <f>SUMIF('ПО КОРИСНИЦИМА'!$G$6:$G$15001,"Функција 860:",'ПО КОРИСНИЦИМА'!$I$6:$I$15001)</f>
        <v>0</v>
      </c>
      <c r="F117" s="96">
        <f t="shared" si="6"/>
        <v>950000</v>
      </c>
    </row>
    <row r="118" spans="1:6" x14ac:dyDescent="0.25">
      <c r="A118" s="115" t="s">
        <v>4010</v>
      </c>
      <c r="B118" s="104" t="s">
        <v>212</v>
      </c>
      <c r="C118" s="94">
        <f>SUM(C119:C139)</f>
        <v>63659000</v>
      </c>
      <c r="D118" s="100">
        <f t="shared" si="5"/>
        <v>0.16024776516179501</v>
      </c>
      <c r="E118" s="94">
        <f>SUM(E119:E139)</f>
        <v>8031000</v>
      </c>
      <c r="F118" s="94">
        <f t="shared" si="7"/>
        <v>71690000</v>
      </c>
    </row>
    <row r="119" spans="1:6" hidden="1" x14ac:dyDescent="0.25">
      <c r="A119" s="101" t="s">
        <v>4011</v>
      </c>
      <c r="B119" s="102" t="s">
        <v>4012</v>
      </c>
      <c r="C119" s="96">
        <f>SUMIF('ПО КОРИСНИЦИМА'!$G$6:$G$15001,"Функција 910:",'ПО КОРИСНИЦИМА'!$H$6:$H$15001)</f>
        <v>0</v>
      </c>
      <c r="D119" s="97">
        <f t="shared" si="5"/>
        <v>0</v>
      </c>
      <c r="E119" s="96">
        <f>SUMIF('ПО КОРИСНИЦИМА'!$G$6:$G$15001,"Функција 910:",'ПО КОРИСНИЦИМА'!$I$6:$I$15001)</f>
        <v>0</v>
      </c>
      <c r="F119" s="96">
        <f t="shared" si="6"/>
        <v>0</v>
      </c>
    </row>
    <row r="120" spans="1:6" x14ac:dyDescent="0.25">
      <c r="A120" s="103" t="s">
        <v>4013</v>
      </c>
      <c r="B120" s="102" t="s">
        <v>214</v>
      </c>
      <c r="C120" s="96">
        <f>SUMIF('ПО КОРИСНИЦИМА'!$G$6:$G$15001,"Функција 911:",'ПО КОРИСНИЦИМА'!$H$6:$H$15001)</f>
        <v>19313000</v>
      </c>
      <c r="D120" s="97">
        <f t="shared" si="5"/>
        <v>4.8616300736262698E-2</v>
      </c>
      <c r="E120" s="96">
        <f>SUMIF('ПО КОРИСНИЦИМА'!$G$6:$G$15001,"Функција 911:",'ПО КОРИСНИЦИМА'!$I$6:$I$15001)</f>
        <v>8031000</v>
      </c>
      <c r="F120" s="96">
        <f t="shared" si="6"/>
        <v>27344000</v>
      </c>
    </row>
    <row r="121" spans="1:6" x14ac:dyDescent="0.25">
      <c r="A121" s="103" t="s">
        <v>3744</v>
      </c>
      <c r="B121" s="102" t="s">
        <v>215</v>
      </c>
      <c r="C121" s="96">
        <f>SUMIF('ПО КОРИСНИЦИМА'!$G$6:$G$15001,"Функција 912:",'ПО КОРИСНИЦИМА'!$H$6:$H$15001)</f>
        <v>43546000</v>
      </c>
      <c r="D121" s="97">
        <f t="shared" si="5"/>
        <v>0.10961763743909778</v>
      </c>
      <c r="E121" s="96">
        <f>SUMIF('ПО КОРИСНИЦИМА'!$G$6:$G$15001,"Функција 912:",'ПО КОРИСНИЦИМА'!$I$6:$I$15001)</f>
        <v>0</v>
      </c>
      <c r="F121" s="96">
        <f t="shared" si="6"/>
        <v>43546000</v>
      </c>
    </row>
    <row r="122" spans="1:6" hidden="1" x14ac:dyDescent="0.25">
      <c r="A122" s="103" t="s">
        <v>4014</v>
      </c>
      <c r="B122" s="102" t="s">
        <v>216</v>
      </c>
      <c r="C122" s="96">
        <f>SUMIF('ПО КОРИСНИЦИМА'!$G$6:$G$15001,"Функција 913:",'ПО КОРИСНИЦИМА'!$H$6:$H$15001)</f>
        <v>0</v>
      </c>
      <c r="D122" s="97">
        <f t="shared" si="5"/>
        <v>0</v>
      </c>
      <c r="E122" s="96">
        <f>SUMIF('ПО КОРИСНИЦИМА'!$G$6:$G$15001,"Функција 913:",'ПО КОРИСНИЦИМА'!$I$6:$I$15001)</f>
        <v>0</v>
      </c>
      <c r="F122" s="96">
        <f t="shared" si="6"/>
        <v>0</v>
      </c>
    </row>
    <row r="123" spans="1:6" hidden="1" x14ac:dyDescent="0.25">
      <c r="A123" s="103" t="s">
        <v>4015</v>
      </c>
      <c r="B123" s="102" t="s">
        <v>217</v>
      </c>
      <c r="C123" s="96">
        <f>SUMIF('ПО КОРИСНИЦИМА'!$G$6:$G$15001,"Функција 914:",'ПО КОРИСНИЦИМА'!$H$6:$H$15001)</f>
        <v>0</v>
      </c>
      <c r="D123" s="97">
        <f t="shared" si="5"/>
        <v>0</v>
      </c>
      <c r="E123" s="96">
        <f>SUMIF('ПО КОРИСНИЦИМА'!$G$6:$G$15001,"Функција 914:",'ПО КОРИСНИЦИМА'!$I$6:$I$15001)</f>
        <v>0</v>
      </c>
      <c r="F123" s="96">
        <f t="shared" si="6"/>
        <v>0</v>
      </c>
    </row>
    <row r="124" spans="1:6" hidden="1" x14ac:dyDescent="0.25">
      <c r="A124" s="103" t="s">
        <v>4016</v>
      </c>
      <c r="B124" s="102" t="s">
        <v>218</v>
      </c>
      <c r="C124" s="96">
        <f>SUMIF('ПО КОРИСНИЦИМА'!$G$6:$G$15001,"Функција 915:",'ПО КОРИСНИЦИМА'!$H$6:$H$15001)</f>
        <v>0</v>
      </c>
      <c r="D124" s="97">
        <f t="shared" si="5"/>
        <v>0</v>
      </c>
      <c r="E124" s="96">
        <f>SUMIF('ПО КОРИСНИЦИМА'!$G$6:$G$15001,"Функција 915:",'ПО КОРИСНИЦИМА'!$I$6:$I$15001)</f>
        <v>0</v>
      </c>
      <c r="F124" s="96">
        <f t="shared" si="6"/>
        <v>0</v>
      </c>
    </row>
    <row r="125" spans="1:6" ht="23.25" hidden="1" x14ac:dyDescent="0.25">
      <c r="A125" s="103" t="s">
        <v>4017</v>
      </c>
      <c r="B125" s="102" t="s">
        <v>219</v>
      </c>
      <c r="C125" s="96">
        <f>SUMIF('ПО КОРИСНИЦИМА'!$G$6:$G$15001,"Функција 916:",'ПО КОРИСНИЦИМА'!$H$6:$H$15001)</f>
        <v>0</v>
      </c>
      <c r="D125" s="97">
        <f t="shared" si="5"/>
        <v>0</v>
      </c>
      <c r="E125" s="96">
        <f>SUMIF('ПО КОРИСНИЦИМА'!$G$6:$G$15001,"Функција 916:",'ПО КОРИСНИЦИМА'!$I$6:$I$15001)</f>
        <v>0</v>
      </c>
      <c r="F125" s="96">
        <f t="shared" si="6"/>
        <v>0</v>
      </c>
    </row>
    <row r="126" spans="1:6" hidden="1" x14ac:dyDescent="0.25">
      <c r="A126" s="101" t="s">
        <v>4018</v>
      </c>
      <c r="B126" s="102" t="s">
        <v>4019</v>
      </c>
      <c r="C126" s="96">
        <f>SUMIF('ПО КОРИСНИЦИМА'!$G$6:$G$15001,"Функција 920:",'ПО КОРИСНИЦИМА'!$H$6:$H$15001)</f>
        <v>0</v>
      </c>
      <c r="D126" s="97">
        <f t="shared" si="5"/>
        <v>0</v>
      </c>
      <c r="E126" s="96">
        <f>SUMIF('ПО КОРИСНИЦИМА'!$G$6:$G$15001,"Функција 920:",'ПО КОРИСНИЦИМА'!$I$6:$I$15001)</f>
        <v>0</v>
      </c>
      <c r="F126" s="96">
        <f t="shared" si="6"/>
        <v>0</v>
      </c>
    </row>
    <row r="127" spans="1:6" hidden="1" x14ac:dyDescent="0.25">
      <c r="A127" s="103" t="s">
        <v>4020</v>
      </c>
      <c r="B127" s="102" t="s">
        <v>221</v>
      </c>
      <c r="C127" s="96">
        <f>SUMIF('ПО КОРИСНИЦИМА'!$G$6:$G$15001,"Функција 921:",'ПО КОРИСНИЦИМА'!$H$6:$H$15001)</f>
        <v>0</v>
      </c>
      <c r="D127" s="97">
        <f t="shared" si="5"/>
        <v>0</v>
      </c>
      <c r="E127" s="96">
        <f>SUMIF('ПО КОРИСНИЦИМА'!$G$6:$G$15001,"Функција 921:",'ПО КОРИСНИЦИМА'!$I$6:$I$15001)</f>
        <v>0</v>
      </c>
      <c r="F127" s="96">
        <f t="shared" si="6"/>
        <v>0</v>
      </c>
    </row>
    <row r="128" spans="1:6" hidden="1" x14ac:dyDescent="0.25">
      <c r="A128" s="103" t="s">
        <v>4021</v>
      </c>
      <c r="B128" s="102" t="s">
        <v>222</v>
      </c>
      <c r="C128" s="96">
        <f>SUMIF('ПО КОРИСНИЦИМА'!$G$6:$G$15001,"Функција 922:",'ПО КОРИСНИЦИМА'!$H$6:$H$15001)</f>
        <v>0</v>
      </c>
      <c r="D128" s="97">
        <f t="shared" si="5"/>
        <v>0</v>
      </c>
      <c r="E128" s="96">
        <f>SUMIF('ПО КОРИСНИЦИМА'!$G$6:$G$15001,"Функција 922:",'ПО КОРИСНИЦИМА'!$I$6:$I$15001)</f>
        <v>0</v>
      </c>
      <c r="F128" s="96">
        <f t="shared" si="6"/>
        <v>0</v>
      </c>
    </row>
    <row r="129" spans="1:6" hidden="1" x14ac:dyDescent="0.25">
      <c r="A129" s="103" t="s">
        <v>4022</v>
      </c>
      <c r="B129" s="102" t="s">
        <v>223</v>
      </c>
      <c r="C129" s="96">
        <f>SUMIF('ПО КОРИСНИЦИМА'!$G$6:$G$15001,"Функција 923:",'ПО КОРИСНИЦИМА'!$H$6:$H$15001)</f>
        <v>0</v>
      </c>
      <c r="D129" s="97">
        <f t="shared" si="5"/>
        <v>0</v>
      </c>
      <c r="E129" s="96">
        <f>SUMIF('ПО КОРИСНИЦИМА'!$G$6:$G$15001,"Функција 923:",'ПО КОРИСНИЦИМА'!$I$6:$I$15001)</f>
        <v>0</v>
      </c>
      <c r="F129" s="96">
        <f t="shared" si="6"/>
        <v>0</v>
      </c>
    </row>
    <row r="130" spans="1:6" hidden="1" x14ac:dyDescent="0.25">
      <c r="A130" s="101" t="s">
        <v>4023</v>
      </c>
      <c r="B130" s="102" t="s">
        <v>4024</v>
      </c>
      <c r="C130" s="96">
        <f>SUMIF('ПО КОРИСНИЦИМА'!$G$6:$G$15001,"Функција 930:",'ПО КОРИСНИЦИМА'!$H$6:$H$15001)</f>
        <v>0</v>
      </c>
      <c r="D130" s="97">
        <f t="shared" si="5"/>
        <v>0</v>
      </c>
      <c r="E130" s="96">
        <f>SUMIF('ПО КОРИСНИЦИМА'!$G$6:$G$15001,"Функција 930:",'ПО КОРИСНИЦИМА'!$I$6:$I$15001)</f>
        <v>0</v>
      </c>
      <c r="F130" s="96">
        <f t="shared" si="6"/>
        <v>0</v>
      </c>
    </row>
    <row r="131" spans="1:6" hidden="1" x14ac:dyDescent="0.25">
      <c r="A131" s="103" t="s">
        <v>4025</v>
      </c>
      <c r="B131" s="102" t="s">
        <v>224</v>
      </c>
      <c r="C131" s="96">
        <f>SUMIF('ПО КОРИСНИЦИМА'!$G$6:$G$15001,"Функција 931:",'ПО КОРИСНИЦИМА'!$H$6:$H$15001)</f>
        <v>0</v>
      </c>
      <c r="D131" s="97">
        <f t="shared" si="5"/>
        <v>0</v>
      </c>
      <c r="E131" s="96">
        <f>SUMIF('ПО КОРИСНИЦИМА'!$G$6:$G$15001,"Функција 931:",'ПО КОРИСНИЦИМА'!$I$6:$I$15001)</f>
        <v>0</v>
      </c>
      <c r="F131" s="96">
        <f t="shared" si="6"/>
        <v>0</v>
      </c>
    </row>
    <row r="132" spans="1:6" hidden="1" x14ac:dyDescent="0.25">
      <c r="A132" s="103" t="s">
        <v>4026</v>
      </c>
      <c r="B132" s="102" t="s">
        <v>225</v>
      </c>
      <c r="C132" s="96">
        <f>SUMIF('ПО КОРИСНИЦИМА'!$G$6:$G$15001,"Функција 932:",'ПО КОРИСНИЦИМА'!$H$6:$H$15001)</f>
        <v>0</v>
      </c>
      <c r="D132" s="97">
        <f t="shared" si="5"/>
        <v>0</v>
      </c>
      <c r="E132" s="96">
        <f>SUMIF('ПО КОРИСНИЦИМА'!$G$6:$G$15001,"Функција 932:",'ПО КОРИСНИЦИМА'!$I$6:$I$15001)</f>
        <v>0</v>
      </c>
      <c r="F132" s="96">
        <f t="shared" si="6"/>
        <v>0</v>
      </c>
    </row>
    <row r="133" spans="1:6" hidden="1" x14ac:dyDescent="0.25">
      <c r="A133" s="101" t="s">
        <v>4027</v>
      </c>
      <c r="B133" s="102" t="s">
        <v>4028</v>
      </c>
      <c r="C133" s="96">
        <f>SUMIF('ПО КОРИСНИЦИМА'!$G$6:$G$15001,"Функција 940:",'ПО КОРИСНИЦИМА'!$H$6:$H$15001)</f>
        <v>0</v>
      </c>
      <c r="D133" s="97">
        <f t="shared" si="5"/>
        <v>0</v>
      </c>
      <c r="E133" s="96">
        <f>SUMIF('ПО КОРИСНИЦИМА'!$G$6:$G$15001,"Функција 940:",'ПО КОРИСНИЦИМА'!$I$6:$I$15001)</f>
        <v>0</v>
      </c>
      <c r="F133" s="96">
        <f t="shared" si="6"/>
        <v>0</v>
      </c>
    </row>
    <row r="134" spans="1:6" hidden="1" x14ac:dyDescent="0.25">
      <c r="A134" s="103" t="s">
        <v>4029</v>
      </c>
      <c r="B134" s="102" t="s">
        <v>227</v>
      </c>
      <c r="C134" s="96">
        <f>SUMIF('ПО КОРИСНИЦИМА'!$G$6:$G$15001,"Функција 941:",'ПО КОРИСНИЦИМА'!$H$6:$H$15001)</f>
        <v>0</v>
      </c>
      <c r="D134" s="97">
        <f t="shared" ref="D134:D140" si="8">IFERROR(C134/$C$140,"-")</f>
        <v>0</v>
      </c>
      <c r="E134" s="96">
        <f>SUMIF('ПО КОРИСНИЦИМА'!$G$6:$G$15001,"Функција 941:",'ПО КОРИСНИЦИМА'!$I$6:$I$15001)</f>
        <v>0</v>
      </c>
      <c r="F134" s="96">
        <f t="shared" si="6"/>
        <v>0</v>
      </c>
    </row>
    <row r="135" spans="1:6" hidden="1" x14ac:dyDescent="0.25">
      <c r="A135" s="103" t="s">
        <v>4030</v>
      </c>
      <c r="B135" s="102" t="s">
        <v>4031</v>
      </c>
      <c r="C135" s="96">
        <f>SUMIF('ПО КОРИСНИЦИМА'!$G$6:$G$15001,"Функција 942:",'ПО КОРИСНИЦИМА'!$H$6:$H$15001)</f>
        <v>0</v>
      </c>
      <c r="D135" s="97">
        <f t="shared" si="8"/>
        <v>0</v>
      </c>
      <c r="E135" s="96">
        <f>SUMIF('ПО КОРИСНИЦИМА'!$G$6:$G$15001,"Функција 942:",'ПО КОРИСНИЦИМА'!$I$6:$I$15001)</f>
        <v>0</v>
      </c>
      <c r="F135" s="96">
        <f t="shared" ref="F135:F139" si="9">SUM(E135,C135)</f>
        <v>0</v>
      </c>
    </row>
    <row r="136" spans="1:6" hidden="1" x14ac:dyDescent="0.25">
      <c r="A136" s="101" t="s">
        <v>4032</v>
      </c>
      <c r="B136" s="102" t="s">
        <v>4033</v>
      </c>
      <c r="C136" s="96">
        <f>SUMIF('ПО КОРИСНИЦИМА'!$G$6:$G$15001,"Функција 950:",'ПО КОРИСНИЦИМА'!$H$6:$H$15001)</f>
        <v>0</v>
      </c>
      <c r="D136" s="97">
        <f t="shared" si="8"/>
        <v>0</v>
      </c>
      <c r="E136" s="96">
        <f>SUMIF('ПО КОРИСНИЦИМА'!$G$6:$G$15001,"Функција 950:",'ПО КОРИСНИЦИМА'!$I$6:$I$15001)</f>
        <v>0</v>
      </c>
      <c r="F136" s="96">
        <f t="shared" si="9"/>
        <v>0</v>
      </c>
    </row>
    <row r="137" spans="1:6" x14ac:dyDescent="0.25">
      <c r="A137" s="101" t="s">
        <v>4034</v>
      </c>
      <c r="B137" s="102" t="s">
        <v>4035</v>
      </c>
      <c r="C137" s="96">
        <f>SUMIF('ПО КОРИСНИЦИМА'!$G$6:$G$15001,"Функција 960:",'ПО КОРИСНИЦИМА'!$H$6:$H$15001)</f>
        <v>185000</v>
      </c>
      <c r="D137" s="97">
        <f t="shared" si="8"/>
        <v>4.6569749061298605E-4</v>
      </c>
      <c r="E137" s="96">
        <f>SUMIF('ПО КОРИСНИЦИМА'!$G$6:$G$15001,"Функција 960:",'ПО КОРИСНИЦИМА'!$I$6:$I$15001)</f>
        <v>0</v>
      </c>
      <c r="F137" s="96">
        <f t="shared" si="9"/>
        <v>185000</v>
      </c>
    </row>
    <row r="138" spans="1:6" hidden="1" x14ac:dyDescent="0.25">
      <c r="A138" s="116" t="s">
        <v>4036</v>
      </c>
      <c r="B138" s="95" t="s">
        <v>4037</v>
      </c>
      <c r="C138" s="96">
        <f>SUMIF('ПО КОРИСНИЦИМА'!$G$6:$G$15001,"Функција 970:",'ПО КОРИСНИЦИМА'!$H$6:$H$15001)</f>
        <v>0</v>
      </c>
      <c r="D138" s="97">
        <f t="shared" si="8"/>
        <v>0</v>
      </c>
      <c r="E138" s="96">
        <f>SUMIF('ПО КОРИСНИЦИМА'!$G$6:$G$15001,"Функција 970:",'ПО КОРИСНИЦИМА'!$I$6:$I$15001)</f>
        <v>0</v>
      </c>
      <c r="F138" s="96">
        <f t="shared" si="9"/>
        <v>0</v>
      </c>
    </row>
    <row r="139" spans="1:6" x14ac:dyDescent="0.25">
      <c r="A139" s="101" t="s">
        <v>4038</v>
      </c>
      <c r="B139" s="102" t="s">
        <v>232</v>
      </c>
      <c r="C139" s="96">
        <f>SUMIF('ПО КОРИСНИЦИМА'!$G$6:$G$15001,"Функција 980:",'ПО КОРИСНИЦИМА'!$H$6:$H$15001)</f>
        <v>615000</v>
      </c>
      <c r="D139" s="97">
        <f t="shared" si="8"/>
        <v>1.5481294958215482E-3</v>
      </c>
      <c r="E139" s="96">
        <f>SUMIF('ПО КОРИСНИЦИМА'!$G$6:$G$15001,"Функција 980:",'ПО КОРИСНИЦИМА'!$I$6:$I$15001)</f>
        <v>0</v>
      </c>
      <c r="F139" s="96">
        <f t="shared" si="9"/>
        <v>615000</v>
      </c>
    </row>
    <row r="140" spans="1:6" ht="19.5" customHeight="1" x14ac:dyDescent="0.25">
      <c r="A140" s="117"/>
      <c r="B140" s="118" t="s">
        <v>4039</v>
      </c>
      <c r="C140" s="119">
        <f>SUM(C5,C15,C32,C39,C79,C86,C93,C111,C118)</f>
        <v>397253590</v>
      </c>
      <c r="D140" s="120">
        <f t="shared" si="8"/>
        <v>1</v>
      </c>
      <c r="E140" s="119">
        <f>SUM(E5,E15,E32,E39,E79,E86,E93,E111,E118)</f>
        <v>16480273</v>
      </c>
      <c r="F140" s="119">
        <f>SUM(E140,C140)</f>
        <v>413733863</v>
      </c>
    </row>
    <row r="141" spans="1:6" x14ac:dyDescent="0.25">
      <c r="A141" s="121"/>
      <c r="B141" s="122"/>
      <c r="C141" s="123">
        <f>C140-'По основ. нам.'!C88</f>
        <v>0</v>
      </c>
      <c r="D141" s="123"/>
      <c r="E141" s="123"/>
      <c r="F141" s="123"/>
    </row>
  </sheetData>
  <mergeCells count="2">
    <mergeCell ref="A2:F2"/>
    <mergeCell ref="B1:E1"/>
  </mergeCells>
  <conditionalFormatting sqref="C141 E141:F141">
    <cfRule type="cellIs" dxfId="0" priority="2" stopIfTrue="1" operator="notEqual">
      <formula>0</formula>
    </cfRule>
  </conditionalFormatting>
  <conditionalFormatting sqref="C141:F141">
    <cfRule type="cellIs" priority="1" operator="notEqual">
      <formula>0</formula>
    </cfRule>
  </conditionalFormatting>
  <pageMargins left="0.51181102362204722" right="0.31496062992125984" top="0.78740157480314965" bottom="0.39370078740157483" header="0.31496062992125984" footer="0.31496062992125984"/>
  <pageSetup orientation="portrait" r:id="rId1"/>
  <cellWatches>
    <cellWatch r="C141"/>
  </cellWatch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53"/>
  <sheetViews>
    <sheetView workbookViewId="0">
      <selection activeCell="P5" sqref="P5"/>
    </sheetView>
  </sheetViews>
  <sheetFormatPr defaultRowHeight="15" x14ac:dyDescent="0.25"/>
  <cols>
    <col min="1" max="1" width="16.140625" customWidth="1"/>
    <col min="2" max="2" width="7.5703125" customWidth="1"/>
    <col min="3" max="3" width="13.7109375" customWidth="1"/>
    <col min="4" max="4" width="13.85546875" customWidth="1"/>
    <col min="5" max="5" width="9.42578125" customWidth="1"/>
    <col min="6" max="6" width="7.28515625" customWidth="1"/>
    <col min="7" max="8" width="7.85546875" customWidth="1"/>
    <col min="9" max="10" width="9.28515625" customWidth="1"/>
    <col min="11" max="11" width="12" customWidth="1"/>
    <col min="12" max="12" width="19.85546875" customWidth="1"/>
  </cols>
  <sheetData>
    <row r="1" spans="1:12" ht="18.75" customHeight="1" x14ac:dyDescent="0.25">
      <c r="C1" s="1195"/>
      <c r="D1" s="1195"/>
      <c r="E1" s="1195"/>
      <c r="F1" s="1195"/>
      <c r="G1" s="1195"/>
      <c r="H1" s="1195"/>
      <c r="I1" s="1195"/>
      <c r="J1" s="1195"/>
    </row>
    <row r="2" spans="1:12" ht="15" customHeight="1" x14ac:dyDescent="0.25">
      <c r="C2" s="1199" t="s">
        <v>5723</v>
      </c>
      <c r="D2" s="1199"/>
      <c r="E2" s="1199"/>
      <c r="F2" s="1199"/>
      <c r="G2" s="1199"/>
      <c r="H2" s="1199"/>
    </row>
    <row r="3" spans="1:12" ht="15.75" customHeight="1" x14ac:dyDescent="0.25">
      <c r="A3" s="1200" t="s">
        <v>5725</v>
      </c>
      <c r="B3" s="1200"/>
      <c r="C3" s="1200"/>
      <c r="D3" s="1200"/>
      <c r="E3" s="1200"/>
      <c r="F3" s="1200"/>
      <c r="G3" s="1200"/>
      <c r="H3" s="1200"/>
      <c r="I3" s="1200"/>
      <c r="J3" s="1200"/>
      <c r="K3" s="1200"/>
      <c r="L3" s="1200"/>
    </row>
    <row r="4" spans="1:12" ht="15" customHeight="1" x14ac:dyDescent="0.25">
      <c r="A4" s="1200"/>
      <c r="B4" s="1200"/>
      <c r="C4" s="1200"/>
      <c r="D4" s="1200"/>
      <c r="E4" s="1200"/>
      <c r="F4" s="1200"/>
      <c r="G4" s="1200"/>
      <c r="H4" s="1200"/>
      <c r="I4" s="1200"/>
      <c r="J4" s="1200"/>
      <c r="K4" s="1200"/>
      <c r="L4" s="1200"/>
    </row>
    <row r="5" spans="1:12" ht="35.25" customHeight="1" thickBot="1" x14ac:dyDescent="0.3">
      <c r="A5" s="1200"/>
      <c r="B5" s="1200"/>
      <c r="C5" s="1200"/>
      <c r="D5" s="1200"/>
      <c r="E5" s="1200"/>
      <c r="F5" s="1200"/>
      <c r="G5" s="1200"/>
      <c r="H5" s="1200"/>
      <c r="I5" s="1200"/>
      <c r="J5" s="1200"/>
      <c r="K5" s="1200"/>
      <c r="L5" s="1200"/>
    </row>
    <row r="6" spans="1:12" ht="0.75" hidden="1" customHeight="1" thickBot="1" x14ac:dyDescent="0.3"/>
    <row r="7" spans="1:12" ht="15" customHeight="1" x14ac:dyDescent="0.25">
      <c r="A7" s="1192" t="s">
        <v>5165</v>
      </c>
      <c r="B7" s="1196" t="s">
        <v>3602</v>
      </c>
      <c r="C7" s="1192" t="s">
        <v>5166</v>
      </c>
      <c r="D7" s="1192" t="s">
        <v>5167</v>
      </c>
      <c r="E7" s="901"/>
      <c r="F7" s="1192" t="s">
        <v>5169</v>
      </c>
      <c r="G7" s="1192" t="s">
        <v>5170</v>
      </c>
      <c r="H7" s="1192" t="s">
        <v>5171</v>
      </c>
      <c r="I7" s="1192" t="s">
        <v>24</v>
      </c>
      <c r="J7" s="1192" t="s">
        <v>5172</v>
      </c>
      <c r="K7" s="1192" t="s">
        <v>3761</v>
      </c>
      <c r="L7" s="1180" t="s">
        <v>5203</v>
      </c>
    </row>
    <row r="8" spans="1:12" ht="39.75" customHeight="1" x14ac:dyDescent="0.25">
      <c r="A8" s="1193"/>
      <c r="B8" s="1197"/>
      <c r="C8" s="1193"/>
      <c r="D8" s="1193"/>
      <c r="E8" s="902" t="s">
        <v>5168</v>
      </c>
      <c r="F8" s="1193"/>
      <c r="G8" s="1193"/>
      <c r="H8" s="1193"/>
      <c r="I8" s="1193"/>
      <c r="J8" s="1193"/>
      <c r="K8" s="1193"/>
      <c r="L8" s="1181"/>
    </row>
    <row r="9" spans="1:12" ht="9" hidden="1" customHeight="1" x14ac:dyDescent="0.25">
      <c r="A9" s="1193"/>
      <c r="B9" s="1197"/>
      <c r="C9" s="1193"/>
      <c r="D9" s="1193"/>
      <c r="E9" s="902"/>
      <c r="F9" s="1193"/>
      <c r="G9" s="1193"/>
      <c r="H9" s="1193"/>
      <c r="I9" s="1193"/>
      <c r="J9" s="1193"/>
      <c r="K9" s="1193"/>
      <c r="L9" s="1181"/>
    </row>
    <row r="10" spans="1:12" ht="19.5" hidden="1" customHeight="1" thickBot="1" x14ac:dyDescent="0.3">
      <c r="A10" s="1194"/>
      <c r="B10" s="1198"/>
      <c r="C10" s="1194"/>
      <c r="D10" s="1194"/>
      <c r="E10" s="903"/>
      <c r="F10" s="1194"/>
      <c r="G10" s="1194"/>
      <c r="H10" s="1194"/>
      <c r="I10" s="1194"/>
      <c r="J10" s="1194"/>
      <c r="K10" s="1194"/>
      <c r="L10" s="1182"/>
    </row>
    <row r="11" spans="1:12" ht="15.75" thickBot="1" x14ac:dyDescent="0.3">
      <c r="A11" s="904">
        <v>1</v>
      </c>
      <c r="B11" s="905">
        <v>2</v>
      </c>
      <c r="C11" s="905">
        <v>3</v>
      </c>
      <c r="D11" s="905">
        <v>4</v>
      </c>
      <c r="E11" s="905">
        <v>5</v>
      </c>
      <c r="F11" s="905">
        <v>6</v>
      </c>
      <c r="G11" s="905">
        <v>7</v>
      </c>
      <c r="H11" s="905">
        <v>8</v>
      </c>
      <c r="I11" s="905">
        <v>9</v>
      </c>
      <c r="J11" s="905">
        <v>10</v>
      </c>
      <c r="K11" s="905">
        <v>11</v>
      </c>
      <c r="L11" s="905">
        <v>12</v>
      </c>
    </row>
    <row r="12" spans="1:12" ht="89.25" customHeight="1" x14ac:dyDescent="0.25">
      <c r="A12" s="1139" t="s">
        <v>5414</v>
      </c>
      <c r="B12" s="1138" t="s">
        <v>3557</v>
      </c>
      <c r="C12" s="1139" t="s">
        <v>5415</v>
      </c>
      <c r="D12" s="1139" t="s">
        <v>5416</v>
      </c>
      <c r="E12" s="1139">
        <v>10</v>
      </c>
      <c r="F12" s="1139">
        <v>21.5</v>
      </c>
      <c r="G12" s="1139">
        <v>21.5</v>
      </c>
      <c r="H12" s="1139">
        <v>21.5</v>
      </c>
      <c r="I12" s="1140">
        <v>1000</v>
      </c>
      <c r="J12" s="1140">
        <v>20500</v>
      </c>
      <c r="K12" s="1140">
        <v>21500</v>
      </c>
      <c r="L12" s="1179"/>
    </row>
    <row r="13" spans="1:12" ht="10.5" customHeight="1" thickBot="1" x14ac:dyDescent="0.3">
      <c r="A13" s="1122"/>
      <c r="B13" s="1137"/>
      <c r="C13" s="1122"/>
      <c r="D13" s="1122"/>
      <c r="E13" s="1122"/>
      <c r="F13" s="1122"/>
      <c r="G13" s="1122"/>
      <c r="H13" s="1122"/>
      <c r="I13" s="1124"/>
      <c r="J13" s="1122"/>
      <c r="K13" s="1124"/>
      <c r="L13" s="1183"/>
    </row>
    <row r="14" spans="1:12" ht="61.5" customHeight="1" thickBot="1" x14ac:dyDescent="0.3">
      <c r="A14" s="906" t="s">
        <v>5360</v>
      </c>
      <c r="B14" s="907" t="s">
        <v>5195</v>
      </c>
      <c r="C14" s="908" t="s">
        <v>5724</v>
      </c>
      <c r="D14" s="908" t="s">
        <v>5417</v>
      </c>
      <c r="E14" s="908">
        <v>6</v>
      </c>
      <c r="F14" s="908">
        <v>7</v>
      </c>
      <c r="G14" s="908">
        <v>8</v>
      </c>
      <c r="H14" s="908">
        <v>10</v>
      </c>
      <c r="I14" s="909"/>
      <c r="J14" s="909">
        <v>20500</v>
      </c>
      <c r="K14" s="909">
        <v>20500</v>
      </c>
      <c r="L14" s="908" t="s">
        <v>5174</v>
      </c>
    </row>
    <row r="15" spans="1:12" ht="57" customHeight="1" thickBot="1" x14ac:dyDescent="0.3">
      <c r="A15" s="906" t="s">
        <v>5260</v>
      </c>
      <c r="B15" s="907" t="s">
        <v>5197</v>
      </c>
      <c r="C15" s="908" t="s">
        <v>5437</v>
      </c>
      <c r="D15" s="908" t="s">
        <v>5438</v>
      </c>
      <c r="E15" s="908">
        <v>5</v>
      </c>
      <c r="F15" s="908">
        <v>5</v>
      </c>
      <c r="G15" s="908">
        <v>5</v>
      </c>
      <c r="H15" s="908">
        <v>6</v>
      </c>
      <c r="I15" s="909">
        <v>1000</v>
      </c>
      <c r="J15" s="908"/>
      <c r="K15" s="909">
        <v>1000</v>
      </c>
      <c r="L15" s="908"/>
    </row>
    <row r="16" spans="1:12" ht="99" customHeight="1" thickBot="1" x14ac:dyDescent="0.3">
      <c r="A16" s="1179" t="s">
        <v>5173</v>
      </c>
      <c r="B16" s="1138">
        <v>1102</v>
      </c>
      <c r="C16" s="910" t="s">
        <v>5439</v>
      </c>
      <c r="D16" s="1190" t="s">
        <v>5440</v>
      </c>
      <c r="E16" s="1140">
        <v>10000</v>
      </c>
      <c r="F16" s="1140">
        <v>11000</v>
      </c>
      <c r="G16" s="1140">
        <v>12000</v>
      </c>
      <c r="H16" s="1140">
        <v>12000</v>
      </c>
      <c r="I16" s="1140">
        <v>30450</v>
      </c>
      <c r="J16" s="1139"/>
      <c r="K16" s="1140">
        <v>30450</v>
      </c>
      <c r="L16" s="1139" t="s">
        <v>5174</v>
      </c>
    </row>
    <row r="17" spans="1:17" ht="15.75" hidden="1" customHeight="1" thickBot="1" x14ac:dyDescent="0.3">
      <c r="A17" s="1126"/>
      <c r="B17" s="1129"/>
      <c r="C17" s="911"/>
      <c r="D17" s="1147"/>
      <c r="E17" s="1121"/>
      <c r="F17" s="1121"/>
      <c r="G17" s="1121"/>
      <c r="H17" s="1121"/>
      <c r="I17" s="1123"/>
      <c r="J17" s="1121"/>
      <c r="K17" s="1123"/>
      <c r="L17" s="1121"/>
    </row>
    <row r="18" spans="1:17" ht="2.25" hidden="1" customHeight="1" thickBot="1" x14ac:dyDescent="0.3">
      <c r="A18" s="1183"/>
      <c r="B18" s="1137"/>
      <c r="C18" s="912"/>
      <c r="D18" s="1191"/>
      <c r="E18" s="1122"/>
      <c r="F18" s="1122"/>
      <c r="G18" s="1122"/>
      <c r="H18" s="1122"/>
      <c r="I18" s="1124"/>
      <c r="J18" s="1122"/>
      <c r="K18" s="1124"/>
      <c r="L18" s="1122"/>
    </row>
    <row r="19" spans="1:17" ht="68.25" customHeight="1" x14ac:dyDescent="0.25">
      <c r="A19" s="913" t="s">
        <v>5085</v>
      </c>
      <c r="B19" s="914" t="s">
        <v>5196</v>
      </c>
      <c r="C19" s="915" t="s">
        <v>5441</v>
      </c>
      <c r="D19" s="915" t="s">
        <v>5442</v>
      </c>
      <c r="E19" s="915"/>
      <c r="F19" s="915"/>
      <c r="G19" s="915"/>
      <c r="H19" s="915"/>
      <c r="I19" s="916">
        <v>800</v>
      </c>
      <c r="J19" s="915"/>
      <c r="K19" s="916">
        <v>800</v>
      </c>
      <c r="L19" s="915" t="s">
        <v>5174</v>
      </c>
    </row>
    <row r="20" spans="1:17" ht="15" hidden="1" customHeight="1" x14ac:dyDescent="0.25">
      <c r="A20" s="917"/>
      <c r="B20" s="918"/>
      <c r="C20" s="917"/>
      <c r="D20" s="917"/>
      <c r="E20" s="917"/>
      <c r="F20" s="917"/>
      <c r="G20" s="917"/>
      <c r="H20" s="917"/>
      <c r="I20" s="919"/>
      <c r="J20" s="917"/>
      <c r="K20" s="919"/>
      <c r="L20" s="917"/>
    </row>
    <row r="21" spans="1:17" ht="15" hidden="1" customHeight="1" x14ac:dyDescent="0.25">
      <c r="A21" s="917"/>
      <c r="B21" s="918"/>
      <c r="C21" s="917"/>
      <c r="D21" s="917"/>
      <c r="E21" s="917"/>
      <c r="F21" s="917"/>
      <c r="G21" s="917"/>
      <c r="H21" s="917"/>
      <c r="I21" s="919"/>
      <c r="J21" s="917"/>
      <c r="K21" s="919"/>
      <c r="L21" s="917"/>
    </row>
    <row r="22" spans="1:17" ht="15" hidden="1" customHeight="1" x14ac:dyDescent="0.25">
      <c r="A22" s="917"/>
      <c r="B22" s="918"/>
      <c r="C22" s="917"/>
      <c r="D22" s="917"/>
      <c r="E22" s="917"/>
      <c r="F22" s="917"/>
      <c r="G22" s="917"/>
      <c r="H22" s="917"/>
      <c r="I22" s="919"/>
      <c r="J22" s="917"/>
      <c r="K22" s="919"/>
      <c r="L22" s="917"/>
    </row>
    <row r="23" spans="1:17" ht="15" hidden="1" customHeight="1" x14ac:dyDescent="0.25">
      <c r="A23" s="917"/>
      <c r="B23" s="918"/>
      <c r="C23" s="917"/>
      <c r="D23" s="917"/>
      <c r="E23" s="917"/>
      <c r="F23" s="917"/>
      <c r="G23" s="917"/>
      <c r="H23" s="917"/>
      <c r="I23" s="919"/>
      <c r="J23" s="917"/>
      <c r="K23" s="919"/>
      <c r="L23" s="920"/>
    </row>
    <row r="24" spans="1:17" ht="30" hidden="1" customHeight="1" x14ac:dyDescent="0.25">
      <c r="A24" s="921"/>
      <c r="B24" s="922"/>
      <c r="C24" s="921"/>
      <c r="D24" s="921"/>
      <c r="E24" s="921"/>
      <c r="F24" s="921"/>
      <c r="G24" s="921"/>
      <c r="H24" s="921"/>
      <c r="I24" s="921"/>
      <c r="J24" s="921"/>
      <c r="K24" s="921"/>
      <c r="L24" s="921"/>
    </row>
    <row r="25" spans="1:17" ht="45" customHeight="1" x14ac:dyDescent="0.25">
      <c r="A25" s="923" t="s">
        <v>5094</v>
      </c>
      <c r="B25" s="924" t="s">
        <v>5197</v>
      </c>
      <c r="C25" s="925" t="s">
        <v>5443</v>
      </c>
      <c r="D25" s="925" t="s">
        <v>5444</v>
      </c>
      <c r="E25" s="926">
        <v>0.6</v>
      </c>
      <c r="F25" s="927">
        <v>0.7</v>
      </c>
      <c r="G25" s="927">
        <v>0.9</v>
      </c>
      <c r="H25" s="927">
        <v>1</v>
      </c>
      <c r="I25" s="928">
        <v>2600</v>
      </c>
      <c r="J25" s="929"/>
      <c r="K25" s="928">
        <v>2600</v>
      </c>
      <c r="L25" s="930" t="s">
        <v>5174</v>
      </c>
    </row>
    <row r="26" spans="1:17" ht="67.5" customHeight="1" x14ac:dyDescent="0.25">
      <c r="A26" s="931" t="s">
        <v>5445</v>
      </c>
      <c r="B26" s="935" t="s">
        <v>5446</v>
      </c>
      <c r="C26" s="936" t="s">
        <v>5209</v>
      </c>
      <c r="D26" s="936" t="s">
        <v>5447</v>
      </c>
      <c r="E26" s="937"/>
      <c r="F26" s="938"/>
      <c r="G26" s="938"/>
      <c r="H26" s="938"/>
      <c r="I26" s="939">
        <v>19500</v>
      </c>
      <c r="J26" s="940"/>
      <c r="K26" s="939">
        <v>19500</v>
      </c>
      <c r="L26" s="941" t="s">
        <v>5175</v>
      </c>
      <c r="Q26" s="732"/>
    </row>
    <row r="27" spans="1:17" ht="80.25" hidden="1" customHeight="1" x14ac:dyDescent="0.25">
      <c r="A27" s="936" t="s">
        <v>5448</v>
      </c>
      <c r="B27" s="942" t="s">
        <v>5217</v>
      </c>
      <c r="C27" s="943" t="s">
        <v>5449</v>
      </c>
      <c r="D27" s="936" t="s">
        <v>5450</v>
      </c>
      <c r="E27" s="936"/>
      <c r="F27" s="936"/>
      <c r="G27" s="936"/>
      <c r="H27" s="936"/>
      <c r="I27" s="944">
        <v>1000</v>
      </c>
      <c r="J27" s="936"/>
      <c r="K27" s="944">
        <v>1000</v>
      </c>
      <c r="L27" s="941" t="s">
        <v>5175</v>
      </c>
      <c r="Q27" s="731"/>
    </row>
    <row r="28" spans="1:17" ht="15" hidden="1" customHeight="1" x14ac:dyDescent="0.25">
      <c r="A28" s="936" t="s">
        <v>5451</v>
      </c>
      <c r="B28" s="942" t="s">
        <v>5197</v>
      </c>
      <c r="C28" s="943" t="s">
        <v>5452</v>
      </c>
      <c r="D28" s="936" t="s">
        <v>5453</v>
      </c>
      <c r="E28" s="936"/>
      <c r="F28" s="936"/>
      <c r="G28" s="936"/>
      <c r="H28" s="936"/>
      <c r="I28" s="944">
        <v>2600</v>
      </c>
      <c r="J28" s="936"/>
      <c r="K28" s="944">
        <v>2600</v>
      </c>
      <c r="L28" s="936" t="s">
        <v>5454</v>
      </c>
      <c r="Q28" s="731"/>
    </row>
    <row r="29" spans="1:17" ht="67.5" customHeight="1" x14ac:dyDescent="0.25">
      <c r="A29" s="936" t="s">
        <v>5289</v>
      </c>
      <c r="B29" s="942" t="s">
        <v>5198</v>
      </c>
      <c r="C29" s="943" t="s">
        <v>5455</v>
      </c>
      <c r="D29" s="936"/>
      <c r="E29" s="936"/>
      <c r="F29" s="936"/>
      <c r="G29" s="936"/>
      <c r="H29" s="936"/>
      <c r="I29" s="944">
        <v>150</v>
      </c>
      <c r="J29" s="936"/>
      <c r="K29" s="944">
        <v>150</v>
      </c>
      <c r="L29" s="936" t="s">
        <v>5454</v>
      </c>
      <c r="Q29" s="731"/>
    </row>
    <row r="30" spans="1:17" ht="64.5" customHeight="1" x14ac:dyDescent="0.25">
      <c r="A30" s="936" t="s">
        <v>4047</v>
      </c>
      <c r="B30" s="942" t="s">
        <v>5200</v>
      </c>
      <c r="C30" s="943"/>
      <c r="D30" s="936"/>
      <c r="E30" s="936"/>
      <c r="F30" s="936"/>
      <c r="G30" s="936"/>
      <c r="H30" s="936"/>
      <c r="I30" s="944">
        <v>1200</v>
      </c>
      <c r="J30" s="936"/>
      <c r="K30" s="944">
        <v>1200</v>
      </c>
      <c r="L30" s="936" t="s">
        <v>5454</v>
      </c>
      <c r="Q30" s="731"/>
    </row>
    <row r="31" spans="1:17" ht="32.25" customHeight="1" x14ac:dyDescent="0.25">
      <c r="A31" s="936" t="s">
        <v>5081</v>
      </c>
      <c r="B31" s="942" t="s">
        <v>5446</v>
      </c>
      <c r="C31" s="943" t="s">
        <v>5209</v>
      </c>
      <c r="D31" s="936" t="s">
        <v>5456</v>
      </c>
      <c r="E31" s="945">
        <v>0.21</v>
      </c>
      <c r="F31" s="945">
        <v>0.26</v>
      </c>
      <c r="G31" s="945">
        <v>0.32</v>
      </c>
      <c r="H31" s="945">
        <v>0.5</v>
      </c>
      <c r="I31" s="944">
        <v>3600</v>
      </c>
      <c r="J31" s="936"/>
      <c r="K31" s="944">
        <v>3600</v>
      </c>
      <c r="L31" s="936" t="s">
        <v>5175</v>
      </c>
      <c r="Q31" s="731"/>
    </row>
    <row r="32" spans="1:17" ht="32.25" customHeight="1" x14ac:dyDescent="0.25">
      <c r="A32" s="936" t="s">
        <v>5457</v>
      </c>
      <c r="B32" s="942" t="s">
        <v>5201</v>
      </c>
      <c r="C32" s="943" t="s">
        <v>5458</v>
      </c>
      <c r="D32" s="936" t="s">
        <v>5459</v>
      </c>
      <c r="E32" s="936"/>
      <c r="F32" s="936"/>
      <c r="G32" s="936"/>
      <c r="H32" s="936"/>
      <c r="I32" s="944">
        <v>500</v>
      </c>
      <c r="J32" s="936"/>
      <c r="K32" s="944">
        <v>500</v>
      </c>
      <c r="L32" s="936" t="s">
        <v>5454</v>
      </c>
      <c r="Q32" s="731"/>
    </row>
    <row r="33" spans="1:12" ht="15" hidden="1" customHeight="1" x14ac:dyDescent="0.25">
      <c r="A33" s="917"/>
      <c r="B33" s="918"/>
      <c r="C33" s="732"/>
      <c r="D33" s="946"/>
      <c r="E33" s="917"/>
      <c r="F33" s="917"/>
      <c r="G33" s="917"/>
      <c r="H33" s="917"/>
      <c r="I33" s="919"/>
      <c r="J33" s="917"/>
      <c r="K33" s="919"/>
      <c r="L33" s="947" t="s">
        <v>5204</v>
      </c>
    </row>
    <row r="34" spans="1:12" ht="15" hidden="1" customHeight="1" x14ac:dyDescent="0.25">
      <c r="A34" s="948"/>
      <c r="B34" s="1128">
        <v>1502</v>
      </c>
      <c r="C34" s="1131" t="s">
        <v>5460</v>
      </c>
      <c r="D34" s="1131" t="s">
        <v>5461</v>
      </c>
      <c r="E34" s="1131"/>
      <c r="F34" s="1131"/>
      <c r="G34" s="1131"/>
      <c r="H34" s="1131"/>
      <c r="I34" s="1135">
        <v>3463</v>
      </c>
      <c r="J34" s="1135"/>
      <c r="K34" s="1135">
        <v>3463</v>
      </c>
      <c r="L34" s="1142" t="s">
        <v>5175</v>
      </c>
    </row>
    <row r="35" spans="1:12" ht="22.5" x14ac:dyDescent="0.25">
      <c r="A35" s="949" t="s">
        <v>5176</v>
      </c>
      <c r="B35" s="1129"/>
      <c r="C35" s="1121"/>
      <c r="D35" s="1121"/>
      <c r="E35" s="1121"/>
      <c r="F35" s="1121"/>
      <c r="G35" s="1121"/>
      <c r="H35" s="1121"/>
      <c r="I35" s="1123"/>
      <c r="J35" s="1123"/>
      <c r="K35" s="1123"/>
      <c r="L35" s="1143"/>
    </row>
    <row r="36" spans="1:12" ht="24" customHeight="1" x14ac:dyDescent="0.25">
      <c r="A36" s="949"/>
      <c r="B36" s="1129"/>
      <c r="C36" s="1121"/>
      <c r="D36" s="1121"/>
      <c r="E36" s="1121"/>
      <c r="F36" s="1121"/>
      <c r="G36" s="1121"/>
      <c r="H36" s="1121"/>
      <c r="I36" s="1123"/>
      <c r="J36" s="1123"/>
      <c r="K36" s="1123"/>
      <c r="L36" s="1143"/>
    </row>
    <row r="37" spans="1:12" ht="81" hidden="1" customHeight="1" x14ac:dyDescent="0.25">
      <c r="A37" s="950"/>
      <c r="B37" s="1130"/>
      <c r="C37" s="1132"/>
      <c r="D37" s="1132"/>
      <c r="E37" s="1132"/>
      <c r="F37" s="1132"/>
      <c r="G37" s="1132"/>
      <c r="H37" s="1132"/>
      <c r="I37" s="1136"/>
      <c r="J37" s="1136"/>
      <c r="K37" s="1136"/>
      <c r="L37" s="1189"/>
    </row>
    <row r="38" spans="1:12" ht="15" hidden="1" customHeight="1" x14ac:dyDescent="0.25">
      <c r="A38" s="951" t="s">
        <v>4060</v>
      </c>
      <c r="B38" s="907" t="s">
        <v>5196</v>
      </c>
      <c r="C38" s="908" t="s">
        <v>5462</v>
      </c>
      <c r="D38" s="908" t="s">
        <v>5463</v>
      </c>
      <c r="E38" s="908">
        <v>2</v>
      </c>
      <c r="F38" s="908">
        <v>3</v>
      </c>
      <c r="G38" s="908">
        <v>4</v>
      </c>
      <c r="H38" s="908">
        <v>5</v>
      </c>
      <c r="I38" s="909">
        <v>2888</v>
      </c>
      <c r="J38" s="909"/>
      <c r="K38" s="909">
        <v>2888</v>
      </c>
      <c r="L38" s="908" t="s">
        <v>5177</v>
      </c>
    </row>
    <row r="39" spans="1:12" ht="15" hidden="1" customHeight="1" x14ac:dyDescent="0.25">
      <c r="A39" s="951" t="s">
        <v>5464</v>
      </c>
      <c r="B39" s="907" t="s">
        <v>5465</v>
      </c>
      <c r="C39" s="908" t="s">
        <v>5466</v>
      </c>
      <c r="D39" s="908" t="s">
        <v>5467</v>
      </c>
      <c r="E39" s="908">
        <v>530</v>
      </c>
      <c r="F39" s="908">
        <v>575</v>
      </c>
      <c r="G39" s="908">
        <v>600</v>
      </c>
      <c r="H39" s="908">
        <v>600</v>
      </c>
      <c r="I39" s="909">
        <v>575</v>
      </c>
      <c r="J39" s="908">
        <v>350</v>
      </c>
      <c r="K39" s="909">
        <v>925</v>
      </c>
      <c r="L39" s="908" t="s">
        <v>5177</v>
      </c>
    </row>
    <row r="40" spans="1:12" ht="15" hidden="1" customHeight="1" x14ac:dyDescent="0.25">
      <c r="A40" s="917"/>
      <c r="B40" s="918"/>
      <c r="C40" s="917"/>
      <c r="D40" s="917"/>
      <c r="E40" s="917"/>
      <c r="F40" s="917"/>
      <c r="G40" s="917"/>
      <c r="H40" s="917"/>
      <c r="I40" s="919"/>
      <c r="J40" s="917"/>
      <c r="K40" s="919"/>
      <c r="L40" s="917"/>
    </row>
    <row r="41" spans="1:12" ht="15" hidden="1" customHeight="1" x14ac:dyDescent="0.25">
      <c r="A41" s="917"/>
      <c r="B41" s="918"/>
      <c r="C41" s="917"/>
      <c r="D41" s="917"/>
      <c r="E41" s="917"/>
      <c r="F41" s="917"/>
      <c r="G41" s="917"/>
      <c r="H41" s="917"/>
      <c r="I41" s="919"/>
      <c r="J41" s="917"/>
      <c r="K41" s="919"/>
      <c r="L41" s="917"/>
    </row>
    <row r="42" spans="1:12" ht="15" customHeight="1" x14ac:dyDescent="0.25">
      <c r="A42" s="917"/>
      <c r="B42" s="918"/>
      <c r="C42" s="917"/>
      <c r="D42" s="917"/>
      <c r="E42" s="917"/>
      <c r="F42" s="917"/>
      <c r="G42" s="917"/>
      <c r="H42" s="917"/>
      <c r="I42" s="919"/>
      <c r="J42" s="917"/>
      <c r="K42" s="919"/>
      <c r="L42" s="917"/>
    </row>
    <row r="43" spans="1:12" x14ac:dyDescent="0.25">
      <c r="A43" s="917"/>
      <c r="B43" s="918"/>
      <c r="C43" s="917"/>
      <c r="D43" s="917"/>
      <c r="E43" s="917"/>
      <c r="F43" s="917"/>
      <c r="G43" s="917"/>
      <c r="H43" s="917"/>
      <c r="I43" s="919"/>
      <c r="J43" s="917"/>
      <c r="K43" s="919"/>
      <c r="L43" s="952"/>
    </row>
    <row r="44" spans="1:12" ht="49.5" customHeight="1" x14ac:dyDescent="0.25">
      <c r="A44" s="1165" t="s">
        <v>5468</v>
      </c>
      <c r="B44" s="1168" t="s">
        <v>3569</v>
      </c>
      <c r="C44" s="1171" t="s">
        <v>5469</v>
      </c>
      <c r="D44" s="1174" t="s">
        <v>5470</v>
      </c>
      <c r="E44" s="1131">
        <v>60</v>
      </c>
      <c r="F44" s="1131">
        <v>70</v>
      </c>
      <c r="G44" s="1131">
        <v>80</v>
      </c>
      <c r="H44" s="1131">
        <v>90</v>
      </c>
      <c r="I44" s="1135">
        <v>28107</v>
      </c>
      <c r="J44" s="1131">
        <v>195</v>
      </c>
      <c r="K44" s="1135">
        <v>28302</v>
      </c>
      <c r="L44" s="1131" t="s">
        <v>5174</v>
      </c>
    </row>
    <row r="45" spans="1:12" ht="15.75" hidden="1" customHeight="1" thickBot="1" x14ac:dyDescent="0.3">
      <c r="A45" s="1166"/>
      <c r="B45" s="1169"/>
      <c r="C45" s="1172"/>
      <c r="D45" s="1175"/>
      <c r="E45" s="1121"/>
      <c r="F45" s="1121"/>
      <c r="G45" s="1121"/>
      <c r="H45" s="1121"/>
      <c r="I45" s="1123"/>
      <c r="J45" s="1121"/>
      <c r="K45" s="1123"/>
      <c r="L45" s="1121"/>
    </row>
    <row r="46" spans="1:12" ht="15.75" hidden="1" customHeight="1" thickBot="1" x14ac:dyDescent="0.3">
      <c r="A46" s="1166"/>
      <c r="B46" s="1169"/>
      <c r="C46" s="1173"/>
      <c r="D46" s="1175"/>
      <c r="E46" s="1121"/>
      <c r="F46" s="1121"/>
      <c r="G46" s="1121"/>
      <c r="H46" s="1121"/>
      <c r="I46" s="1123"/>
      <c r="J46" s="1121"/>
      <c r="K46" s="1123"/>
      <c r="L46" s="1121"/>
    </row>
    <row r="47" spans="1:12" ht="9" customHeight="1" x14ac:dyDescent="0.25">
      <c r="A47" s="1166"/>
      <c r="B47" s="1169"/>
      <c r="C47" s="953"/>
      <c r="D47" s="1175"/>
      <c r="E47" s="1121"/>
      <c r="F47" s="1121"/>
      <c r="G47" s="1121"/>
      <c r="H47" s="1121"/>
      <c r="I47" s="1123"/>
      <c r="J47" s="1121"/>
      <c r="K47" s="1123"/>
      <c r="L47" s="1121"/>
    </row>
    <row r="48" spans="1:12" ht="12" hidden="1" customHeight="1" thickBot="1" x14ac:dyDescent="0.3">
      <c r="A48" s="1167"/>
      <c r="B48" s="1170"/>
      <c r="C48" s="954"/>
      <c r="D48" s="1176"/>
      <c r="E48" s="1122"/>
      <c r="F48" s="1122"/>
      <c r="G48" s="1122"/>
      <c r="H48" s="1122"/>
      <c r="I48" s="1124"/>
      <c r="J48" s="1122"/>
      <c r="K48" s="1124"/>
      <c r="L48" s="1122"/>
    </row>
    <row r="49" spans="1:12" ht="15.75" hidden="1" customHeight="1" thickBot="1" x14ac:dyDescent="0.3">
      <c r="A49" s="1164" t="s">
        <v>5471</v>
      </c>
      <c r="B49" s="1187" t="s">
        <v>5195</v>
      </c>
      <c r="C49" s="1188" t="s">
        <v>5472</v>
      </c>
      <c r="D49" s="1164" t="s">
        <v>5473</v>
      </c>
      <c r="E49" s="1177">
        <v>0.25</v>
      </c>
      <c r="F49" s="1177">
        <v>0.5</v>
      </c>
      <c r="G49" s="1177">
        <v>0.6</v>
      </c>
      <c r="H49" s="1177">
        <v>0.8</v>
      </c>
      <c r="I49" s="1163">
        <v>12701</v>
      </c>
      <c r="J49" s="1164"/>
      <c r="K49" s="1163">
        <v>12701</v>
      </c>
      <c r="L49" s="1164" t="s">
        <v>5178</v>
      </c>
    </row>
    <row r="50" spans="1:12" ht="45" customHeight="1" x14ac:dyDescent="0.25">
      <c r="A50" s="1155"/>
      <c r="B50" s="1152"/>
      <c r="C50" s="1158"/>
      <c r="D50" s="1155"/>
      <c r="E50" s="1178"/>
      <c r="F50" s="1178"/>
      <c r="G50" s="1178"/>
      <c r="H50" s="1178"/>
      <c r="I50" s="1161"/>
      <c r="J50" s="1155"/>
      <c r="K50" s="1161"/>
      <c r="L50" s="1155"/>
    </row>
    <row r="51" spans="1:12" x14ac:dyDescent="0.25">
      <c r="A51" s="1155"/>
      <c r="B51" s="1152"/>
      <c r="C51" s="955"/>
      <c r="D51" s="1155"/>
      <c r="E51" s="1178"/>
      <c r="F51" s="1178"/>
      <c r="G51" s="1178"/>
      <c r="H51" s="1178"/>
      <c r="I51" s="1161"/>
      <c r="J51" s="1155"/>
      <c r="K51" s="1161"/>
      <c r="L51" s="1155"/>
    </row>
    <row r="52" spans="1:12" ht="67.5" x14ac:dyDescent="0.25">
      <c r="A52" s="931" t="s">
        <v>5474</v>
      </c>
      <c r="B52" s="942" t="s">
        <v>5196</v>
      </c>
      <c r="C52" s="931" t="s">
        <v>5475</v>
      </c>
      <c r="D52" s="931" t="s">
        <v>5476</v>
      </c>
      <c r="E52" s="956">
        <v>4</v>
      </c>
      <c r="F52" s="956">
        <v>5</v>
      </c>
      <c r="G52" s="956">
        <v>5</v>
      </c>
      <c r="H52" s="956">
        <v>5</v>
      </c>
      <c r="I52" s="932">
        <v>15406</v>
      </c>
      <c r="J52" s="931">
        <v>195</v>
      </c>
      <c r="K52" s="932">
        <v>15601</v>
      </c>
      <c r="L52" s="931" t="s">
        <v>5174</v>
      </c>
    </row>
    <row r="53" spans="1:12" ht="45" x14ac:dyDescent="0.25">
      <c r="A53" s="931" t="s">
        <v>5477</v>
      </c>
      <c r="B53" s="942" t="s">
        <v>4515</v>
      </c>
      <c r="C53" s="931" t="s">
        <v>5478</v>
      </c>
      <c r="D53" s="931" t="s">
        <v>5479</v>
      </c>
      <c r="E53" s="956"/>
      <c r="F53" s="956">
        <v>1</v>
      </c>
      <c r="G53" s="956"/>
      <c r="H53" s="956"/>
      <c r="I53" s="932">
        <v>400</v>
      </c>
      <c r="J53" s="931"/>
      <c r="K53" s="932">
        <v>400</v>
      </c>
      <c r="L53" s="931" t="s">
        <v>5174</v>
      </c>
    </row>
    <row r="54" spans="1:12" ht="56.25" x14ac:dyDescent="0.25">
      <c r="A54" s="931" t="s">
        <v>5480</v>
      </c>
      <c r="B54" s="942" t="s">
        <v>4516</v>
      </c>
      <c r="C54" s="931" t="s">
        <v>5481</v>
      </c>
      <c r="D54" s="931" t="s">
        <v>5482</v>
      </c>
      <c r="E54" s="957"/>
      <c r="F54" s="957">
        <v>0.5</v>
      </c>
      <c r="G54" s="957">
        <v>0.6</v>
      </c>
      <c r="H54" s="957"/>
      <c r="I54" s="932">
        <v>300</v>
      </c>
      <c r="J54" s="931"/>
      <c r="K54" s="932">
        <v>300</v>
      </c>
      <c r="L54" s="931" t="s">
        <v>5175</v>
      </c>
    </row>
    <row r="55" spans="1:12" ht="15.75" thickBot="1" x14ac:dyDescent="0.3">
      <c r="A55" s="933"/>
      <c r="B55" s="958"/>
      <c r="C55" s="955"/>
      <c r="D55" s="933"/>
      <c r="E55" s="959"/>
      <c r="F55" s="959"/>
      <c r="G55" s="959"/>
      <c r="H55" s="959"/>
      <c r="I55" s="1062"/>
      <c r="J55" s="933"/>
      <c r="K55" s="934"/>
      <c r="L55" s="933"/>
    </row>
    <row r="56" spans="1:12" ht="18" customHeight="1" x14ac:dyDescent="0.25">
      <c r="A56" s="1179" t="s">
        <v>5179</v>
      </c>
      <c r="B56" s="1138" t="s">
        <v>3572</v>
      </c>
      <c r="C56" s="1139" t="s">
        <v>5483</v>
      </c>
      <c r="D56" s="1139" t="s">
        <v>5484</v>
      </c>
      <c r="E56" s="1141">
        <v>0.6</v>
      </c>
      <c r="F56" s="1141">
        <v>0.7</v>
      </c>
      <c r="G56" s="1141">
        <v>0.8</v>
      </c>
      <c r="H56" s="1141">
        <v>1</v>
      </c>
      <c r="I56" s="1140">
        <v>2700</v>
      </c>
      <c r="J56" s="1139"/>
      <c r="K56" s="1140">
        <v>2700</v>
      </c>
      <c r="L56" s="1139" t="s">
        <v>5174</v>
      </c>
    </row>
    <row r="57" spans="1:12" ht="7.5" hidden="1" customHeight="1" thickBot="1" x14ac:dyDescent="0.3">
      <c r="A57" s="1126"/>
      <c r="B57" s="1129"/>
      <c r="C57" s="1121"/>
      <c r="D57" s="1121"/>
      <c r="E57" s="1126"/>
      <c r="F57" s="1126"/>
      <c r="G57" s="1126"/>
      <c r="H57" s="1126"/>
      <c r="I57" s="1123"/>
      <c r="J57" s="1121"/>
      <c r="K57" s="1123"/>
      <c r="L57" s="1121"/>
    </row>
    <row r="58" spans="1:12" ht="15.75" hidden="1" customHeight="1" thickBot="1" x14ac:dyDescent="0.3">
      <c r="A58" s="1126"/>
      <c r="B58" s="1129"/>
      <c r="C58" s="1121"/>
      <c r="D58" s="1121"/>
      <c r="E58" s="1126"/>
      <c r="F58" s="1126"/>
      <c r="G58" s="1126"/>
      <c r="H58" s="1126"/>
      <c r="I58" s="1123"/>
      <c r="J58" s="1121"/>
      <c r="K58" s="1123"/>
      <c r="L58" s="1121"/>
    </row>
    <row r="59" spans="1:12" ht="15" customHeight="1" x14ac:dyDescent="0.25">
      <c r="A59" s="1126"/>
      <c r="B59" s="1129"/>
      <c r="C59" s="1121"/>
      <c r="D59" s="1121"/>
      <c r="E59" s="1126"/>
      <c r="F59" s="1126"/>
      <c r="G59" s="1126"/>
      <c r="H59" s="1126"/>
      <c r="I59" s="1123"/>
      <c r="J59" s="1121"/>
      <c r="K59" s="1123"/>
      <c r="L59" s="1121"/>
    </row>
    <row r="60" spans="1:12" x14ac:dyDescent="0.25">
      <c r="A60" s="1126"/>
      <c r="B60" s="1129"/>
      <c r="C60" s="1121"/>
      <c r="D60" s="1121"/>
      <c r="E60" s="1126"/>
      <c r="F60" s="1126"/>
      <c r="G60" s="1126"/>
      <c r="H60" s="1126"/>
      <c r="I60" s="1123"/>
      <c r="J60" s="1121"/>
      <c r="K60" s="1123"/>
      <c r="L60" s="1121"/>
    </row>
    <row r="61" spans="1:12" ht="3.75" customHeight="1" x14ac:dyDescent="0.25">
      <c r="A61" s="1126"/>
      <c r="B61" s="1129"/>
      <c r="C61" s="1121"/>
      <c r="D61" s="1121"/>
      <c r="E61" s="1126"/>
      <c r="F61" s="1126"/>
      <c r="G61" s="1126"/>
      <c r="H61" s="1126"/>
      <c r="I61" s="1123"/>
      <c r="J61" s="1121"/>
      <c r="K61" s="1123"/>
      <c r="L61" s="1121"/>
    </row>
    <row r="62" spans="1:12" ht="2.25" hidden="1" customHeight="1" x14ac:dyDescent="0.25">
      <c r="A62" s="1126"/>
      <c r="B62" s="1129"/>
      <c r="C62" s="1121"/>
      <c r="D62" s="1121"/>
      <c r="E62" s="1126"/>
      <c r="F62" s="1126"/>
      <c r="G62" s="1126"/>
      <c r="H62" s="1126"/>
      <c r="I62" s="1123"/>
      <c r="J62" s="1121"/>
      <c r="K62" s="1123"/>
      <c r="L62" s="1121"/>
    </row>
    <row r="63" spans="1:12" ht="12.75" hidden="1" customHeight="1" x14ac:dyDescent="0.25">
      <c r="A63" s="1126"/>
      <c r="B63" s="1129"/>
      <c r="C63" s="1121"/>
      <c r="D63" s="1121"/>
      <c r="E63" s="1126"/>
      <c r="F63" s="1126"/>
      <c r="G63" s="1126"/>
      <c r="H63" s="1126"/>
      <c r="I63" s="1123"/>
      <c r="J63" s="1121"/>
      <c r="K63" s="1123"/>
      <c r="L63" s="1121"/>
    </row>
    <row r="64" spans="1:12" ht="24" hidden="1" customHeight="1" x14ac:dyDescent="0.25">
      <c r="A64" s="1126"/>
      <c r="B64" s="1129"/>
      <c r="C64" s="1121"/>
      <c r="D64" s="1121"/>
      <c r="E64" s="1126"/>
      <c r="F64" s="1126"/>
      <c r="G64" s="1126"/>
      <c r="H64" s="1126"/>
      <c r="I64" s="1123"/>
      <c r="J64" s="1121"/>
      <c r="K64" s="1123"/>
      <c r="L64" s="1121"/>
    </row>
    <row r="65" spans="1:12" hidden="1" x14ac:dyDescent="0.25">
      <c r="A65" s="1127"/>
      <c r="B65" s="1130"/>
      <c r="C65" s="1132"/>
      <c r="D65" s="1132"/>
      <c r="E65" s="1127"/>
      <c r="F65" s="1127"/>
      <c r="G65" s="1127"/>
      <c r="H65" s="1127"/>
      <c r="I65" s="1136"/>
      <c r="J65" s="1132"/>
      <c r="K65" s="1136"/>
      <c r="L65" s="1132"/>
    </row>
    <row r="66" spans="1:12" ht="53.25" customHeight="1" x14ac:dyDescent="0.25">
      <c r="A66" s="1148" t="s">
        <v>4064</v>
      </c>
      <c r="B66" s="1151" t="s">
        <v>5197</v>
      </c>
      <c r="C66" s="1154" t="s">
        <v>175</v>
      </c>
      <c r="D66" s="1154" t="s">
        <v>5485</v>
      </c>
      <c r="E66" s="1157">
        <v>0</v>
      </c>
      <c r="F66" s="1154">
        <v>10</v>
      </c>
      <c r="G66" s="1154">
        <v>20</v>
      </c>
      <c r="H66" s="1154">
        <v>30</v>
      </c>
      <c r="I66" s="1160">
        <v>200</v>
      </c>
      <c r="J66" s="1154"/>
      <c r="K66" s="1160">
        <v>200</v>
      </c>
      <c r="L66" s="1184" t="s">
        <v>5178</v>
      </c>
    </row>
    <row r="67" spans="1:12" ht="24" hidden="1" customHeight="1" x14ac:dyDescent="0.25">
      <c r="A67" s="1149"/>
      <c r="B67" s="1152"/>
      <c r="C67" s="1155"/>
      <c r="D67" s="1155"/>
      <c r="E67" s="1158"/>
      <c r="F67" s="1155"/>
      <c r="G67" s="1155"/>
      <c r="H67" s="1155"/>
      <c r="I67" s="1161"/>
      <c r="J67" s="1155"/>
      <c r="K67" s="1161"/>
      <c r="L67" s="1185"/>
    </row>
    <row r="68" spans="1:12" ht="21" hidden="1" customHeight="1" x14ac:dyDescent="0.25">
      <c r="A68" s="1149"/>
      <c r="B68" s="1152"/>
      <c r="C68" s="1155"/>
      <c r="D68" s="1155"/>
      <c r="E68" s="1158"/>
      <c r="F68" s="1155"/>
      <c r="G68" s="1155"/>
      <c r="H68" s="1155"/>
      <c r="I68" s="1161"/>
      <c r="J68" s="1155"/>
      <c r="K68" s="1161"/>
      <c r="L68" s="1185"/>
    </row>
    <row r="69" spans="1:12" ht="18" hidden="1" customHeight="1" x14ac:dyDescent="0.25">
      <c r="A69" s="1149"/>
      <c r="B69" s="1152"/>
      <c r="C69" s="1155"/>
      <c r="D69" s="1155"/>
      <c r="E69" s="1158"/>
      <c r="F69" s="1155"/>
      <c r="G69" s="1155"/>
      <c r="H69" s="1155"/>
      <c r="I69" s="1161"/>
      <c r="J69" s="1155"/>
      <c r="K69" s="1161"/>
      <c r="L69" s="1185"/>
    </row>
    <row r="70" spans="1:12" ht="19.5" hidden="1" customHeight="1" x14ac:dyDescent="0.25">
      <c r="A70" s="1150"/>
      <c r="B70" s="1153"/>
      <c r="C70" s="1156"/>
      <c r="D70" s="1156"/>
      <c r="E70" s="1159"/>
      <c r="F70" s="1156"/>
      <c r="G70" s="1156"/>
      <c r="H70" s="1156"/>
      <c r="I70" s="1162"/>
      <c r="J70" s="1156"/>
      <c r="K70" s="1162"/>
      <c r="L70" s="1186"/>
    </row>
    <row r="71" spans="1:12" ht="32.25" hidden="1" customHeight="1" x14ac:dyDescent="0.25">
      <c r="A71" s="960" t="s">
        <v>5108</v>
      </c>
      <c r="B71" s="961" t="s">
        <v>5200</v>
      </c>
      <c r="C71" s="962" t="s">
        <v>5486</v>
      </c>
      <c r="D71" s="962" t="s">
        <v>5487</v>
      </c>
      <c r="E71" s="962"/>
      <c r="F71" s="962"/>
      <c r="G71" s="962"/>
      <c r="H71" s="962"/>
      <c r="I71" s="963">
        <v>2500</v>
      </c>
      <c r="J71" s="962"/>
      <c r="K71" s="963">
        <v>2500</v>
      </c>
      <c r="L71" s="964" t="s">
        <v>5488</v>
      </c>
    </row>
    <row r="72" spans="1:12" ht="58.5" customHeight="1" x14ac:dyDescent="0.25">
      <c r="A72" s="1144" t="s">
        <v>5180</v>
      </c>
      <c r="B72" s="1128" t="s">
        <v>3575</v>
      </c>
      <c r="C72" s="1146" t="s">
        <v>5489</v>
      </c>
      <c r="D72" s="1146" t="s">
        <v>5490</v>
      </c>
      <c r="E72" s="1131">
        <v>10</v>
      </c>
      <c r="F72" s="1131">
        <v>10</v>
      </c>
      <c r="G72" s="1131">
        <v>10</v>
      </c>
      <c r="H72" s="1131">
        <v>10</v>
      </c>
      <c r="I72" s="1135">
        <v>8500</v>
      </c>
      <c r="J72" s="1135">
        <v>71000</v>
      </c>
      <c r="K72" s="1135">
        <v>79500</v>
      </c>
      <c r="L72" s="1142" t="s">
        <v>5174</v>
      </c>
    </row>
    <row r="73" spans="1:12" ht="36.75" customHeight="1" x14ac:dyDescent="0.25">
      <c r="A73" s="1145"/>
      <c r="B73" s="1129"/>
      <c r="C73" s="1147"/>
      <c r="D73" s="1147"/>
      <c r="E73" s="1121"/>
      <c r="F73" s="1121"/>
      <c r="G73" s="1121"/>
      <c r="H73" s="1121"/>
      <c r="I73" s="1123"/>
      <c r="J73" s="1121"/>
      <c r="K73" s="1123"/>
      <c r="L73" s="1143"/>
    </row>
    <row r="74" spans="1:12" ht="91.5" customHeight="1" thickBot="1" x14ac:dyDescent="0.3">
      <c r="A74" s="951" t="s">
        <v>5073</v>
      </c>
      <c r="B74" s="907" t="s">
        <v>5196</v>
      </c>
      <c r="C74" s="908" t="s">
        <v>5491</v>
      </c>
      <c r="D74" s="908" t="s">
        <v>5492</v>
      </c>
      <c r="E74" s="908">
        <v>10</v>
      </c>
      <c r="F74" s="908">
        <v>25</v>
      </c>
      <c r="G74" s="908">
        <v>25</v>
      </c>
      <c r="H74" s="908">
        <v>25</v>
      </c>
      <c r="I74" s="909"/>
      <c r="J74" s="909">
        <v>51600</v>
      </c>
      <c r="K74" s="909">
        <v>51600</v>
      </c>
      <c r="L74" s="908" t="s">
        <v>5174</v>
      </c>
    </row>
    <row r="75" spans="1:12" ht="91.5" customHeight="1" thickBot="1" x14ac:dyDescent="0.3">
      <c r="A75" s="951" t="s">
        <v>5493</v>
      </c>
      <c r="B75" s="907" t="s">
        <v>5196</v>
      </c>
      <c r="C75" s="908" t="s">
        <v>5494</v>
      </c>
      <c r="D75" s="908" t="s">
        <v>5495</v>
      </c>
      <c r="E75" s="908">
        <v>5</v>
      </c>
      <c r="F75" s="908">
        <v>5</v>
      </c>
      <c r="G75" s="908">
        <v>5</v>
      </c>
      <c r="H75" s="908">
        <v>6</v>
      </c>
      <c r="I75" s="909"/>
      <c r="J75" s="909">
        <v>6400</v>
      </c>
      <c r="K75" s="909">
        <v>6400</v>
      </c>
      <c r="L75" s="908" t="s">
        <v>5174</v>
      </c>
    </row>
    <row r="76" spans="1:12" ht="91.5" customHeight="1" thickBot="1" x14ac:dyDescent="0.3">
      <c r="A76" s="951" t="s">
        <v>5496</v>
      </c>
      <c r="B76" s="907" t="s">
        <v>5196</v>
      </c>
      <c r="C76" s="908" t="s">
        <v>5497</v>
      </c>
      <c r="D76" s="908" t="s">
        <v>5498</v>
      </c>
      <c r="E76" s="908"/>
      <c r="F76" s="908"/>
      <c r="G76" s="908"/>
      <c r="H76" s="908"/>
      <c r="I76" s="909">
        <v>8500</v>
      </c>
      <c r="J76" s="909">
        <v>13000</v>
      </c>
      <c r="K76" s="909">
        <v>21500</v>
      </c>
      <c r="L76" s="908" t="s">
        <v>5454</v>
      </c>
    </row>
    <row r="77" spans="1:12" ht="70.5" customHeight="1" x14ac:dyDescent="0.25">
      <c r="A77" s="968" t="s">
        <v>5181</v>
      </c>
      <c r="B77" s="969">
        <v>2001</v>
      </c>
      <c r="C77" s="970" t="s">
        <v>5499</v>
      </c>
      <c r="D77" s="970" t="s">
        <v>5500</v>
      </c>
      <c r="E77" s="970">
        <v>130</v>
      </c>
      <c r="F77" s="970">
        <v>130</v>
      </c>
      <c r="G77" s="970">
        <v>130</v>
      </c>
      <c r="H77" s="970">
        <v>130</v>
      </c>
      <c r="I77" s="971">
        <v>19313</v>
      </c>
      <c r="J77" s="971">
        <v>7295</v>
      </c>
      <c r="K77" s="971">
        <v>26608</v>
      </c>
      <c r="L77" s="970"/>
    </row>
    <row r="78" spans="1:12" s="733" customFormat="1" ht="15" hidden="1" customHeight="1" x14ac:dyDescent="0.25">
      <c r="A78" s="972"/>
      <c r="B78" s="973"/>
      <c r="C78" s="972"/>
      <c r="D78" s="972"/>
      <c r="E78" s="972"/>
      <c r="F78" s="972"/>
      <c r="G78" s="972"/>
      <c r="H78" s="972"/>
      <c r="I78" s="974"/>
      <c r="J78" s="974"/>
      <c r="K78" s="974"/>
      <c r="L78" s="972"/>
    </row>
    <row r="79" spans="1:12" s="733" customFormat="1" ht="15" hidden="1" customHeight="1" x14ac:dyDescent="0.25">
      <c r="A79" s="972"/>
      <c r="B79" s="973"/>
      <c r="C79" s="972"/>
      <c r="D79" s="972"/>
      <c r="E79" s="972"/>
      <c r="F79" s="972"/>
      <c r="G79" s="972"/>
      <c r="H79" s="972"/>
      <c r="I79" s="974"/>
      <c r="J79" s="974"/>
      <c r="K79" s="974"/>
      <c r="L79" s="972"/>
    </row>
    <row r="80" spans="1:12" s="733" customFormat="1" ht="15" hidden="1" customHeight="1" x14ac:dyDescent="0.25">
      <c r="A80" s="972"/>
      <c r="B80" s="973"/>
      <c r="C80" s="972"/>
      <c r="D80" s="972"/>
      <c r="E80" s="972"/>
      <c r="F80" s="972"/>
      <c r="G80" s="972"/>
      <c r="H80" s="972"/>
      <c r="I80" s="974"/>
      <c r="J80" s="974"/>
      <c r="K80" s="974"/>
      <c r="L80" s="972"/>
    </row>
    <row r="81" spans="1:12" s="733" customFormat="1" ht="15" hidden="1" customHeight="1" x14ac:dyDescent="0.25">
      <c r="A81" s="972"/>
      <c r="B81" s="973"/>
      <c r="C81" s="972"/>
      <c r="D81" s="972"/>
      <c r="E81" s="972"/>
      <c r="F81" s="972"/>
      <c r="G81" s="972"/>
      <c r="H81" s="972"/>
      <c r="I81" s="974"/>
      <c r="J81" s="974"/>
      <c r="K81" s="974"/>
      <c r="L81" s="972"/>
    </row>
    <row r="82" spans="1:12" s="733" customFormat="1" ht="15" hidden="1" customHeight="1" x14ac:dyDescent="0.25">
      <c r="A82" s="972"/>
      <c r="B82" s="973"/>
      <c r="C82" s="972"/>
      <c r="D82" s="972"/>
      <c r="E82" s="972"/>
      <c r="F82" s="972"/>
      <c r="G82" s="972"/>
      <c r="H82" s="972"/>
      <c r="I82" s="974"/>
      <c r="J82" s="974"/>
      <c r="K82" s="974"/>
      <c r="L82" s="972"/>
    </row>
    <row r="83" spans="1:12" s="733" customFormat="1" ht="15" hidden="1" customHeight="1" x14ac:dyDescent="0.25">
      <c r="A83" s="972"/>
      <c r="B83" s="973"/>
      <c r="C83" s="972"/>
      <c r="D83" s="972"/>
      <c r="E83" s="972"/>
      <c r="F83" s="972"/>
      <c r="G83" s="972"/>
      <c r="H83" s="972"/>
      <c r="I83" s="974"/>
      <c r="J83" s="974"/>
      <c r="K83" s="974"/>
      <c r="L83" s="972"/>
    </row>
    <row r="84" spans="1:12" s="733" customFormat="1" ht="15" hidden="1" customHeight="1" x14ac:dyDescent="0.25">
      <c r="A84" s="972"/>
      <c r="B84" s="973"/>
      <c r="C84" s="972"/>
      <c r="D84" s="972"/>
      <c r="E84" s="972"/>
      <c r="F84" s="972"/>
      <c r="G84" s="972"/>
      <c r="H84" s="972"/>
      <c r="I84" s="974"/>
      <c r="J84" s="974"/>
      <c r="K84" s="974"/>
      <c r="L84" s="972"/>
    </row>
    <row r="85" spans="1:12" s="733" customFormat="1" ht="6.75" hidden="1" customHeight="1" x14ac:dyDescent="0.25">
      <c r="A85" s="972"/>
      <c r="B85" s="973"/>
      <c r="C85" s="972"/>
      <c r="D85" s="972"/>
      <c r="E85" s="972"/>
      <c r="F85" s="972"/>
      <c r="G85" s="972"/>
      <c r="H85" s="972"/>
      <c r="I85" s="974"/>
      <c r="J85" s="974"/>
      <c r="K85" s="974"/>
      <c r="L85" s="972"/>
    </row>
    <row r="86" spans="1:12" s="733" customFormat="1" ht="17.25" hidden="1" customHeight="1" x14ac:dyDescent="0.25">
      <c r="A86" s="972"/>
      <c r="B86" s="973"/>
      <c r="C86" s="972"/>
      <c r="D86" s="972"/>
      <c r="E86" s="972"/>
      <c r="F86" s="972"/>
      <c r="G86" s="972"/>
      <c r="H86" s="972"/>
      <c r="I86" s="974"/>
      <c r="J86" s="974"/>
      <c r="K86" s="974"/>
      <c r="L86" s="975"/>
    </row>
    <row r="87" spans="1:12" ht="67.5" customHeight="1" thickBot="1" x14ac:dyDescent="0.3">
      <c r="A87" s="976" t="s">
        <v>4278</v>
      </c>
      <c r="B87" s="977" t="s">
        <v>5195</v>
      </c>
      <c r="C87" s="978" t="s">
        <v>5501</v>
      </c>
      <c r="D87" s="978" t="s">
        <v>5502</v>
      </c>
      <c r="E87" s="978"/>
      <c r="F87" s="978"/>
      <c r="G87" s="978"/>
      <c r="H87" s="978"/>
      <c r="I87" s="979">
        <v>19313</v>
      </c>
      <c r="J87" s="979">
        <v>7295</v>
      </c>
      <c r="K87" s="979">
        <v>26608</v>
      </c>
      <c r="L87" s="978" t="s">
        <v>5503</v>
      </c>
    </row>
    <row r="88" spans="1:12" ht="51.75" customHeight="1" x14ac:dyDescent="0.25">
      <c r="A88" s="911"/>
      <c r="B88" s="1138">
        <v>2002</v>
      </c>
      <c r="C88" s="1139" t="s">
        <v>5504</v>
      </c>
      <c r="D88" s="1139" t="s">
        <v>5505</v>
      </c>
      <c r="E88" s="1139"/>
      <c r="F88" s="1139"/>
      <c r="G88" s="1139"/>
      <c r="H88" s="1139"/>
      <c r="I88" s="1140">
        <v>43546</v>
      </c>
      <c r="J88" s="1139"/>
      <c r="K88" s="1140">
        <v>43546</v>
      </c>
      <c r="L88" s="1139"/>
    </row>
    <row r="89" spans="1:12" ht="58.5" customHeight="1" x14ac:dyDescent="0.25">
      <c r="A89" s="911" t="s">
        <v>5182</v>
      </c>
      <c r="B89" s="1129"/>
      <c r="C89" s="1121"/>
      <c r="D89" s="1121"/>
      <c r="E89" s="1121"/>
      <c r="F89" s="1121"/>
      <c r="G89" s="1121"/>
      <c r="H89" s="1121"/>
      <c r="I89" s="1123"/>
      <c r="J89" s="1121"/>
      <c r="K89" s="1123"/>
      <c r="L89" s="1121"/>
    </row>
    <row r="90" spans="1:12" ht="58.5" customHeight="1" thickBot="1" x14ac:dyDescent="0.3">
      <c r="A90" s="951" t="s">
        <v>4071</v>
      </c>
      <c r="B90" s="907" t="s">
        <v>5195</v>
      </c>
      <c r="C90" s="908" t="s">
        <v>5506</v>
      </c>
      <c r="D90" s="908" t="s">
        <v>5507</v>
      </c>
      <c r="E90" s="908"/>
      <c r="F90" s="908"/>
      <c r="G90" s="908"/>
      <c r="H90" s="908"/>
      <c r="I90" s="909">
        <v>43546</v>
      </c>
      <c r="J90" s="908"/>
      <c r="K90" s="909">
        <v>43546</v>
      </c>
      <c r="L90" s="908" t="s">
        <v>5183</v>
      </c>
    </row>
    <row r="91" spans="1:12" ht="15" hidden="1" customHeight="1" x14ac:dyDescent="0.25">
      <c r="A91" s="1125" t="s">
        <v>5184</v>
      </c>
      <c r="B91" s="1128" t="s">
        <v>3587</v>
      </c>
      <c r="C91" s="1131" t="s">
        <v>5210</v>
      </c>
      <c r="D91" s="1131" t="s">
        <v>5508</v>
      </c>
      <c r="E91" s="1134">
        <v>0.15</v>
      </c>
      <c r="F91" s="1134">
        <v>0.2</v>
      </c>
      <c r="G91" s="1134">
        <v>0.25</v>
      </c>
      <c r="H91" s="1134">
        <v>0.25</v>
      </c>
      <c r="I91" s="1135">
        <v>11593</v>
      </c>
      <c r="J91" s="1131"/>
      <c r="K91" s="1135">
        <v>11593</v>
      </c>
      <c r="L91" s="1131" t="s">
        <v>5488</v>
      </c>
    </row>
    <row r="92" spans="1:12" ht="15" hidden="1" customHeight="1" x14ac:dyDescent="0.25">
      <c r="A92" s="1126"/>
      <c r="B92" s="1129"/>
      <c r="C92" s="1121"/>
      <c r="D92" s="1121"/>
      <c r="E92" s="1121"/>
      <c r="F92" s="1121"/>
      <c r="G92" s="1121"/>
      <c r="H92" s="1121"/>
      <c r="I92" s="1123"/>
      <c r="J92" s="1121"/>
      <c r="K92" s="1123"/>
      <c r="L92" s="1121"/>
    </row>
    <row r="93" spans="1:12" ht="48" customHeight="1" thickBot="1" x14ac:dyDescent="0.3">
      <c r="A93" s="1127"/>
      <c r="B93" s="1137"/>
      <c r="C93" s="1122"/>
      <c r="D93" s="1122"/>
      <c r="E93" s="1122"/>
      <c r="F93" s="1122"/>
      <c r="G93" s="1122"/>
      <c r="H93" s="1122"/>
      <c r="I93" s="1124"/>
      <c r="J93" s="1122"/>
      <c r="K93" s="1124"/>
      <c r="L93" s="1122"/>
    </row>
    <row r="94" spans="1:12" ht="51.75" customHeight="1" thickBot="1" x14ac:dyDescent="0.3">
      <c r="A94" s="951" t="s">
        <v>4078</v>
      </c>
      <c r="B94" s="907" t="s">
        <v>5195</v>
      </c>
      <c r="C94" s="908" t="s">
        <v>5185</v>
      </c>
      <c r="D94" s="908" t="s">
        <v>5186</v>
      </c>
      <c r="E94" s="908"/>
      <c r="F94" s="908"/>
      <c r="G94" s="908"/>
      <c r="H94" s="908"/>
      <c r="I94" s="909">
        <v>5013</v>
      </c>
      <c r="J94" s="908"/>
      <c r="K94" s="909">
        <v>5013</v>
      </c>
      <c r="L94" s="908" t="s">
        <v>5187</v>
      </c>
    </row>
    <row r="95" spans="1:12" ht="57" customHeight="1" x14ac:dyDescent="0.25">
      <c r="A95" s="913" t="s">
        <v>5509</v>
      </c>
      <c r="B95" s="914" t="s">
        <v>5196</v>
      </c>
      <c r="C95" s="915" t="s">
        <v>5510</v>
      </c>
      <c r="D95" s="915" t="s">
        <v>5511</v>
      </c>
      <c r="E95" s="915"/>
      <c r="F95" s="915"/>
      <c r="G95" s="915"/>
      <c r="H95" s="915"/>
      <c r="I95" s="916">
        <v>300</v>
      </c>
      <c r="J95" s="915"/>
      <c r="K95" s="916">
        <v>300</v>
      </c>
      <c r="L95" s="915" t="s">
        <v>5187</v>
      </c>
    </row>
    <row r="96" spans="1:12" ht="123.75" customHeight="1" thickBot="1" x14ac:dyDescent="0.3">
      <c r="A96" s="951" t="s">
        <v>4082</v>
      </c>
      <c r="B96" s="907" t="s">
        <v>5199</v>
      </c>
      <c r="C96" s="908" t="s">
        <v>5188</v>
      </c>
      <c r="D96" s="908" t="s">
        <v>5189</v>
      </c>
      <c r="E96" s="908">
        <v>4</v>
      </c>
      <c r="F96" s="908">
        <v>4</v>
      </c>
      <c r="G96" s="908">
        <v>4</v>
      </c>
      <c r="H96" s="908">
        <v>4</v>
      </c>
      <c r="I96" s="909">
        <v>300</v>
      </c>
      <c r="J96" s="908"/>
      <c r="K96" s="909">
        <v>300</v>
      </c>
      <c r="L96" s="908" t="s">
        <v>5174</v>
      </c>
    </row>
    <row r="97" spans="1:12" ht="123.75" customHeight="1" thickBot="1" x14ac:dyDescent="0.3">
      <c r="A97" s="951" t="s">
        <v>4086</v>
      </c>
      <c r="B97" s="907" t="s">
        <v>5198</v>
      </c>
      <c r="C97" s="908" t="s">
        <v>5512</v>
      </c>
      <c r="D97" s="908" t="s">
        <v>5513</v>
      </c>
      <c r="E97" s="908">
        <v>8</v>
      </c>
      <c r="F97" s="908">
        <v>8</v>
      </c>
      <c r="G97" s="908">
        <v>9</v>
      </c>
      <c r="H97" s="908">
        <v>10</v>
      </c>
      <c r="I97" s="909">
        <v>580</v>
      </c>
      <c r="J97" s="908"/>
      <c r="K97" s="909">
        <v>580</v>
      </c>
      <c r="L97" s="908" t="s">
        <v>5514</v>
      </c>
    </row>
    <row r="98" spans="1:12" ht="15" hidden="1" customHeight="1" x14ac:dyDescent="0.25">
      <c r="A98" s="951" t="s">
        <v>5114</v>
      </c>
      <c r="B98" s="907" t="s">
        <v>5200</v>
      </c>
      <c r="C98" s="908" t="s">
        <v>5515</v>
      </c>
      <c r="D98" s="908" t="s">
        <v>5516</v>
      </c>
      <c r="E98" s="908">
        <v>72</v>
      </c>
      <c r="F98" s="908">
        <v>100</v>
      </c>
      <c r="G98" s="908">
        <v>100</v>
      </c>
      <c r="H98" s="908">
        <v>100</v>
      </c>
      <c r="I98" s="909">
        <v>4900</v>
      </c>
      <c r="J98" s="908"/>
      <c r="K98" s="909">
        <v>4900</v>
      </c>
      <c r="L98" s="908" t="s">
        <v>5174</v>
      </c>
    </row>
    <row r="99" spans="1:12" ht="75" customHeight="1" x14ac:dyDescent="0.25">
      <c r="A99" s="933" t="s">
        <v>5517</v>
      </c>
      <c r="B99" s="984" t="s">
        <v>5518</v>
      </c>
      <c r="C99" s="955" t="s">
        <v>5519</v>
      </c>
      <c r="D99" s="955" t="s">
        <v>5520</v>
      </c>
      <c r="E99" s="985"/>
      <c r="F99" s="985"/>
      <c r="G99" s="955"/>
      <c r="H99" s="955"/>
      <c r="I99" s="985">
        <v>500</v>
      </c>
      <c r="J99" s="955"/>
      <c r="K99" s="985">
        <v>500</v>
      </c>
      <c r="L99" s="955"/>
    </row>
    <row r="100" spans="1:12" hidden="1" x14ac:dyDescent="0.25">
      <c r="A100" s="980"/>
      <c r="B100" s="981"/>
      <c r="C100" s="980"/>
      <c r="D100" s="980"/>
      <c r="E100" s="982"/>
      <c r="F100" s="982"/>
      <c r="G100" s="980"/>
      <c r="H100" s="980"/>
      <c r="I100" s="982"/>
      <c r="J100" s="980"/>
      <c r="K100" s="982"/>
      <c r="L100" s="980"/>
    </row>
    <row r="101" spans="1:12" hidden="1" x14ac:dyDescent="0.25">
      <c r="A101" s="917"/>
      <c r="B101" s="918"/>
      <c r="C101" s="917"/>
      <c r="D101" s="917"/>
      <c r="E101" s="919"/>
      <c r="F101" s="919"/>
      <c r="G101" s="917"/>
      <c r="H101" s="917"/>
      <c r="I101" s="919"/>
      <c r="J101" s="917"/>
      <c r="K101" s="919"/>
      <c r="L101" s="917"/>
    </row>
    <row r="102" spans="1:12" ht="63" hidden="1" customHeight="1" x14ac:dyDescent="0.25">
      <c r="A102" s="917"/>
      <c r="B102" s="918"/>
      <c r="C102" s="917"/>
      <c r="D102" s="917"/>
      <c r="E102" s="919"/>
      <c r="F102" s="919"/>
      <c r="G102" s="917"/>
      <c r="H102" s="917"/>
      <c r="I102" s="919"/>
      <c r="J102" s="917"/>
      <c r="K102" s="919"/>
      <c r="L102" s="917"/>
    </row>
    <row r="103" spans="1:12" hidden="1" x14ac:dyDescent="0.25">
      <c r="A103" s="965"/>
      <c r="B103" s="966"/>
      <c r="C103" s="965"/>
      <c r="D103" s="965"/>
      <c r="E103" s="967"/>
      <c r="F103" s="967"/>
      <c r="G103" s="965"/>
      <c r="H103" s="965"/>
      <c r="I103" s="967"/>
      <c r="J103" s="965"/>
      <c r="K103" s="967"/>
      <c r="L103" s="983" t="s">
        <v>5205</v>
      </c>
    </row>
    <row r="104" spans="1:12" x14ac:dyDescent="0.25">
      <c r="A104" s="1125" t="s">
        <v>5190</v>
      </c>
      <c r="B104" s="1128">
        <v>1801</v>
      </c>
      <c r="C104" s="1131" t="s">
        <v>5521</v>
      </c>
      <c r="D104" s="1131" t="s">
        <v>5522</v>
      </c>
      <c r="E104" s="1131"/>
      <c r="F104" s="1131"/>
      <c r="G104" s="1131"/>
      <c r="H104" s="1131"/>
      <c r="I104" s="1135">
        <v>10989</v>
      </c>
      <c r="J104" s="1131"/>
      <c r="K104" s="1135">
        <v>10989</v>
      </c>
      <c r="L104" s="1131"/>
    </row>
    <row r="105" spans="1:12" ht="24" customHeight="1" x14ac:dyDescent="0.25">
      <c r="A105" s="1126"/>
      <c r="B105" s="1129"/>
      <c r="C105" s="1121"/>
      <c r="D105" s="1121"/>
      <c r="E105" s="1121"/>
      <c r="F105" s="1121"/>
      <c r="G105" s="1121"/>
      <c r="H105" s="1121"/>
      <c r="I105" s="1123"/>
      <c r="J105" s="1121"/>
      <c r="K105" s="1123"/>
      <c r="L105" s="1121"/>
    </row>
    <row r="106" spans="1:12" x14ac:dyDescent="0.25">
      <c r="A106" s="1127"/>
      <c r="B106" s="1130"/>
      <c r="C106" s="1132"/>
      <c r="D106" s="1132"/>
      <c r="E106" s="1132"/>
      <c r="F106" s="1132"/>
      <c r="G106" s="1132"/>
      <c r="H106" s="1132"/>
      <c r="I106" s="1136"/>
      <c r="J106" s="1132"/>
      <c r="K106" s="1136"/>
      <c r="L106" s="1132"/>
    </row>
    <row r="107" spans="1:12" ht="5.25" customHeight="1" x14ac:dyDescent="0.25">
      <c r="A107" s="986"/>
      <c r="B107" s="987"/>
      <c r="C107" s="986"/>
      <c r="D107" s="986"/>
      <c r="E107" s="986"/>
      <c r="F107" s="986"/>
      <c r="G107" s="986"/>
      <c r="H107" s="986"/>
      <c r="I107" s="988"/>
      <c r="J107" s="986"/>
      <c r="K107" s="988"/>
      <c r="L107" s="986"/>
    </row>
    <row r="108" spans="1:12" ht="15" hidden="1" customHeight="1" x14ac:dyDescent="0.25">
      <c r="A108" s="972"/>
      <c r="B108" s="973"/>
      <c r="C108" s="972"/>
      <c r="D108" s="972"/>
      <c r="E108" s="972"/>
      <c r="F108" s="972"/>
      <c r="G108" s="972"/>
      <c r="H108" s="972"/>
      <c r="I108" s="974"/>
      <c r="J108" s="972"/>
      <c r="K108" s="974"/>
      <c r="L108" s="972"/>
    </row>
    <row r="109" spans="1:12" ht="15" hidden="1" customHeight="1" x14ac:dyDescent="0.25">
      <c r="A109" s="972"/>
      <c r="B109" s="973"/>
      <c r="C109" s="972"/>
      <c r="D109" s="972"/>
      <c r="E109" s="972"/>
      <c r="F109" s="972"/>
      <c r="G109" s="972"/>
      <c r="H109" s="972"/>
      <c r="I109" s="974"/>
      <c r="J109" s="972"/>
      <c r="K109" s="974"/>
      <c r="L109" s="972"/>
    </row>
    <row r="110" spans="1:12" ht="15" hidden="1" customHeight="1" x14ac:dyDescent="0.25">
      <c r="A110" s="972"/>
      <c r="B110" s="973"/>
      <c r="C110" s="972"/>
      <c r="D110" s="972"/>
      <c r="E110" s="972"/>
      <c r="F110" s="972"/>
      <c r="G110" s="972"/>
      <c r="H110" s="972"/>
      <c r="I110" s="974"/>
      <c r="J110" s="972"/>
      <c r="K110" s="974"/>
      <c r="L110" s="972"/>
    </row>
    <row r="111" spans="1:12" ht="15" hidden="1" customHeight="1" x14ac:dyDescent="0.25">
      <c r="A111" s="989"/>
      <c r="B111" s="990"/>
      <c r="C111" s="989"/>
      <c r="D111" s="989"/>
      <c r="E111" s="989"/>
      <c r="F111" s="989"/>
      <c r="G111" s="989"/>
      <c r="H111" s="989"/>
      <c r="I111" s="991"/>
      <c r="J111" s="989"/>
      <c r="K111" s="991"/>
      <c r="L111" s="992"/>
    </row>
    <row r="112" spans="1:12" ht="15" hidden="1" customHeight="1" x14ac:dyDescent="0.25">
      <c r="A112" s="912"/>
      <c r="B112" s="993"/>
      <c r="C112" s="954"/>
      <c r="D112" s="954"/>
      <c r="E112" s="954"/>
      <c r="F112" s="954"/>
      <c r="G112" s="954"/>
      <c r="H112" s="954"/>
      <c r="I112" s="994"/>
      <c r="J112" s="954"/>
      <c r="K112" s="994"/>
      <c r="L112" s="954"/>
    </row>
    <row r="113" spans="1:12" ht="15" hidden="1" customHeight="1" x14ac:dyDescent="0.25">
      <c r="A113" s="951" t="s">
        <v>4087</v>
      </c>
      <c r="B113" s="907" t="s">
        <v>5195</v>
      </c>
      <c r="C113" s="908" t="s">
        <v>5523</v>
      </c>
      <c r="D113" s="908" t="s">
        <v>5524</v>
      </c>
      <c r="E113" s="908"/>
      <c r="F113" s="908"/>
      <c r="G113" s="908"/>
      <c r="H113" s="908"/>
      <c r="I113" s="909">
        <v>10989</v>
      </c>
      <c r="J113" s="908"/>
      <c r="K113" s="909">
        <v>10989</v>
      </c>
      <c r="L113" s="908" t="s">
        <v>5525</v>
      </c>
    </row>
    <row r="114" spans="1:12" ht="15" hidden="1" customHeight="1" x14ac:dyDescent="0.25">
      <c r="A114" s="911" t="s">
        <v>5526</v>
      </c>
      <c r="B114" s="1138" t="s">
        <v>3593</v>
      </c>
      <c r="C114" s="1139" t="s">
        <v>5527</v>
      </c>
      <c r="D114" s="1139" t="s">
        <v>5528</v>
      </c>
      <c r="E114" s="1139"/>
      <c r="F114" s="1139"/>
      <c r="G114" s="1139"/>
      <c r="H114" s="1139"/>
      <c r="I114" s="1140"/>
      <c r="J114" s="1140"/>
      <c r="K114" s="1140"/>
      <c r="L114" s="1139"/>
    </row>
    <row r="115" spans="1:12" ht="15.75" hidden="1" customHeight="1" thickBot="1" x14ac:dyDescent="0.3">
      <c r="A115" s="911"/>
      <c r="B115" s="1129"/>
      <c r="C115" s="1121"/>
      <c r="D115" s="1121"/>
      <c r="E115" s="1121"/>
      <c r="F115" s="1121"/>
      <c r="G115" s="1121"/>
      <c r="H115" s="1121"/>
      <c r="I115" s="1123"/>
      <c r="J115" s="1123"/>
      <c r="K115" s="1123"/>
      <c r="L115" s="1121"/>
    </row>
    <row r="116" spans="1:12" ht="51" customHeight="1" thickBot="1" x14ac:dyDescent="0.3">
      <c r="A116" s="912"/>
      <c r="B116" s="1137"/>
      <c r="C116" s="1122"/>
      <c r="D116" s="1122"/>
      <c r="E116" s="1122"/>
      <c r="F116" s="1122"/>
      <c r="G116" s="1122"/>
      <c r="H116" s="1122"/>
      <c r="I116" s="1124"/>
      <c r="J116" s="1124"/>
      <c r="K116" s="1124"/>
      <c r="L116" s="1122"/>
    </row>
    <row r="117" spans="1:12" ht="51.75" customHeight="1" thickBot="1" x14ac:dyDescent="0.3">
      <c r="A117" s="951" t="s">
        <v>4088</v>
      </c>
      <c r="B117" s="907" t="s">
        <v>5195</v>
      </c>
      <c r="C117" s="908" t="s">
        <v>5211</v>
      </c>
      <c r="D117" s="908" t="s">
        <v>5212</v>
      </c>
      <c r="E117" s="908"/>
      <c r="F117" s="908"/>
      <c r="G117" s="908"/>
      <c r="H117" s="908"/>
      <c r="I117" s="909"/>
      <c r="J117" s="909"/>
      <c r="K117" s="909"/>
      <c r="L117" s="908" t="s">
        <v>5529</v>
      </c>
    </row>
    <row r="118" spans="1:12" ht="45.75" thickBot="1" x14ac:dyDescent="0.3">
      <c r="A118" s="951" t="s">
        <v>5124</v>
      </c>
      <c r="B118" s="907" t="s">
        <v>5196</v>
      </c>
      <c r="C118" s="908" t="s">
        <v>5530</v>
      </c>
      <c r="D118" s="908" t="s">
        <v>5531</v>
      </c>
      <c r="E118" s="908">
        <v>7</v>
      </c>
      <c r="F118" s="908">
        <v>8</v>
      </c>
      <c r="G118" s="908">
        <v>9</v>
      </c>
      <c r="H118" s="908">
        <v>9</v>
      </c>
      <c r="I118" s="909"/>
      <c r="J118" s="908"/>
      <c r="K118" s="909"/>
      <c r="L118" s="908" t="s">
        <v>5532</v>
      </c>
    </row>
    <row r="119" spans="1:12" ht="90" x14ac:dyDescent="0.25">
      <c r="A119" s="913" t="s">
        <v>5533</v>
      </c>
      <c r="B119" s="914" t="s">
        <v>5199</v>
      </c>
      <c r="C119" s="915" t="s">
        <v>5534</v>
      </c>
      <c r="D119" s="915" t="s">
        <v>5535</v>
      </c>
      <c r="E119" s="915"/>
      <c r="F119" s="915"/>
      <c r="G119" s="915"/>
      <c r="H119" s="915"/>
      <c r="I119" s="916"/>
      <c r="J119" s="915"/>
      <c r="K119" s="916"/>
      <c r="L119" s="915" t="s">
        <v>5532</v>
      </c>
    </row>
    <row r="120" spans="1:12" ht="87" customHeight="1" x14ac:dyDescent="0.25">
      <c r="A120" s="933" t="s">
        <v>5277</v>
      </c>
      <c r="B120" s="984" t="s">
        <v>5197</v>
      </c>
      <c r="C120" s="955" t="s">
        <v>5536</v>
      </c>
      <c r="D120" s="955" t="s">
        <v>5537</v>
      </c>
      <c r="E120" s="955">
        <v>2</v>
      </c>
      <c r="F120" s="955">
        <v>2</v>
      </c>
      <c r="G120" s="955">
        <v>2</v>
      </c>
      <c r="H120" s="955">
        <v>2</v>
      </c>
      <c r="I120" s="985"/>
      <c r="J120" s="955"/>
      <c r="K120" s="985"/>
      <c r="L120" s="955" t="s">
        <v>5488</v>
      </c>
    </row>
    <row r="121" spans="1:12" ht="63" customHeight="1" x14ac:dyDescent="0.25">
      <c r="A121" s="995" t="s">
        <v>5538</v>
      </c>
      <c r="B121" s="996" t="s">
        <v>4743</v>
      </c>
      <c r="C121" s="995" t="s">
        <v>5539</v>
      </c>
      <c r="D121" s="995" t="s">
        <v>5540</v>
      </c>
      <c r="E121" s="995"/>
      <c r="F121" s="995"/>
      <c r="G121" s="995"/>
      <c r="H121" s="995"/>
      <c r="I121" s="997"/>
      <c r="J121" s="995"/>
      <c r="K121" s="997"/>
      <c r="L121" s="995"/>
    </row>
    <row r="122" spans="1:12" ht="96.75" customHeight="1" x14ac:dyDescent="0.25">
      <c r="A122" s="933" t="s">
        <v>5541</v>
      </c>
      <c r="B122" s="984" t="s">
        <v>4744</v>
      </c>
      <c r="C122" s="955" t="s">
        <v>5411</v>
      </c>
      <c r="D122" s="955" t="s">
        <v>5542</v>
      </c>
      <c r="E122" s="955"/>
      <c r="F122" s="955"/>
      <c r="G122" s="955"/>
      <c r="H122" s="955"/>
      <c r="I122" s="985"/>
      <c r="J122" s="955"/>
      <c r="K122" s="985"/>
      <c r="L122" s="955" t="s">
        <v>5406</v>
      </c>
    </row>
    <row r="123" spans="1:12" ht="35.25" customHeight="1" x14ac:dyDescent="0.25">
      <c r="A123" s="995" t="s">
        <v>5543</v>
      </c>
      <c r="B123" s="996" t="s">
        <v>4745</v>
      </c>
      <c r="C123" s="995" t="s">
        <v>5544</v>
      </c>
      <c r="D123" s="995" t="s">
        <v>5545</v>
      </c>
      <c r="E123" s="995"/>
      <c r="F123" s="995"/>
      <c r="G123" s="995"/>
      <c r="H123" s="995"/>
      <c r="I123" s="997"/>
      <c r="J123" s="995"/>
      <c r="K123" s="997"/>
      <c r="L123" s="995"/>
    </row>
    <row r="124" spans="1:12" ht="67.5" customHeight="1" x14ac:dyDescent="0.25">
      <c r="A124" s="995" t="s">
        <v>5546</v>
      </c>
      <c r="B124" s="996" t="s">
        <v>4746</v>
      </c>
      <c r="C124" s="995" t="s">
        <v>5547</v>
      </c>
      <c r="D124" s="995" t="s">
        <v>5548</v>
      </c>
      <c r="E124" s="995"/>
      <c r="F124" s="995"/>
      <c r="G124" s="995"/>
      <c r="H124" s="995"/>
      <c r="I124" s="997"/>
      <c r="J124" s="995"/>
      <c r="K124" s="997"/>
      <c r="L124" s="995" t="s">
        <v>5405</v>
      </c>
    </row>
    <row r="125" spans="1:12" ht="57" customHeight="1" x14ac:dyDescent="0.25">
      <c r="A125" s="995" t="s">
        <v>5549</v>
      </c>
      <c r="B125" s="996" t="s">
        <v>4747</v>
      </c>
      <c r="C125" s="995" t="s">
        <v>5547</v>
      </c>
      <c r="D125" s="995" t="s">
        <v>5550</v>
      </c>
      <c r="E125" s="995"/>
      <c r="F125" s="995"/>
      <c r="G125" s="995"/>
      <c r="H125" s="995"/>
      <c r="I125" s="997"/>
      <c r="J125" s="995"/>
      <c r="K125" s="997"/>
      <c r="L125" s="995" t="s">
        <v>5405</v>
      </c>
    </row>
    <row r="126" spans="1:12" ht="38.25" customHeight="1" x14ac:dyDescent="0.25">
      <c r="A126" s="995" t="s">
        <v>5551</v>
      </c>
      <c r="B126" s="996" t="s">
        <v>4748</v>
      </c>
      <c r="C126" s="995" t="s">
        <v>5552</v>
      </c>
      <c r="D126" s="995" t="s">
        <v>5553</v>
      </c>
      <c r="E126" s="995"/>
      <c r="F126" s="995"/>
      <c r="G126" s="995"/>
      <c r="H126" s="995"/>
      <c r="I126" s="997"/>
      <c r="J126" s="995"/>
      <c r="K126" s="997"/>
      <c r="L126" s="995"/>
    </row>
    <row r="127" spans="1:12" ht="20.25" customHeight="1" x14ac:dyDescent="0.25">
      <c r="A127" s="995" t="s">
        <v>5554</v>
      </c>
      <c r="B127" s="996" t="s">
        <v>4749</v>
      </c>
      <c r="C127" s="995" t="s">
        <v>5555</v>
      </c>
      <c r="D127" s="995" t="s">
        <v>5556</v>
      </c>
      <c r="E127" s="995"/>
      <c r="F127" s="995"/>
      <c r="G127" s="995"/>
      <c r="H127" s="995"/>
      <c r="I127" s="997"/>
      <c r="J127" s="995"/>
      <c r="K127" s="997"/>
      <c r="L127" s="995"/>
    </row>
    <row r="128" spans="1:12" ht="45.75" customHeight="1" x14ac:dyDescent="0.25">
      <c r="A128" s="995" t="s">
        <v>5557</v>
      </c>
      <c r="B128" s="996" t="s">
        <v>4750</v>
      </c>
      <c r="C128" s="995" t="s">
        <v>5558</v>
      </c>
      <c r="D128" s="995" t="s">
        <v>5559</v>
      </c>
      <c r="E128" s="995"/>
      <c r="F128" s="995"/>
      <c r="G128" s="995"/>
      <c r="H128" s="995"/>
      <c r="I128" s="997"/>
      <c r="J128" s="995"/>
      <c r="K128" s="997"/>
      <c r="L128" s="995" t="s">
        <v>5529</v>
      </c>
    </row>
    <row r="129" spans="1:12" x14ac:dyDescent="0.25">
      <c r="A129" s="995"/>
      <c r="B129" s="996"/>
      <c r="C129" s="995"/>
      <c r="D129" s="995"/>
      <c r="E129" s="995"/>
      <c r="F129" s="995"/>
      <c r="G129" s="995"/>
      <c r="H129" s="995"/>
      <c r="I129" s="997"/>
      <c r="J129" s="995"/>
      <c r="K129" s="997"/>
      <c r="L129" s="995"/>
    </row>
    <row r="130" spans="1:12" ht="73.5" customHeight="1" x14ac:dyDescent="0.25">
      <c r="A130" s="1121" t="s">
        <v>5191</v>
      </c>
      <c r="B130" s="1129">
        <v>1301</v>
      </c>
      <c r="C130" s="1121" t="s">
        <v>5560</v>
      </c>
      <c r="D130" s="1121" t="s">
        <v>5561</v>
      </c>
      <c r="E130" s="1121"/>
      <c r="F130" s="1121"/>
      <c r="G130" s="1121"/>
      <c r="H130" s="1121"/>
      <c r="I130" s="1123">
        <v>4600</v>
      </c>
      <c r="J130" s="1121"/>
      <c r="K130" s="1123">
        <v>4600</v>
      </c>
      <c r="L130" s="1121"/>
    </row>
    <row r="131" spans="1:12" ht="27.75" hidden="1" customHeight="1" x14ac:dyDescent="0.25">
      <c r="A131" s="1122"/>
      <c r="B131" s="1137"/>
      <c r="C131" s="1122"/>
      <c r="D131" s="1122"/>
      <c r="E131" s="1122"/>
      <c r="F131" s="1122"/>
      <c r="G131" s="1122"/>
      <c r="H131" s="1122"/>
      <c r="I131" s="1124"/>
      <c r="J131" s="1122"/>
      <c r="K131" s="1124"/>
      <c r="L131" s="1122"/>
    </row>
    <row r="132" spans="1:12" ht="112.5" x14ac:dyDescent="0.25">
      <c r="A132" s="933" t="s">
        <v>5192</v>
      </c>
      <c r="B132" s="984" t="s">
        <v>5195</v>
      </c>
      <c r="C132" s="955" t="s">
        <v>5214</v>
      </c>
      <c r="D132" s="955" t="s">
        <v>5213</v>
      </c>
      <c r="E132" s="955">
        <v>12</v>
      </c>
      <c r="F132" s="955">
        <v>12</v>
      </c>
      <c r="G132" s="955">
        <v>12</v>
      </c>
      <c r="H132" s="955">
        <v>12</v>
      </c>
      <c r="I132" s="985">
        <v>4300</v>
      </c>
      <c r="J132" s="955"/>
      <c r="K132" s="985">
        <v>4300</v>
      </c>
      <c r="L132" s="955" t="s">
        <v>5532</v>
      </c>
    </row>
    <row r="133" spans="1:12" ht="45" x14ac:dyDescent="0.25">
      <c r="A133" s="995" t="s">
        <v>5562</v>
      </c>
      <c r="B133" s="996" t="s">
        <v>5196</v>
      </c>
      <c r="C133" s="995" t="s">
        <v>5563</v>
      </c>
      <c r="D133" s="995" t="s">
        <v>5564</v>
      </c>
      <c r="E133" s="995">
        <v>1</v>
      </c>
      <c r="F133" s="995">
        <v>2</v>
      </c>
      <c r="G133" s="995">
        <v>2</v>
      </c>
      <c r="H133" s="995">
        <v>2</v>
      </c>
      <c r="I133" s="997">
        <v>150</v>
      </c>
      <c r="J133" s="995"/>
      <c r="K133" s="997">
        <v>150</v>
      </c>
      <c r="L133" s="995" t="s">
        <v>5532</v>
      </c>
    </row>
    <row r="134" spans="1:12" ht="78.75" x14ac:dyDescent="0.25">
      <c r="A134" s="995" t="s">
        <v>5136</v>
      </c>
      <c r="B134" s="996" t="s">
        <v>5198</v>
      </c>
      <c r="C134" s="995" t="s">
        <v>5565</v>
      </c>
      <c r="D134" s="995" t="s">
        <v>5566</v>
      </c>
      <c r="E134" s="995"/>
      <c r="F134" s="995"/>
      <c r="G134" s="995"/>
      <c r="H134" s="995"/>
      <c r="I134" s="997">
        <v>150</v>
      </c>
      <c r="J134" s="995"/>
      <c r="K134" s="997">
        <v>150</v>
      </c>
      <c r="L134" s="995" t="s">
        <v>5532</v>
      </c>
    </row>
    <row r="135" spans="1:12" x14ac:dyDescent="0.25">
      <c r="A135" s="1125" t="s">
        <v>5567</v>
      </c>
      <c r="B135" s="1128" t="s">
        <v>3599</v>
      </c>
      <c r="C135" s="1131" t="s">
        <v>5193</v>
      </c>
      <c r="D135" s="1131" t="s">
        <v>5194</v>
      </c>
      <c r="E135" s="1133">
        <v>0.23599999999999999</v>
      </c>
      <c r="F135" s="1133">
        <v>0.25430000000000003</v>
      </c>
      <c r="G135" s="1134">
        <v>0.25</v>
      </c>
      <c r="H135" s="1134">
        <v>0.2</v>
      </c>
      <c r="I135" s="1135"/>
      <c r="J135" s="1131"/>
      <c r="K135" s="1135"/>
      <c r="L135" s="1131" t="s">
        <v>5488</v>
      </c>
    </row>
    <row r="136" spans="1:12" x14ac:dyDescent="0.25">
      <c r="A136" s="1126"/>
      <c r="B136" s="1129"/>
      <c r="C136" s="1121"/>
      <c r="D136" s="1121"/>
      <c r="E136" s="1121"/>
      <c r="F136" s="1121"/>
      <c r="G136" s="1121"/>
      <c r="H136" s="1121"/>
      <c r="I136" s="1123"/>
      <c r="J136" s="1121"/>
      <c r="K136" s="1123"/>
      <c r="L136" s="1121"/>
    </row>
    <row r="137" spans="1:12" x14ac:dyDescent="0.25">
      <c r="A137" s="1127"/>
      <c r="B137" s="1130"/>
      <c r="C137" s="1132"/>
      <c r="D137" s="1132"/>
      <c r="E137" s="1132"/>
      <c r="F137" s="1132"/>
      <c r="G137" s="1132"/>
      <c r="H137" s="1132"/>
      <c r="I137" s="1136"/>
      <c r="J137" s="1132"/>
      <c r="K137" s="1136"/>
      <c r="L137" s="1132"/>
    </row>
    <row r="138" spans="1:12" x14ac:dyDescent="0.25">
      <c r="A138" s="998"/>
      <c r="B138" s="973"/>
      <c r="C138" s="972"/>
      <c r="D138" s="972"/>
      <c r="E138" s="972"/>
      <c r="F138" s="972"/>
      <c r="G138" s="972"/>
      <c r="H138" s="972"/>
      <c r="I138" s="974"/>
      <c r="J138" s="972"/>
      <c r="K138" s="974"/>
      <c r="L138" s="999"/>
    </row>
    <row r="139" spans="1:12" ht="68.25" thickBot="1" x14ac:dyDescent="0.3">
      <c r="A139" s="976" t="s">
        <v>5568</v>
      </c>
      <c r="B139" s="977" t="s">
        <v>5195</v>
      </c>
      <c r="C139" s="978" t="s">
        <v>5569</v>
      </c>
      <c r="D139" s="978" t="s">
        <v>5570</v>
      </c>
      <c r="E139" s="978"/>
      <c r="F139" s="978"/>
      <c r="G139" s="978"/>
      <c r="H139" s="978"/>
      <c r="I139" s="979"/>
      <c r="J139" s="978"/>
      <c r="K139" s="979"/>
      <c r="L139" s="978" t="s">
        <v>5178</v>
      </c>
    </row>
    <row r="140" spans="1:12" ht="45.75" thickBot="1" x14ac:dyDescent="0.3">
      <c r="A140" s="951" t="s">
        <v>5571</v>
      </c>
      <c r="B140" s="907" t="s">
        <v>4843</v>
      </c>
      <c r="C140" s="908" t="s">
        <v>5572</v>
      </c>
      <c r="D140" s="908" t="s">
        <v>5573</v>
      </c>
      <c r="E140" s="908"/>
      <c r="F140" s="908">
        <v>1</v>
      </c>
      <c r="G140" s="908"/>
      <c r="H140" s="908"/>
      <c r="I140" s="909">
        <v>1</v>
      </c>
      <c r="J140" s="909">
        <v>5115</v>
      </c>
      <c r="K140" s="909">
        <v>5116</v>
      </c>
      <c r="L140" s="908" t="s">
        <v>5488</v>
      </c>
    </row>
    <row r="141" spans="1:12" ht="57" thickBot="1" x14ac:dyDescent="0.3">
      <c r="A141" s="951" t="s">
        <v>5574</v>
      </c>
      <c r="B141" s="907" t="s">
        <v>4844</v>
      </c>
      <c r="C141" s="908" t="s">
        <v>5575</v>
      </c>
      <c r="D141" s="908" t="s">
        <v>5576</v>
      </c>
      <c r="E141" s="908"/>
      <c r="F141" s="908">
        <v>1</v>
      </c>
      <c r="G141" s="908"/>
      <c r="H141" s="908"/>
      <c r="I141" s="909"/>
      <c r="J141" s="909">
        <v>1500</v>
      </c>
      <c r="K141" s="909">
        <v>1500</v>
      </c>
      <c r="L141" s="908" t="s">
        <v>5488</v>
      </c>
    </row>
    <row r="142" spans="1:12" ht="34.5" thickBot="1" x14ac:dyDescent="0.3">
      <c r="A142" s="951" t="s">
        <v>5577</v>
      </c>
      <c r="B142" s="907" t="s">
        <v>4845</v>
      </c>
      <c r="C142" s="908" t="s">
        <v>5578</v>
      </c>
      <c r="D142" s="908" t="s">
        <v>5579</v>
      </c>
      <c r="E142" s="908"/>
      <c r="F142" s="908">
        <v>1</v>
      </c>
      <c r="G142" s="908"/>
      <c r="H142" s="908"/>
      <c r="I142" s="909">
        <v>750</v>
      </c>
      <c r="J142" s="908"/>
      <c r="K142" s="908">
        <v>750</v>
      </c>
      <c r="L142" s="908" t="s">
        <v>5488</v>
      </c>
    </row>
    <row r="143" spans="1:12" ht="78.75" x14ac:dyDescent="0.25">
      <c r="A143" s="933" t="s">
        <v>5580</v>
      </c>
      <c r="B143" s="984" t="s">
        <v>5196</v>
      </c>
      <c r="C143" s="955" t="s">
        <v>5581</v>
      </c>
      <c r="D143" s="955" t="s">
        <v>5582</v>
      </c>
      <c r="E143" s="955"/>
      <c r="F143" s="955"/>
      <c r="G143" s="955"/>
      <c r="H143" s="955"/>
      <c r="I143" s="985">
        <v>5000</v>
      </c>
      <c r="J143" s="985">
        <v>2900</v>
      </c>
      <c r="K143" s="985">
        <v>7900</v>
      </c>
      <c r="L143" s="955"/>
    </row>
    <row r="144" spans="1:12" ht="45" x14ac:dyDescent="0.25">
      <c r="A144" s="995" t="s">
        <v>4104</v>
      </c>
      <c r="B144" s="996" t="s">
        <v>5197</v>
      </c>
      <c r="C144" s="995" t="s">
        <v>5583</v>
      </c>
      <c r="D144" s="995" t="s">
        <v>5584</v>
      </c>
      <c r="E144" s="995"/>
      <c r="F144" s="995"/>
      <c r="G144" s="995"/>
      <c r="H144" s="995"/>
      <c r="I144" s="997">
        <v>1736</v>
      </c>
      <c r="J144" s="995"/>
      <c r="K144" s="997">
        <v>1736</v>
      </c>
      <c r="L144" s="995" t="s">
        <v>5585</v>
      </c>
    </row>
    <row r="145" spans="1:12" ht="56.25" x14ac:dyDescent="0.25">
      <c r="A145" s="995" t="s">
        <v>5246</v>
      </c>
      <c r="B145" s="996" t="s">
        <v>5518</v>
      </c>
      <c r="C145" s="995" t="s">
        <v>5586</v>
      </c>
      <c r="D145" s="995" t="s">
        <v>5587</v>
      </c>
      <c r="E145" s="995">
        <v>0</v>
      </c>
      <c r="F145" s="995">
        <v>1</v>
      </c>
      <c r="G145" s="995">
        <v>1</v>
      </c>
      <c r="H145" s="995">
        <v>1</v>
      </c>
      <c r="I145" s="997">
        <v>100</v>
      </c>
      <c r="J145" s="995"/>
      <c r="K145" s="997">
        <v>100</v>
      </c>
      <c r="L145" s="995" t="s">
        <v>5488</v>
      </c>
    </row>
    <row r="146" spans="1:12" ht="45.75" x14ac:dyDescent="0.25">
      <c r="A146" s="1000" t="s">
        <v>5142</v>
      </c>
      <c r="B146" s="1001" t="s">
        <v>5201</v>
      </c>
      <c r="C146" s="1000" t="s">
        <v>5588</v>
      </c>
      <c r="D146" s="1000" t="s">
        <v>5589</v>
      </c>
      <c r="E146" s="1002">
        <v>0.77</v>
      </c>
      <c r="F146" s="1002">
        <v>0.7</v>
      </c>
      <c r="G146" s="1002">
        <v>0.7</v>
      </c>
      <c r="H146" s="1002">
        <v>0.7</v>
      </c>
      <c r="I146" s="1071">
        <v>6000</v>
      </c>
      <c r="J146" s="1004"/>
      <c r="K146" s="1003">
        <v>6000</v>
      </c>
      <c r="L146" s="1005" t="s">
        <v>5488</v>
      </c>
    </row>
    <row r="147" spans="1:12" ht="45.75" x14ac:dyDescent="0.25">
      <c r="A147" s="1000" t="s">
        <v>5143</v>
      </c>
      <c r="B147" s="1006" t="s">
        <v>5202</v>
      </c>
      <c r="C147" s="1000" t="s">
        <v>5590</v>
      </c>
      <c r="D147" s="1000" t="s">
        <v>5591</v>
      </c>
      <c r="E147" s="1007">
        <v>1</v>
      </c>
      <c r="F147" s="1007">
        <v>1</v>
      </c>
      <c r="G147" s="1007">
        <v>1</v>
      </c>
      <c r="H147" s="1007">
        <v>1</v>
      </c>
      <c r="I147" s="1008">
        <v>1000</v>
      </c>
      <c r="J147" s="1000"/>
      <c r="K147" s="1008">
        <v>1000</v>
      </c>
      <c r="L147" s="1000" t="s">
        <v>5488</v>
      </c>
    </row>
    <row r="148" spans="1:12" ht="36.75" customHeight="1" x14ac:dyDescent="0.25">
      <c r="A148" s="1006" t="s">
        <v>5592</v>
      </c>
      <c r="B148" s="1006" t="s">
        <v>5593</v>
      </c>
      <c r="C148" s="1006" t="s">
        <v>5594</v>
      </c>
      <c r="D148" s="1006" t="s">
        <v>5595</v>
      </c>
      <c r="E148" s="1006"/>
      <c r="F148" s="1006"/>
      <c r="G148" s="1006"/>
      <c r="H148" s="1006"/>
      <c r="I148" s="1009" t="s">
        <v>5596</v>
      </c>
      <c r="J148" s="1006"/>
      <c r="K148" s="1009" t="s">
        <v>5596</v>
      </c>
      <c r="L148" s="1006" t="s">
        <v>5597</v>
      </c>
    </row>
    <row r="149" spans="1:12" ht="68.25" x14ac:dyDescent="0.25">
      <c r="A149" s="1006" t="s">
        <v>5598</v>
      </c>
      <c r="B149" s="1006" t="s">
        <v>5049</v>
      </c>
      <c r="C149" s="1006" t="s">
        <v>5599</v>
      </c>
      <c r="D149" s="1006" t="s">
        <v>5600</v>
      </c>
      <c r="E149" s="1006"/>
      <c r="F149" s="1006"/>
      <c r="G149" s="1006"/>
      <c r="H149" s="1006"/>
      <c r="I149" s="1009" t="s">
        <v>5601</v>
      </c>
      <c r="J149" s="1006"/>
      <c r="K149" s="1009" t="s">
        <v>5601</v>
      </c>
      <c r="L149" s="1006"/>
    </row>
    <row r="150" spans="1:12" ht="34.5" x14ac:dyDescent="0.25">
      <c r="A150" s="1006" t="s">
        <v>5602</v>
      </c>
      <c r="B150" s="1006" t="s">
        <v>5195</v>
      </c>
      <c r="C150" s="1006" t="s">
        <v>5603</v>
      </c>
      <c r="D150" s="1006" t="s">
        <v>5604</v>
      </c>
      <c r="E150" s="1006"/>
      <c r="F150" s="1006"/>
      <c r="G150" s="1006"/>
      <c r="H150" s="1006"/>
      <c r="I150" s="1009" t="s">
        <v>5605</v>
      </c>
      <c r="J150" s="1006"/>
      <c r="K150" s="1009" t="s">
        <v>5605</v>
      </c>
      <c r="L150" s="1006" t="s">
        <v>5606</v>
      </c>
    </row>
    <row r="151" spans="1:12" ht="34.5" x14ac:dyDescent="0.25">
      <c r="A151" s="1006" t="s">
        <v>5607</v>
      </c>
      <c r="B151" s="1006" t="s">
        <v>5225</v>
      </c>
      <c r="C151" s="1006" t="s">
        <v>5608</v>
      </c>
      <c r="D151" s="1006" t="s">
        <v>5609</v>
      </c>
      <c r="E151" s="1006"/>
      <c r="F151" s="1006"/>
      <c r="G151" s="1006"/>
      <c r="H151" s="1006"/>
      <c r="I151" s="1009" t="s">
        <v>3962</v>
      </c>
      <c r="J151" s="1006"/>
      <c r="K151" s="1009" t="s">
        <v>3962</v>
      </c>
      <c r="L151" s="1006" t="s">
        <v>5606</v>
      </c>
    </row>
    <row r="152" spans="1:12" ht="34.5" x14ac:dyDescent="0.25">
      <c r="A152" s="1006" t="s">
        <v>5610</v>
      </c>
      <c r="B152" s="1006" t="s">
        <v>5196</v>
      </c>
      <c r="C152" s="1006" t="s">
        <v>5054</v>
      </c>
      <c r="D152" s="1006" t="s">
        <v>5611</v>
      </c>
      <c r="E152" s="1006"/>
      <c r="F152" s="1006"/>
      <c r="G152" s="1006"/>
      <c r="H152" s="1006"/>
      <c r="I152" s="1009" t="s">
        <v>5612</v>
      </c>
      <c r="J152" s="1006"/>
      <c r="K152" s="1009" t="s">
        <v>5612</v>
      </c>
      <c r="L152" s="1006" t="s">
        <v>5613</v>
      </c>
    </row>
    <row r="153" spans="1:12" x14ac:dyDescent="0.25">
      <c r="I153" s="1072"/>
    </row>
  </sheetData>
  <mergeCells count="178">
    <mergeCell ref="B16:B18"/>
    <mergeCell ref="D16:D18"/>
    <mergeCell ref="E16:E18"/>
    <mergeCell ref="F16:F18"/>
    <mergeCell ref="H7:H10"/>
    <mergeCell ref="I7:I10"/>
    <mergeCell ref="J7:J10"/>
    <mergeCell ref="C1:J1"/>
    <mergeCell ref="A12:A13"/>
    <mergeCell ref="B12:B13"/>
    <mergeCell ref="C12:C13"/>
    <mergeCell ref="D12:D13"/>
    <mergeCell ref="E12:E13"/>
    <mergeCell ref="F12:F13"/>
    <mergeCell ref="A7:A10"/>
    <mergeCell ref="B7:B10"/>
    <mergeCell ref="C7:C10"/>
    <mergeCell ref="D7:D10"/>
    <mergeCell ref="F7:F10"/>
    <mergeCell ref="A16:A18"/>
    <mergeCell ref="C2:H2"/>
    <mergeCell ref="A3:L5"/>
    <mergeCell ref="K7:K10"/>
    <mergeCell ref="G7:G10"/>
    <mergeCell ref="G16:G18"/>
    <mergeCell ref="H16:H18"/>
    <mergeCell ref="I16:I18"/>
    <mergeCell ref="J16:J18"/>
    <mergeCell ref="K16:K18"/>
    <mergeCell ref="L16:L18"/>
    <mergeCell ref="G12:G13"/>
    <mergeCell ref="H12:H13"/>
    <mergeCell ref="I12:I13"/>
    <mergeCell ref="J12:J13"/>
    <mergeCell ref="K12:K13"/>
    <mergeCell ref="L7:L10"/>
    <mergeCell ref="L12:L13"/>
    <mergeCell ref="K88:K89"/>
    <mergeCell ref="L88:L89"/>
    <mergeCell ref="B88:B89"/>
    <mergeCell ref="C88:C89"/>
    <mergeCell ref="D88:D89"/>
    <mergeCell ref="E88:E89"/>
    <mergeCell ref="F88:F89"/>
    <mergeCell ref="G88:G89"/>
    <mergeCell ref="H88:H89"/>
    <mergeCell ref="I88:I89"/>
    <mergeCell ref="J88:J89"/>
    <mergeCell ref="J66:J70"/>
    <mergeCell ref="K66:K70"/>
    <mergeCell ref="L66:L70"/>
    <mergeCell ref="B49:B51"/>
    <mergeCell ref="C49:C50"/>
    <mergeCell ref="D49:D51"/>
    <mergeCell ref="E49:E51"/>
    <mergeCell ref="F49:F51"/>
    <mergeCell ref="L34:L37"/>
    <mergeCell ref="J44:J48"/>
    <mergeCell ref="K44:K48"/>
    <mergeCell ref="L44:L48"/>
    <mergeCell ref="B34:B37"/>
    <mergeCell ref="C34:C37"/>
    <mergeCell ref="D34:D37"/>
    <mergeCell ref="E34:E37"/>
    <mergeCell ref="F34:F37"/>
    <mergeCell ref="G34:G37"/>
    <mergeCell ref="H34:H37"/>
    <mergeCell ref="I34:I37"/>
    <mergeCell ref="J34:J37"/>
    <mergeCell ref="K34:K37"/>
    <mergeCell ref="K49:K51"/>
    <mergeCell ref="L49:L51"/>
    <mergeCell ref="H56:H65"/>
    <mergeCell ref="I56:I65"/>
    <mergeCell ref="A44:A48"/>
    <mergeCell ref="B44:B48"/>
    <mergeCell ref="C44:C46"/>
    <mergeCell ref="D44:D48"/>
    <mergeCell ref="E44:E48"/>
    <mergeCell ref="F44:F48"/>
    <mergeCell ref="G44:G48"/>
    <mergeCell ref="H44:H48"/>
    <mergeCell ref="I44:I48"/>
    <mergeCell ref="J56:J65"/>
    <mergeCell ref="K56:K65"/>
    <mergeCell ref="L56:L65"/>
    <mergeCell ref="G49:G51"/>
    <mergeCell ref="H49:H51"/>
    <mergeCell ref="I49:I51"/>
    <mergeCell ref="J49:J51"/>
    <mergeCell ref="A49:A51"/>
    <mergeCell ref="A56:A65"/>
    <mergeCell ref="B56:B65"/>
    <mergeCell ref="C56:C65"/>
    <mergeCell ref="A66:A70"/>
    <mergeCell ref="B66:B70"/>
    <mergeCell ref="C66:C70"/>
    <mergeCell ref="D66:D70"/>
    <mergeCell ref="E66:E70"/>
    <mergeCell ref="F66:F70"/>
    <mergeCell ref="G66:G70"/>
    <mergeCell ref="H66:H70"/>
    <mergeCell ref="I66:I70"/>
    <mergeCell ref="D56:D65"/>
    <mergeCell ref="E56:E65"/>
    <mergeCell ref="F56:F65"/>
    <mergeCell ref="G56:G65"/>
    <mergeCell ref="J72:J73"/>
    <mergeCell ref="K72:K73"/>
    <mergeCell ref="L72:L73"/>
    <mergeCell ref="A91:A93"/>
    <mergeCell ref="B91:B93"/>
    <mergeCell ref="C91:C93"/>
    <mergeCell ref="D91:D93"/>
    <mergeCell ref="E91:E93"/>
    <mergeCell ref="F91:F93"/>
    <mergeCell ref="G91:G93"/>
    <mergeCell ref="H91:H93"/>
    <mergeCell ref="I91:I93"/>
    <mergeCell ref="J91:J93"/>
    <mergeCell ref="K91:K93"/>
    <mergeCell ref="L91:L93"/>
    <mergeCell ref="A72:A73"/>
    <mergeCell ref="B72:B73"/>
    <mergeCell ref="C72:C73"/>
    <mergeCell ref="D72:D73"/>
    <mergeCell ref="E72:E73"/>
    <mergeCell ref="F72:F73"/>
    <mergeCell ref="G72:G73"/>
    <mergeCell ref="H72:H73"/>
    <mergeCell ref="I72:I73"/>
    <mergeCell ref="A104:A106"/>
    <mergeCell ref="B104:B106"/>
    <mergeCell ref="C104:C106"/>
    <mergeCell ref="D104:D106"/>
    <mergeCell ref="E104:E106"/>
    <mergeCell ref="F104:F106"/>
    <mergeCell ref="G104:G106"/>
    <mergeCell ref="H104:H106"/>
    <mergeCell ref="I104:I106"/>
    <mergeCell ref="J104:J106"/>
    <mergeCell ref="K104:K106"/>
    <mergeCell ref="L104:L106"/>
    <mergeCell ref="B114:B116"/>
    <mergeCell ref="C114:C116"/>
    <mergeCell ref="D114:D116"/>
    <mergeCell ref="E114:E116"/>
    <mergeCell ref="F114:F116"/>
    <mergeCell ref="G114:G116"/>
    <mergeCell ref="H114:H116"/>
    <mergeCell ref="I114:I116"/>
    <mergeCell ref="J114:J116"/>
    <mergeCell ref="K114:K116"/>
    <mergeCell ref="L114:L116"/>
    <mergeCell ref="J130:J131"/>
    <mergeCell ref="K130:K131"/>
    <mergeCell ref="L130:L131"/>
    <mergeCell ref="A135:A137"/>
    <mergeCell ref="B135:B137"/>
    <mergeCell ref="C135:C137"/>
    <mergeCell ref="D135:D137"/>
    <mergeCell ref="E135:E137"/>
    <mergeCell ref="F135:F137"/>
    <mergeCell ref="G135:G137"/>
    <mergeCell ref="H135:H137"/>
    <mergeCell ref="I135:I137"/>
    <mergeCell ref="J135:J137"/>
    <mergeCell ref="K135:K137"/>
    <mergeCell ref="L135:L137"/>
    <mergeCell ref="A130:A131"/>
    <mergeCell ref="B130:B131"/>
    <mergeCell ref="C130:C131"/>
    <mergeCell ref="D130:D131"/>
    <mergeCell ref="E130:E131"/>
    <mergeCell ref="F130:F131"/>
    <mergeCell ref="G130:G131"/>
    <mergeCell ref="H130:H131"/>
    <mergeCell ref="I130:I131"/>
  </mergeCells>
  <pageMargins left="0.70866141732283472" right="0.70866141732283472" top="0.74803149606299213" bottom="0.35433070866141736" header="0.31496062992125984" footer="0.31496062992125984"/>
  <pageSetup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Y16352"/>
  <sheetViews>
    <sheetView zoomScale="115" zoomScaleNormal="115" workbookViewId="0">
      <selection activeCell="J10" sqref="J10"/>
    </sheetView>
  </sheetViews>
  <sheetFormatPr defaultColWidth="9.140625" defaultRowHeight="15" x14ac:dyDescent="0.25"/>
  <cols>
    <col min="1" max="1" width="2.85546875" style="258" customWidth="1"/>
    <col min="2" max="2" width="3.42578125" style="258" customWidth="1"/>
    <col min="3" max="3" width="10.7109375" style="261" customWidth="1"/>
    <col min="4" max="4" width="5.28515625" style="258" customWidth="1"/>
    <col min="5" max="5" width="5.7109375" style="679" customWidth="1"/>
    <col min="6" max="6" width="7.5703125" style="258" customWidth="1"/>
    <col min="7" max="7" width="53.7109375" style="269" customWidth="1"/>
    <col min="8" max="8" width="12.28515625" style="555" customWidth="1"/>
    <col min="9" max="9" width="12" style="556" customWidth="1"/>
    <col min="10" max="10" width="13.28515625" style="556" customWidth="1"/>
    <col min="11" max="11" width="9.140625" style="311" customWidth="1"/>
    <col min="12" max="14" width="9.85546875" style="311" bestFit="1" customWidth="1"/>
    <col min="15" max="25" width="9.140625" style="311"/>
    <col min="26" max="16384" width="9.140625" style="84"/>
  </cols>
  <sheetData>
    <row r="1" spans="1:25" ht="24" customHeight="1" x14ac:dyDescent="0.25">
      <c r="G1" s="679" t="s">
        <v>5715</v>
      </c>
    </row>
    <row r="2" spans="1:25" ht="14.25" customHeight="1" x14ac:dyDescent="0.25">
      <c r="A2" s="679"/>
      <c r="B2" s="679"/>
      <c r="C2" s="680"/>
      <c r="G2" s="679" t="s">
        <v>5404</v>
      </c>
    </row>
    <row r="3" spans="1:25" ht="56.25" customHeight="1" x14ac:dyDescent="0.25">
      <c r="A3" s="1203" t="s">
        <v>5722</v>
      </c>
      <c r="B3" s="1204"/>
      <c r="C3" s="1204"/>
      <c r="D3" s="1204"/>
      <c r="E3" s="1204"/>
      <c r="F3" s="1204"/>
      <c r="G3" s="1204"/>
      <c r="H3" s="1204"/>
      <c r="I3" s="1204"/>
      <c r="J3" s="1204"/>
    </row>
    <row r="4" spans="1:25" ht="54.75" customHeight="1" x14ac:dyDescent="0.25">
      <c r="A4" s="252" t="s">
        <v>4117</v>
      </c>
      <c r="B4" s="253" t="s">
        <v>4118</v>
      </c>
      <c r="C4" s="255" t="s">
        <v>4122</v>
      </c>
      <c r="D4" s="252" t="s">
        <v>4119</v>
      </c>
      <c r="E4" s="252" t="s">
        <v>4120</v>
      </c>
      <c r="F4" s="253" t="s">
        <v>4123</v>
      </c>
      <c r="G4" s="254" t="s">
        <v>263</v>
      </c>
      <c r="H4" s="549" t="s">
        <v>24</v>
      </c>
      <c r="I4" s="549" t="s">
        <v>3756</v>
      </c>
      <c r="J4" s="550" t="s">
        <v>4121</v>
      </c>
      <c r="M4" s="1201"/>
      <c r="N4" s="1201"/>
      <c r="O4" s="1201"/>
      <c r="P4" s="1201"/>
      <c r="Q4" s="1201"/>
      <c r="R4" s="1201"/>
      <c r="S4" s="1201"/>
      <c r="T4" s="1201"/>
      <c r="U4" s="1201"/>
      <c r="V4" s="1201"/>
    </row>
    <row r="5" spans="1:25" ht="18.75" customHeight="1" thickBot="1" x14ac:dyDescent="0.3">
      <c r="A5" s="325">
        <v>1</v>
      </c>
      <c r="B5" s="326">
        <v>2</v>
      </c>
      <c r="C5" s="327">
        <v>4</v>
      </c>
      <c r="D5" s="325">
        <v>3</v>
      </c>
      <c r="E5" s="325">
        <v>6</v>
      </c>
      <c r="F5" s="326">
        <v>7</v>
      </c>
      <c r="G5" s="325">
        <v>8</v>
      </c>
      <c r="H5" s="551">
        <v>9</v>
      </c>
      <c r="I5" s="551">
        <v>10</v>
      </c>
      <c r="J5" s="552">
        <v>11</v>
      </c>
    </row>
    <row r="6" spans="1:25" ht="15" customHeight="1" x14ac:dyDescent="0.25">
      <c r="A6" s="280">
        <v>1</v>
      </c>
      <c r="B6" s="280">
        <v>1</v>
      </c>
      <c r="C6" s="260"/>
      <c r="D6" s="256"/>
      <c r="E6" s="868"/>
      <c r="F6" s="256"/>
      <c r="G6" s="271" t="s">
        <v>5716</v>
      </c>
      <c r="H6" s="553"/>
      <c r="I6" s="554"/>
      <c r="J6" s="554"/>
      <c r="M6" s="1202"/>
      <c r="N6" s="1202"/>
      <c r="O6" s="1202"/>
      <c r="P6" s="1202"/>
      <c r="Q6" s="1202"/>
      <c r="R6" s="1202"/>
      <c r="S6" s="1202"/>
      <c r="T6" s="1202"/>
      <c r="U6" s="1202"/>
      <c r="V6" s="1202"/>
      <c r="W6" s="1202"/>
      <c r="X6" s="1202"/>
      <c r="Y6" s="1202"/>
    </row>
    <row r="7" spans="1:25" ht="29.25" customHeight="1" x14ac:dyDescent="0.25">
      <c r="C7" s="267" t="s">
        <v>5049</v>
      </c>
      <c r="D7" s="259"/>
      <c r="G7" s="483" t="s">
        <v>5055</v>
      </c>
      <c r="M7" s="1202"/>
      <c r="N7" s="1202"/>
      <c r="O7" s="1202"/>
      <c r="P7" s="1202"/>
      <c r="Q7" s="1202"/>
      <c r="R7" s="1202"/>
      <c r="S7" s="1202"/>
      <c r="T7" s="1202"/>
      <c r="U7" s="1202"/>
      <c r="V7" s="1202"/>
      <c r="W7" s="1202"/>
      <c r="X7" s="1202"/>
      <c r="Y7" s="1202"/>
    </row>
    <row r="8" spans="1:25" x14ac:dyDescent="0.25">
      <c r="C8" s="267" t="s">
        <v>5051</v>
      </c>
      <c r="D8" s="259"/>
      <c r="G8" s="483" t="s">
        <v>5052</v>
      </c>
      <c r="M8" s="1202"/>
      <c r="N8" s="1202"/>
      <c r="O8" s="1202"/>
      <c r="P8" s="1202"/>
      <c r="Q8" s="1202"/>
      <c r="R8" s="1202"/>
      <c r="S8" s="1202"/>
      <c r="T8" s="1202"/>
      <c r="U8" s="1202"/>
      <c r="V8" s="1202"/>
      <c r="W8" s="1202"/>
      <c r="X8" s="1202"/>
      <c r="Y8" s="1202"/>
    </row>
    <row r="9" spans="1:25" ht="13.5" customHeight="1" x14ac:dyDescent="0.25">
      <c r="C9" s="267"/>
      <c r="D9" s="331">
        <v>110</v>
      </c>
      <c r="E9" s="869"/>
      <c r="F9" s="331"/>
      <c r="G9" s="332" t="s">
        <v>105</v>
      </c>
    </row>
    <row r="10" spans="1:25" x14ac:dyDescent="0.25">
      <c r="E10" s="870">
        <v>1</v>
      </c>
      <c r="F10" s="264">
        <v>411</v>
      </c>
      <c r="G10" s="319" t="s">
        <v>4131</v>
      </c>
      <c r="H10" s="555">
        <v>2331000</v>
      </c>
      <c r="J10" s="556">
        <f>SUM(H10:I10)</f>
        <v>2331000</v>
      </c>
      <c r="M10" s="1202"/>
      <c r="N10" s="1202"/>
      <c r="O10" s="1202"/>
      <c r="P10" s="1202"/>
      <c r="Q10" s="1202"/>
      <c r="R10" s="1202"/>
      <c r="S10" s="1202"/>
      <c r="T10" s="1202"/>
      <c r="U10" s="1202"/>
      <c r="V10" s="1202"/>
      <c r="W10" s="1202"/>
      <c r="X10" s="1202"/>
      <c r="Y10" s="1202"/>
    </row>
    <row r="11" spans="1:25" x14ac:dyDescent="0.25">
      <c r="E11" s="870">
        <v>2</v>
      </c>
      <c r="F11" s="264">
        <v>412</v>
      </c>
      <c r="G11" s="317" t="s">
        <v>3766</v>
      </c>
      <c r="H11" s="555">
        <v>417000</v>
      </c>
      <c r="J11" s="556">
        <f t="shared" ref="J11:J70" si="0">SUM(H11:I11)</f>
        <v>417000</v>
      </c>
      <c r="M11" s="1202"/>
      <c r="N11" s="1202"/>
      <c r="O11" s="1202"/>
      <c r="P11" s="1202"/>
      <c r="Q11" s="1202"/>
      <c r="R11" s="1202"/>
      <c r="S11" s="1202"/>
      <c r="T11" s="1202"/>
      <c r="U11" s="1202"/>
      <c r="V11" s="1202"/>
      <c r="W11" s="1202"/>
      <c r="X11" s="1202"/>
      <c r="Y11" s="1202"/>
    </row>
    <row r="12" spans="1:25" ht="15" hidden="1" customHeight="1" x14ac:dyDescent="0.25">
      <c r="E12" s="870"/>
      <c r="F12" s="264">
        <v>413</v>
      </c>
      <c r="G12" s="319" t="s">
        <v>4132</v>
      </c>
      <c r="J12" s="556">
        <f t="shared" si="0"/>
        <v>0</v>
      </c>
      <c r="M12" s="1202"/>
      <c r="N12" s="1202"/>
      <c r="O12" s="1202"/>
      <c r="P12" s="1202"/>
      <c r="Q12" s="1202"/>
      <c r="R12" s="1202"/>
      <c r="S12" s="1202"/>
      <c r="T12" s="1202"/>
      <c r="U12" s="1202"/>
      <c r="V12" s="1202"/>
      <c r="W12" s="1202"/>
      <c r="X12" s="1202"/>
      <c r="Y12" s="1202"/>
    </row>
    <row r="13" spans="1:25" hidden="1" x14ac:dyDescent="0.25">
      <c r="E13" s="870"/>
      <c r="F13" s="264">
        <v>414</v>
      </c>
      <c r="G13" s="319" t="s">
        <v>3769</v>
      </c>
      <c r="J13" s="556">
        <f t="shared" si="0"/>
        <v>0</v>
      </c>
      <c r="M13" s="1202"/>
      <c r="N13" s="1202"/>
      <c r="O13" s="1202"/>
      <c r="P13" s="1202"/>
      <c r="Q13" s="1202"/>
      <c r="R13" s="1202"/>
      <c r="S13" s="1202"/>
      <c r="T13" s="1202"/>
      <c r="U13" s="1202"/>
      <c r="V13" s="1202"/>
      <c r="W13" s="1202"/>
      <c r="X13" s="1202"/>
      <c r="Y13" s="1202"/>
    </row>
    <row r="14" spans="1:25" x14ac:dyDescent="0.25">
      <c r="E14" s="870" t="s">
        <v>4128</v>
      </c>
      <c r="F14" s="264">
        <v>415</v>
      </c>
      <c r="G14" s="319" t="s">
        <v>4141</v>
      </c>
      <c r="H14" s="555">
        <v>170000</v>
      </c>
      <c r="J14" s="556">
        <f t="shared" si="0"/>
        <v>170000</v>
      </c>
    </row>
    <row r="15" spans="1:25" x14ac:dyDescent="0.25">
      <c r="E15" s="870" t="s">
        <v>5362</v>
      </c>
      <c r="F15" s="264">
        <v>416</v>
      </c>
      <c r="G15" s="319" t="s">
        <v>4142</v>
      </c>
      <c r="H15" s="555">
        <v>100000</v>
      </c>
      <c r="J15" s="556">
        <f t="shared" si="0"/>
        <v>100000</v>
      </c>
    </row>
    <row r="16" spans="1:25" hidden="1" x14ac:dyDescent="0.25">
      <c r="E16" s="870">
        <v>3</v>
      </c>
      <c r="F16" s="264">
        <v>417</v>
      </c>
      <c r="G16" s="319" t="s">
        <v>4143</v>
      </c>
      <c r="J16" s="556">
        <f t="shared" si="0"/>
        <v>0</v>
      </c>
    </row>
    <row r="17" spans="5:10" hidden="1" x14ac:dyDescent="0.25">
      <c r="E17" s="870">
        <v>3</v>
      </c>
      <c r="F17" s="264">
        <v>418</v>
      </c>
      <c r="G17" s="319" t="s">
        <v>3775</v>
      </c>
      <c r="J17" s="556">
        <f t="shared" si="0"/>
        <v>0</v>
      </c>
    </row>
    <row r="18" spans="5:10" hidden="1" x14ac:dyDescent="0.25">
      <c r="E18" s="870">
        <v>3</v>
      </c>
      <c r="F18" s="264">
        <v>421</v>
      </c>
      <c r="G18" s="319" t="s">
        <v>3779</v>
      </c>
      <c r="J18" s="556">
        <f t="shared" si="0"/>
        <v>0</v>
      </c>
    </row>
    <row r="19" spans="5:10" x14ac:dyDescent="0.25">
      <c r="E19" s="870" t="s">
        <v>5363</v>
      </c>
      <c r="F19" s="264">
        <v>422</v>
      </c>
      <c r="G19" s="319" t="s">
        <v>3780</v>
      </c>
      <c r="H19" s="555">
        <v>50000</v>
      </c>
      <c r="J19" s="556">
        <f t="shared" si="0"/>
        <v>50000</v>
      </c>
    </row>
    <row r="20" spans="5:10" x14ac:dyDescent="0.25">
      <c r="E20" s="870" t="s">
        <v>5038</v>
      </c>
      <c r="F20" s="264">
        <v>423</v>
      </c>
      <c r="G20" s="319" t="s">
        <v>3781</v>
      </c>
      <c r="H20" s="555">
        <v>2500000</v>
      </c>
      <c r="J20" s="556">
        <f t="shared" si="0"/>
        <v>2500000</v>
      </c>
    </row>
    <row r="21" spans="5:10" hidden="1" x14ac:dyDescent="0.25">
      <c r="E21" s="870">
        <v>3</v>
      </c>
      <c r="F21" s="499"/>
      <c r="G21" s="492"/>
    </row>
    <row r="22" spans="5:10" hidden="1" x14ac:dyDescent="0.25">
      <c r="E22" s="870">
        <v>3</v>
      </c>
      <c r="F22" s="264">
        <v>424</v>
      </c>
      <c r="G22" s="319" t="s">
        <v>3783</v>
      </c>
      <c r="J22" s="556">
        <f t="shared" si="0"/>
        <v>0</v>
      </c>
    </row>
    <row r="23" spans="5:10" ht="12.75" customHeight="1" x14ac:dyDescent="0.25">
      <c r="E23" s="870" t="s">
        <v>5048</v>
      </c>
      <c r="F23" s="264">
        <v>426</v>
      </c>
      <c r="G23" s="492" t="s">
        <v>3787</v>
      </c>
      <c r="H23" s="555">
        <v>50000</v>
      </c>
      <c r="J23" s="556">
        <f t="shared" si="0"/>
        <v>50000</v>
      </c>
    </row>
    <row r="24" spans="5:10" x14ac:dyDescent="0.25">
      <c r="E24" s="870" t="s">
        <v>5152</v>
      </c>
      <c r="F24" s="264">
        <v>465</v>
      </c>
      <c r="G24" s="492" t="s">
        <v>4134</v>
      </c>
      <c r="H24" s="555">
        <v>325000</v>
      </c>
      <c r="J24" s="556">
        <f t="shared" si="0"/>
        <v>325000</v>
      </c>
    </row>
    <row r="25" spans="5:10" hidden="1" x14ac:dyDescent="0.25">
      <c r="E25" s="870">
        <v>3</v>
      </c>
      <c r="F25" s="264">
        <v>431</v>
      </c>
      <c r="G25" s="319" t="s">
        <v>4145</v>
      </c>
      <c r="J25" s="556">
        <f t="shared" si="0"/>
        <v>0</v>
      </c>
    </row>
    <row r="26" spans="5:10" hidden="1" x14ac:dyDescent="0.25">
      <c r="E26" s="870">
        <v>3</v>
      </c>
      <c r="F26" s="264">
        <v>432</v>
      </c>
      <c r="G26" s="319" t="s">
        <v>4146</v>
      </c>
      <c r="J26" s="556">
        <f t="shared" si="0"/>
        <v>0</v>
      </c>
    </row>
    <row r="27" spans="5:10" hidden="1" x14ac:dyDescent="0.25">
      <c r="E27" s="870">
        <v>3</v>
      </c>
      <c r="F27" s="264">
        <v>433</v>
      </c>
      <c r="G27" s="319" t="s">
        <v>4147</v>
      </c>
      <c r="J27" s="556">
        <f t="shared" si="0"/>
        <v>0</v>
      </c>
    </row>
    <row r="28" spans="5:10" hidden="1" x14ac:dyDescent="0.25">
      <c r="E28" s="870">
        <v>3</v>
      </c>
      <c r="F28" s="264">
        <v>434</v>
      </c>
      <c r="G28" s="319" t="s">
        <v>4148</v>
      </c>
      <c r="J28" s="556">
        <f t="shared" si="0"/>
        <v>0</v>
      </c>
    </row>
    <row r="29" spans="5:10" hidden="1" x14ac:dyDescent="0.25">
      <c r="E29" s="870">
        <v>3</v>
      </c>
      <c r="F29" s="264">
        <v>435</v>
      </c>
      <c r="G29" s="319" t="s">
        <v>3794</v>
      </c>
      <c r="J29" s="556">
        <f t="shared" si="0"/>
        <v>0</v>
      </c>
    </row>
    <row r="30" spans="5:10" hidden="1" x14ac:dyDescent="0.25">
      <c r="E30" s="870">
        <v>3</v>
      </c>
      <c r="F30" s="264">
        <v>441</v>
      </c>
      <c r="G30" s="319" t="s">
        <v>4149</v>
      </c>
      <c r="J30" s="556">
        <f t="shared" si="0"/>
        <v>0</v>
      </c>
    </row>
    <row r="31" spans="5:10" hidden="1" x14ac:dyDescent="0.25">
      <c r="E31" s="870">
        <v>3</v>
      </c>
      <c r="F31" s="264">
        <v>442</v>
      </c>
      <c r="G31" s="319" t="s">
        <v>4150</v>
      </c>
      <c r="J31" s="556">
        <f t="shared" si="0"/>
        <v>0</v>
      </c>
    </row>
    <row r="32" spans="5:10" hidden="1" x14ac:dyDescent="0.25">
      <c r="E32" s="870">
        <v>3</v>
      </c>
      <c r="F32" s="264">
        <v>443</v>
      </c>
      <c r="G32" s="319" t="s">
        <v>3799</v>
      </c>
      <c r="J32" s="556">
        <f t="shared" si="0"/>
        <v>0</v>
      </c>
    </row>
    <row r="33" spans="5:10" hidden="1" x14ac:dyDescent="0.25">
      <c r="E33" s="870">
        <v>3</v>
      </c>
      <c r="F33" s="264">
        <v>444</v>
      </c>
      <c r="G33" s="319" t="s">
        <v>3800</v>
      </c>
      <c r="J33" s="556">
        <f t="shared" si="0"/>
        <v>0</v>
      </c>
    </row>
    <row r="34" spans="5:10" ht="30" hidden="1" x14ac:dyDescent="0.25">
      <c r="E34" s="870">
        <v>3</v>
      </c>
      <c r="F34" s="264">
        <v>4511</v>
      </c>
      <c r="G34" s="263" t="s">
        <v>1690</v>
      </c>
      <c r="J34" s="556">
        <f t="shared" si="0"/>
        <v>0</v>
      </c>
    </row>
    <row r="35" spans="5:10" ht="19.5" hidden="1" customHeight="1" x14ac:dyDescent="0.25">
      <c r="E35" s="870">
        <v>3</v>
      </c>
      <c r="F35" s="264">
        <v>4512</v>
      </c>
      <c r="G35" s="263" t="s">
        <v>1699</v>
      </c>
      <c r="J35" s="556">
        <f t="shared" si="0"/>
        <v>0</v>
      </c>
    </row>
    <row r="36" spans="5:10" hidden="1" x14ac:dyDescent="0.25">
      <c r="E36" s="870">
        <v>3</v>
      </c>
      <c r="F36" s="264">
        <v>452</v>
      </c>
      <c r="G36" s="319" t="s">
        <v>4151</v>
      </c>
      <c r="J36" s="556">
        <f t="shared" si="0"/>
        <v>0</v>
      </c>
    </row>
    <row r="37" spans="5:10" hidden="1" x14ac:dyDescent="0.25">
      <c r="E37" s="870">
        <v>3</v>
      </c>
      <c r="F37" s="264">
        <v>453</v>
      </c>
      <c r="G37" s="319" t="s">
        <v>4152</v>
      </c>
      <c r="J37" s="556">
        <f t="shared" si="0"/>
        <v>0</v>
      </c>
    </row>
    <row r="38" spans="5:10" hidden="1" x14ac:dyDescent="0.25">
      <c r="E38" s="870">
        <v>3</v>
      </c>
      <c r="F38" s="264">
        <v>454</v>
      </c>
      <c r="G38" s="319" t="s">
        <v>3805</v>
      </c>
      <c r="J38" s="556">
        <f t="shared" si="0"/>
        <v>0</v>
      </c>
    </row>
    <row r="39" spans="5:10" hidden="1" x14ac:dyDescent="0.25">
      <c r="E39" s="870">
        <v>3</v>
      </c>
      <c r="F39" s="264">
        <v>461</v>
      </c>
      <c r="G39" s="319" t="s">
        <v>4133</v>
      </c>
      <c r="J39" s="556">
        <f t="shared" si="0"/>
        <v>0</v>
      </c>
    </row>
    <row r="40" spans="5:10" hidden="1" x14ac:dyDescent="0.25">
      <c r="E40" s="870">
        <v>3</v>
      </c>
      <c r="F40" s="264">
        <v>462</v>
      </c>
      <c r="G40" s="319" t="s">
        <v>3808</v>
      </c>
      <c r="J40" s="556">
        <f t="shared" si="0"/>
        <v>0</v>
      </c>
    </row>
    <row r="41" spans="5:10" hidden="1" x14ac:dyDescent="0.25">
      <c r="E41" s="870">
        <v>3</v>
      </c>
      <c r="F41" s="264">
        <v>4631</v>
      </c>
      <c r="G41" s="319" t="s">
        <v>3809</v>
      </c>
      <c r="J41" s="556">
        <f t="shared" si="0"/>
        <v>0</v>
      </c>
    </row>
    <row r="42" spans="5:10" hidden="1" x14ac:dyDescent="0.25">
      <c r="E42" s="870">
        <v>3</v>
      </c>
      <c r="F42" s="264">
        <v>4632</v>
      </c>
      <c r="G42" s="319" t="s">
        <v>3810</v>
      </c>
      <c r="J42" s="556">
        <f t="shared" si="0"/>
        <v>0</v>
      </c>
    </row>
    <row r="43" spans="5:10" hidden="1" x14ac:dyDescent="0.25">
      <c r="E43" s="870">
        <v>3</v>
      </c>
      <c r="F43" s="264">
        <v>464</v>
      </c>
      <c r="G43" s="319" t="s">
        <v>3811</v>
      </c>
      <c r="J43" s="556">
        <f t="shared" si="0"/>
        <v>0</v>
      </c>
    </row>
    <row r="44" spans="5:10" hidden="1" x14ac:dyDescent="0.25">
      <c r="E44" s="870">
        <v>3</v>
      </c>
      <c r="F44" s="264">
        <v>465</v>
      </c>
      <c r="G44" s="319" t="s">
        <v>4134</v>
      </c>
      <c r="J44" s="556">
        <f t="shared" si="0"/>
        <v>0</v>
      </c>
    </row>
    <row r="45" spans="5:10" hidden="1" x14ac:dyDescent="0.25">
      <c r="E45" s="870">
        <v>3</v>
      </c>
      <c r="F45" s="264">
        <v>472</v>
      </c>
      <c r="G45" s="319" t="s">
        <v>3815</v>
      </c>
      <c r="J45" s="556">
        <f t="shared" si="0"/>
        <v>0</v>
      </c>
    </row>
    <row r="46" spans="5:10" ht="15.75" thickBot="1" x14ac:dyDescent="0.3">
      <c r="E46" s="870" t="s">
        <v>5364</v>
      </c>
      <c r="F46" s="264">
        <v>481</v>
      </c>
      <c r="G46" s="319" t="s">
        <v>4153</v>
      </c>
      <c r="H46" s="555">
        <v>76000</v>
      </c>
      <c r="J46" s="556">
        <f t="shared" si="0"/>
        <v>76000</v>
      </c>
    </row>
    <row r="47" spans="5:10" ht="15.75" hidden="1" thickBot="1" x14ac:dyDescent="0.3">
      <c r="F47" s="264">
        <v>482</v>
      </c>
      <c r="G47" s="319" t="s">
        <v>4154</v>
      </c>
      <c r="J47" s="556">
        <f t="shared" si="0"/>
        <v>0</v>
      </c>
    </row>
    <row r="48" spans="5:10" ht="15.75" hidden="1" thickBot="1" x14ac:dyDescent="0.3">
      <c r="F48" s="264">
        <v>483</v>
      </c>
      <c r="G48" s="322" t="s">
        <v>4155</v>
      </c>
      <c r="J48" s="556">
        <f t="shared" si="0"/>
        <v>0</v>
      </c>
    </row>
    <row r="49" spans="6:10" ht="30.75" hidden="1" thickBot="1" x14ac:dyDescent="0.3">
      <c r="F49" s="264">
        <v>484</v>
      </c>
      <c r="G49" s="319" t="s">
        <v>4156</v>
      </c>
      <c r="J49" s="556">
        <f t="shared" si="0"/>
        <v>0</v>
      </c>
    </row>
    <row r="50" spans="6:10" ht="30.75" hidden="1" thickBot="1" x14ac:dyDescent="0.3">
      <c r="F50" s="264">
        <v>485</v>
      </c>
      <c r="G50" s="319" t="s">
        <v>4157</v>
      </c>
      <c r="J50" s="556">
        <f t="shared" si="0"/>
        <v>0</v>
      </c>
    </row>
    <row r="51" spans="6:10" ht="30.75" hidden="1" thickBot="1" x14ac:dyDescent="0.3">
      <c r="F51" s="264">
        <v>489</v>
      </c>
      <c r="G51" s="319" t="s">
        <v>3823</v>
      </c>
      <c r="J51" s="556">
        <f t="shared" si="0"/>
        <v>0</v>
      </c>
    </row>
    <row r="52" spans="6:10" ht="15.75" hidden="1" thickBot="1" x14ac:dyDescent="0.3">
      <c r="F52" s="264">
        <v>494</v>
      </c>
      <c r="G52" s="319" t="s">
        <v>4135</v>
      </c>
      <c r="J52" s="556">
        <f t="shared" si="0"/>
        <v>0</v>
      </c>
    </row>
    <row r="53" spans="6:10" ht="30.75" hidden="1" thickBot="1" x14ac:dyDescent="0.3">
      <c r="F53" s="264">
        <v>495</v>
      </c>
      <c r="G53" s="319" t="s">
        <v>4136</v>
      </c>
      <c r="J53" s="556">
        <f t="shared" si="0"/>
        <v>0</v>
      </c>
    </row>
    <row r="54" spans="6:10" ht="30.75" hidden="1" thickBot="1" x14ac:dyDescent="0.3">
      <c r="F54" s="264">
        <v>496</v>
      </c>
      <c r="G54" s="319" t="s">
        <v>4137</v>
      </c>
      <c r="J54" s="556">
        <f t="shared" si="0"/>
        <v>0</v>
      </c>
    </row>
    <row r="55" spans="6:10" ht="30.75" hidden="1" thickBot="1" x14ac:dyDescent="0.3">
      <c r="F55" s="264">
        <v>499</v>
      </c>
      <c r="G55" s="319" t="s">
        <v>4138</v>
      </c>
      <c r="J55" s="556">
        <f t="shared" si="0"/>
        <v>0</v>
      </c>
    </row>
    <row r="56" spans="6:10" ht="15.75" hidden="1" thickBot="1" x14ac:dyDescent="0.3">
      <c r="F56" s="264">
        <v>511</v>
      </c>
      <c r="G56" s="322" t="s">
        <v>4158</v>
      </c>
      <c r="J56" s="556">
        <f t="shared" si="0"/>
        <v>0</v>
      </c>
    </row>
    <row r="57" spans="6:10" ht="15.75" hidden="1" thickBot="1" x14ac:dyDescent="0.3">
      <c r="F57" s="264">
        <v>512</v>
      </c>
      <c r="G57" s="322" t="s">
        <v>4159</v>
      </c>
      <c r="J57" s="556">
        <f t="shared" si="0"/>
        <v>0</v>
      </c>
    </row>
    <row r="58" spans="6:10" ht="15.75" hidden="1" thickBot="1" x14ac:dyDescent="0.3">
      <c r="F58" s="264">
        <v>513</v>
      </c>
      <c r="G58" s="322" t="s">
        <v>4160</v>
      </c>
      <c r="J58" s="556">
        <f t="shared" si="0"/>
        <v>0</v>
      </c>
    </row>
    <row r="59" spans="6:10" ht="15.75" hidden="1" thickBot="1" x14ac:dyDescent="0.3">
      <c r="F59" s="264">
        <v>514</v>
      </c>
      <c r="G59" s="319" t="s">
        <v>4161</v>
      </c>
      <c r="J59" s="556">
        <f t="shared" si="0"/>
        <v>0</v>
      </c>
    </row>
    <row r="60" spans="6:10" ht="15.75" hidden="1" thickBot="1" x14ac:dyDescent="0.3">
      <c r="F60" s="264">
        <v>515</v>
      </c>
      <c r="G60" s="319" t="s">
        <v>3834</v>
      </c>
      <c r="J60" s="556">
        <f t="shared" si="0"/>
        <v>0</v>
      </c>
    </row>
    <row r="61" spans="6:10" ht="15.75" hidden="1" thickBot="1" x14ac:dyDescent="0.3">
      <c r="F61" s="264">
        <v>521</v>
      </c>
      <c r="G61" s="319" t="s">
        <v>4162</v>
      </c>
      <c r="J61" s="556">
        <f t="shared" si="0"/>
        <v>0</v>
      </c>
    </row>
    <row r="62" spans="6:10" ht="15.75" hidden="1" thickBot="1" x14ac:dyDescent="0.3">
      <c r="F62" s="264">
        <v>522</v>
      </c>
      <c r="G62" s="319" t="s">
        <v>4163</v>
      </c>
      <c r="J62" s="556">
        <f t="shared" si="0"/>
        <v>0</v>
      </c>
    </row>
    <row r="63" spans="6:10" ht="15.75" hidden="1" thickBot="1" x14ac:dyDescent="0.3">
      <c r="F63" s="264">
        <v>523</v>
      </c>
      <c r="G63" s="319" t="s">
        <v>3839</v>
      </c>
      <c r="J63" s="556">
        <f t="shared" si="0"/>
        <v>0</v>
      </c>
    </row>
    <row r="64" spans="6:10" ht="15.75" hidden="1" thickBot="1" x14ac:dyDescent="0.3">
      <c r="F64" s="264">
        <v>531</v>
      </c>
      <c r="G64" s="317" t="s">
        <v>4139</v>
      </c>
      <c r="J64" s="556">
        <f t="shared" si="0"/>
        <v>0</v>
      </c>
    </row>
    <row r="65" spans="5:10" ht="15.75" hidden="1" thickBot="1" x14ac:dyDescent="0.3">
      <c r="F65" s="264">
        <v>541</v>
      </c>
      <c r="G65" s="319" t="s">
        <v>4164</v>
      </c>
      <c r="J65" s="556">
        <f t="shared" si="0"/>
        <v>0</v>
      </c>
    </row>
    <row r="66" spans="5:10" ht="15.75" hidden="1" thickBot="1" x14ac:dyDescent="0.3">
      <c r="F66" s="264">
        <v>542</v>
      </c>
      <c r="G66" s="319" t="s">
        <v>4165</v>
      </c>
      <c r="J66" s="556">
        <f t="shared" si="0"/>
        <v>0</v>
      </c>
    </row>
    <row r="67" spans="5:10" ht="15.75" hidden="1" thickBot="1" x14ac:dyDescent="0.3">
      <c r="F67" s="264">
        <v>543</v>
      </c>
      <c r="G67" s="319" t="s">
        <v>3844</v>
      </c>
      <c r="J67" s="556">
        <f t="shared" si="0"/>
        <v>0</v>
      </c>
    </row>
    <row r="68" spans="5:10" ht="30.75" hidden="1" thickBot="1" x14ac:dyDescent="0.3">
      <c r="F68" s="264">
        <v>551</v>
      </c>
      <c r="G68" s="319" t="s">
        <v>4140</v>
      </c>
      <c r="J68" s="556">
        <f t="shared" si="0"/>
        <v>0</v>
      </c>
    </row>
    <row r="69" spans="5:10" ht="15.75" hidden="1" thickBot="1" x14ac:dyDescent="0.3">
      <c r="F69" s="265">
        <v>611</v>
      </c>
      <c r="G69" s="323" t="s">
        <v>3850</v>
      </c>
      <c r="J69" s="556">
        <f t="shared" si="0"/>
        <v>0</v>
      </c>
    </row>
    <row r="70" spans="5:10" ht="15.75" hidden="1" thickBot="1" x14ac:dyDescent="0.3">
      <c r="F70" s="265">
        <v>620</v>
      </c>
      <c r="G70" s="323" t="s">
        <v>88</v>
      </c>
      <c r="J70" s="556">
        <f t="shared" si="0"/>
        <v>0</v>
      </c>
    </row>
    <row r="71" spans="5:10" x14ac:dyDescent="0.25">
      <c r="E71" s="489"/>
      <c r="F71" s="324"/>
      <c r="G71" s="343" t="s">
        <v>4287</v>
      </c>
      <c r="H71" s="557"/>
      <c r="I71" s="583"/>
      <c r="J71" s="558"/>
    </row>
    <row r="72" spans="5:10" ht="17.25" customHeight="1" thickBot="1" x14ac:dyDescent="0.3">
      <c r="E72" s="693"/>
      <c r="F72" s="284" t="s">
        <v>234</v>
      </c>
      <c r="G72" s="287" t="s">
        <v>235</v>
      </c>
      <c r="H72" s="559">
        <f>SUM(H10:H46)</f>
        <v>6019000</v>
      </c>
      <c r="I72" s="560"/>
      <c r="J72" s="560">
        <f t="shared" ref="J72:J87" si="1">SUM(H72:I72)</f>
        <v>6019000</v>
      </c>
    </row>
    <row r="73" spans="5:10" ht="15.75" hidden="1" thickBot="1" x14ac:dyDescent="0.3">
      <c r="F73" s="284" t="s">
        <v>236</v>
      </c>
      <c r="G73" s="287" t="s">
        <v>237</v>
      </c>
      <c r="J73" s="560">
        <f t="shared" si="1"/>
        <v>0</v>
      </c>
    </row>
    <row r="74" spans="5:10" ht="15.75" hidden="1" thickBot="1" x14ac:dyDescent="0.3">
      <c r="F74" s="284" t="s">
        <v>238</v>
      </c>
      <c r="G74" s="287" t="s">
        <v>239</v>
      </c>
      <c r="J74" s="560">
        <f t="shared" si="1"/>
        <v>0</v>
      </c>
    </row>
    <row r="75" spans="5:10" ht="15.75" hidden="1" thickBot="1" x14ac:dyDescent="0.3">
      <c r="F75" s="284" t="s">
        <v>240</v>
      </c>
      <c r="G75" s="287" t="s">
        <v>241</v>
      </c>
      <c r="J75" s="560">
        <f t="shared" si="1"/>
        <v>0</v>
      </c>
    </row>
    <row r="76" spans="5:10" ht="15.75" hidden="1" thickBot="1" x14ac:dyDescent="0.3">
      <c r="F76" s="284" t="s">
        <v>242</v>
      </c>
      <c r="G76" s="598" t="s">
        <v>243</v>
      </c>
      <c r="J76" s="560">
        <f t="shared" si="1"/>
        <v>0</v>
      </c>
    </row>
    <row r="77" spans="5:10" ht="15.75" hidden="1" thickBot="1" x14ac:dyDescent="0.3">
      <c r="F77" s="284" t="s">
        <v>244</v>
      </c>
      <c r="G77" s="287" t="s">
        <v>245</v>
      </c>
      <c r="J77" s="560">
        <f t="shared" si="1"/>
        <v>0</v>
      </c>
    </row>
    <row r="78" spans="5:10" ht="15.75" hidden="1" thickBot="1" x14ac:dyDescent="0.3">
      <c r="F78" s="284" t="s">
        <v>246</v>
      </c>
      <c r="G78" s="598" t="s">
        <v>4996</v>
      </c>
      <c r="J78" s="560">
        <f t="shared" si="1"/>
        <v>0</v>
      </c>
    </row>
    <row r="79" spans="5:10" ht="15.75" hidden="1" thickBot="1" x14ac:dyDescent="0.3">
      <c r="F79" s="284" t="s">
        <v>247</v>
      </c>
      <c r="G79" s="598" t="s">
        <v>4995</v>
      </c>
      <c r="J79" s="560">
        <f t="shared" si="1"/>
        <v>0</v>
      </c>
    </row>
    <row r="80" spans="5:10" ht="15.75" hidden="1" thickBot="1" x14ac:dyDescent="0.3">
      <c r="F80" s="284" t="s">
        <v>248</v>
      </c>
      <c r="G80" s="287" t="s">
        <v>57</v>
      </c>
      <c r="J80" s="560">
        <f t="shared" si="1"/>
        <v>0</v>
      </c>
    </row>
    <row r="81" spans="5:10" ht="15.75" hidden="1" thickBot="1" x14ac:dyDescent="0.3">
      <c r="F81" s="284" t="s">
        <v>249</v>
      </c>
      <c r="G81" s="287" t="s">
        <v>250</v>
      </c>
      <c r="J81" s="560">
        <f t="shared" si="1"/>
        <v>0</v>
      </c>
    </row>
    <row r="82" spans="5:10" ht="15.75" hidden="1" thickBot="1" x14ac:dyDescent="0.3">
      <c r="F82" s="284" t="s">
        <v>251</v>
      </c>
      <c r="G82" s="287" t="s">
        <v>252</v>
      </c>
      <c r="J82" s="560">
        <f t="shared" si="1"/>
        <v>0</v>
      </c>
    </row>
    <row r="83" spans="5:10" ht="30.75" hidden="1" thickBot="1" x14ac:dyDescent="0.3">
      <c r="F83" s="284" t="s">
        <v>253</v>
      </c>
      <c r="G83" s="287" t="s">
        <v>254</v>
      </c>
      <c r="J83" s="560">
        <f t="shared" si="1"/>
        <v>0</v>
      </c>
    </row>
    <row r="84" spans="5:10" ht="15.75" hidden="1" thickBot="1" x14ac:dyDescent="0.3">
      <c r="F84" s="284" t="s">
        <v>255</v>
      </c>
      <c r="G84" s="287" t="s">
        <v>256</v>
      </c>
      <c r="J84" s="560">
        <f t="shared" si="1"/>
        <v>0</v>
      </c>
    </row>
    <row r="85" spans="5:10" ht="30.75" hidden="1" thickBot="1" x14ac:dyDescent="0.3">
      <c r="F85" s="284" t="s">
        <v>257</v>
      </c>
      <c r="G85" s="287" t="s">
        <v>258</v>
      </c>
      <c r="J85" s="560">
        <f t="shared" si="1"/>
        <v>0</v>
      </c>
    </row>
    <row r="86" spans="5:10" ht="15.75" hidden="1" thickBot="1" x14ac:dyDescent="0.3">
      <c r="F86" s="284" t="s">
        <v>259</v>
      </c>
      <c r="G86" s="287" t="s">
        <v>260</v>
      </c>
      <c r="J86" s="560">
        <f t="shared" si="1"/>
        <v>0</v>
      </c>
    </row>
    <row r="87" spans="5:10" ht="15.75" hidden="1" thickBot="1" x14ac:dyDescent="0.3">
      <c r="F87" s="284" t="s">
        <v>261</v>
      </c>
      <c r="G87" s="287" t="s">
        <v>262</v>
      </c>
      <c r="H87" s="559"/>
      <c r="I87" s="560"/>
      <c r="J87" s="560">
        <f t="shared" si="1"/>
        <v>0</v>
      </c>
    </row>
    <row r="88" spans="5:10" ht="15.75" thickBot="1" x14ac:dyDescent="0.3">
      <c r="G88" s="268" t="s">
        <v>4231</v>
      </c>
      <c r="H88" s="561">
        <f>SUM(H72:H87)</f>
        <v>6019000</v>
      </c>
      <c r="I88" s="562">
        <f>SUM(I73:I87)</f>
        <v>0</v>
      </c>
      <c r="J88" s="562">
        <f>SUM(J72:J87)</f>
        <v>6019000</v>
      </c>
    </row>
    <row r="89" spans="5:10" ht="28.5" collapsed="1" x14ac:dyDescent="0.25">
      <c r="E89" s="489"/>
      <c r="F89" s="266"/>
      <c r="G89" s="270" t="s">
        <v>5056</v>
      </c>
      <c r="H89" s="563"/>
      <c r="I89" s="584"/>
      <c r="J89" s="564"/>
    </row>
    <row r="90" spans="5:10" ht="15.75" thickBot="1" x14ac:dyDescent="0.3">
      <c r="E90" s="693"/>
      <c r="F90" s="272" t="s">
        <v>234</v>
      </c>
      <c r="G90" s="287" t="s">
        <v>235</v>
      </c>
      <c r="H90" s="559">
        <f>SUM(H10:H70)</f>
        <v>6019000</v>
      </c>
      <c r="I90" s="560"/>
      <c r="J90" s="560">
        <f>SUM(H90:I90)</f>
        <v>6019000</v>
      </c>
    </row>
    <row r="91" spans="5:10" ht="15.75" hidden="1" thickBot="1" x14ac:dyDescent="0.3">
      <c r="F91" s="272" t="s">
        <v>236</v>
      </c>
      <c r="G91" s="287" t="s">
        <v>237</v>
      </c>
      <c r="J91" s="560">
        <f t="shared" ref="J91:J105" si="2">SUM(H91:I91)</f>
        <v>0</v>
      </c>
    </row>
    <row r="92" spans="5:10" ht="15.75" hidden="1" thickBot="1" x14ac:dyDescent="0.3">
      <c r="F92" s="272" t="s">
        <v>238</v>
      </c>
      <c r="G92" s="287" t="s">
        <v>239</v>
      </c>
      <c r="J92" s="560">
        <f t="shared" si="2"/>
        <v>0</v>
      </c>
    </row>
    <row r="93" spans="5:10" ht="15.75" hidden="1" thickBot="1" x14ac:dyDescent="0.3">
      <c r="F93" s="272" t="s">
        <v>240</v>
      </c>
      <c r="G93" s="287" t="s">
        <v>241</v>
      </c>
      <c r="J93" s="560">
        <f t="shared" si="2"/>
        <v>0</v>
      </c>
    </row>
    <row r="94" spans="5:10" ht="15.75" hidden="1" thickBot="1" x14ac:dyDescent="0.3">
      <c r="F94" s="272" t="s">
        <v>242</v>
      </c>
      <c r="G94" s="287" t="s">
        <v>243</v>
      </c>
      <c r="J94" s="560">
        <f t="shared" si="2"/>
        <v>0</v>
      </c>
    </row>
    <row r="95" spans="5:10" ht="15.75" hidden="1" thickBot="1" x14ac:dyDescent="0.3">
      <c r="F95" s="272" t="s">
        <v>244</v>
      </c>
      <c r="G95" s="287" t="s">
        <v>245</v>
      </c>
      <c r="J95" s="560">
        <f t="shared" si="2"/>
        <v>0</v>
      </c>
    </row>
    <row r="96" spans="5:10" ht="15.75" hidden="1" thickBot="1" x14ac:dyDescent="0.3">
      <c r="F96" s="272" t="s">
        <v>246</v>
      </c>
      <c r="G96" s="598" t="s">
        <v>4996</v>
      </c>
      <c r="J96" s="560">
        <f t="shared" si="2"/>
        <v>0</v>
      </c>
    </row>
    <row r="97" spans="3:10" ht="15.75" hidden="1" thickBot="1" x14ac:dyDescent="0.3">
      <c r="F97" s="272" t="s">
        <v>247</v>
      </c>
      <c r="G97" s="598" t="s">
        <v>4995</v>
      </c>
      <c r="J97" s="560">
        <f t="shared" si="2"/>
        <v>0</v>
      </c>
    </row>
    <row r="98" spans="3:10" ht="15.75" hidden="1" thickBot="1" x14ac:dyDescent="0.3">
      <c r="F98" s="272" t="s">
        <v>248</v>
      </c>
      <c r="G98" s="287" t="s">
        <v>57</v>
      </c>
      <c r="J98" s="560">
        <f t="shared" si="2"/>
        <v>0</v>
      </c>
    </row>
    <row r="99" spans="3:10" ht="15.75" hidden="1" thickBot="1" x14ac:dyDescent="0.3">
      <c r="F99" s="272" t="s">
        <v>249</v>
      </c>
      <c r="G99" s="287" t="s">
        <v>250</v>
      </c>
      <c r="J99" s="560">
        <f t="shared" si="2"/>
        <v>0</v>
      </c>
    </row>
    <row r="100" spans="3:10" ht="15.75" hidden="1" thickBot="1" x14ac:dyDescent="0.3">
      <c r="F100" s="272" t="s">
        <v>251</v>
      </c>
      <c r="G100" s="287" t="s">
        <v>252</v>
      </c>
      <c r="J100" s="560">
        <f t="shared" si="2"/>
        <v>0</v>
      </c>
    </row>
    <row r="101" spans="3:10" ht="30.75" hidden="1" thickBot="1" x14ac:dyDescent="0.3">
      <c r="F101" s="272" t="s">
        <v>253</v>
      </c>
      <c r="G101" s="287" t="s">
        <v>254</v>
      </c>
      <c r="J101" s="560">
        <f t="shared" si="2"/>
        <v>0</v>
      </c>
    </row>
    <row r="102" spans="3:10" ht="15.75" hidden="1" thickBot="1" x14ac:dyDescent="0.3">
      <c r="F102" s="272" t="s">
        <v>255</v>
      </c>
      <c r="G102" s="287" t="s">
        <v>256</v>
      </c>
      <c r="J102" s="560">
        <f t="shared" si="2"/>
        <v>0</v>
      </c>
    </row>
    <row r="103" spans="3:10" ht="30.75" hidden="1" thickBot="1" x14ac:dyDescent="0.3">
      <c r="F103" s="272" t="s">
        <v>257</v>
      </c>
      <c r="G103" s="287" t="s">
        <v>258</v>
      </c>
      <c r="J103" s="560">
        <f t="shared" si="2"/>
        <v>0</v>
      </c>
    </row>
    <row r="104" spans="3:10" ht="15.75" hidden="1" thickBot="1" x14ac:dyDescent="0.3">
      <c r="F104" s="272" t="s">
        <v>259</v>
      </c>
      <c r="G104" s="287" t="s">
        <v>260</v>
      </c>
      <c r="J104" s="560">
        <f t="shared" si="2"/>
        <v>0</v>
      </c>
    </row>
    <row r="105" spans="3:10" ht="15.75" hidden="1" thickBot="1" x14ac:dyDescent="0.3">
      <c r="F105" s="272" t="s">
        <v>261</v>
      </c>
      <c r="G105" s="287" t="s">
        <v>262</v>
      </c>
      <c r="H105" s="559"/>
      <c r="I105" s="560"/>
      <c r="J105" s="560">
        <f t="shared" si="2"/>
        <v>0</v>
      </c>
    </row>
    <row r="106" spans="3:10" ht="15.75" collapsed="1" thickBot="1" x14ac:dyDescent="0.3">
      <c r="G106" s="268" t="s">
        <v>5057</v>
      </c>
      <c r="H106" s="561">
        <f>SUM(H90:H105)</f>
        <v>6019000</v>
      </c>
      <c r="I106" s="562">
        <f>SUM(I91:I105)</f>
        <v>0</v>
      </c>
      <c r="J106" s="562">
        <f>SUM(J90:J105)</f>
        <v>6019000</v>
      </c>
    </row>
    <row r="107" spans="3:10" hidden="1" collapsed="1" x14ac:dyDescent="0.25"/>
    <row r="108" spans="3:10" hidden="1" x14ac:dyDescent="0.25">
      <c r="C108" s="267" t="s">
        <v>4843</v>
      </c>
      <c r="D108" s="259"/>
      <c r="G108" s="493" t="s">
        <v>4966</v>
      </c>
    </row>
    <row r="109" spans="3:10" ht="30" hidden="1" x14ac:dyDescent="0.25">
      <c r="C109" s="267"/>
      <c r="D109" s="331">
        <v>110</v>
      </c>
      <c r="E109" s="869"/>
      <c r="F109" s="331"/>
      <c r="G109" s="332" t="s">
        <v>105</v>
      </c>
    </row>
    <row r="110" spans="3:10" hidden="1" x14ac:dyDescent="0.25">
      <c r="F110" s="273">
        <v>411</v>
      </c>
      <c r="G110" s="319" t="s">
        <v>4131</v>
      </c>
      <c r="J110" s="556">
        <f>SUM(H110:I110)</f>
        <v>0</v>
      </c>
    </row>
    <row r="111" spans="3:10" hidden="1" x14ac:dyDescent="0.25">
      <c r="F111" s="273">
        <v>412</v>
      </c>
      <c r="G111" s="317" t="s">
        <v>3766</v>
      </c>
      <c r="J111" s="556">
        <f t="shared" ref="J111:J169" si="3">SUM(H111:I111)</f>
        <v>0</v>
      </c>
    </row>
    <row r="112" spans="3:10" hidden="1" x14ac:dyDescent="0.25">
      <c r="F112" s="273">
        <v>413</v>
      </c>
      <c r="G112" s="319" t="s">
        <v>4132</v>
      </c>
      <c r="J112" s="556">
        <f t="shared" si="3"/>
        <v>0</v>
      </c>
    </row>
    <row r="113" spans="6:10" hidden="1" x14ac:dyDescent="0.25">
      <c r="F113" s="273">
        <v>414</v>
      </c>
      <c r="G113" s="319" t="s">
        <v>3769</v>
      </c>
      <c r="J113" s="556">
        <f t="shared" si="3"/>
        <v>0</v>
      </c>
    </row>
    <row r="114" spans="6:10" hidden="1" x14ac:dyDescent="0.25">
      <c r="F114" s="273">
        <v>415</v>
      </c>
      <c r="G114" s="319" t="s">
        <v>4141</v>
      </c>
      <c r="J114" s="556">
        <f t="shared" si="3"/>
        <v>0</v>
      </c>
    </row>
    <row r="115" spans="6:10" hidden="1" x14ac:dyDescent="0.25">
      <c r="F115" s="273">
        <v>416</v>
      </c>
      <c r="G115" s="319" t="s">
        <v>4142</v>
      </c>
      <c r="J115" s="556">
        <f t="shared" si="3"/>
        <v>0</v>
      </c>
    </row>
    <row r="116" spans="6:10" hidden="1" x14ac:dyDescent="0.25">
      <c r="F116" s="273">
        <v>417</v>
      </c>
      <c r="G116" s="319" t="s">
        <v>4143</v>
      </c>
      <c r="J116" s="556">
        <f t="shared" si="3"/>
        <v>0</v>
      </c>
    </row>
    <row r="117" spans="6:10" hidden="1" x14ac:dyDescent="0.25">
      <c r="F117" s="273">
        <v>418</v>
      </c>
      <c r="G117" s="319" t="s">
        <v>3775</v>
      </c>
      <c r="J117" s="556">
        <f t="shared" si="3"/>
        <v>0</v>
      </c>
    </row>
    <row r="118" spans="6:10" hidden="1" x14ac:dyDescent="0.25">
      <c r="F118" s="273">
        <v>421</v>
      </c>
      <c r="G118" s="319" t="s">
        <v>3779</v>
      </c>
      <c r="J118" s="556">
        <f t="shared" si="3"/>
        <v>0</v>
      </c>
    </row>
    <row r="119" spans="6:10" hidden="1" x14ac:dyDescent="0.25">
      <c r="F119" s="273">
        <v>422</v>
      </c>
      <c r="G119" s="319" t="s">
        <v>3780</v>
      </c>
      <c r="J119" s="556">
        <f t="shared" si="3"/>
        <v>0</v>
      </c>
    </row>
    <row r="120" spans="6:10" hidden="1" x14ac:dyDescent="0.25">
      <c r="F120" s="273">
        <v>423</v>
      </c>
      <c r="G120" s="319" t="s">
        <v>3781</v>
      </c>
      <c r="J120" s="556">
        <f t="shared" si="3"/>
        <v>0</v>
      </c>
    </row>
    <row r="121" spans="6:10" hidden="1" x14ac:dyDescent="0.25">
      <c r="F121" s="273">
        <v>424</v>
      </c>
      <c r="G121" s="319" t="s">
        <v>3783</v>
      </c>
      <c r="J121" s="556">
        <f t="shared" si="3"/>
        <v>0</v>
      </c>
    </row>
    <row r="122" spans="6:10" hidden="1" x14ac:dyDescent="0.25">
      <c r="F122" s="273">
        <v>425</v>
      </c>
      <c r="G122" s="319" t="s">
        <v>4144</v>
      </c>
      <c r="J122" s="556">
        <f t="shared" si="3"/>
        <v>0</v>
      </c>
    </row>
    <row r="123" spans="6:10" ht="15.75" hidden="1" thickBot="1" x14ac:dyDescent="0.3">
      <c r="F123" s="273">
        <v>426</v>
      </c>
      <c r="G123" s="319" t="s">
        <v>3787</v>
      </c>
      <c r="J123" s="556">
        <f t="shared" si="3"/>
        <v>0</v>
      </c>
    </row>
    <row r="124" spans="6:10" hidden="1" x14ac:dyDescent="0.25">
      <c r="F124" s="273">
        <v>431</v>
      </c>
      <c r="G124" s="319" t="s">
        <v>4145</v>
      </c>
      <c r="J124" s="556">
        <f t="shared" si="3"/>
        <v>0</v>
      </c>
    </row>
    <row r="125" spans="6:10" hidden="1" x14ac:dyDescent="0.25">
      <c r="F125" s="273">
        <v>432</v>
      </c>
      <c r="G125" s="319" t="s">
        <v>4146</v>
      </c>
      <c r="J125" s="556">
        <f t="shared" si="3"/>
        <v>0</v>
      </c>
    </row>
    <row r="126" spans="6:10" hidden="1" x14ac:dyDescent="0.25">
      <c r="F126" s="273">
        <v>433</v>
      </c>
      <c r="G126" s="319" t="s">
        <v>4147</v>
      </c>
      <c r="J126" s="556">
        <f t="shared" si="3"/>
        <v>0</v>
      </c>
    </row>
    <row r="127" spans="6:10" hidden="1" x14ac:dyDescent="0.25">
      <c r="F127" s="273">
        <v>434</v>
      </c>
      <c r="G127" s="319" t="s">
        <v>4148</v>
      </c>
      <c r="J127" s="556">
        <f t="shared" si="3"/>
        <v>0</v>
      </c>
    </row>
    <row r="128" spans="6:10" hidden="1" x14ac:dyDescent="0.25">
      <c r="F128" s="273">
        <v>435</v>
      </c>
      <c r="G128" s="319" t="s">
        <v>3794</v>
      </c>
      <c r="J128" s="556">
        <f t="shared" si="3"/>
        <v>0</v>
      </c>
    </row>
    <row r="129" spans="6:10" hidden="1" x14ac:dyDescent="0.25">
      <c r="F129" s="273">
        <v>441</v>
      </c>
      <c r="G129" s="319" t="s">
        <v>4149</v>
      </c>
      <c r="J129" s="556">
        <f t="shared" si="3"/>
        <v>0</v>
      </c>
    </row>
    <row r="130" spans="6:10" hidden="1" x14ac:dyDescent="0.25">
      <c r="F130" s="273">
        <v>442</v>
      </c>
      <c r="G130" s="319" t="s">
        <v>4150</v>
      </c>
      <c r="J130" s="556">
        <f t="shared" si="3"/>
        <v>0</v>
      </c>
    </row>
    <row r="131" spans="6:10" hidden="1" x14ac:dyDescent="0.25">
      <c r="F131" s="273">
        <v>443</v>
      </c>
      <c r="G131" s="319" t="s">
        <v>3799</v>
      </c>
      <c r="J131" s="556">
        <f t="shared" si="3"/>
        <v>0</v>
      </c>
    </row>
    <row r="132" spans="6:10" hidden="1" x14ac:dyDescent="0.25">
      <c r="F132" s="273">
        <v>444</v>
      </c>
      <c r="G132" s="319" t="s">
        <v>3800</v>
      </c>
      <c r="J132" s="556">
        <f t="shared" si="3"/>
        <v>0</v>
      </c>
    </row>
    <row r="133" spans="6:10" ht="30" hidden="1" x14ac:dyDescent="0.25">
      <c r="F133" s="273">
        <v>4511</v>
      </c>
      <c r="G133" s="263" t="s">
        <v>1690</v>
      </c>
      <c r="J133" s="556">
        <f t="shared" si="3"/>
        <v>0</v>
      </c>
    </row>
    <row r="134" spans="6:10" ht="30" hidden="1" x14ac:dyDescent="0.25">
      <c r="F134" s="273">
        <v>4512</v>
      </c>
      <c r="G134" s="263" t="s">
        <v>1699</v>
      </c>
      <c r="J134" s="556">
        <f t="shared" si="3"/>
        <v>0</v>
      </c>
    </row>
    <row r="135" spans="6:10" hidden="1" x14ac:dyDescent="0.25">
      <c r="F135" s="273">
        <v>452</v>
      </c>
      <c r="G135" s="319" t="s">
        <v>4151</v>
      </c>
      <c r="J135" s="556">
        <f t="shared" si="3"/>
        <v>0</v>
      </c>
    </row>
    <row r="136" spans="6:10" hidden="1" x14ac:dyDescent="0.25">
      <c r="F136" s="273">
        <v>453</v>
      </c>
      <c r="G136" s="319" t="s">
        <v>4152</v>
      </c>
      <c r="J136" s="556">
        <f t="shared" si="3"/>
        <v>0</v>
      </c>
    </row>
    <row r="137" spans="6:10" hidden="1" x14ac:dyDescent="0.25">
      <c r="F137" s="273">
        <v>454</v>
      </c>
      <c r="G137" s="319" t="s">
        <v>3805</v>
      </c>
      <c r="J137" s="556">
        <f t="shared" si="3"/>
        <v>0</v>
      </c>
    </row>
    <row r="138" spans="6:10" hidden="1" x14ac:dyDescent="0.25">
      <c r="F138" s="273">
        <v>461</v>
      </c>
      <c r="G138" s="319" t="s">
        <v>4133</v>
      </c>
      <c r="J138" s="556">
        <f t="shared" si="3"/>
        <v>0</v>
      </c>
    </row>
    <row r="139" spans="6:10" hidden="1" x14ac:dyDescent="0.25">
      <c r="F139" s="273">
        <v>462</v>
      </c>
      <c r="G139" s="319" t="s">
        <v>3808</v>
      </c>
      <c r="J139" s="556">
        <f t="shared" si="3"/>
        <v>0</v>
      </c>
    </row>
    <row r="140" spans="6:10" hidden="1" x14ac:dyDescent="0.25">
      <c r="F140" s="273">
        <v>4631</v>
      </c>
      <c r="G140" s="319" t="s">
        <v>3809</v>
      </c>
      <c r="J140" s="556">
        <f t="shared" si="3"/>
        <v>0</v>
      </c>
    </row>
    <row r="141" spans="6:10" hidden="1" x14ac:dyDescent="0.25">
      <c r="F141" s="273">
        <v>4632</v>
      </c>
      <c r="G141" s="319" t="s">
        <v>3810</v>
      </c>
      <c r="J141" s="556">
        <f t="shared" si="3"/>
        <v>0</v>
      </c>
    </row>
    <row r="142" spans="6:10" hidden="1" x14ac:dyDescent="0.25">
      <c r="F142" s="273">
        <v>464</v>
      </c>
      <c r="G142" s="319" t="s">
        <v>3811</v>
      </c>
      <c r="J142" s="556">
        <f t="shared" si="3"/>
        <v>0</v>
      </c>
    </row>
    <row r="143" spans="6:10" hidden="1" x14ac:dyDescent="0.25">
      <c r="F143" s="273">
        <v>465</v>
      </c>
      <c r="G143" s="319" t="s">
        <v>4134</v>
      </c>
      <c r="J143" s="556">
        <f t="shared" si="3"/>
        <v>0</v>
      </c>
    </row>
    <row r="144" spans="6:10" hidden="1" x14ac:dyDescent="0.25">
      <c r="F144" s="273">
        <v>472</v>
      </c>
      <c r="G144" s="319" t="s">
        <v>3815</v>
      </c>
      <c r="J144" s="556">
        <f t="shared" si="3"/>
        <v>0</v>
      </c>
    </row>
    <row r="145" spans="6:10" hidden="1" x14ac:dyDescent="0.25">
      <c r="F145" s="273">
        <v>481</v>
      </c>
      <c r="G145" s="319" t="s">
        <v>4153</v>
      </c>
      <c r="J145" s="556">
        <f t="shared" si="3"/>
        <v>0</v>
      </c>
    </row>
    <row r="146" spans="6:10" hidden="1" x14ac:dyDescent="0.25">
      <c r="F146" s="273">
        <v>482</v>
      </c>
      <c r="G146" s="319" t="s">
        <v>4154</v>
      </c>
      <c r="J146" s="556">
        <f t="shared" si="3"/>
        <v>0</v>
      </c>
    </row>
    <row r="147" spans="6:10" hidden="1" x14ac:dyDescent="0.25">
      <c r="F147" s="273">
        <v>483</v>
      </c>
      <c r="G147" s="322" t="s">
        <v>4155</v>
      </c>
      <c r="J147" s="556">
        <f t="shared" si="3"/>
        <v>0</v>
      </c>
    </row>
    <row r="148" spans="6:10" ht="30" hidden="1" x14ac:dyDescent="0.25">
      <c r="F148" s="273">
        <v>484</v>
      </c>
      <c r="G148" s="319" t="s">
        <v>4156</v>
      </c>
      <c r="J148" s="556">
        <f t="shared" si="3"/>
        <v>0</v>
      </c>
    </row>
    <row r="149" spans="6:10" ht="30" hidden="1" x14ac:dyDescent="0.25">
      <c r="F149" s="273">
        <v>485</v>
      </c>
      <c r="G149" s="319" t="s">
        <v>4157</v>
      </c>
      <c r="J149" s="556">
        <f t="shared" si="3"/>
        <v>0</v>
      </c>
    </row>
    <row r="150" spans="6:10" ht="30" hidden="1" x14ac:dyDescent="0.25">
      <c r="F150" s="273">
        <v>489</v>
      </c>
      <c r="G150" s="319" t="s">
        <v>3823</v>
      </c>
      <c r="J150" s="556">
        <f t="shared" si="3"/>
        <v>0</v>
      </c>
    </row>
    <row r="151" spans="6:10" hidden="1" x14ac:dyDescent="0.25">
      <c r="F151" s="273">
        <v>494</v>
      </c>
      <c r="G151" s="319" t="s">
        <v>4135</v>
      </c>
      <c r="J151" s="556">
        <f t="shared" si="3"/>
        <v>0</v>
      </c>
    </row>
    <row r="152" spans="6:10" ht="30" hidden="1" x14ac:dyDescent="0.25">
      <c r="F152" s="273">
        <v>495</v>
      </c>
      <c r="G152" s="319" t="s">
        <v>4136</v>
      </c>
      <c r="J152" s="556">
        <f t="shared" si="3"/>
        <v>0</v>
      </c>
    </row>
    <row r="153" spans="6:10" ht="30" hidden="1" x14ac:dyDescent="0.25">
      <c r="F153" s="273">
        <v>496</v>
      </c>
      <c r="G153" s="319" t="s">
        <v>4137</v>
      </c>
      <c r="J153" s="556">
        <f t="shared" si="3"/>
        <v>0</v>
      </c>
    </row>
    <row r="154" spans="6:10" ht="30" hidden="1" x14ac:dyDescent="0.25">
      <c r="F154" s="273">
        <v>499</v>
      </c>
      <c r="G154" s="319" t="s">
        <v>4138</v>
      </c>
      <c r="J154" s="556">
        <f t="shared" si="3"/>
        <v>0</v>
      </c>
    </row>
    <row r="155" spans="6:10" hidden="1" x14ac:dyDescent="0.25">
      <c r="F155" s="273">
        <v>511</v>
      </c>
      <c r="G155" s="322" t="s">
        <v>4158</v>
      </c>
      <c r="J155" s="556">
        <f t="shared" si="3"/>
        <v>0</v>
      </c>
    </row>
    <row r="156" spans="6:10" hidden="1" x14ac:dyDescent="0.25">
      <c r="F156" s="273">
        <v>512</v>
      </c>
      <c r="G156" s="322" t="s">
        <v>4159</v>
      </c>
      <c r="J156" s="556">
        <f t="shared" si="3"/>
        <v>0</v>
      </c>
    </row>
    <row r="157" spans="6:10" hidden="1" x14ac:dyDescent="0.25">
      <c r="F157" s="273">
        <v>513</v>
      </c>
      <c r="G157" s="322" t="s">
        <v>4160</v>
      </c>
      <c r="J157" s="556">
        <f t="shared" si="3"/>
        <v>0</v>
      </c>
    </row>
    <row r="158" spans="6:10" hidden="1" x14ac:dyDescent="0.25">
      <c r="F158" s="273">
        <v>514</v>
      </c>
      <c r="G158" s="319" t="s">
        <v>4161</v>
      </c>
      <c r="J158" s="556">
        <f t="shared" si="3"/>
        <v>0</v>
      </c>
    </row>
    <row r="159" spans="6:10" hidden="1" x14ac:dyDescent="0.25">
      <c r="F159" s="273">
        <v>515</v>
      </c>
      <c r="G159" s="319" t="s">
        <v>3834</v>
      </c>
      <c r="J159" s="556">
        <f t="shared" si="3"/>
        <v>0</v>
      </c>
    </row>
    <row r="160" spans="6:10" hidden="1" x14ac:dyDescent="0.25">
      <c r="F160" s="273">
        <v>521</v>
      </c>
      <c r="G160" s="319" t="s">
        <v>4162</v>
      </c>
      <c r="J160" s="556">
        <f t="shared" si="3"/>
        <v>0</v>
      </c>
    </row>
    <row r="161" spans="5:10" hidden="1" x14ac:dyDescent="0.25">
      <c r="F161" s="273">
        <v>522</v>
      </c>
      <c r="G161" s="319" t="s">
        <v>4163</v>
      </c>
      <c r="J161" s="556">
        <f t="shared" si="3"/>
        <v>0</v>
      </c>
    </row>
    <row r="162" spans="5:10" hidden="1" x14ac:dyDescent="0.25">
      <c r="F162" s="273">
        <v>523</v>
      </c>
      <c r="G162" s="319" t="s">
        <v>3839</v>
      </c>
      <c r="J162" s="556">
        <f t="shared" si="3"/>
        <v>0</v>
      </c>
    </row>
    <row r="163" spans="5:10" hidden="1" x14ac:dyDescent="0.25">
      <c r="F163" s="273">
        <v>531</v>
      </c>
      <c r="G163" s="317" t="s">
        <v>4139</v>
      </c>
      <c r="J163" s="556">
        <f t="shared" si="3"/>
        <v>0</v>
      </c>
    </row>
    <row r="164" spans="5:10" hidden="1" x14ac:dyDescent="0.25">
      <c r="F164" s="273">
        <v>541</v>
      </c>
      <c r="G164" s="319" t="s">
        <v>4164</v>
      </c>
      <c r="J164" s="556">
        <f t="shared" si="3"/>
        <v>0</v>
      </c>
    </row>
    <row r="165" spans="5:10" hidden="1" x14ac:dyDescent="0.25">
      <c r="F165" s="273">
        <v>542</v>
      </c>
      <c r="G165" s="319" t="s">
        <v>4165</v>
      </c>
      <c r="J165" s="556">
        <f t="shared" si="3"/>
        <v>0</v>
      </c>
    </row>
    <row r="166" spans="5:10" hidden="1" x14ac:dyDescent="0.25">
      <c r="F166" s="273">
        <v>543</v>
      </c>
      <c r="G166" s="319" t="s">
        <v>3844</v>
      </c>
      <c r="J166" s="556">
        <f t="shared" si="3"/>
        <v>0</v>
      </c>
    </row>
    <row r="167" spans="5:10" ht="30" hidden="1" x14ac:dyDescent="0.25">
      <c r="F167" s="273">
        <v>551</v>
      </c>
      <c r="G167" s="319" t="s">
        <v>4140</v>
      </c>
      <c r="J167" s="556">
        <f t="shared" si="3"/>
        <v>0</v>
      </c>
    </row>
    <row r="168" spans="5:10" hidden="1" x14ac:dyDescent="0.25">
      <c r="F168" s="274">
        <v>611</v>
      </c>
      <c r="G168" s="323" t="s">
        <v>3850</v>
      </c>
      <c r="J168" s="556">
        <f t="shared" si="3"/>
        <v>0</v>
      </c>
    </row>
    <row r="169" spans="5:10" ht="15.75" hidden="1" thickBot="1" x14ac:dyDescent="0.3">
      <c r="F169" s="274">
        <v>620</v>
      </c>
      <c r="G169" s="323" t="s">
        <v>88</v>
      </c>
      <c r="J169" s="556">
        <f t="shared" si="3"/>
        <v>0</v>
      </c>
    </row>
    <row r="170" spans="5:10" hidden="1" x14ac:dyDescent="0.25">
      <c r="E170" s="489"/>
      <c r="F170" s="274"/>
      <c r="G170" s="342" t="s">
        <v>4287</v>
      </c>
      <c r="H170" s="557"/>
      <c r="I170" s="583"/>
      <c r="J170" s="558"/>
    </row>
    <row r="171" spans="5:10" ht="15.75" hidden="1" thickBot="1" x14ac:dyDescent="0.3">
      <c r="E171" s="693"/>
      <c r="F171" s="272" t="s">
        <v>234</v>
      </c>
      <c r="G171" s="287" t="s">
        <v>235</v>
      </c>
      <c r="H171" s="559">
        <f>SUM(H110:H169)</f>
        <v>0</v>
      </c>
      <c r="I171" s="560"/>
      <c r="J171" s="560">
        <f>SUM(H171:I171)</f>
        <v>0</v>
      </c>
    </row>
    <row r="172" spans="5:10" hidden="1" x14ac:dyDescent="0.25">
      <c r="F172" s="272" t="s">
        <v>236</v>
      </c>
      <c r="G172" s="287" t="s">
        <v>237</v>
      </c>
      <c r="J172" s="560">
        <f t="shared" ref="J172:J186" si="4">SUM(H172:I172)</f>
        <v>0</v>
      </c>
    </row>
    <row r="173" spans="5:10" hidden="1" x14ac:dyDescent="0.25">
      <c r="F173" s="272" t="s">
        <v>238</v>
      </c>
      <c r="G173" s="287" t="s">
        <v>239</v>
      </c>
      <c r="J173" s="560">
        <f t="shared" si="4"/>
        <v>0</v>
      </c>
    </row>
    <row r="174" spans="5:10" hidden="1" x14ac:dyDescent="0.25">
      <c r="F174" s="272" t="s">
        <v>240</v>
      </c>
      <c r="G174" s="287" t="s">
        <v>241</v>
      </c>
      <c r="J174" s="560">
        <f t="shared" si="4"/>
        <v>0</v>
      </c>
    </row>
    <row r="175" spans="5:10" hidden="1" x14ac:dyDescent="0.25">
      <c r="F175" s="272" t="s">
        <v>242</v>
      </c>
      <c r="G175" s="287" t="s">
        <v>243</v>
      </c>
      <c r="J175" s="560">
        <f t="shared" si="4"/>
        <v>0</v>
      </c>
    </row>
    <row r="176" spans="5:10" hidden="1" x14ac:dyDescent="0.25">
      <c r="F176" s="272" t="s">
        <v>244</v>
      </c>
      <c r="G176" s="287" t="s">
        <v>245</v>
      </c>
      <c r="J176" s="560">
        <f t="shared" si="4"/>
        <v>0</v>
      </c>
    </row>
    <row r="177" spans="5:10" hidden="1" x14ac:dyDescent="0.25">
      <c r="F177" s="272" t="s">
        <v>246</v>
      </c>
      <c r="G177" s="598" t="s">
        <v>4996</v>
      </c>
      <c r="J177" s="560">
        <f t="shared" si="4"/>
        <v>0</v>
      </c>
    </row>
    <row r="178" spans="5:10" hidden="1" x14ac:dyDescent="0.25">
      <c r="F178" s="272" t="s">
        <v>247</v>
      </c>
      <c r="G178" s="598" t="s">
        <v>4995</v>
      </c>
      <c r="J178" s="560">
        <f t="shared" si="4"/>
        <v>0</v>
      </c>
    </row>
    <row r="179" spans="5:10" hidden="1" x14ac:dyDescent="0.25">
      <c r="F179" s="272" t="s">
        <v>248</v>
      </c>
      <c r="G179" s="287" t="s">
        <v>57</v>
      </c>
      <c r="J179" s="560">
        <f t="shared" si="4"/>
        <v>0</v>
      </c>
    </row>
    <row r="180" spans="5:10" hidden="1" x14ac:dyDescent="0.25">
      <c r="F180" s="272" t="s">
        <v>249</v>
      </c>
      <c r="G180" s="287" t="s">
        <v>250</v>
      </c>
      <c r="J180" s="560">
        <f t="shared" si="4"/>
        <v>0</v>
      </c>
    </row>
    <row r="181" spans="5:10" hidden="1" x14ac:dyDescent="0.25">
      <c r="F181" s="272" t="s">
        <v>251</v>
      </c>
      <c r="G181" s="287" t="s">
        <v>252</v>
      </c>
      <c r="J181" s="560">
        <f t="shared" si="4"/>
        <v>0</v>
      </c>
    </row>
    <row r="182" spans="5:10" ht="30" hidden="1" x14ac:dyDescent="0.25">
      <c r="F182" s="272" t="s">
        <v>253</v>
      </c>
      <c r="G182" s="287" t="s">
        <v>254</v>
      </c>
      <c r="J182" s="560">
        <f t="shared" si="4"/>
        <v>0</v>
      </c>
    </row>
    <row r="183" spans="5:10" hidden="1" x14ac:dyDescent="0.25">
      <c r="F183" s="272" t="s">
        <v>255</v>
      </c>
      <c r="G183" s="287" t="s">
        <v>256</v>
      </c>
      <c r="J183" s="560">
        <f t="shared" si="4"/>
        <v>0</v>
      </c>
    </row>
    <row r="184" spans="5:10" ht="30" hidden="1" x14ac:dyDescent="0.25">
      <c r="F184" s="272" t="s">
        <v>257</v>
      </c>
      <c r="G184" s="287" t="s">
        <v>258</v>
      </c>
      <c r="J184" s="560">
        <f t="shared" si="4"/>
        <v>0</v>
      </c>
    </row>
    <row r="185" spans="5:10" hidden="1" x14ac:dyDescent="0.25">
      <c r="F185" s="272" t="s">
        <v>259</v>
      </c>
      <c r="G185" s="287" t="s">
        <v>260</v>
      </c>
      <c r="J185" s="560">
        <f t="shared" si="4"/>
        <v>0</v>
      </c>
    </row>
    <row r="186" spans="5:10" ht="15.75" hidden="1" thickBot="1" x14ac:dyDescent="0.3">
      <c r="F186" s="272" t="s">
        <v>261</v>
      </c>
      <c r="G186" s="287" t="s">
        <v>262</v>
      </c>
      <c r="H186" s="559"/>
      <c r="I186" s="560"/>
      <c r="J186" s="560">
        <f t="shared" si="4"/>
        <v>0</v>
      </c>
    </row>
    <row r="187" spans="5:10" ht="15.75" hidden="1" thickBot="1" x14ac:dyDescent="0.3">
      <c r="G187" s="268" t="s">
        <v>4231</v>
      </c>
      <c r="H187" s="561">
        <f>SUM(H171:H186)</f>
        <v>0</v>
      </c>
      <c r="I187" s="562">
        <f>SUM(I172:I186)</f>
        <v>0</v>
      </c>
      <c r="J187" s="562">
        <f>SUM(J171:J186)</f>
        <v>0</v>
      </c>
    </row>
    <row r="188" spans="5:10" hidden="1" collapsed="1" x14ac:dyDescent="0.25">
      <c r="E188" s="489"/>
      <c r="F188" s="324"/>
      <c r="G188" s="270" t="s">
        <v>4943</v>
      </c>
      <c r="H188" s="563"/>
      <c r="I188" s="584"/>
      <c r="J188" s="564"/>
    </row>
    <row r="189" spans="5:10" ht="15.75" hidden="1" thickBot="1" x14ac:dyDescent="0.3">
      <c r="E189" s="693"/>
      <c r="F189" s="284" t="s">
        <v>234</v>
      </c>
      <c r="G189" s="287" t="s">
        <v>235</v>
      </c>
      <c r="H189" s="559">
        <f>SUM(H110:H169)</f>
        <v>0</v>
      </c>
      <c r="I189" s="560"/>
      <c r="J189" s="560">
        <f>SUM(H189:I189)</f>
        <v>0</v>
      </c>
    </row>
    <row r="190" spans="5:10" hidden="1" x14ac:dyDescent="0.25">
      <c r="F190" s="284" t="s">
        <v>236</v>
      </c>
      <c r="G190" s="287" t="s">
        <v>237</v>
      </c>
      <c r="J190" s="560">
        <f t="shared" ref="J190:J204" si="5">SUM(H190:I190)</f>
        <v>0</v>
      </c>
    </row>
    <row r="191" spans="5:10" hidden="1" x14ac:dyDescent="0.25">
      <c r="F191" s="284" t="s">
        <v>238</v>
      </c>
      <c r="G191" s="287" t="s">
        <v>239</v>
      </c>
      <c r="J191" s="560">
        <f t="shared" si="5"/>
        <v>0</v>
      </c>
    </row>
    <row r="192" spans="5:10" hidden="1" x14ac:dyDescent="0.25">
      <c r="F192" s="284" t="s">
        <v>240</v>
      </c>
      <c r="G192" s="287" t="s">
        <v>241</v>
      </c>
      <c r="J192" s="560">
        <f t="shared" si="5"/>
        <v>0</v>
      </c>
    </row>
    <row r="193" spans="3:10" hidden="1" x14ac:dyDescent="0.25">
      <c r="F193" s="284" t="s">
        <v>242</v>
      </c>
      <c r="G193" s="287" t="s">
        <v>243</v>
      </c>
      <c r="J193" s="560">
        <f t="shared" si="5"/>
        <v>0</v>
      </c>
    </row>
    <row r="194" spans="3:10" hidden="1" x14ac:dyDescent="0.25">
      <c r="F194" s="284" t="s">
        <v>244</v>
      </c>
      <c r="G194" s="287" t="s">
        <v>245</v>
      </c>
      <c r="J194" s="560">
        <f t="shared" si="5"/>
        <v>0</v>
      </c>
    </row>
    <row r="195" spans="3:10" hidden="1" x14ac:dyDescent="0.25">
      <c r="F195" s="284" t="s">
        <v>246</v>
      </c>
      <c r="G195" s="598" t="s">
        <v>4996</v>
      </c>
      <c r="J195" s="560">
        <f t="shared" si="5"/>
        <v>0</v>
      </c>
    </row>
    <row r="196" spans="3:10" hidden="1" x14ac:dyDescent="0.25">
      <c r="F196" s="284" t="s">
        <v>247</v>
      </c>
      <c r="G196" s="598" t="s">
        <v>4995</v>
      </c>
      <c r="J196" s="560">
        <f t="shared" si="5"/>
        <v>0</v>
      </c>
    </row>
    <row r="197" spans="3:10" hidden="1" x14ac:dyDescent="0.25">
      <c r="F197" s="284" t="s">
        <v>248</v>
      </c>
      <c r="G197" s="287" t="s">
        <v>57</v>
      </c>
      <c r="J197" s="560">
        <f t="shared" si="5"/>
        <v>0</v>
      </c>
    </row>
    <row r="198" spans="3:10" hidden="1" x14ac:dyDescent="0.25">
      <c r="F198" s="284" t="s">
        <v>249</v>
      </c>
      <c r="G198" s="287" t="s">
        <v>250</v>
      </c>
      <c r="J198" s="560">
        <f t="shared" si="5"/>
        <v>0</v>
      </c>
    </row>
    <row r="199" spans="3:10" hidden="1" x14ac:dyDescent="0.25">
      <c r="F199" s="284" t="s">
        <v>251</v>
      </c>
      <c r="G199" s="287" t="s">
        <v>252</v>
      </c>
      <c r="J199" s="560">
        <f t="shared" si="5"/>
        <v>0</v>
      </c>
    </row>
    <row r="200" spans="3:10" ht="30" hidden="1" x14ac:dyDescent="0.25">
      <c r="F200" s="284" t="s">
        <v>253</v>
      </c>
      <c r="G200" s="287" t="s">
        <v>254</v>
      </c>
      <c r="J200" s="560">
        <f t="shared" si="5"/>
        <v>0</v>
      </c>
    </row>
    <row r="201" spans="3:10" hidden="1" x14ac:dyDescent="0.25">
      <c r="F201" s="284" t="s">
        <v>255</v>
      </c>
      <c r="G201" s="287" t="s">
        <v>256</v>
      </c>
      <c r="J201" s="560">
        <f t="shared" si="5"/>
        <v>0</v>
      </c>
    </row>
    <row r="202" spans="3:10" ht="30" hidden="1" x14ac:dyDescent="0.25">
      <c r="F202" s="284" t="s">
        <v>257</v>
      </c>
      <c r="G202" s="287" t="s">
        <v>258</v>
      </c>
      <c r="J202" s="560">
        <f t="shared" si="5"/>
        <v>0</v>
      </c>
    </row>
    <row r="203" spans="3:10" hidden="1" x14ac:dyDescent="0.25">
      <c r="F203" s="284" t="s">
        <v>259</v>
      </c>
      <c r="G203" s="287" t="s">
        <v>260</v>
      </c>
      <c r="J203" s="560">
        <f t="shared" si="5"/>
        <v>0</v>
      </c>
    </row>
    <row r="204" spans="3:10" ht="15.75" hidden="1" thickBot="1" x14ac:dyDescent="0.3">
      <c r="F204" s="284" t="s">
        <v>261</v>
      </c>
      <c r="G204" s="287" t="s">
        <v>262</v>
      </c>
      <c r="H204" s="559"/>
      <c r="I204" s="560"/>
      <c r="J204" s="560">
        <f t="shared" si="5"/>
        <v>0</v>
      </c>
    </row>
    <row r="205" spans="3:10" ht="15.75" hidden="1" thickBot="1" x14ac:dyDescent="0.3">
      <c r="G205" s="268" t="s">
        <v>4909</v>
      </c>
      <c r="H205" s="561">
        <f>SUM(H172:H187)</f>
        <v>0</v>
      </c>
      <c r="I205" s="562">
        <f>SUM(I173:I187)</f>
        <v>0</v>
      </c>
      <c r="J205" s="562">
        <f>SUM(J172:J187)</f>
        <v>0</v>
      </c>
    </row>
    <row r="206" spans="3:10" hidden="1" x14ac:dyDescent="0.25"/>
    <row r="207" spans="3:10" hidden="1" x14ac:dyDescent="0.25">
      <c r="C207" s="267" t="s">
        <v>4844</v>
      </c>
      <c r="D207" s="259"/>
      <c r="G207" s="320" t="s">
        <v>4967</v>
      </c>
    </row>
    <row r="208" spans="3:10" ht="30" hidden="1" x14ac:dyDescent="0.25">
      <c r="C208" s="267"/>
      <c r="D208" s="331">
        <v>110</v>
      </c>
      <c r="E208" s="869"/>
      <c r="F208" s="331"/>
      <c r="G208" s="332" t="s">
        <v>105</v>
      </c>
    </row>
    <row r="209" spans="6:10" hidden="1" x14ac:dyDescent="0.25">
      <c r="F209" s="276">
        <v>411</v>
      </c>
      <c r="G209" s="319" t="s">
        <v>4131</v>
      </c>
      <c r="J209" s="556">
        <f>SUM(H209:I209)</f>
        <v>0</v>
      </c>
    </row>
    <row r="210" spans="6:10" hidden="1" x14ac:dyDescent="0.25">
      <c r="F210" s="276">
        <v>412</v>
      </c>
      <c r="G210" s="317" t="s">
        <v>3766</v>
      </c>
      <c r="J210" s="556">
        <f t="shared" ref="J210:J268" si="6">SUM(H210:I210)</f>
        <v>0</v>
      </c>
    </row>
    <row r="211" spans="6:10" hidden="1" x14ac:dyDescent="0.25">
      <c r="F211" s="276">
        <v>413</v>
      </c>
      <c r="G211" s="319" t="s">
        <v>4132</v>
      </c>
      <c r="J211" s="556">
        <f t="shared" si="6"/>
        <v>0</v>
      </c>
    </row>
    <row r="212" spans="6:10" hidden="1" x14ac:dyDescent="0.25">
      <c r="F212" s="276">
        <v>414</v>
      </c>
      <c r="G212" s="319" t="s">
        <v>3769</v>
      </c>
      <c r="J212" s="556">
        <f t="shared" si="6"/>
        <v>0</v>
      </c>
    </row>
    <row r="213" spans="6:10" hidden="1" x14ac:dyDescent="0.25">
      <c r="F213" s="276">
        <v>415</v>
      </c>
      <c r="G213" s="319" t="s">
        <v>4141</v>
      </c>
      <c r="J213" s="556">
        <f t="shared" si="6"/>
        <v>0</v>
      </c>
    </row>
    <row r="214" spans="6:10" hidden="1" x14ac:dyDescent="0.25">
      <c r="F214" s="276">
        <v>416</v>
      </c>
      <c r="G214" s="319" t="s">
        <v>4142</v>
      </c>
      <c r="J214" s="556">
        <f t="shared" si="6"/>
        <v>0</v>
      </c>
    </row>
    <row r="215" spans="6:10" hidden="1" x14ac:dyDescent="0.25">
      <c r="F215" s="276">
        <v>417</v>
      </c>
      <c r="G215" s="319" t="s">
        <v>4143</v>
      </c>
      <c r="J215" s="556">
        <f t="shared" si="6"/>
        <v>0</v>
      </c>
    </row>
    <row r="216" spans="6:10" hidden="1" x14ac:dyDescent="0.25">
      <c r="F216" s="276">
        <v>418</v>
      </c>
      <c r="G216" s="319" t="s">
        <v>3775</v>
      </c>
      <c r="J216" s="556">
        <f t="shared" si="6"/>
        <v>0</v>
      </c>
    </row>
    <row r="217" spans="6:10" hidden="1" x14ac:dyDescent="0.25">
      <c r="F217" s="276">
        <v>421</v>
      </c>
      <c r="G217" s="319" t="s">
        <v>3779</v>
      </c>
      <c r="J217" s="556">
        <f t="shared" si="6"/>
        <v>0</v>
      </c>
    </row>
    <row r="218" spans="6:10" hidden="1" x14ac:dyDescent="0.25">
      <c r="F218" s="276">
        <v>422</v>
      </c>
      <c r="G218" s="319" t="s">
        <v>3780</v>
      </c>
      <c r="J218" s="556">
        <f t="shared" si="6"/>
        <v>0</v>
      </c>
    </row>
    <row r="219" spans="6:10" hidden="1" x14ac:dyDescent="0.25">
      <c r="F219" s="276">
        <v>423</v>
      </c>
      <c r="G219" s="319" t="s">
        <v>3781</v>
      </c>
      <c r="J219" s="556">
        <f t="shared" si="6"/>
        <v>0</v>
      </c>
    </row>
    <row r="220" spans="6:10" hidden="1" x14ac:dyDescent="0.25">
      <c r="F220" s="276">
        <v>424</v>
      </c>
      <c r="G220" s="319" t="s">
        <v>3783</v>
      </c>
      <c r="J220" s="556">
        <f t="shared" si="6"/>
        <v>0</v>
      </c>
    </row>
    <row r="221" spans="6:10" hidden="1" x14ac:dyDescent="0.25">
      <c r="F221" s="276">
        <v>425</v>
      </c>
      <c r="G221" s="319" t="s">
        <v>4144</v>
      </c>
      <c r="J221" s="556">
        <f t="shared" si="6"/>
        <v>0</v>
      </c>
    </row>
    <row r="222" spans="6:10" ht="15.75" hidden="1" thickBot="1" x14ac:dyDescent="0.3">
      <c r="F222" s="276">
        <v>426</v>
      </c>
      <c r="G222" s="319" t="s">
        <v>3787</v>
      </c>
      <c r="J222" s="556">
        <f t="shared" si="6"/>
        <v>0</v>
      </c>
    </row>
    <row r="223" spans="6:10" hidden="1" x14ac:dyDescent="0.25">
      <c r="F223" s="276">
        <v>431</v>
      </c>
      <c r="G223" s="319" t="s">
        <v>4145</v>
      </c>
      <c r="J223" s="556">
        <f t="shared" si="6"/>
        <v>0</v>
      </c>
    </row>
    <row r="224" spans="6:10" hidden="1" x14ac:dyDescent="0.25">
      <c r="F224" s="276">
        <v>432</v>
      </c>
      <c r="G224" s="319" t="s">
        <v>4146</v>
      </c>
      <c r="J224" s="556">
        <f t="shared" si="6"/>
        <v>0</v>
      </c>
    </row>
    <row r="225" spans="6:10" hidden="1" x14ac:dyDescent="0.25">
      <c r="F225" s="276">
        <v>433</v>
      </c>
      <c r="G225" s="319" t="s">
        <v>4147</v>
      </c>
      <c r="J225" s="556">
        <f t="shared" si="6"/>
        <v>0</v>
      </c>
    </row>
    <row r="226" spans="6:10" hidden="1" x14ac:dyDescent="0.25">
      <c r="F226" s="276">
        <v>434</v>
      </c>
      <c r="G226" s="319" t="s">
        <v>4148</v>
      </c>
      <c r="J226" s="556">
        <f t="shared" si="6"/>
        <v>0</v>
      </c>
    </row>
    <row r="227" spans="6:10" hidden="1" x14ac:dyDescent="0.25">
      <c r="F227" s="276">
        <v>435</v>
      </c>
      <c r="G227" s="319" t="s">
        <v>3794</v>
      </c>
      <c r="J227" s="556">
        <f t="shared" si="6"/>
        <v>0</v>
      </c>
    </row>
    <row r="228" spans="6:10" hidden="1" x14ac:dyDescent="0.25">
      <c r="F228" s="276">
        <v>441</v>
      </c>
      <c r="G228" s="319" t="s">
        <v>4149</v>
      </c>
      <c r="J228" s="556">
        <f t="shared" si="6"/>
        <v>0</v>
      </c>
    </row>
    <row r="229" spans="6:10" hidden="1" x14ac:dyDescent="0.25">
      <c r="F229" s="276">
        <v>442</v>
      </c>
      <c r="G229" s="319" t="s">
        <v>4150</v>
      </c>
      <c r="J229" s="556">
        <f t="shared" si="6"/>
        <v>0</v>
      </c>
    </row>
    <row r="230" spans="6:10" hidden="1" x14ac:dyDescent="0.25">
      <c r="F230" s="276">
        <v>443</v>
      </c>
      <c r="G230" s="319" t="s">
        <v>3799</v>
      </c>
      <c r="J230" s="556">
        <f t="shared" si="6"/>
        <v>0</v>
      </c>
    </row>
    <row r="231" spans="6:10" hidden="1" x14ac:dyDescent="0.25">
      <c r="F231" s="276">
        <v>444</v>
      </c>
      <c r="G231" s="319" t="s">
        <v>3800</v>
      </c>
      <c r="J231" s="556">
        <f t="shared" si="6"/>
        <v>0</v>
      </c>
    </row>
    <row r="232" spans="6:10" ht="30" hidden="1" x14ac:dyDescent="0.25">
      <c r="F232" s="276">
        <v>4511</v>
      </c>
      <c r="G232" s="263" t="s">
        <v>1690</v>
      </c>
      <c r="J232" s="556">
        <f t="shared" si="6"/>
        <v>0</v>
      </c>
    </row>
    <row r="233" spans="6:10" ht="30" hidden="1" x14ac:dyDescent="0.25">
      <c r="F233" s="276">
        <v>4512</v>
      </c>
      <c r="G233" s="263" t="s">
        <v>1699</v>
      </c>
      <c r="J233" s="556">
        <f t="shared" si="6"/>
        <v>0</v>
      </c>
    </row>
    <row r="234" spans="6:10" hidden="1" x14ac:dyDescent="0.25">
      <c r="F234" s="276">
        <v>452</v>
      </c>
      <c r="G234" s="319" t="s">
        <v>4151</v>
      </c>
      <c r="J234" s="556">
        <f t="shared" si="6"/>
        <v>0</v>
      </c>
    </row>
    <row r="235" spans="6:10" hidden="1" x14ac:dyDescent="0.25">
      <c r="F235" s="276">
        <v>453</v>
      </c>
      <c r="G235" s="319" t="s">
        <v>4152</v>
      </c>
      <c r="J235" s="556">
        <f t="shared" si="6"/>
        <v>0</v>
      </c>
    </row>
    <row r="236" spans="6:10" hidden="1" x14ac:dyDescent="0.25">
      <c r="F236" s="276">
        <v>454</v>
      </c>
      <c r="G236" s="319" t="s">
        <v>3805</v>
      </c>
      <c r="J236" s="556">
        <f t="shared" si="6"/>
        <v>0</v>
      </c>
    </row>
    <row r="237" spans="6:10" hidden="1" x14ac:dyDescent="0.25">
      <c r="F237" s="276">
        <v>461</v>
      </c>
      <c r="G237" s="319" t="s">
        <v>4133</v>
      </c>
      <c r="J237" s="556">
        <f t="shared" si="6"/>
        <v>0</v>
      </c>
    </row>
    <row r="238" spans="6:10" hidden="1" x14ac:dyDescent="0.25">
      <c r="F238" s="276">
        <v>462</v>
      </c>
      <c r="G238" s="319" t="s">
        <v>3808</v>
      </c>
      <c r="J238" s="556">
        <f t="shared" si="6"/>
        <v>0</v>
      </c>
    </row>
    <row r="239" spans="6:10" hidden="1" x14ac:dyDescent="0.25">
      <c r="F239" s="276">
        <v>4631</v>
      </c>
      <c r="G239" s="319" t="s">
        <v>3809</v>
      </c>
      <c r="J239" s="556">
        <f t="shared" si="6"/>
        <v>0</v>
      </c>
    </row>
    <row r="240" spans="6:10" hidden="1" x14ac:dyDescent="0.25">
      <c r="F240" s="276">
        <v>4632</v>
      </c>
      <c r="G240" s="319" t="s">
        <v>3810</v>
      </c>
      <c r="J240" s="556">
        <f t="shared" si="6"/>
        <v>0</v>
      </c>
    </row>
    <row r="241" spans="6:10" hidden="1" x14ac:dyDescent="0.25">
      <c r="F241" s="276">
        <v>464</v>
      </c>
      <c r="G241" s="319" t="s">
        <v>3811</v>
      </c>
      <c r="J241" s="556">
        <f t="shared" si="6"/>
        <v>0</v>
      </c>
    </row>
    <row r="242" spans="6:10" hidden="1" x14ac:dyDescent="0.25">
      <c r="F242" s="276">
        <v>465</v>
      </c>
      <c r="G242" s="319" t="s">
        <v>4134</v>
      </c>
      <c r="J242" s="556">
        <f t="shared" si="6"/>
        <v>0</v>
      </c>
    </row>
    <row r="243" spans="6:10" hidden="1" x14ac:dyDescent="0.25">
      <c r="F243" s="276">
        <v>472</v>
      </c>
      <c r="G243" s="319" t="s">
        <v>3815</v>
      </c>
      <c r="J243" s="556">
        <f t="shared" si="6"/>
        <v>0</v>
      </c>
    </row>
    <row r="244" spans="6:10" hidden="1" x14ac:dyDescent="0.25">
      <c r="F244" s="276">
        <v>481</v>
      </c>
      <c r="G244" s="319" t="s">
        <v>4153</v>
      </c>
      <c r="J244" s="556">
        <f t="shared" si="6"/>
        <v>0</v>
      </c>
    </row>
    <row r="245" spans="6:10" hidden="1" x14ac:dyDescent="0.25">
      <c r="F245" s="276">
        <v>482</v>
      </c>
      <c r="G245" s="319" t="s">
        <v>4154</v>
      </c>
      <c r="J245" s="556">
        <f t="shared" si="6"/>
        <v>0</v>
      </c>
    </row>
    <row r="246" spans="6:10" hidden="1" x14ac:dyDescent="0.25">
      <c r="F246" s="276">
        <v>483</v>
      </c>
      <c r="G246" s="322" t="s">
        <v>4155</v>
      </c>
      <c r="J246" s="556">
        <f t="shared" si="6"/>
        <v>0</v>
      </c>
    </row>
    <row r="247" spans="6:10" ht="30" hidden="1" x14ac:dyDescent="0.25">
      <c r="F247" s="276">
        <v>484</v>
      </c>
      <c r="G247" s="319" t="s">
        <v>4156</v>
      </c>
      <c r="J247" s="556">
        <f t="shared" si="6"/>
        <v>0</v>
      </c>
    </row>
    <row r="248" spans="6:10" ht="30" hidden="1" x14ac:dyDescent="0.25">
      <c r="F248" s="276">
        <v>485</v>
      </c>
      <c r="G248" s="319" t="s">
        <v>4157</v>
      </c>
      <c r="J248" s="556">
        <f t="shared" si="6"/>
        <v>0</v>
      </c>
    </row>
    <row r="249" spans="6:10" ht="30" hidden="1" x14ac:dyDescent="0.25">
      <c r="F249" s="276">
        <v>489</v>
      </c>
      <c r="G249" s="319" t="s">
        <v>3823</v>
      </c>
      <c r="J249" s="556">
        <f t="shared" si="6"/>
        <v>0</v>
      </c>
    </row>
    <row r="250" spans="6:10" hidden="1" x14ac:dyDescent="0.25">
      <c r="F250" s="276">
        <v>494</v>
      </c>
      <c r="G250" s="319" t="s">
        <v>4135</v>
      </c>
      <c r="J250" s="556">
        <f t="shared" si="6"/>
        <v>0</v>
      </c>
    </row>
    <row r="251" spans="6:10" ht="30" hidden="1" x14ac:dyDescent="0.25">
      <c r="F251" s="276">
        <v>495</v>
      </c>
      <c r="G251" s="319" t="s">
        <v>4136</v>
      </c>
      <c r="J251" s="556">
        <f t="shared" si="6"/>
        <v>0</v>
      </c>
    </row>
    <row r="252" spans="6:10" ht="30" hidden="1" x14ac:dyDescent="0.25">
      <c r="F252" s="276">
        <v>496</v>
      </c>
      <c r="G252" s="319" t="s">
        <v>4137</v>
      </c>
      <c r="J252" s="556">
        <f t="shared" si="6"/>
        <v>0</v>
      </c>
    </row>
    <row r="253" spans="6:10" ht="30" hidden="1" x14ac:dyDescent="0.25">
      <c r="F253" s="276">
        <v>499</v>
      </c>
      <c r="G253" s="319" t="s">
        <v>4138</v>
      </c>
      <c r="J253" s="556">
        <f t="shared" si="6"/>
        <v>0</v>
      </c>
    </row>
    <row r="254" spans="6:10" hidden="1" x14ac:dyDescent="0.25">
      <c r="F254" s="276">
        <v>511</v>
      </c>
      <c r="G254" s="322" t="s">
        <v>4158</v>
      </c>
      <c r="J254" s="556">
        <f t="shared" si="6"/>
        <v>0</v>
      </c>
    </row>
    <row r="255" spans="6:10" hidden="1" x14ac:dyDescent="0.25">
      <c r="F255" s="276">
        <v>512</v>
      </c>
      <c r="G255" s="322" t="s">
        <v>4159</v>
      </c>
      <c r="J255" s="556">
        <f t="shared" si="6"/>
        <v>0</v>
      </c>
    </row>
    <row r="256" spans="6:10" hidden="1" x14ac:dyDescent="0.25">
      <c r="F256" s="276">
        <v>513</v>
      </c>
      <c r="G256" s="322" t="s">
        <v>4160</v>
      </c>
      <c r="J256" s="556">
        <f t="shared" si="6"/>
        <v>0</v>
      </c>
    </row>
    <row r="257" spans="5:10" hidden="1" x14ac:dyDescent="0.25">
      <c r="F257" s="276">
        <v>514</v>
      </c>
      <c r="G257" s="319" t="s">
        <v>4161</v>
      </c>
      <c r="J257" s="556">
        <f t="shared" si="6"/>
        <v>0</v>
      </c>
    </row>
    <row r="258" spans="5:10" hidden="1" x14ac:dyDescent="0.25">
      <c r="F258" s="276">
        <v>515</v>
      </c>
      <c r="G258" s="319" t="s">
        <v>3834</v>
      </c>
      <c r="J258" s="556">
        <f t="shared" si="6"/>
        <v>0</v>
      </c>
    </row>
    <row r="259" spans="5:10" hidden="1" x14ac:dyDescent="0.25">
      <c r="F259" s="276">
        <v>521</v>
      </c>
      <c r="G259" s="319" t="s">
        <v>4162</v>
      </c>
      <c r="J259" s="556">
        <f t="shared" si="6"/>
        <v>0</v>
      </c>
    </row>
    <row r="260" spans="5:10" hidden="1" x14ac:dyDescent="0.25">
      <c r="F260" s="276">
        <v>522</v>
      </c>
      <c r="G260" s="319" t="s">
        <v>4163</v>
      </c>
      <c r="J260" s="556">
        <f t="shared" si="6"/>
        <v>0</v>
      </c>
    </row>
    <row r="261" spans="5:10" hidden="1" x14ac:dyDescent="0.25">
      <c r="F261" s="276">
        <v>523</v>
      </c>
      <c r="G261" s="319" t="s">
        <v>3839</v>
      </c>
      <c r="J261" s="556">
        <f t="shared" si="6"/>
        <v>0</v>
      </c>
    </row>
    <row r="262" spans="5:10" hidden="1" x14ac:dyDescent="0.25">
      <c r="F262" s="276">
        <v>531</v>
      </c>
      <c r="G262" s="317" t="s">
        <v>4139</v>
      </c>
      <c r="J262" s="556">
        <f t="shared" si="6"/>
        <v>0</v>
      </c>
    </row>
    <row r="263" spans="5:10" hidden="1" x14ac:dyDescent="0.25">
      <c r="F263" s="276">
        <v>541</v>
      </c>
      <c r="G263" s="319" t="s">
        <v>4164</v>
      </c>
      <c r="J263" s="556">
        <f t="shared" si="6"/>
        <v>0</v>
      </c>
    </row>
    <row r="264" spans="5:10" hidden="1" x14ac:dyDescent="0.25">
      <c r="F264" s="276">
        <v>542</v>
      </c>
      <c r="G264" s="319" t="s">
        <v>4165</v>
      </c>
      <c r="J264" s="556">
        <f t="shared" si="6"/>
        <v>0</v>
      </c>
    </row>
    <row r="265" spans="5:10" hidden="1" x14ac:dyDescent="0.25">
      <c r="F265" s="276">
        <v>543</v>
      </c>
      <c r="G265" s="319" t="s">
        <v>3844</v>
      </c>
      <c r="J265" s="556">
        <f t="shared" si="6"/>
        <v>0</v>
      </c>
    </row>
    <row r="266" spans="5:10" ht="30" hidden="1" x14ac:dyDescent="0.25">
      <c r="F266" s="276">
        <v>551</v>
      </c>
      <c r="G266" s="319" t="s">
        <v>4140</v>
      </c>
      <c r="J266" s="556">
        <f t="shared" si="6"/>
        <v>0</v>
      </c>
    </row>
    <row r="267" spans="5:10" hidden="1" x14ac:dyDescent="0.25">
      <c r="F267" s="277">
        <v>611</v>
      </c>
      <c r="G267" s="323" t="s">
        <v>3850</v>
      </c>
      <c r="J267" s="556">
        <f t="shared" si="6"/>
        <v>0</v>
      </c>
    </row>
    <row r="268" spans="5:10" ht="15.75" hidden="1" thickBot="1" x14ac:dyDescent="0.3">
      <c r="F268" s="277">
        <v>620</v>
      </c>
      <c r="G268" s="323" t="s">
        <v>88</v>
      </c>
      <c r="J268" s="556">
        <f t="shared" si="6"/>
        <v>0</v>
      </c>
    </row>
    <row r="269" spans="5:10" hidden="1" x14ac:dyDescent="0.25">
      <c r="E269" s="489"/>
      <c r="F269" s="277"/>
      <c r="G269" s="342" t="s">
        <v>4287</v>
      </c>
      <c r="H269" s="557"/>
      <c r="I269" s="583"/>
      <c r="J269" s="558"/>
    </row>
    <row r="270" spans="5:10" ht="15.75" hidden="1" thickBot="1" x14ac:dyDescent="0.3">
      <c r="E270" s="693"/>
      <c r="F270" s="272" t="s">
        <v>234</v>
      </c>
      <c r="G270" s="287" t="s">
        <v>235</v>
      </c>
      <c r="H270" s="559">
        <f>SUM(H209:H268)</f>
        <v>0</v>
      </c>
      <c r="I270" s="560"/>
      <c r="J270" s="560">
        <f>SUM(H270:I270)</f>
        <v>0</v>
      </c>
    </row>
    <row r="271" spans="5:10" hidden="1" x14ac:dyDescent="0.25">
      <c r="F271" s="272" t="s">
        <v>236</v>
      </c>
      <c r="G271" s="287" t="s">
        <v>237</v>
      </c>
      <c r="J271" s="560">
        <f t="shared" ref="J271:J285" si="7">SUM(H271:I271)</f>
        <v>0</v>
      </c>
    </row>
    <row r="272" spans="5:10" hidden="1" x14ac:dyDescent="0.25">
      <c r="F272" s="272" t="s">
        <v>238</v>
      </c>
      <c r="G272" s="287" t="s">
        <v>239</v>
      </c>
      <c r="J272" s="560">
        <f t="shared" si="7"/>
        <v>0</v>
      </c>
    </row>
    <row r="273" spans="5:10" hidden="1" x14ac:dyDescent="0.25">
      <c r="F273" s="272" t="s">
        <v>240</v>
      </c>
      <c r="G273" s="287" t="s">
        <v>241</v>
      </c>
      <c r="J273" s="560">
        <f t="shared" si="7"/>
        <v>0</v>
      </c>
    </row>
    <row r="274" spans="5:10" hidden="1" x14ac:dyDescent="0.25">
      <c r="F274" s="272" t="s">
        <v>242</v>
      </c>
      <c r="G274" s="287" t="s">
        <v>243</v>
      </c>
      <c r="J274" s="560">
        <f t="shared" si="7"/>
        <v>0</v>
      </c>
    </row>
    <row r="275" spans="5:10" hidden="1" x14ac:dyDescent="0.25">
      <c r="F275" s="272" t="s">
        <v>244</v>
      </c>
      <c r="G275" s="287" t="s">
        <v>245</v>
      </c>
      <c r="J275" s="560">
        <f t="shared" si="7"/>
        <v>0</v>
      </c>
    </row>
    <row r="276" spans="5:10" hidden="1" x14ac:dyDescent="0.25">
      <c r="F276" s="272" t="s">
        <v>246</v>
      </c>
      <c r="G276" s="598" t="s">
        <v>4996</v>
      </c>
      <c r="J276" s="560">
        <f t="shared" si="7"/>
        <v>0</v>
      </c>
    </row>
    <row r="277" spans="5:10" hidden="1" x14ac:dyDescent="0.25">
      <c r="F277" s="272" t="s">
        <v>247</v>
      </c>
      <c r="G277" s="598" t="s">
        <v>4995</v>
      </c>
      <c r="J277" s="560">
        <f t="shared" si="7"/>
        <v>0</v>
      </c>
    </row>
    <row r="278" spans="5:10" hidden="1" x14ac:dyDescent="0.25">
      <c r="F278" s="272" t="s">
        <v>248</v>
      </c>
      <c r="G278" s="287" t="s">
        <v>57</v>
      </c>
      <c r="J278" s="560">
        <f t="shared" si="7"/>
        <v>0</v>
      </c>
    </row>
    <row r="279" spans="5:10" hidden="1" x14ac:dyDescent="0.25">
      <c r="F279" s="272" t="s">
        <v>249</v>
      </c>
      <c r="G279" s="287" t="s">
        <v>250</v>
      </c>
      <c r="J279" s="560">
        <f t="shared" si="7"/>
        <v>0</v>
      </c>
    </row>
    <row r="280" spans="5:10" hidden="1" x14ac:dyDescent="0.25">
      <c r="F280" s="272" t="s">
        <v>251</v>
      </c>
      <c r="G280" s="287" t="s">
        <v>252</v>
      </c>
      <c r="J280" s="560">
        <f t="shared" si="7"/>
        <v>0</v>
      </c>
    </row>
    <row r="281" spans="5:10" ht="30" hidden="1" x14ac:dyDescent="0.25">
      <c r="F281" s="272" t="s">
        <v>253</v>
      </c>
      <c r="G281" s="287" t="s">
        <v>254</v>
      </c>
      <c r="J281" s="560">
        <f t="shared" si="7"/>
        <v>0</v>
      </c>
    </row>
    <row r="282" spans="5:10" hidden="1" x14ac:dyDescent="0.25">
      <c r="F282" s="272" t="s">
        <v>255</v>
      </c>
      <c r="G282" s="287" t="s">
        <v>256</v>
      </c>
      <c r="J282" s="560">
        <f t="shared" si="7"/>
        <v>0</v>
      </c>
    </row>
    <row r="283" spans="5:10" ht="30" hidden="1" x14ac:dyDescent="0.25">
      <c r="F283" s="272" t="s">
        <v>257</v>
      </c>
      <c r="G283" s="287" t="s">
        <v>258</v>
      </c>
      <c r="J283" s="560">
        <f t="shared" si="7"/>
        <v>0</v>
      </c>
    </row>
    <row r="284" spans="5:10" hidden="1" x14ac:dyDescent="0.25">
      <c r="F284" s="272" t="s">
        <v>259</v>
      </c>
      <c r="G284" s="287" t="s">
        <v>260</v>
      </c>
      <c r="J284" s="560">
        <f t="shared" si="7"/>
        <v>0</v>
      </c>
    </row>
    <row r="285" spans="5:10" ht="15.75" hidden="1" thickBot="1" x14ac:dyDescent="0.3">
      <c r="F285" s="272" t="s">
        <v>261</v>
      </c>
      <c r="G285" s="287" t="s">
        <v>262</v>
      </c>
      <c r="H285" s="559"/>
      <c r="I285" s="560"/>
      <c r="J285" s="560">
        <f t="shared" si="7"/>
        <v>0</v>
      </c>
    </row>
    <row r="286" spans="5:10" ht="15.75" hidden="1" thickBot="1" x14ac:dyDescent="0.3">
      <c r="G286" s="268" t="s">
        <v>4231</v>
      </c>
      <c r="H286" s="561">
        <f>SUM(H270:H285)</f>
        <v>0</v>
      </c>
      <c r="I286" s="562">
        <f>SUM(I271:I285)</f>
        <v>0</v>
      </c>
      <c r="J286" s="562">
        <f>SUM(J270:J285)</f>
        <v>0</v>
      </c>
    </row>
    <row r="287" spans="5:10" hidden="1" collapsed="1" x14ac:dyDescent="0.25">
      <c r="E287" s="489"/>
      <c r="F287" s="324"/>
      <c r="G287" s="270" t="s">
        <v>4944</v>
      </c>
      <c r="H287" s="563"/>
      <c r="I287" s="584"/>
      <c r="J287" s="564"/>
    </row>
    <row r="288" spans="5:10" ht="15.75" hidden="1" thickBot="1" x14ac:dyDescent="0.3">
      <c r="E288" s="693"/>
      <c r="F288" s="284" t="s">
        <v>234</v>
      </c>
      <c r="G288" s="287" t="s">
        <v>235</v>
      </c>
      <c r="H288" s="559">
        <f>SUM(H209:H268)</f>
        <v>0</v>
      </c>
      <c r="I288" s="560"/>
      <c r="J288" s="560">
        <f>SUM(H288:I288)</f>
        <v>0</v>
      </c>
    </row>
    <row r="289" spans="6:10" hidden="1" x14ac:dyDescent="0.25">
      <c r="F289" s="284" t="s">
        <v>236</v>
      </c>
      <c r="G289" s="287" t="s">
        <v>237</v>
      </c>
      <c r="J289" s="560">
        <f t="shared" ref="J289:J303" si="8">SUM(H289:I289)</f>
        <v>0</v>
      </c>
    </row>
    <row r="290" spans="6:10" hidden="1" x14ac:dyDescent="0.25">
      <c r="F290" s="284" t="s">
        <v>238</v>
      </c>
      <c r="G290" s="287" t="s">
        <v>239</v>
      </c>
      <c r="J290" s="560">
        <f t="shared" si="8"/>
        <v>0</v>
      </c>
    </row>
    <row r="291" spans="6:10" hidden="1" x14ac:dyDescent="0.25">
      <c r="F291" s="284" t="s">
        <v>240</v>
      </c>
      <c r="G291" s="287" t="s">
        <v>241</v>
      </c>
      <c r="J291" s="560">
        <f t="shared" si="8"/>
        <v>0</v>
      </c>
    </row>
    <row r="292" spans="6:10" hidden="1" x14ac:dyDescent="0.25">
      <c r="F292" s="284" t="s">
        <v>242</v>
      </c>
      <c r="G292" s="287" t="s">
        <v>243</v>
      </c>
      <c r="J292" s="560">
        <f t="shared" si="8"/>
        <v>0</v>
      </c>
    </row>
    <row r="293" spans="6:10" hidden="1" x14ac:dyDescent="0.25">
      <c r="F293" s="284" t="s">
        <v>244</v>
      </c>
      <c r="G293" s="287" t="s">
        <v>245</v>
      </c>
      <c r="J293" s="560">
        <f t="shared" si="8"/>
        <v>0</v>
      </c>
    </row>
    <row r="294" spans="6:10" hidden="1" x14ac:dyDescent="0.25">
      <c r="F294" s="284" t="s">
        <v>246</v>
      </c>
      <c r="G294" s="598" t="s">
        <v>4996</v>
      </c>
      <c r="J294" s="560">
        <f t="shared" si="8"/>
        <v>0</v>
      </c>
    </row>
    <row r="295" spans="6:10" hidden="1" x14ac:dyDescent="0.25">
      <c r="F295" s="284" t="s">
        <v>247</v>
      </c>
      <c r="G295" s="598" t="s">
        <v>4995</v>
      </c>
      <c r="J295" s="560">
        <f t="shared" si="8"/>
        <v>0</v>
      </c>
    </row>
    <row r="296" spans="6:10" hidden="1" x14ac:dyDescent="0.25">
      <c r="F296" s="284" t="s">
        <v>248</v>
      </c>
      <c r="G296" s="287" t="s">
        <v>57</v>
      </c>
      <c r="J296" s="560">
        <f t="shared" si="8"/>
        <v>0</v>
      </c>
    </row>
    <row r="297" spans="6:10" hidden="1" x14ac:dyDescent="0.25">
      <c r="F297" s="284" t="s">
        <v>249</v>
      </c>
      <c r="G297" s="287" t="s">
        <v>250</v>
      </c>
      <c r="J297" s="560">
        <f t="shared" si="8"/>
        <v>0</v>
      </c>
    </row>
    <row r="298" spans="6:10" hidden="1" x14ac:dyDescent="0.25">
      <c r="F298" s="284" t="s">
        <v>251</v>
      </c>
      <c r="G298" s="287" t="s">
        <v>252</v>
      </c>
      <c r="J298" s="560">
        <f t="shared" si="8"/>
        <v>0</v>
      </c>
    </row>
    <row r="299" spans="6:10" ht="30" hidden="1" x14ac:dyDescent="0.25">
      <c r="F299" s="284" t="s">
        <v>253</v>
      </c>
      <c r="G299" s="287" t="s">
        <v>254</v>
      </c>
      <c r="J299" s="560">
        <f t="shared" si="8"/>
        <v>0</v>
      </c>
    </row>
    <row r="300" spans="6:10" hidden="1" x14ac:dyDescent="0.25">
      <c r="F300" s="284" t="s">
        <v>255</v>
      </c>
      <c r="G300" s="287" t="s">
        <v>256</v>
      </c>
      <c r="J300" s="560">
        <f t="shared" si="8"/>
        <v>0</v>
      </c>
    </row>
    <row r="301" spans="6:10" ht="30" hidden="1" x14ac:dyDescent="0.25">
      <c r="F301" s="284" t="s">
        <v>257</v>
      </c>
      <c r="G301" s="287" t="s">
        <v>258</v>
      </c>
      <c r="J301" s="560">
        <f t="shared" si="8"/>
        <v>0</v>
      </c>
    </row>
    <row r="302" spans="6:10" hidden="1" x14ac:dyDescent="0.25">
      <c r="F302" s="284" t="s">
        <v>259</v>
      </c>
      <c r="G302" s="287" t="s">
        <v>260</v>
      </c>
      <c r="J302" s="560">
        <f t="shared" si="8"/>
        <v>0</v>
      </c>
    </row>
    <row r="303" spans="6:10" ht="15.75" hidden="1" thickBot="1" x14ac:dyDescent="0.3">
      <c r="F303" s="284" t="s">
        <v>261</v>
      </c>
      <c r="G303" s="287" t="s">
        <v>262</v>
      </c>
      <c r="H303" s="559"/>
      <c r="I303" s="560"/>
      <c r="J303" s="560">
        <f t="shared" si="8"/>
        <v>0</v>
      </c>
    </row>
    <row r="304" spans="6:10" ht="15.75" hidden="1" thickBot="1" x14ac:dyDescent="0.3">
      <c r="G304" s="268" t="s">
        <v>4910</v>
      </c>
      <c r="H304" s="561">
        <f>SUM(H271:H286)</f>
        <v>0</v>
      </c>
      <c r="I304" s="562">
        <f>SUM(I272:I286)</f>
        <v>0</v>
      </c>
      <c r="J304" s="562">
        <f>SUM(J271:J286)</f>
        <v>0</v>
      </c>
    </row>
    <row r="305" spans="3:10" hidden="1" x14ac:dyDescent="0.25">
      <c r="G305" s="312"/>
      <c r="H305" s="565"/>
      <c r="I305" s="566"/>
      <c r="J305" s="566"/>
    </row>
    <row r="306" spans="3:10" x14ac:dyDescent="0.25">
      <c r="C306" s="267" t="s">
        <v>5051</v>
      </c>
      <c r="D306" s="259"/>
      <c r="G306" s="483" t="s">
        <v>5052</v>
      </c>
    </row>
    <row r="307" spans="3:10" x14ac:dyDescent="0.25">
      <c r="C307" s="267"/>
      <c r="D307" s="259"/>
      <c r="G307" s="483" t="s">
        <v>5226</v>
      </c>
    </row>
    <row r="308" spans="3:10" ht="30" x14ac:dyDescent="0.25">
      <c r="C308" s="267"/>
      <c r="D308" s="331">
        <v>110</v>
      </c>
      <c r="E308" s="869"/>
      <c r="F308" s="331"/>
      <c r="G308" s="332" t="s">
        <v>105</v>
      </c>
    </row>
    <row r="309" spans="3:10" hidden="1" x14ac:dyDescent="0.25">
      <c r="E309" s="870">
        <v>1</v>
      </c>
      <c r="F309" s="499">
        <v>411</v>
      </c>
      <c r="G309" s="492" t="s">
        <v>4131</v>
      </c>
      <c r="J309" s="556">
        <f>SUM(H309:I309)</f>
        <v>0</v>
      </c>
    </row>
    <row r="310" spans="3:10" hidden="1" x14ac:dyDescent="0.25">
      <c r="E310" s="870">
        <v>2</v>
      </c>
      <c r="F310" s="499">
        <v>412</v>
      </c>
      <c r="G310" s="488" t="s">
        <v>3766</v>
      </c>
      <c r="J310" s="556">
        <f t="shared" ref="J310:J319" si="9">SUM(H310:I310)</f>
        <v>0</v>
      </c>
    </row>
    <row r="311" spans="3:10" hidden="1" x14ac:dyDescent="0.25">
      <c r="E311" s="870"/>
      <c r="F311" s="499">
        <v>413</v>
      </c>
      <c r="G311" s="492" t="s">
        <v>4132</v>
      </c>
      <c r="J311" s="556">
        <f t="shared" si="9"/>
        <v>0</v>
      </c>
    </row>
    <row r="312" spans="3:10" hidden="1" x14ac:dyDescent="0.25">
      <c r="E312" s="870"/>
      <c r="F312" s="499">
        <v>414</v>
      </c>
      <c r="G312" s="492" t="s">
        <v>3769</v>
      </c>
      <c r="J312" s="556">
        <f t="shared" si="9"/>
        <v>0</v>
      </c>
    </row>
    <row r="313" spans="3:10" hidden="1" x14ac:dyDescent="0.25">
      <c r="E313" s="870"/>
      <c r="F313" s="499">
        <v>415</v>
      </c>
      <c r="G313" s="492" t="s">
        <v>4141</v>
      </c>
      <c r="J313" s="556">
        <f t="shared" si="9"/>
        <v>0</v>
      </c>
    </row>
    <row r="314" spans="3:10" x14ac:dyDescent="0.25">
      <c r="E314" s="870" t="s">
        <v>249</v>
      </c>
      <c r="F314" s="499">
        <v>416</v>
      </c>
      <c r="G314" s="492" t="s">
        <v>4142</v>
      </c>
      <c r="H314" s="555">
        <v>100000</v>
      </c>
      <c r="J314" s="556">
        <f t="shared" si="9"/>
        <v>100000</v>
      </c>
    </row>
    <row r="315" spans="3:10" hidden="1" x14ac:dyDescent="0.25">
      <c r="E315" s="870">
        <v>3</v>
      </c>
      <c r="F315" s="499">
        <v>417</v>
      </c>
      <c r="G315" s="492" t="s">
        <v>4143</v>
      </c>
      <c r="J315" s="556">
        <f t="shared" si="9"/>
        <v>0</v>
      </c>
    </row>
    <row r="316" spans="3:10" hidden="1" x14ac:dyDescent="0.25">
      <c r="E316" s="870">
        <v>3</v>
      </c>
      <c r="F316" s="499">
        <v>418</v>
      </c>
      <c r="G316" s="492" t="s">
        <v>3775</v>
      </c>
      <c r="J316" s="556">
        <f t="shared" si="9"/>
        <v>0</v>
      </c>
    </row>
    <row r="317" spans="3:10" x14ac:dyDescent="0.25">
      <c r="E317" s="870" t="s">
        <v>251</v>
      </c>
      <c r="F317" s="499">
        <v>421</v>
      </c>
      <c r="G317" s="492" t="s">
        <v>3779</v>
      </c>
      <c r="H317" s="555">
        <v>0</v>
      </c>
      <c r="J317" s="556">
        <f t="shared" si="9"/>
        <v>0</v>
      </c>
    </row>
    <row r="318" spans="3:10" hidden="1" x14ac:dyDescent="0.25">
      <c r="E318" s="870">
        <v>4</v>
      </c>
      <c r="F318" s="499">
        <v>422</v>
      </c>
      <c r="G318" s="492" t="s">
        <v>3780</v>
      </c>
      <c r="J318" s="556">
        <f t="shared" si="9"/>
        <v>0</v>
      </c>
    </row>
    <row r="319" spans="3:10" x14ac:dyDescent="0.25">
      <c r="E319" s="870" t="s">
        <v>253</v>
      </c>
      <c r="F319" s="499">
        <v>423</v>
      </c>
      <c r="G319" s="492" t="s">
        <v>3781</v>
      </c>
      <c r="H319" s="555">
        <v>0</v>
      </c>
      <c r="J319" s="556">
        <f t="shared" si="9"/>
        <v>0</v>
      </c>
    </row>
    <row r="320" spans="3:10" hidden="1" x14ac:dyDescent="0.25">
      <c r="E320" s="870">
        <v>3</v>
      </c>
      <c r="F320" s="499"/>
      <c r="G320" s="492"/>
    </row>
    <row r="321" spans="5:10" hidden="1" x14ac:dyDescent="0.25">
      <c r="E321" s="870">
        <v>3</v>
      </c>
      <c r="F321" s="499">
        <v>424</v>
      </c>
      <c r="G321" s="492" t="s">
        <v>3783</v>
      </c>
      <c r="J321" s="556">
        <f t="shared" ref="J321:J369" si="10">SUM(H321:I321)</f>
        <v>0</v>
      </c>
    </row>
    <row r="322" spans="5:10" ht="15.75" thickBot="1" x14ac:dyDescent="0.3">
      <c r="E322" s="870" t="s">
        <v>255</v>
      </c>
      <c r="F322" s="499">
        <v>426</v>
      </c>
      <c r="G322" s="492" t="s">
        <v>3787</v>
      </c>
      <c r="H322" s="555">
        <v>0</v>
      </c>
      <c r="J322" s="556">
        <f t="shared" si="10"/>
        <v>0</v>
      </c>
    </row>
    <row r="323" spans="5:10" hidden="1" x14ac:dyDescent="0.25">
      <c r="E323" s="870" t="s">
        <v>5048</v>
      </c>
      <c r="F323" s="499">
        <v>465</v>
      </c>
      <c r="G323" s="492" t="s">
        <v>4134</v>
      </c>
      <c r="J323" s="556">
        <f t="shared" si="10"/>
        <v>0</v>
      </c>
    </row>
    <row r="324" spans="5:10" hidden="1" x14ac:dyDescent="0.25">
      <c r="E324" s="870">
        <v>3</v>
      </c>
      <c r="F324" s="499">
        <v>431</v>
      </c>
      <c r="G324" s="492" t="s">
        <v>4145</v>
      </c>
      <c r="J324" s="556">
        <f t="shared" si="10"/>
        <v>0</v>
      </c>
    </row>
    <row r="325" spans="5:10" hidden="1" x14ac:dyDescent="0.25">
      <c r="E325" s="870">
        <v>3</v>
      </c>
      <c r="F325" s="499">
        <v>432</v>
      </c>
      <c r="G325" s="492" t="s">
        <v>4146</v>
      </c>
      <c r="J325" s="556">
        <f t="shared" si="10"/>
        <v>0</v>
      </c>
    </row>
    <row r="326" spans="5:10" hidden="1" x14ac:dyDescent="0.25">
      <c r="E326" s="870">
        <v>3</v>
      </c>
      <c r="F326" s="499">
        <v>433</v>
      </c>
      <c r="G326" s="492" t="s">
        <v>4147</v>
      </c>
      <c r="J326" s="556">
        <f t="shared" si="10"/>
        <v>0</v>
      </c>
    </row>
    <row r="327" spans="5:10" hidden="1" x14ac:dyDescent="0.25">
      <c r="E327" s="870">
        <v>3</v>
      </c>
      <c r="F327" s="499">
        <v>434</v>
      </c>
      <c r="G327" s="492" t="s">
        <v>4148</v>
      </c>
      <c r="J327" s="556">
        <f t="shared" si="10"/>
        <v>0</v>
      </c>
    </row>
    <row r="328" spans="5:10" hidden="1" x14ac:dyDescent="0.25">
      <c r="E328" s="870">
        <v>3</v>
      </c>
      <c r="F328" s="499">
        <v>435</v>
      </c>
      <c r="G328" s="492" t="s">
        <v>3794</v>
      </c>
      <c r="J328" s="556">
        <f t="shared" si="10"/>
        <v>0</v>
      </c>
    </row>
    <row r="329" spans="5:10" hidden="1" x14ac:dyDescent="0.25">
      <c r="E329" s="870">
        <v>3</v>
      </c>
      <c r="F329" s="499">
        <v>441</v>
      </c>
      <c r="G329" s="492" t="s">
        <v>4149</v>
      </c>
      <c r="J329" s="556">
        <f t="shared" si="10"/>
        <v>0</v>
      </c>
    </row>
    <row r="330" spans="5:10" hidden="1" x14ac:dyDescent="0.25">
      <c r="E330" s="870">
        <v>3</v>
      </c>
      <c r="F330" s="499">
        <v>442</v>
      </c>
      <c r="G330" s="492" t="s">
        <v>4150</v>
      </c>
      <c r="J330" s="556">
        <f t="shared" si="10"/>
        <v>0</v>
      </c>
    </row>
    <row r="331" spans="5:10" hidden="1" x14ac:dyDescent="0.25">
      <c r="E331" s="870">
        <v>3</v>
      </c>
      <c r="F331" s="499">
        <v>443</v>
      </c>
      <c r="G331" s="492" t="s">
        <v>3799</v>
      </c>
      <c r="J331" s="556">
        <f t="shared" si="10"/>
        <v>0</v>
      </c>
    </row>
    <row r="332" spans="5:10" hidden="1" x14ac:dyDescent="0.25">
      <c r="E332" s="870">
        <v>3</v>
      </c>
      <c r="F332" s="499">
        <v>444</v>
      </c>
      <c r="G332" s="492" t="s">
        <v>3800</v>
      </c>
      <c r="J332" s="556">
        <f t="shared" si="10"/>
        <v>0</v>
      </c>
    </row>
    <row r="333" spans="5:10" ht="30" hidden="1" x14ac:dyDescent="0.25">
      <c r="E333" s="870">
        <v>3</v>
      </c>
      <c r="F333" s="499">
        <v>4511</v>
      </c>
      <c r="G333" s="755" t="s">
        <v>1690</v>
      </c>
      <c r="J333" s="556">
        <f t="shared" si="10"/>
        <v>0</v>
      </c>
    </row>
    <row r="334" spans="5:10" ht="30" hidden="1" x14ac:dyDescent="0.25">
      <c r="E334" s="870">
        <v>3</v>
      </c>
      <c r="F334" s="499">
        <v>4512</v>
      </c>
      <c r="G334" s="755" t="s">
        <v>1699</v>
      </c>
      <c r="J334" s="556">
        <f t="shared" si="10"/>
        <v>0</v>
      </c>
    </row>
    <row r="335" spans="5:10" hidden="1" x14ac:dyDescent="0.25">
      <c r="E335" s="870">
        <v>3</v>
      </c>
      <c r="F335" s="499">
        <v>452</v>
      </c>
      <c r="G335" s="492" t="s">
        <v>4151</v>
      </c>
      <c r="J335" s="556">
        <f t="shared" si="10"/>
        <v>0</v>
      </c>
    </row>
    <row r="336" spans="5:10" hidden="1" x14ac:dyDescent="0.25">
      <c r="E336" s="870">
        <v>3</v>
      </c>
      <c r="F336" s="499">
        <v>453</v>
      </c>
      <c r="G336" s="492" t="s">
        <v>4152</v>
      </c>
      <c r="J336" s="556">
        <f t="shared" si="10"/>
        <v>0</v>
      </c>
    </row>
    <row r="337" spans="5:10" hidden="1" x14ac:dyDescent="0.25">
      <c r="E337" s="870">
        <v>3</v>
      </c>
      <c r="F337" s="499">
        <v>454</v>
      </c>
      <c r="G337" s="492" t="s">
        <v>3805</v>
      </c>
      <c r="J337" s="556">
        <f t="shared" si="10"/>
        <v>0</v>
      </c>
    </row>
    <row r="338" spans="5:10" hidden="1" x14ac:dyDescent="0.25">
      <c r="E338" s="870">
        <v>3</v>
      </c>
      <c r="F338" s="499">
        <v>461</v>
      </c>
      <c r="G338" s="492" t="s">
        <v>4133</v>
      </c>
      <c r="J338" s="556">
        <f t="shared" si="10"/>
        <v>0</v>
      </c>
    </row>
    <row r="339" spans="5:10" hidden="1" x14ac:dyDescent="0.25">
      <c r="E339" s="870">
        <v>3</v>
      </c>
      <c r="F339" s="499">
        <v>462</v>
      </c>
      <c r="G339" s="492" t="s">
        <v>3808</v>
      </c>
      <c r="J339" s="556">
        <f t="shared" si="10"/>
        <v>0</v>
      </c>
    </row>
    <row r="340" spans="5:10" hidden="1" x14ac:dyDescent="0.25">
      <c r="E340" s="870">
        <v>3</v>
      </c>
      <c r="F340" s="499">
        <v>4631</v>
      </c>
      <c r="G340" s="492" t="s">
        <v>3809</v>
      </c>
      <c r="J340" s="556">
        <f t="shared" si="10"/>
        <v>0</v>
      </c>
    </row>
    <row r="341" spans="5:10" hidden="1" x14ac:dyDescent="0.25">
      <c r="E341" s="870">
        <v>3</v>
      </c>
      <c r="F341" s="499">
        <v>4632</v>
      </c>
      <c r="G341" s="492" t="s">
        <v>3810</v>
      </c>
      <c r="J341" s="556">
        <f t="shared" si="10"/>
        <v>0</v>
      </c>
    </row>
    <row r="342" spans="5:10" hidden="1" x14ac:dyDescent="0.25">
      <c r="E342" s="870">
        <v>3</v>
      </c>
      <c r="F342" s="499">
        <v>464</v>
      </c>
      <c r="G342" s="492" t="s">
        <v>3811</v>
      </c>
      <c r="J342" s="556">
        <f t="shared" si="10"/>
        <v>0</v>
      </c>
    </row>
    <row r="343" spans="5:10" hidden="1" x14ac:dyDescent="0.25">
      <c r="E343" s="870">
        <v>3</v>
      </c>
      <c r="F343" s="499">
        <v>465</v>
      </c>
      <c r="G343" s="492" t="s">
        <v>4134</v>
      </c>
      <c r="J343" s="556">
        <f t="shared" si="10"/>
        <v>0</v>
      </c>
    </row>
    <row r="344" spans="5:10" hidden="1" x14ac:dyDescent="0.25">
      <c r="E344" s="870">
        <v>3</v>
      </c>
      <c r="F344" s="499">
        <v>472</v>
      </c>
      <c r="G344" s="492" t="s">
        <v>3815</v>
      </c>
      <c r="J344" s="556">
        <f t="shared" si="10"/>
        <v>0</v>
      </c>
    </row>
    <row r="345" spans="5:10" hidden="1" x14ac:dyDescent="0.25">
      <c r="E345" s="870" t="s">
        <v>5152</v>
      </c>
      <c r="F345" s="499">
        <v>481</v>
      </c>
      <c r="G345" s="492" t="s">
        <v>4153</v>
      </c>
      <c r="J345" s="556">
        <f t="shared" si="10"/>
        <v>0</v>
      </c>
    </row>
    <row r="346" spans="5:10" hidden="1" x14ac:dyDescent="0.25">
      <c r="F346" s="499">
        <v>482</v>
      </c>
      <c r="G346" s="492" t="s">
        <v>4154</v>
      </c>
      <c r="J346" s="556">
        <f t="shared" si="10"/>
        <v>0</v>
      </c>
    </row>
    <row r="347" spans="5:10" hidden="1" x14ac:dyDescent="0.25">
      <c r="F347" s="499">
        <v>483</v>
      </c>
      <c r="G347" s="496" t="s">
        <v>4155</v>
      </c>
      <c r="J347" s="556">
        <f t="shared" si="10"/>
        <v>0</v>
      </c>
    </row>
    <row r="348" spans="5:10" ht="30" hidden="1" x14ac:dyDescent="0.25">
      <c r="F348" s="499">
        <v>484</v>
      </c>
      <c r="G348" s="492" t="s">
        <v>4156</v>
      </c>
      <c r="J348" s="556">
        <f t="shared" si="10"/>
        <v>0</v>
      </c>
    </row>
    <row r="349" spans="5:10" ht="30" hidden="1" x14ac:dyDescent="0.25">
      <c r="F349" s="499">
        <v>485</v>
      </c>
      <c r="G349" s="492" t="s">
        <v>4157</v>
      </c>
      <c r="J349" s="556">
        <f t="shared" si="10"/>
        <v>0</v>
      </c>
    </row>
    <row r="350" spans="5:10" ht="30" hidden="1" x14ac:dyDescent="0.25">
      <c r="F350" s="499">
        <v>489</v>
      </c>
      <c r="G350" s="492" t="s">
        <v>3823</v>
      </c>
      <c r="J350" s="556">
        <f t="shared" si="10"/>
        <v>0</v>
      </c>
    </row>
    <row r="351" spans="5:10" hidden="1" x14ac:dyDescent="0.25">
      <c r="F351" s="499">
        <v>494</v>
      </c>
      <c r="G351" s="492" t="s">
        <v>4135</v>
      </c>
      <c r="J351" s="556">
        <f t="shared" si="10"/>
        <v>0</v>
      </c>
    </row>
    <row r="352" spans="5:10" ht="30" hidden="1" x14ac:dyDescent="0.25">
      <c r="F352" s="499">
        <v>495</v>
      </c>
      <c r="G352" s="492" t="s">
        <v>4136</v>
      </c>
      <c r="J352" s="556">
        <f t="shared" si="10"/>
        <v>0</v>
      </c>
    </row>
    <row r="353" spans="6:10" ht="30" hidden="1" x14ac:dyDescent="0.25">
      <c r="F353" s="499">
        <v>496</v>
      </c>
      <c r="G353" s="492" t="s">
        <v>4137</v>
      </c>
      <c r="J353" s="556">
        <f t="shared" si="10"/>
        <v>0</v>
      </c>
    </row>
    <row r="354" spans="6:10" ht="30" hidden="1" x14ac:dyDescent="0.25">
      <c r="F354" s="499">
        <v>499</v>
      </c>
      <c r="G354" s="492" t="s">
        <v>4138</v>
      </c>
      <c r="J354" s="556">
        <f t="shared" si="10"/>
        <v>0</v>
      </c>
    </row>
    <row r="355" spans="6:10" hidden="1" x14ac:dyDescent="0.25">
      <c r="F355" s="499">
        <v>511</v>
      </c>
      <c r="G355" s="496" t="s">
        <v>4158</v>
      </c>
      <c r="J355" s="556">
        <f t="shared" si="10"/>
        <v>0</v>
      </c>
    </row>
    <row r="356" spans="6:10" hidden="1" x14ac:dyDescent="0.25">
      <c r="F356" s="499">
        <v>512</v>
      </c>
      <c r="G356" s="496" t="s">
        <v>4159</v>
      </c>
      <c r="J356" s="556">
        <f t="shared" si="10"/>
        <v>0</v>
      </c>
    </row>
    <row r="357" spans="6:10" hidden="1" x14ac:dyDescent="0.25">
      <c r="F357" s="499">
        <v>513</v>
      </c>
      <c r="G357" s="496" t="s">
        <v>4160</v>
      </c>
      <c r="J357" s="556">
        <f t="shared" si="10"/>
        <v>0</v>
      </c>
    </row>
    <row r="358" spans="6:10" hidden="1" x14ac:dyDescent="0.25">
      <c r="F358" s="499">
        <v>514</v>
      </c>
      <c r="G358" s="492" t="s">
        <v>4161</v>
      </c>
      <c r="J358" s="556">
        <f t="shared" si="10"/>
        <v>0</v>
      </c>
    </row>
    <row r="359" spans="6:10" hidden="1" x14ac:dyDescent="0.25">
      <c r="F359" s="499">
        <v>515</v>
      </c>
      <c r="G359" s="492" t="s">
        <v>3834</v>
      </c>
      <c r="J359" s="556">
        <f t="shared" si="10"/>
        <v>0</v>
      </c>
    </row>
    <row r="360" spans="6:10" hidden="1" x14ac:dyDescent="0.25">
      <c r="F360" s="499">
        <v>521</v>
      </c>
      <c r="G360" s="492" t="s">
        <v>4162</v>
      </c>
      <c r="J360" s="556">
        <f t="shared" si="10"/>
        <v>0</v>
      </c>
    </row>
    <row r="361" spans="6:10" hidden="1" x14ac:dyDescent="0.25">
      <c r="F361" s="499">
        <v>522</v>
      </c>
      <c r="G361" s="492" t="s">
        <v>4163</v>
      </c>
      <c r="J361" s="556">
        <f t="shared" si="10"/>
        <v>0</v>
      </c>
    </row>
    <row r="362" spans="6:10" hidden="1" x14ac:dyDescent="0.25">
      <c r="F362" s="499">
        <v>523</v>
      </c>
      <c r="G362" s="492" t="s">
        <v>3839</v>
      </c>
      <c r="J362" s="556">
        <f t="shared" si="10"/>
        <v>0</v>
      </c>
    </row>
    <row r="363" spans="6:10" hidden="1" x14ac:dyDescent="0.25">
      <c r="F363" s="499">
        <v>531</v>
      </c>
      <c r="G363" s="488" t="s">
        <v>4139</v>
      </c>
      <c r="J363" s="556">
        <f t="shared" si="10"/>
        <v>0</v>
      </c>
    </row>
    <row r="364" spans="6:10" hidden="1" x14ac:dyDescent="0.25">
      <c r="F364" s="499">
        <v>541</v>
      </c>
      <c r="G364" s="492" t="s">
        <v>4164</v>
      </c>
      <c r="J364" s="556">
        <f t="shared" si="10"/>
        <v>0</v>
      </c>
    </row>
    <row r="365" spans="6:10" hidden="1" x14ac:dyDescent="0.25">
      <c r="F365" s="499">
        <v>542</v>
      </c>
      <c r="G365" s="492" t="s">
        <v>4165</v>
      </c>
      <c r="J365" s="556">
        <f t="shared" si="10"/>
        <v>0</v>
      </c>
    </row>
    <row r="366" spans="6:10" hidden="1" x14ac:dyDescent="0.25">
      <c r="F366" s="499">
        <v>543</v>
      </c>
      <c r="G366" s="492" t="s">
        <v>3844</v>
      </c>
      <c r="J366" s="556">
        <f t="shared" si="10"/>
        <v>0</v>
      </c>
    </row>
    <row r="367" spans="6:10" ht="30" hidden="1" x14ac:dyDescent="0.25">
      <c r="F367" s="499">
        <v>551</v>
      </c>
      <c r="G367" s="492" t="s">
        <v>4140</v>
      </c>
      <c r="J367" s="556">
        <f t="shared" si="10"/>
        <v>0</v>
      </c>
    </row>
    <row r="368" spans="6:10" hidden="1" x14ac:dyDescent="0.25">
      <c r="F368" s="500">
        <v>611</v>
      </c>
      <c r="G368" s="498" t="s">
        <v>3850</v>
      </c>
      <c r="J368" s="556">
        <f t="shared" si="10"/>
        <v>0</v>
      </c>
    </row>
    <row r="369" spans="5:10" ht="15.75" hidden="1" thickBot="1" x14ac:dyDescent="0.3">
      <c r="F369" s="500">
        <v>620</v>
      </c>
      <c r="G369" s="498" t="s">
        <v>88</v>
      </c>
      <c r="J369" s="556">
        <f t="shared" si="10"/>
        <v>0</v>
      </c>
    </row>
    <row r="370" spans="5:10" x14ac:dyDescent="0.25">
      <c r="E370" s="489"/>
      <c r="F370" s="500"/>
      <c r="G370" s="343" t="s">
        <v>4287</v>
      </c>
      <c r="H370" s="557"/>
      <c r="I370" s="583"/>
      <c r="J370" s="558"/>
    </row>
    <row r="371" spans="5:10" ht="15.75" thickBot="1" x14ac:dyDescent="0.3">
      <c r="E371" s="693"/>
      <c r="F371" s="597" t="s">
        <v>234</v>
      </c>
      <c r="G371" s="598" t="s">
        <v>235</v>
      </c>
      <c r="H371" s="559">
        <f>SUM(H309:H345)</f>
        <v>100000</v>
      </c>
      <c r="I371" s="560"/>
      <c r="J371" s="560">
        <f t="shared" ref="J371:J386" si="11">SUM(H371:I371)</f>
        <v>100000</v>
      </c>
    </row>
    <row r="372" spans="5:10" hidden="1" x14ac:dyDescent="0.25">
      <c r="F372" s="597" t="s">
        <v>236</v>
      </c>
      <c r="G372" s="598" t="s">
        <v>237</v>
      </c>
      <c r="J372" s="560">
        <f t="shared" si="11"/>
        <v>0</v>
      </c>
    </row>
    <row r="373" spans="5:10" hidden="1" x14ac:dyDescent="0.25">
      <c r="F373" s="597" t="s">
        <v>238</v>
      </c>
      <c r="G373" s="598" t="s">
        <v>239</v>
      </c>
      <c r="J373" s="560">
        <f t="shared" si="11"/>
        <v>0</v>
      </c>
    </row>
    <row r="374" spans="5:10" hidden="1" x14ac:dyDescent="0.25">
      <c r="F374" s="597" t="s">
        <v>240</v>
      </c>
      <c r="G374" s="598" t="s">
        <v>241</v>
      </c>
      <c r="J374" s="560">
        <f t="shared" si="11"/>
        <v>0</v>
      </c>
    </row>
    <row r="375" spans="5:10" hidden="1" x14ac:dyDescent="0.25">
      <c r="F375" s="597" t="s">
        <v>242</v>
      </c>
      <c r="G375" s="598" t="s">
        <v>243</v>
      </c>
      <c r="J375" s="560">
        <f t="shared" si="11"/>
        <v>0</v>
      </c>
    </row>
    <row r="376" spans="5:10" hidden="1" x14ac:dyDescent="0.25">
      <c r="F376" s="597" t="s">
        <v>244</v>
      </c>
      <c r="G376" s="598" t="s">
        <v>245</v>
      </c>
      <c r="J376" s="560">
        <f t="shared" si="11"/>
        <v>0</v>
      </c>
    </row>
    <row r="377" spans="5:10" hidden="1" x14ac:dyDescent="0.25">
      <c r="F377" s="597" t="s">
        <v>246</v>
      </c>
      <c r="G377" s="598" t="s">
        <v>4996</v>
      </c>
      <c r="J377" s="560">
        <f t="shared" si="11"/>
        <v>0</v>
      </c>
    </row>
    <row r="378" spans="5:10" hidden="1" x14ac:dyDescent="0.25">
      <c r="F378" s="597" t="s">
        <v>247</v>
      </c>
      <c r="G378" s="598" t="s">
        <v>4995</v>
      </c>
      <c r="J378" s="560">
        <f t="shared" si="11"/>
        <v>0</v>
      </c>
    </row>
    <row r="379" spans="5:10" hidden="1" x14ac:dyDescent="0.25">
      <c r="F379" s="597" t="s">
        <v>248</v>
      </c>
      <c r="G379" s="598" t="s">
        <v>57</v>
      </c>
      <c r="J379" s="560">
        <f t="shared" si="11"/>
        <v>0</v>
      </c>
    </row>
    <row r="380" spans="5:10" hidden="1" x14ac:dyDescent="0.25">
      <c r="F380" s="597" t="s">
        <v>249</v>
      </c>
      <c r="G380" s="598" t="s">
        <v>250</v>
      </c>
      <c r="J380" s="560">
        <f t="shared" si="11"/>
        <v>0</v>
      </c>
    </row>
    <row r="381" spans="5:10" hidden="1" x14ac:dyDescent="0.25">
      <c r="F381" s="597" t="s">
        <v>251</v>
      </c>
      <c r="G381" s="598" t="s">
        <v>252</v>
      </c>
      <c r="J381" s="560">
        <f t="shared" si="11"/>
        <v>0</v>
      </c>
    </row>
    <row r="382" spans="5:10" ht="30" hidden="1" x14ac:dyDescent="0.25">
      <c r="F382" s="597" t="s">
        <v>253</v>
      </c>
      <c r="G382" s="598" t="s">
        <v>254</v>
      </c>
      <c r="J382" s="560">
        <f t="shared" si="11"/>
        <v>0</v>
      </c>
    </row>
    <row r="383" spans="5:10" hidden="1" x14ac:dyDescent="0.25">
      <c r="F383" s="597" t="s">
        <v>255</v>
      </c>
      <c r="G383" s="598" t="s">
        <v>256</v>
      </c>
      <c r="J383" s="560">
        <f t="shared" si="11"/>
        <v>0</v>
      </c>
    </row>
    <row r="384" spans="5:10" ht="30" hidden="1" x14ac:dyDescent="0.25">
      <c r="F384" s="597" t="s">
        <v>257</v>
      </c>
      <c r="G384" s="598" t="s">
        <v>258</v>
      </c>
      <c r="J384" s="560">
        <f t="shared" si="11"/>
        <v>0</v>
      </c>
    </row>
    <row r="385" spans="5:10" hidden="1" x14ac:dyDescent="0.25">
      <c r="F385" s="597" t="s">
        <v>259</v>
      </c>
      <c r="G385" s="598" t="s">
        <v>260</v>
      </c>
      <c r="J385" s="560">
        <f t="shared" si="11"/>
        <v>0</v>
      </c>
    </row>
    <row r="386" spans="5:10" ht="15.75" hidden="1" thickBot="1" x14ac:dyDescent="0.3">
      <c r="F386" s="597" t="s">
        <v>261</v>
      </c>
      <c r="G386" s="598" t="s">
        <v>262</v>
      </c>
      <c r="H386" s="559"/>
      <c r="I386" s="560"/>
      <c r="J386" s="560">
        <f t="shared" si="11"/>
        <v>0</v>
      </c>
    </row>
    <row r="387" spans="5:10" ht="15.75" thickBot="1" x14ac:dyDescent="0.3">
      <c r="G387" s="268" t="s">
        <v>4231</v>
      </c>
      <c r="H387" s="561">
        <f>SUM(H371:H386)</f>
        <v>100000</v>
      </c>
      <c r="I387" s="562">
        <f>SUM(I372:I386)</f>
        <v>0</v>
      </c>
      <c r="J387" s="562">
        <f>SUM(J371:J386)</f>
        <v>100000</v>
      </c>
    </row>
    <row r="388" spans="5:10" ht="28.5" x14ac:dyDescent="0.25">
      <c r="E388" s="489"/>
      <c r="F388" s="500"/>
      <c r="G388" s="270" t="s">
        <v>5056</v>
      </c>
      <c r="H388" s="563"/>
      <c r="I388" s="584"/>
      <c r="J388" s="564"/>
    </row>
    <row r="389" spans="5:10" ht="15.75" thickBot="1" x14ac:dyDescent="0.3">
      <c r="E389" s="693"/>
      <c r="F389" s="597" t="s">
        <v>234</v>
      </c>
      <c r="G389" s="598" t="s">
        <v>235</v>
      </c>
      <c r="H389" s="559">
        <f>SUM(H309:H369)</f>
        <v>100000</v>
      </c>
      <c r="I389" s="560"/>
      <c r="J389" s="560">
        <f>SUM(H389:I389)</f>
        <v>100000</v>
      </c>
    </row>
    <row r="390" spans="5:10" hidden="1" x14ac:dyDescent="0.25">
      <c r="F390" s="597" t="s">
        <v>236</v>
      </c>
      <c r="G390" s="598" t="s">
        <v>237</v>
      </c>
      <c r="J390" s="560">
        <f t="shared" ref="J390:J404" si="12">SUM(H390:I390)</f>
        <v>0</v>
      </c>
    </row>
    <row r="391" spans="5:10" hidden="1" x14ac:dyDescent="0.25">
      <c r="F391" s="597" t="s">
        <v>238</v>
      </c>
      <c r="G391" s="598" t="s">
        <v>239</v>
      </c>
      <c r="J391" s="560">
        <f t="shared" si="12"/>
        <v>0</v>
      </c>
    </row>
    <row r="392" spans="5:10" hidden="1" x14ac:dyDescent="0.25">
      <c r="F392" s="597" t="s">
        <v>240</v>
      </c>
      <c r="G392" s="598" t="s">
        <v>241</v>
      </c>
      <c r="J392" s="560">
        <f t="shared" si="12"/>
        <v>0</v>
      </c>
    </row>
    <row r="393" spans="5:10" hidden="1" x14ac:dyDescent="0.25">
      <c r="F393" s="597" t="s">
        <v>242</v>
      </c>
      <c r="G393" s="598" t="s">
        <v>243</v>
      </c>
      <c r="J393" s="560">
        <f t="shared" si="12"/>
        <v>0</v>
      </c>
    </row>
    <row r="394" spans="5:10" hidden="1" x14ac:dyDescent="0.25">
      <c r="F394" s="597" t="s">
        <v>244</v>
      </c>
      <c r="G394" s="598" t="s">
        <v>245</v>
      </c>
      <c r="J394" s="560">
        <f t="shared" si="12"/>
        <v>0</v>
      </c>
    </row>
    <row r="395" spans="5:10" hidden="1" x14ac:dyDescent="0.25">
      <c r="F395" s="597" t="s">
        <v>246</v>
      </c>
      <c r="G395" s="598" t="s">
        <v>4996</v>
      </c>
      <c r="J395" s="560">
        <f t="shared" si="12"/>
        <v>0</v>
      </c>
    </row>
    <row r="396" spans="5:10" hidden="1" x14ac:dyDescent="0.25">
      <c r="F396" s="597" t="s">
        <v>247</v>
      </c>
      <c r="G396" s="598" t="s">
        <v>4995</v>
      </c>
      <c r="J396" s="560">
        <f t="shared" si="12"/>
        <v>0</v>
      </c>
    </row>
    <row r="397" spans="5:10" hidden="1" x14ac:dyDescent="0.25">
      <c r="F397" s="597" t="s">
        <v>248</v>
      </c>
      <c r="G397" s="598" t="s">
        <v>57</v>
      </c>
      <c r="J397" s="560">
        <f t="shared" si="12"/>
        <v>0</v>
      </c>
    </row>
    <row r="398" spans="5:10" hidden="1" x14ac:dyDescent="0.25">
      <c r="F398" s="597" t="s">
        <v>249</v>
      </c>
      <c r="G398" s="598" t="s">
        <v>250</v>
      </c>
      <c r="J398" s="560">
        <f t="shared" si="12"/>
        <v>0</v>
      </c>
    </row>
    <row r="399" spans="5:10" hidden="1" x14ac:dyDescent="0.25">
      <c r="F399" s="597" t="s">
        <v>251</v>
      </c>
      <c r="G399" s="598" t="s">
        <v>252</v>
      </c>
      <c r="J399" s="560">
        <f t="shared" si="12"/>
        <v>0</v>
      </c>
    </row>
    <row r="400" spans="5:10" ht="30" hidden="1" x14ac:dyDescent="0.25">
      <c r="F400" s="597" t="s">
        <v>253</v>
      </c>
      <c r="G400" s="598" t="s">
        <v>254</v>
      </c>
      <c r="J400" s="560">
        <f t="shared" si="12"/>
        <v>0</v>
      </c>
    </row>
    <row r="401" spans="3:10" hidden="1" x14ac:dyDescent="0.25">
      <c r="F401" s="597" t="s">
        <v>255</v>
      </c>
      <c r="G401" s="598" t="s">
        <v>256</v>
      </c>
      <c r="J401" s="560">
        <f t="shared" si="12"/>
        <v>0</v>
      </c>
    </row>
    <row r="402" spans="3:10" ht="30" hidden="1" x14ac:dyDescent="0.25">
      <c r="F402" s="597" t="s">
        <v>257</v>
      </c>
      <c r="G402" s="598" t="s">
        <v>258</v>
      </c>
      <c r="J402" s="560">
        <f t="shared" si="12"/>
        <v>0</v>
      </c>
    </row>
    <row r="403" spans="3:10" hidden="1" x14ac:dyDescent="0.25">
      <c r="F403" s="597" t="s">
        <v>259</v>
      </c>
      <c r="G403" s="598" t="s">
        <v>260</v>
      </c>
      <c r="J403" s="560">
        <f t="shared" si="12"/>
        <v>0</v>
      </c>
    </row>
    <row r="404" spans="3:10" ht="15.75" hidden="1" thickBot="1" x14ac:dyDescent="0.3">
      <c r="F404" s="597" t="s">
        <v>261</v>
      </c>
      <c r="G404" s="598" t="s">
        <v>262</v>
      </c>
      <c r="H404" s="559"/>
      <c r="I404" s="560"/>
      <c r="J404" s="560">
        <f t="shared" si="12"/>
        <v>0</v>
      </c>
    </row>
    <row r="405" spans="3:10" ht="15.75" thickBot="1" x14ac:dyDescent="0.3">
      <c r="G405" s="268" t="s">
        <v>5057</v>
      </c>
      <c r="H405" s="561">
        <f>SUM(H389:H404)</f>
        <v>100000</v>
      </c>
      <c r="I405" s="562">
        <f>SUM(I390:I404)</f>
        <v>0</v>
      </c>
      <c r="J405" s="562">
        <f>SUM(J389:J404)</f>
        <v>100000</v>
      </c>
    </row>
    <row r="406" spans="3:10" x14ac:dyDescent="0.25">
      <c r="C406" s="267" t="s">
        <v>5225</v>
      </c>
      <c r="D406" s="259"/>
      <c r="G406" s="483" t="s">
        <v>5227</v>
      </c>
    </row>
    <row r="407" spans="3:10" ht="30" x14ac:dyDescent="0.25">
      <c r="C407" s="267"/>
      <c r="D407" s="344">
        <v>110</v>
      </c>
      <c r="E407" s="871"/>
      <c r="F407" s="345"/>
      <c r="G407" s="332" t="s">
        <v>105</v>
      </c>
    </row>
    <row r="408" spans="3:10" hidden="1" x14ac:dyDescent="0.25">
      <c r="F408" s="499">
        <v>411</v>
      </c>
      <c r="G408" s="492" t="s">
        <v>4131</v>
      </c>
      <c r="J408" s="556">
        <f>SUM(H408:I408)</f>
        <v>0</v>
      </c>
    </row>
    <row r="409" spans="3:10" hidden="1" x14ac:dyDescent="0.25">
      <c r="F409" s="499">
        <v>412</v>
      </c>
      <c r="G409" s="488" t="s">
        <v>3766</v>
      </c>
      <c r="J409" s="556">
        <f t="shared" ref="J409:J467" si="13">SUM(H409:I409)</f>
        <v>0</v>
      </c>
    </row>
    <row r="410" spans="3:10" hidden="1" x14ac:dyDescent="0.25">
      <c r="F410" s="499">
        <v>413</v>
      </c>
      <c r="G410" s="492" t="s">
        <v>4132</v>
      </c>
      <c r="J410" s="556">
        <f t="shared" si="13"/>
        <v>0</v>
      </c>
    </row>
    <row r="411" spans="3:10" hidden="1" x14ac:dyDescent="0.25">
      <c r="F411" s="499">
        <v>414</v>
      </c>
      <c r="G411" s="492" t="s">
        <v>3769</v>
      </c>
      <c r="J411" s="556">
        <f t="shared" si="13"/>
        <v>0</v>
      </c>
    </row>
    <row r="412" spans="3:10" hidden="1" x14ac:dyDescent="0.25">
      <c r="F412" s="499">
        <v>415</v>
      </c>
      <c r="G412" s="492" t="s">
        <v>4141</v>
      </c>
      <c r="J412" s="556">
        <f t="shared" si="13"/>
        <v>0</v>
      </c>
    </row>
    <row r="413" spans="3:10" hidden="1" x14ac:dyDescent="0.25">
      <c r="F413" s="499">
        <v>416</v>
      </c>
      <c r="G413" s="492" t="s">
        <v>4142</v>
      </c>
      <c r="J413" s="556">
        <f t="shared" si="13"/>
        <v>0</v>
      </c>
    </row>
    <row r="414" spans="3:10" hidden="1" x14ac:dyDescent="0.25">
      <c r="F414" s="499">
        <v>417</v>
      </c>
      <c r="G414" s="492" t="s">
        <v>4143</v>
      </c>
      <c r="J414" s="556">
        <f t="shared" si="13"/>
        <v>0</v>
      </c>
    </row>
    <row r="415" spans="3:10" hidden="1" x14ac:dyDescent="0.25">
      <c r="F415" s="499">
        <v>418</v>
      </c>
      <c r="G415" s="492" t="s">
        <v>3775</v>
      </c>
      <c r="J415" s="556">
        <f t="shared" si="13"/>
        <v>0</v>
      </c>
    </row>
    <row r="416" spans="3:10" hidden="1" x14ac:dyDescent="0.25">
      <c r="F416" s="499">
        <v>421</v>
      </c>
      <c r="G416" s="492" t="s">
        <v>3779</v>
      </c>
      <c r="J416" s="556">
        <f t="shared" si="13"/>
        <v>0</v>
      </c>
    </row>
    <row r="417" spans="5:10" hidden="1" x14ac:dyDescent="0.25">
      <c r="F417" s="499">
        <v>422</v>
      </c>
      <c r="G417" s="492" t="s">
        <v>3780</v>
      </c>
      <c r="J417" s="556">
        <f t="shared" si="13"/>
        <v>0</v>
      </c>
    </row>
    <row r="418" spans="5:10" x14ac:dyDescent="0.25">
      <c r="E418" s="679">
        <v>14</v>
      </c>
      <c r="F418" s="499">
        <v>423</v>
      </c>
      <c r="G418" s="492" t="s">
        <v>3781</v>
      </c>
      <c r="H418" s="555">
        <v>550000</v>
      </c>
      <c r="J418" s="556">
        <f t="shared" si="13"/>
        <v>550000</v>
      </c>
    </row>
    <row r="419" spans="5:10" x14ac:dyDescent="0.25">
      <c r="F419" s="499">
        <v>424</v>
      </c>
      <c r="G419" s="492" t="s">
        <v>3783</v>
      </c>
      <c r="J419" s="556">
        <f t="shared" si="13"/>
        <v>0</v>
      </c>
    </row>
    <row r="420" spans="5:10" x14ac:dyDescent="0.25">
      <c r="F420" s="499">
        <v>425</v>
      </c>
      <c r="G420" s="492" t="s">
        <v>4144</v>
      </c>
      <c r="J420" s="556">
        <f t="shared" si="13"/>
        <v>0</v>
      </c>
    </row>
    <row r="421" spans="5:10" x14ac:dyDescent="0.25">
      <c r="E421" s="679">
        <v>15</v>
      </c>
      <c r="F421" s="499">
        <v>426</v>
      </c>
      <c r="G421" s="492" t="s">
        <v>3787</v>
      </c>
      <c r="H421" s="555">
        <v>10000</v>
      </c>
      <c r="J421" s="556">
        <f t="shared" si="13"/>
        <v>10000</v>
      </c>
    </row>
    <row r="422" spans="5:10" hidden="1" x14ac:dyDescent="0.25">
      <c r="F422" s="499">
        <v>431</v>
      </c>
      <c r="G422" s="492" t="s">
        <v>4145</v>
      </c>
      <c r="J422" s="556">
        <f t="shared" si="13"/>
        <v>0</v>
      </c>
    </row>
    <row r="423" spans="5:10" hidden="1" x14ac:dyDescent="0.25">
      <c r="F423" s="499">
        <v>432</v>
      </c>
      <c r="G423" s="492" t="s">
        <v>4146</v>
      </c>
      <c r="J423" s="556">
        <f t="shared" si="13"/>
        <v>0</v>
      </c>
    </row>
    <row r="424" spans="5:10" hidden="1" x14ac:dyDescent="0.25">
      <c r="F424" s="499">
        <v>433</v>
      </c>
      <c r="G424" s="492" t="s">
        <v>4147</v>
      </c>
      <c r="J424" s="556">
        <f t="shared" si="13"/>
        <v>0</v>
      </c>
    </row>
    <row r="425" spans="5:10" hidden="1" x14ac:dyDescent="0.25">
      <c r="F425" s="499">
        <v>434</v>
      </c>
      <c r="G425" s="492" t="s">
        <v>4148</v>
      </c>
      <c r="J425" s="556">
        <f t="shared" si="13"/>
        <v>0</v>
      </c>
    </row>
    <row r="426" spans="5:10" hidden="1" x14ac:dyDescent="0.25">
      <c r="F426" s="499">
        <v>435</v>
      </c>
      <c r="G426" s="492" t="s">
        <v>3794</v>
      </c>
      <c r="J426" s="556">
        <f t="shared" si="13"/>
        <v>0</v>
      </c>
    </row>
    <row r="427" spans="5:10" hidden="1" x14ac:dyDescent="0.25">
      <c r="F427" s="499">
        <v>441</v>
      </c>
      <c r="G427" s="492" t="s">
        <v>4149</v>
      </c>
      <c r="J427" s="556">
        <f t="shared" si="13"/>
        <v>0</v>
      </c>
    </row>
    <row r="428" spans="5:10" hidden="1" x14ac:dyDescent="0.25">
      <c r="F428" s="499">
        <v>442</v>
      </c>
      <c r="G428" s="492" t="s">
        <v>4150</v>
      </c>
      <c r="J428" s="556">
        <f t="shared" si="13"/>
        <v>0</v>
      </c>
    </row>
    <row r="429" spans="5:10" hidden="1" x14ac:dyDescent="0.25">
      <c r="F429" s="499">
        <v>443</v>
      </c>
      <c r="G429" s="492" t="s">
        <v>3799</v>
      </c>
      <c r="J429" s="556">
        <f t="shared" si="13"/>
        <v>0</v>
      </c>
    </row>
    <row r="430" spans="5:10" hidden="1" x14ac:dyDescent="0.25">
      <c r="F430" s="499">
        <v>444</v>
      </c>
      <c r="G430" s="492" t="s">
        <v>3800</v>
      </c>
      <c r="J430" s="556">
        <f t="shared" si="13"/>
        <v>0</v>
      </c>
    </row>
    <row r="431" spans="5:10" ht="30" hidden="1" x14ac:dyDescent="0.25">
      <c r="F431" s="499">
        <v>4511</v>
      </c>
      <c r="G431" s="755" t="s">
        <v>1690</v>
      </c>
      <c r="J431" s="556">
        <f t="shared" si="13"/>
        <v>0</v>
      </c>
    </row>
    <row r="432" spans="5:10" ht="30" hidden="1" x14ac:dyDescent="0.25">
      <c r="F432" s="499">
        <v>4512</v>
      </c>
      <c r="G432" s="755" t="s">
        <v>1699</v>
      </c>
      <c r="J432" s="556">
        <f t="shared" si="13"/>
        <v>0</v>
      </c>
    </row>
    <row r="433" spans="5:10" hidden="1" x14ac:dyDescent="0.25">
      <c r="F433" s="499">
        <v>452</v>
      </c>
      <c r="G433" s="492" t="s">
        <v>4151</v>
      </c>
      <c r="J433" s="556">
        <f t="shared" si="13"/>
        <v>0</v>
      </c>
    </row>
    <row r="434" spans="5:10" hidden="1" x14ac:dyDescent="0.25">
      <c r="F434" s="499">
        <v>453</v>
      </c>
      <c r="G434" s="492" t="s">
        <v>4152</v>
      </c>
      <c r="J434" s="556">
        <f t="shared" si="13"/>
        <v>0</v>
      </c>
    </row>
    <row r="435" spans="5:10" hidden="1" x14ac:dyDescent="0.25">
      <c r="F435" s="499">
        <v>454</v>
      </c>
      <c r="G435" s="492" t="s">
        <v>3805</v>
      </c>
      <c r="J435" s="556">
        <f t="shared" si="13"/>
        <v>0</v>
      </c>
    </row>
    <row r="436" spans="5:10" hidden="1" x14ac:dyDescent="0.25">
      <c r="F436" s="499">
        <v>461</v>
      </c>
      <c r="G436" s="492" t="s">
        <v>4133</v>
      </c>
      <c r="J436" s="556">
        <f t="shared" si="13"/>
        <v>0</v>
      </c>
    </row>
    <row r="437" spans="5:10" hidden="1" x14ac:dyDescent="0.25">
      <c r="F437" s="499">
        <v>462</v>
      </c>
      <c r="G437" s="492" t="s">
        <v>3808</v>
      </c>
      <c r="J437" s="556">
        <f t="shared" si="13"/>
        <v>0</v>
      </c>
    </row>
    <row r="438" spans="5:10" hidden="1" x14ac:dyDescent="0.25">
      <c r="F438" s="499">
        <v>511</v>
      </c>
      <c r="G438" s="492" t="s">
        <v>4158</v>
      </c>
      <c r="J438" s="556">
        <f t="shared" si="13"/>
        <v>0</v>
      </c>
    </row>
    <row r="439" spans="5:10" hidden="1" x14ac:dyDescent="0.25">
      <c r="F439" s="499">
        <v>4632</v>
      </c>
      <c r="G439" s="492" t="s">
        <v>3810</v>
      </c>
      <c r="J439" s="556">
        <f t="shared" si="13"/>
        <v>0</v>
      </c>
    </row>
    <row r="440" spans="5:10" hidden="1" x14ac:dyDescent="0.25">
      <c r="F440" s="499">
        <v>464</v>
      </c>
      <c r="G440" s="492" t="s">
        <v>3811</v>
      </c>
      <c r="J440" s="556">
        <f t="shared" si="13"/>
        <v>0</v>
      </c>
    </row>
    <row r="441" spans="5:10" hidden="1" x14ac:dyDescent="0.25">
      <c r="F441" s="499">
        <v>465</v>
      </c>
      <c r="G441" s="492" t="s">
        <v>4134</v>
      </c>
      <c r="J441" s="556">
        <f t="shared" si="13"/>
        <v>0</v>
      </c>
    </row>
    <row r="442" spans="5:10" ht="15.75" thickBot="1" x14ac:dyDescent="0.3">
      <c r="E442" s="679">
        <v>16</v>
      </c>
      <c r="F442" s="499">
        <v>472</v>
      </c>
      <c r="G442" s="492" t="s">
        <v>3815</v>
      </c>
      <c r="J442" s="556">
        <f t="shared" si="13"/>
        <v>0</v>
      </c>
    </row>
    <row r="443" spans="5:10" hidden="1" x14ac:dyDescent="0.25">
      <c r="F443" s="499">
        <v>481</v>
      </c>
      <c r="G443" s="492" t="s">
        <v>4153</v>
      </c>
      <c r="J443" s="556">
        <f t="shared" si="13"/>
        <v>0</v>
      </c>
    </row>
    <row r="444" spans="5:10" hidden="1" x14ac:dyDescent="0.25">
      <c r="F444" s="499">
        <v>482</v>
      </c>
      <c r="G444" s="492" t="s">
        <v>4154</v>
      </c>
      <c r="J444" s="556">
        <f t="shared" si="13"/>
        <v>0</v>
      </c>
    </row>
    <row r="445" spans="5:10" hidden="1" x14ac:dyDescent="0.25">
      <c r="F445" s="499">
        <v>483</v>
      </c>
      <c r="G445" s="496" t="s">
        <v>4155</v>
      </c>
      <c r="J445" s="556">
        <f t="shared" si="13"/>
        <v>0</v>
      </c>
    </row>
    <row r="446" spans="5:10" ht="30" hidden="1" x14ac:dyDescent="0.25">
      <c r="F446" s="499">
        <v>484</v>
      </c>
      <c r="G446" s="492" t="s">
        <v>4156</v>
      </c>
      <c r="J446" s="556">
        <f t="shared" si="13"/>
        <v>0</v>
      </c>
    </row>
    <row r="447" spans="5:10" ht="30" hidden="1" x14ac:dyDescent="0.25">
      <c r="F447" s="499">
        <v>485</v>
      </c>
      <c r="G447" s="492" t="s">
        <v>4157</v>
      </c>
      <c r="J447" s="556">
        <f t="shared" si="13"/>
        <v>0</v>
      </c>
    </row>
    <row r="448" spans="5:10" ht="30" hidden="1" x14ac:dyDescent="0.25">
      <c r="F448" s="499">
        <v>489</v>
      </c>
      <c r="G448" s="492" t="s">
        <v>3823</v>
      </c>
      <c r="J448" s="556">
        <f t="shared" si="13"/>
        <v>0</v>
      </c>
    </row>
    <row r="449" spans="6:10" hidden="1" x14ac:dyDescent="0.25">
      <c r="F449" s="499">
        <v>494</v>
      </c>
      <c r="G449" s="492" t="s">
        <v>4135</v>
      </c>
      <c r="J449" s="556">
        <f t="shared" si="13"/>
        <v>0</v>
      </c>
    </row>
    <row r="450" spans="6:10" ht="30" hidden="1" x14ac:dyDescent="0.25">
      <c r="F450" s="499">
        <v>495</v>
      </c>
      <c r="G450" s="492" t="s">
        <v>4136</v>
      </c>
      <c r="J450" s="556">
        <f t="shared" si="13"/>
        <v>0</v>
      </c>
    </row>
    <row r="451" spans="6:10" ht="30" hidden="1" x14ac:dyDescent="0.25">
      <c r="F451" s="499">
        <v>496</v>
      </c>
      <c r="G451" s="492" t="s">
        <v>4137</v>
      </c>
      <c r="J451" s="556">
        <f t="shared" si="13"/>
        <v>0</v>
      </c>
    </row>
    <row r="452" spans="6:10" ht="30" hidden="1" x14ac:dyDescent="0.25">
      <c r="F452" s="499">
        <v>499</v>
      </c>
      <c r="G452" s="492" t="s">
        <v>4138</v>
      </c>
      <c r="J452" s="556">
        <f t="shared" si="13"/>
        <v>0</v>
      </c>
    </row>
    <row r="453" spans="6:10" hidden="1" x14ac:dyDescent="0.25">
      <c r="F453" s="499">
        <v>511</v>
      </c>
      <c r="G453" s="496" t="s">
        <v>4158</v>
      </c>
      <c r="H453" s="555">
        <v>0</v>
      </c>
      <c r="J453" s="556">
        <f t="shared" si="13"/>
        <v>0</v>
      </c>
    </row>
    <row r="454" spans="6:10" hidden="1" x14ac:dyDescent="0.25">
      <c r="F454" s="499">
        <v>512</v>
      </c>
      <c r="G454" s="496" t="s">
        <v>4159</v>
      </c>
      <c r="J454" s="556">
        <f t="shared" si="13"/>
        <v>0</v>
      </c>
    </row>
    <row r="455" spans="6:10" hidden="1" x14ac:dyDescent="0.25">
      <c r="F455" s="499">
        <v>513</v>
      </c>
      <c r="G455" s="496" t="s">
        <v>4160</v>
      </c>
      <c r="J455" s="556">
        <f t="shared" si="13"/>
        <v>0</v>
      </c>
    </row>
    <row r="456" spans="6:10" hidden="1" x14ac:dyDescent="0.25">
      <c r="F456" s="499">
        <v>514</v>
      </c>
      <c r="G456" s="492" t="s">
        <v>4161</v>
      </c>
      <c r="J456" s="556">
        <f t="shared" si="13"/>
        <v>0</v>
      </c>
    </row>
    <row r="457" spans="6:10" hidden="1" x14ac:dyDescent="0.25">
      <c r="F457" s="499">
        <v>515</v>
      </c>
      <c r="G457" s="492" t="s">
        <v>3834</v>
      </c>
      <c r="J457" s="556">
        <f t="shared" si="13"/>
        <v>0</v>
      </c>
    </row>
    <row r="458" spans="6:10" hidden="1" x14ac:dyDescent="0.25">
      <c r="F458" s="499">
        <v>521</v>
      </c>
      <c r="G458" s="492" t="s">
        <v>4162</v>
      </c>
      <c r="J458" s="556">
        <f t="shared" si="13"/>
        <v>0</v>
      </c>
    </row>
    <row r="459" spans="6:10" hidden="1" x14ac:dyDescent="0.25">
      <c r="F459" s="499">
        <v>522</v>
      </c>
      <c r="G459" s="492" t="s">
        <v>4163</v>
      </c>
      <c r="J459" s="556">
        <f t="shared" si="13"/>
        <v>0</v>
      </c>
    </row>
    <row r="460" spans="6:10" hidden="1" x14ac:dyDescent="0.25">
      <c r="F460" s="499">
        <v>523</v>
      </c>
      <c r="G460" s="492" t="s">
        <v>3839</v>
      </c>
      <c r="J460" s="556">
        <f t="shared" si="13"/>
        <v>0</v>
      </c>
    </row>
    <row r="461" spans="6:10" hidden="1" x14ac:dyDescent="0.25">
      <c r="F461" s="499">
        <v>531</v>
      </c>
      <c r="G461" s="488" t="s">
        <v>4139</v>
      </c>
      <c r="J461" s="556">
        <f t="shared" si="13"/>
        <v>0</v>
      </c>
    </row>
    <row r="462" spans="6:10" hidden="1" x14ac:dyDescent="0.25">
      <c r="F462" s="499">
        <v>541</v>
      </c>
      <c r="G462" s="492" t="s">
        <v>4164</v>
      </c>
      <c r="J462" s="556">
        <f t="shared" si="13"/>
        <v>0</v>
      </c>
    </row>
    <row r="463" spans="6:10" hidden="1" x14ac:dyDescent="0.25">
      <c r="F463" s="499">
        <v>542</v>
      </c>
      <c r="G463" s="492" t="s">
        <v>4165</v>
      </c>
      <c r="J463" s="556">
        <f t="shared" si="13"/>
        <v>0</v>
      </c>
    </row>
    <row r="464" spans="6:10" hidden="1" x14ac:dyDescent="0.25">
      <c r="F464" s="499">
        <v>543</v>
      </c>
      <c r="G464" s="492" t="s">
        <v>3844</v>
      </c>
      <c r="J464" s="556">
        <f t="shared" si="13"/>
        <v>0</v>
      </c>
    </row>
    <row r="465" spans="5:10" ht="30" hidden="1" x14ac:dyDescent="0.25">
      <c r="F465" s="499">
        <v>551</v>
      </c>
      <c r="G465" s="492" t="s">
        <v>4140</v>
      </c>
      <c r="J465" s="556">
        <f t="shared" si="13"/>
        <v>0</v>
      </c>
    </row>
    <row r="466" spans="5:10" hidden="1" x14ac:dyDescent="0.25">
      <c r="F466" s="500">
        <v>611</v>
      </c>
      <c r="G466" s="498" t="s">
        <v>3850</v>
      </c>
      <c r="J466" s="556">
        <f t="shared" si="13"/>
        <v>0</v>
      </c>
    </row>
    <row r="467" spans="5:10" ht="15.75" hidden="1" thickBot="1" x14ac:dyDescent="0.3">
      <c r="F467" s="500">
        <v>620</v>
      </c>
      <c r="G467" s="498" t="s">
        <v>88</v>
      </c>
      <c r="J467" s="556">
        <f t="shared" si="13"/>
        <v>0</v>
      </c>
    </row>
    <row r="468" spans="5:10" x14ac:dyDescent="0.25">
      <c r="E468" s="489"/>
      <c r="F468" s="500"/>
      <c r="G468" s="343" t="s">
        <v>4287</v>
      </c>
      <c r="H468" s="557"/>
      <c r="I468" s="583"/>
      <c r="J468" s="558"/>
    </row>
    <row r="469" spans="5:10" ht="15.75" thickBot="1" x14ac:dyDescent="0.3">
      <c r="E469" s="693"/>
      <c r="F469" s="597" t="s">
        <v>234</v>
      </c>
      <c r="G469" s="598" t="s">
        <v>235</v>
      </c>
      <c r="H469" s="559">
        <f>SUM(H408:H467)</f>
        <v>560000</v>
      </c>
      <c r="I469" s="560"/>
      <c r="J469" s="560">
        <f t="shared" ref="J469:J484" si="14">SUM(H469:I469)</f>
        <v>560000</v>
      </c>
    </row>
    <row r="470" spans="5:10" hidden="1" x14ac:dyDescent="0.25">
      <c r="F470" s="597" t="s">
        <v>236</v>
      </c>
      <c r="G470" s="598" t="s">
        <v>237</v>
      </c>
      <c r="J470" s="560">
        <f t="shared" si="14"/>
        <v>0</v>
      </c>
    </row>
    <row r="471" spans="5:10" hidden="1" x14ac:dyDescent="0.25">
      <c r="F471" s="597" t="s">
        <v>238</v>
      </c>
      <c r="G471" s="598" t="s">
        <v>239</v>
      </c>
      <c r="J471" s="560">
        <f t="shared" si="14"/>
        <v>0</v>
      </c>
    </row>
    <row r="472" spans="5:10" hidden="1" x14ac:dyDescent="0.25">
      <c r="F472" s="597" t="s">
        <v>240</v>
      </c>
      <c r="G472" s="598" t="s">
        <v>241</v>
      </c>
      <c r="J472" s="560">
        <f t="shared" si="14"/>
        <v>0</v>
      </c>
    </row>
    <row r="473" spans="5:10" hidden="1" x14ac:dyDescent="0.25">
      <c r="F473" s="597" t="s">
        <v>242</v>
      </c>
      <c r="G473" s="598" t="s">
        <v>243</v>
      </c>
      <c r="J473" s="560">
        <f t="shared" si="14"/>
        <v>0</v>
      </c>
    </row>
    <row r="474" spans="5:10" hidden="1" x14ac:dyDescent="0.25">
      <c r="F474" s="597" t="s">
        <v>244</v>
      </c>
      <c r="G474" s="598" t="s">
        <v>245</v>
      </c>
      <c r="J474" s="560">
        <f t="shared" si="14"/>
        <v>0</v>
      </c>
    </row>
    <row r="475" spans="5:10" hidden="1" x14ac:dyDescent="0.25">
      <c r="F475" s="597" t="s">
        <v>246</v>
      </c>
      <c r="G475" s="598" t="s">
        <v>4996</v>
      </c>
      <c r="J475" s="560">
        <f t="shared" si="14"/>
        <v>0</v>
      </c>
    </row>
    <row r="476" spans="5:10" hidden="1" x14ac:dyDescent="0.25">
      <c r="F476" s="597" t="s">
        <v>247</v>
      </c>
      <c r="G476" s="598" t="s">
        <v>4995</v>
      </c>
      <c r="J476" s="560">
        <f t="shared" si="14"/>
        <v>0</v>
      </c>
    </row>
    <row r="477" spans="5:10" hidden="1" x14ac:dyDescent="0.25">
      <c r="F477" s="597" t="s">
        <v>248</v>
      </c>
      <c r="G477" s="598" t="s">
        <v>57</v>
      </c>
      <c r="J477" s="560">
        <f t="shared" si="14"/>
        <v>0</v>
      </c>
    </row>
    <row r="478" spans="5:10" hidden="1" x14ac:dyDescent="0.25">
      <c r="F478" s="597" t="s">
        <v>249</v>
      </c>
      <c r="G478" s="598" t="s">
        <v>250</v>
      </c>
      <c r="J478" s="560">
        <f t="shared" si="14"/>
        <v>0</v>
      </c>
    </row>
    <row r="479" spans="5:10" hidden="1" x14ac:dyDescent="0.25">
      <c r="F479" s="597" t="s">
        <v>251</v>
      </c>
      <c r="G479" s="598" t="s">
        <v>252</v>
      </c>
      <c r="J479" s="560">
        <f t="shared" si="14"/>
        <v>0</v>
      </c>
    </row>
    <row r="480" spans="5:10" ht="30" hidden="1" x14ac:dyDescent="0.25">
      <c r="F480" s="597" t="s">
        <v>253</v>
      </c>
      <c r="G480" s="598" t="s">
        <v>254</v>
      </c>
      <c r="J480" s="560">
        <f t="shared" si="14"/>
        <v>0</v>
      </c>
    </row>
    <row r="481" spans="5:10" hidden="1" x14ac:dyDescent="0.25">
      <c r="F481" s="597" t="s">
        <v>255</v>
      </c>
      <c r="G481" s="598" t="s">
        <v>256</v>
      </c>
      <c r="J481" s="560">
        <f t="shared" si="14"/>
        <v>0</v>
      </c>
    </row>
    <row r="482" spans="5:10" ht="30" hidden="1" x14ac:dyDescent="0.25">
      <c r="F482" s="597" t="s">
        <v>257</v>
      </c>
      <c r="G482" s="598" t="s">
        <v>258</v>
      </c>
      <c r="J482" s="560">
        <f t="shared" si="14"/>
        <v>0</v>
      </c>
    </row>
    <row r="483" spans="5:10" hidden="1" x14ac:dyDescent="0.25">
      <c r="F483" s="597" t="s">
        <v>259</v>
      </c>
      <c r="G483" s="598" t="s">
        <v>260</v>
      </c>
      <c r="J483" s="560">
        <f t="shared" si="14"/>
        <v>0</v>
      </c>
    </row>
    <row r="484" spans="5:10" ht="15.75" hidden="1" thickBot="1" x14ac:dyDescent="0.3">
      <c r="F484" s="597" t="s">
        <v>261</v>
      </c>
      <c r="G484" s="598" t="s">
        <v>262</v>
      </c>
      <c r="H484" s="559"/>
      <c r="I484" s="560"/>
      <c r="J484" s="560">
        <f t="shared" si="14"/>
        <v>0</v>
      </c>
    </row>
    <row r="485" spans="5:10" ht="15.75" thickBot="1" x14ac:dyDescent="0.3">
      <c r="G485" s="268" t="s">
        <v>4231</v>
      </c>
      <c r="H485" s="561">
        <f>SUM(H469:H484)</f>
        <v>560000</v>
      </c>
      <c r="I485" s="562">
        <f>SUM(I470:I484)</f>
        <v>0</v>
      </c>
      <c r="J485" s="562">
        <f>SUM(J469:J484)</f>
        <v>560000</v>
      </c>
    </row>
    <row r="486" spans="5:10" x14ac:dyDescent="0.25">
      <c r="E486" s="489"/>
      <c r="F486" s="500"/>
      <c r="G486" s="270" t="s">
        <v>5236</v>
      </c>
      <c r="H486" s="563"/>
      <c r="I486" s="584"/>
      <c r="J486" s="564"/>
    </row>
    <row r="487" spans="5:10" ht="15.75" thickBot="1" x14ac:dyDescent="0.3">
      <c r="E487" s="693"/>
      <c r="F487" s="597" t="s">
        <v>234</v>
      </c>
      <c r="G487" s="598" t="s">
        <v>235</v>
      </c>
      <c r="H487" s="559">
        <f>SUM(H408:H467)</f>
        <v>560000</v>
      </c>
      <c r="I487" s="560"/>
      <c r="J487" s="560">
        <f>SUM(H487:I487)</f>
        <v>560000</v>
      </c>
    </row>
    <row r="488" spans="5:10" hidden="1" x14ac:dyDescent="0.25">
      <c r="F488" s="597" t="s">
        <v>236</v>
      </c>
      <c r="G488" s="598" t="s">
        <v>237</v>
      </c>
      <c r="J488" s="560">
        <f t="shared" ref="J488:J502" si="15">SUM(H488:I488)</f>
        <v>0</v>
      </c>
    </row>
    <row r="489" spans="5:10" hidden="1" x14ac:dyDescent="0.25">
      <c r="F489" s="597" t="s">
        <v>238</v>
      </c>
      <c r="G489" s="598" t="s">
        <v>239</v>
      </c>
      <c r="J489" s="560">
        <f t="shared" si="15"/>
        <v>0</v>
      </c>
    </row>
    <row r="490" spans="5:10" hidden="1" x14ac:dyDescent="0.25">
      <c r="F490" s="597" t="s">
        <v>240</v>
      </c>
      <c r="G490" s="598" t="s">
        <v>241</v>
      </c>
      <c r="J490" s="560">
        <f t="shared" si="15"/>
        <v>0</v>
      </c>
    </row>
    <row r="491" spans="5:10" hidden="1" x14ac:dyDescent="0.25">
      <c r="F491" s="597" t="s">
        <v>242</v>
      </c>
      <c r="G491" s="598" t="s">
        <v>243</v>
      </c>
      <c r="J491" s="560">
        <f t="shared" si="15"/>
        <v>0</v>
      </c>
    </row>
    <row r="492" spans="5:10" hidden="1" x14ac:dyDescent="0.25">
      <c r="F492" s="597" t="s">
        <v>244</v>
      </c>
      <c r="G492" s="598" t="s">
        <v>245</v>
      </c>
      <c r="J492" s="560">
        <f t="shared" si="15"/>
        <v>0</v>
      </c>
    </row>
    <row r="493" spans="5:10" hidden="1" x14ac:dyDescent="0.25">
      <c r="F493" s="597" t="s">
        <v>246</v>
      </c>
      <c r="G493" s="598" t="s">
        <v>4996</v>
      </c>
      <c r="J493" s="560">
        <f t="shared" si="15"/>
        <v>0</v>
      </c>
    </row>
    <row r="494" spans="5:10" hidden="1" x14ac:dyDescent="0.25">
      <c r="F494" s="597" t="s">
        <v>247</v>
      </c>
      <c r="G494" s="598" t="s">
        <v>4995</v>
      </c>
      <c r="J494" s="560">
        <f t="shared" si="15"/>
        <v>0</v>
      </c>
    </row>
    <row r="495" spans="5:10" hidden="1" x14ac:dyDescent="0.25">
      <c r="F495" s="597" t="s">
        <v>248</v>
      </c>
      <c r="G495" s="598" t="s">
        <v>57</v>
      </c>
      <c r="J495" s="560">
        <f t="shared" si="15"/>
        <v>0</v>
      </c>
    </row>
    <row r="496" spans="5:10" hidden="1" x14ac:dyDescent="0.25">
      <c r="F496" s="597" t="s">
        <v>249</v>
      </c>
      <c r="G496" s="598" t="s">
        <v>250</v>
      </c>
      <c r="J496" s="560">
        <f t="shared" si="15"/>
        <v>0</v>
      </c>
    </row>
    <row r="497" spans="5:10" hidden="1" x14ac:dyDescent="0.25">
      <c r="F497" s="597" t="s">
        <v>251</v>
      </c>
      <c r="G497" s="598" t="s">
        <v>252</v>
      </c>
      <c r="J497" s="560">
        <f t="shared" si="15"/>
        <v>0</v>
      </c>
    </row>
    <row r="498" spans="5:10" ht="30" hidden="1" x14ac:dyDescent="0.25">
      <c r="F498" s="597" t="s">
        <v>253</v>
      </c>
      <c r="G498" s="598" t="s">
        <v>254</v>
      </c>
      <c r="J498" s="560">
        <f t="shared" si="15"/>
        <v>0</v>
      </c>
    </row>
    <row r="499" spans="5:10" hidden="1" x14ac:dyDescent="0.25">
      <c r="F499" s="597" t="s">
        <v>255</v>
      </c>
      <c r="G499" s="598" t="s">
        <v>256</v>
      </c>
      <c r="J499" s="560">
        <f t="shared" si="15"/>
        <v>0</v>
      </c>
    </row>
    <row r="500" spans="5:10" ht="30" hidden="1" x14ac:dyDescent="0.25">
      <c r="F500" s="597" t="s">
        <v>257</v>
      </c>
      <c r="G500" s="598" t="s">
        <v>258</v>
      </c>
      <c r="J500" s="560">
        <f t="shared" si="15"/>
        <v>0</v>
      </c>
    </row>
    <row r="501" spans="5:10" hidden="1" x14ac:dyDescent="0.25">
      <c r="F501" s="597" t="s">
        <v>259</v>
      </c>
      <c r="G501" s="598" t="s">
        <v>260</v>
      </c>
      <c r="J501" s="560">
        <f t="shared" si="15"/>
        <v>0</v>
      </c>
    </row>
    <row r="502" spans="5:10" ht="15.75" hidden="1" thickBot="1" x14ac:dyDescent="0.3">
      <c r="F502" s="597" t="s">
        <v>261</v>
      </c>
      <c r="G502" s="598" t="s">
        <v>262</v>
      </c>
      <c r="H502" s="559"/>
      <c r="I502" s="560"/>
      <c r="J502" s="560">
        <f t="shared" si="15"/>
        <v>0</v>
      </c>
    </row>
    <row r="503" spans="5:10" ht="15.75" thickBot="1" x14ac:dyDescent="0.3">
      <c r="G503" s="268" t="s">
        <v>5237</v>
      </c>
      <c r="H503" s="561">
        <f>SUM(H487:H502)</f>
        <v>560000</v>
      </c>
      <c r="I503" s="562">
        <f>SUM(I488:I502)</f>
        <v>0</v>
      </c>
      <c r="J503" s="562">
        <f>SUM(J487:J502)</f>
        <v>560000</v>
      </c>
    </row>
    <row r="504" spans="5:10" hidden="1" x14ac:dyDescent="0.25">
      <c r="G504" s="312"/>
      <c r="H504" s="565"/>
      <c r="I504" s="566"/>
      <c r="J504" s="566"/>
    </row>
    <row r="505" spans="5:10" x14ac:dyDescent="0.25">
      <c r="E505" s="489"/>
      <c r="F505" s="277"/>
      <c r="G505" s="285" t="s">
        <v>5058</v>
      </c>
      <c r="H505" s="567"/>
      <c r="I505" s="585"/>
      <c r="J505" s="568"/>
    </row>
    <row r="506" spans="5:10" ht="15.75" thickBot="1" x14ac:dyDescent="0.3">
      <c r="E506" s="693"/>
      <c r="F506" s="272" t="s">
        <v>234</v>
      </c>
      <c r="G506" s="287" t="s">
        <v>235</v>
      </c>
      <c r="H506" s="559">
        <f>SUM(H487,H389,H90)</f>
        <v>6679000</v>
      </c>
      <c r="I506" s="560"/>
      <c r="J506" s="560">
        <f>SUM(H506:I506)</f>
        <v>6679000</v>
      </c>
    </row>
    <row r="507" spans="5:10" ht="15.75" hidden="1" thickBot="1" x14ac:dyDescent="0.3">
      <c r="F507" s="272" t="s">
        <v>236</v>
      </c>
      <c r="G507" s="287" t="s">
        <v>237</v>
      </c>
      <c r="J507" s="560">
        <f t="shared" ref="J507:J521" si="16">SUM(H507:I507)</f>
        <v>0</v>
      </c>
    </row>
    <row r="508" spans="5:10" ht="15.75" hidden="1" thickBot="1" x14ac:dyDescent="0.3">
      <c r="F508" s="272" t="s">
        <v>238</v>
      </c>
      <c r="G508" s="287" t="s">
        <v>239</v>
      </c>
      <c r="J508" s="560">
        <f t="shared" si="16"/>
        <v>0</v>
      </c>
    </row>
    <row r="509" spans="5:10" ht="15.75" hidden="1" thickBot="1" x14ac:dyDescent="0.3">
      <c r="F509" s="272" t="s">
        <v>240</v>
      </c>
      <c r="G509" s="287" t="s">
        <v>241</v>
      </c>
      <c r="I509" s="556">
        <f>SUM(I75)</f>
        <v>0</v>
      </c>
      <c r="J509" s="560">
        <f t="shared" si="16"/>
        <v>0</v>
      </c>
    </row>
    <row r="510" spans="5:10" ht="15.75" hidden="1" thickBot="1" x14ac:dyDescent="0.3">
      <c r="F510" s="272" t="s">
        <v>242</v>
      </c>
      <c r="G510" s="287" t="s">
        <v>243</v>
      </c>
      <c r="J510" s="560">
        <f t="shared" si="16"/>
        <v>0</v>
      </c>
    </row>
    <row r="511" spans="5:10" ht="15.75" hidden="1" thickBot="1" x14ac:dyDescent="0.3">
      <c r="F511" s="272" t="s">
        <v>244</v>
      </c>
      <c r="G511" s="287" t="s">
        <v>245</v>
      </c>
      <c r="J511" s="560">
        <f t="shared" si="16"/>
        <v>0</v>
      </c>
    </row>
    <row r="512" spans="5:10" ht="15.75" hidden="1" thickBot="1" x14ac:dyDescent="0.3">
      <c r="F512" s="272" t="s">
        <v>246</v>
      </c>
      <c r="G512" s="598" t="s">
        <v>4996</v>
      </c>
      <c r="J512" s="560">
        <f t="shared" si="16"/>
        <v>0</v>
      </c>
    </row>
    <row r="513" spans="5:10" ht="15.75" hidden="1" thickBot="1" x14ac:dyDescent="0.3">
      <c r="F513" s="272" t="s">
        <v>247</v>
      </c>
      <c r="G513" s="598" t="s">
        <v>4995</v>
      </c>
      <c r="J513" s="560">
        <f t="shared" si="16"/>
        <v>0</v>
      </c>
    </row>
    <row r="514" spans="5:10" ht="15.75" hidden="1" thickBot="1" x14ac:dyDescent="0.3">
      <c r="F514" s="272" t="s">
        <v>248</v>
      </c>
      <c r="G514" s="287" t="s">
        <v>57</v>
      </c>
      <c r="J514" s="560">
        <f t="shared" si="16"/>
        <v>0</v>
      </c>
    </row>
    <row r="515" spans="5:10" ht="15.75" hidden="1" thickBot="1" x14ac:dyDescent="0.3">
      <c r="F515" s="272" t="s">
        <v>249</v>
      </c>
      <c r="G515" s="287" t="s">
        <v>250</v>
      </c>
      <c r="J515" s="560">
        <f t="shared" si="16"/>
        <v>0</v>
      </c>
    </row>
    <row r="516" spans="5:10" ht="15.75" hidden="1" thickBot="1" x14ac:dyDescent="0.3">
      <c r="F516" s="272" t="s">
        <v>251</v>
      </c>
      <c r="G516" s="287" t="s">
        <v>252</v>
      </c>
      <c r="J516" s="560">
        <f t="shared" si="16"/>
        <v>0</v>
      </c>
    </row>
    <row r="517" spans="5:10" ht="30.75" hidden="1" thickBot="1" x14ac:dyDescent="0.3">
      <c r="F517" s="272" t="s">
        <v>253</v>
      </c>
      <c r="G517" s="287" t="s">
        <v>254</v>
      </c>
      <c r="J517" s="560">
        <f t="shared" si="16"/>
        <v>0</v>
      </c>
    </row>
    <row r="518" spans="5:10" ht="15.75" hidden="1" thickBot="1" x14ac:dyDescent="0.3">
      <c r="F518" s="272" t="s">
        <v>255</v>
      </c>
      <c r="G518" s="287" t="s">
        <v>256</v>
      </c>
      <c r="J518" s="560">
        <f t="shared" si="16"/>
        <v>0</v>
      </c>
    </row>
    <row r="519" spans="5:10" ht="30.75" hidden="1" thickBot="1" x14ac:dyDescent="0.3">
      <c r="F519" s="272" t="s">
        <v>257</v>
      </c>
      <c r="G519" s="287" t="s">
        <v>258</v>
      </c>
      <c r="J519" s="560">
        <f t="shared" si="16"/>
        <v>0</v>
      </c>
    </row>
    <row r="520" spans="5:10" ht="15.75" hidden="1" thickBot="1" x14ac:dyDescent="0.3">
      <c r="F520" s="272" t="s">
        <v>259</v>
      </c>
      <c r="G520" s="287" t="s">
        <v>260</v>
      </c>
      <c r="J520" s="560">
        <f t="shared" si="16"/>
        <v>0</v>
      </c>
    </row>
    <row r="521" spans="5:10" ht="15.75" hidden="1" thickBot="1" x14ac:dyDescent="0.3">
      <c r="F521" s="272" t="s">
        <v>261</v>
      </c>
      <c r="G521" s="287" t="s">
        <v>262</v>
      </c>
      <c r="H521" s="559"/>
      <c r="I521" s="560"/>
      <c r="J521" s="560">
        <f t="shared" si="16"/>
        <v>0</v>
      </c>
    </row>
    <row r="522" spans="5:10" ht="15" customHeight="1" thickBot="1" x14ac:dyDescent="0.3">
      <c r="G522" s="268" t="s">
        <v>5059</v>
      </c>
      <c r="H522" s="561">
        <f>SUM(H506:H521)</f>
        <v>6679000</v>
      </c>
      <c r="I522" s="562">
        <f>SUM(I507:I521)</f>
        <v>0</v>
      </c>
      <c r="J522" s="562">
        <f>SUM(J506:J521)</f>
        <v>6679000</v>
      </c>
    </row>
    <row r="523" spans="5:10" ht="15" hidden="1" customHeight="1" x14ac:dyDescent="0.25"/>
    <row r="524" spans="5:10" x14ac:dyDescent="0.25">
      <c r="E524" s="489"/>
      <c r="F524" s="277"/>
      <c r="G524" s="285" t="s">
        <v>4170</v>
      </c>
      <c r="H524" s="567"/>
      <c r="I524" s="585"/>
      <c r="J524" s="568"/>
    </row>
    <row r="525" spans="5:10" ht="15.75" thickBot="1" x14ac:dyDescent="0.3">
      <c r="E525" s="693"/>
      <c r="F525" s="272" t="s">
        <v>234</v>
      </c>
      <c r="G525" s="287" t="s">
        <v>235</v>
      </c>
      <c r="H525" s="559">
        <f>SUM(H106,H405,H503)</f>
        <v>6679000</v>
      </c>
      <c r="I525" s="560"/>
      <c r="J525" s="560">
        <f>SUM(H525:I525)</f>
        <v>6679000</v>
      </c>
    </row>
    <row r="526" spans="5:10" ht="15.75" hidden="1" thickBot="1" x14ac:dyDescent="0.3">
      <c r="F526" s="272" t="s">
        <v>236</v>
      </c>
      <c r="G526" s="287" t="s">
        <v>237</v>
      </c>
      <c r="J526" s="560">
        <f t="shared" ref="J526:J540" si="17">SUM(H526:I526)</f>
        <v>0</v>
      </c>
    </row>
    <row r="527" spans="5:10" ht="15.75" hidden="1" thickBot="1" x14ac:dyDescent="0.3">
      <c r="F527" s="272" t="s">
        <v>238</v>
      </c>
      <c r="G527" s="287" t="s">
        <v>239</v>
      </c>
      <c r="J527" s="560">
        <f t="shared" si="17"/>
        <v>0</v>
      </c>
    </row>
    <row r="528" spans="5:10" ht="15.75" hidden="1" thickBot="1" x14ac:dyDescent="0.3">
      <c r="F528" s="272" t="s">
        <v>240</v>
      </c>
      <c r="G528" s="287" t="s">
        <v>241</v>
      </c>
      <c r="J528" s="560">
        <f t="shared" si="17"/>
        <v>0</v>
      </c>
    </row>
    <row r="529" spans="5:10" ht="15.75" hidden="1" thickBot="1" x14ac:dyDescent="0.3">
      <c r="F529" s="272" t="s">
        <v>242</v>
      </c>
      <c r="G529" s="287" t="s">
        <v>243</v>
      </c>
      <c r="J529" s="560">
        <f t="shared" si="17"/>
        <v>0</v>
      </c>
    </row>
    <row r="530" spans="5:10" ht="15.75" hidden="1" thickBot="1" x14ac:dyDescent="0.3">
      <c r="F530" s="272" t="s">
        <v>244</v>
      </c>
      <c r="G530" s="287" t="s">
        <v>245</v>
      </c>
      <c r="J530" s="560">
        <f t="shared" si="17"/>
        <v>0</v>
      </c>
    </row>
    <row r="531" spans="5:10" ht="15.75" hidden="1" thickBot="1" x14ac:dyDescent="0.3">
      <c r="F531" s="272" t="s">
        <v>246</v>
      </c>
      <c r="G531" s="598" t="s">
        <v>4996</v>
      </c>
      <c r="J531" s="560">
        <f t="shared" si="17"/>
        <v>0</v>
      </c>
    </row>
    <row r="532" spans="5:10" ht="15.75" hidden="1" thickBot="1" x14ac:dyDescent="0.3">
      <c r="F532" s="272" t="s">
        <v>247</v>
      </c>
      <c r="G532" s="598" t="s">
        <v>4995</v>
      </c>
      <c r="J532" s="560">
        <f t="shared" si="17"/>
        <v>0</v>
      </c>
    </row>
    <row r="533" spans="5:10" ht="15.75" hidden="1" thickBot="1" x14ac:dyDescent="0.3">
      <c r="F533" s="272" t="s">
        <v>248</v>
      </c>
      <c r="G533" s="287" t="s">
        <v>57</v>
      </c>
      <c r="J533" s="560">
        <f t="shared" si="17"/>
        <v>0</v>
      </c>
    </row>
    <row r="534" spans="5:10" ht="15.75" hidden="1" thickBot="1" x14ac:dyDescent="0.3">
      <c r="F534" s="272" t="s">
        <v>249</v>
      </c>
      <c r="G534" s="287" t="s">
        <v>250</v>
      </c>
      <c r="J534" s="560">
        <f t="shared" si="17"/>
        <v>0</v>
      </c>
    </row>
    <row r="535" spans="5:10" ht="15.75" hidden="1" thickBot="1" x14ac:dyDescent="0.3">
      <c r="F535" s="272" t="s">
        <v>251</v>
      </c>
      <c r="G535" s="287" t="s">
        <v>252</v>
      </c>
      <c r="J535" s="560">
        <f t="shared" si="17"/>
        <v>0</v>
      </c>
    </row>
    <row r="536" spans="5:10" ht="30.75" hidden="1" thickBot="1" x14ac:dyDescent="0.3">
      <c r="F536" s="272" t="s">
        <v>253</v>
      </c>
      <c r="G536" s="287" t="s">
        <v>254</v>
      </c>
      <c r="J536" s="560">
        <f t="shared" si="17"/>
        <v>0</v>
      </c>
    </row>
    <row r="537" spans="5:10" ht="15.75" hidden="1" thickBot="1" x14ac:dyDescent="0.3">
      <c r="F537" s="272" t="s">
        <v>255</v>
      </c>
      <c r="G537" s="287" t="s">
        <v>256</v>
      </c>
      <c r="J537" s="560">
        <f t="shared" si="17"/>
        <v>0</v>
      </c>
    </row>
    <row r="538" spans="5:10" ht="30.75" hidden="1" thickBot="1" x14ac:dyDescent="0.3">
      <c r="F538" s="272" t="s">
        <v>257</v>
      </c>
      <c r="G538" s="287" t="s">
        <v>258</v>
      </c>
      <c r="J538" s="560">
        <f t="shared" si="17"/>
        <v>0</v>
      </c>
    </row>
    <row r="539" spans="5:10" ht="15.75" hidden="1" thickBot="1" x14ac:dyDescent="0.3">
      <c r="F539" s="272" t="s">
        <v>259</v>
      </c>
      <c r="G539" s="287" t="s">
        <v>260</v>
      </c>
      <c r="J539" s="560">
        <f t="shared" si="17"/>
        <v>0</v>
      </c>
    </row>
    <row r="540" spans="5:10" ht="15.75" hidden="1" thickBot="1" x14ac:dyDescent="0.3">
      <c r="F540" s="272" t="s">
        <v>261</v>
      </c>
      <c r="G540" s="287" t="s">
        <v>262</v>
      </c>
      <c r="H540" s="559"/>
      <c r="I540" s="560"/>
      <c r="J540" s="560">
        <f t="shared" si="17"/>
        <v>0</v>
      </c>
    </row>
    <row r="541" spans="5:10" ht="16.5" customHeight="1" thickBot="1" x14ac:dyDescent="0.3">
      <c r="G541" s="268" t="s">
        <v>4171</v>
      </c>
      <c r="H541" s="561">
        <f>SUM(H525:H540)</f>
        <v>6679000</v>
      </c>
      <c r="I541" s="562">
        <f>SUM(I526:I540)</f>
        <v>0</v>
      </c>
      <c r="J541" s="562">
        <f>SUM(J525:J540)</f>
        <v>6679000</v>
      </c>
    </row>
    <row r="542" spans="5:10" ht="16.5" hidden="1" customHeight="1" x14ac:dyDescent="0.25"/>
    <row r="543" spans="5:10" x14ac:dyDescent="0.25">
      <c r="E543" s="489"/>
      <c r="F543" s="277"/>
      <c r="G543" s="285" t="s">
        <v>4169</v>
      </c>
      <c r="H543" s="567"/>
      <c r="I543" s="585"/>
      <c r="J543" s="568"/>
    </row>
    <row r="544" spans="5:10" ht="15.75" thickBot="1" x14ac:dyDescent="0.3">
      <c r="E544" s="693"/>
      <c r="F544" s="272" t="s">
        <v>234</v>
      </c>
      <c r="G544" s="287" t="s">
        <v>235</v>
      </c>
      <c r="H544" s="559">
        <f>SUM(H525)</f>
        <v>6679000</v>
      </c>
      <c r="I544" s="560"/>
      <c r="J544" s="560">
        <f>SUM(H544:I544)</f>
        <v>6679000</v>
      </c>
    </row>
    <row r="545" spans="6:10" ht="15.75" hidden="1" thickBot="1" x14ac:dyDescent="0.3">
      <c r="F545" s="272" t="s">
        <v>236</v>
      </c>
      <c r="G545" s="287" t="s">
        <v>237</v>
      </c>
      <c r="J545" s="560">
        <f t="shared" ref="J545:J559" si="18">SUM(H545:I545)</f>
        <v>0</v>
      </c>
    </row>
    <row r="546" spans="6:10" ht="15.75" hidden="1" thickBot="1" x14ac:dyDescent="0.3">
      <c r="F546" s="272" t="s">
        <v>238</v>
      </c>
      <c r="G546" s="287" t="s">
        <v>239</v>
      </c>
      <c r="J546" s="560">
        <f t="shared" si="18"/>
        <v>0</v>
      </c>
    </row>
    <row r="547" spans="6:10" ht="15.75" hidden="1" thickBot="1" x14ac:dyDescent="0.3">
      <c r="F547" s="272" t="s">
        <v>240</v>
      </c>
      <c r="G547" s="287" t="s">
        <v>241</v>
      </c>
      <c r="J547" s="560">
        <f t="shared" si="18"/>
        <v>0</v>
      </c>
    </row>
    <row r="548" spans="6:10" ht="15.75" hidden="1" thickBot="1" x14ac:dyDescent="0.3">
      <c r="F548" s="272" t="s">
        <v>242</v>
      </c>
      <c r="G548" s="287" t="s">
        <v>243</v>
      </c>
      <c r="J548" s="560">
        <f t="shared" si="18"/>
        <v>0</v>
      </c>
    </row>
    <row r="549" spans="6:10" ht="15.75" hidden="1" thickBot="1" x14ac:dyDescent="0.3">
      <c r="F549" s="272" t="s">
        <v>244</v>
      </c>
      <c r="G549" s="287" t="s">
        <v>245</v>
      </c>
      <c r="J549" s="560">
        <f t="shared" si="18"/>
        <v>0</v>
      </c>
    </row>
    <row r="550" spans="6:10" ht="15.75" hidden="1" thickBot="1" x14ac:dyDescent="0.3">
      <c r="F550" s="272" t="s">
        <v>246</v>
      </c>
      <c r="G550" s="598" t="s">
        <v>4996</v>
      </c>
      <c r="J550" s="560">
        <f t="shared" si="18"/>
        <v>0</v>
      </c>
    </row>
    <row r="551" spans="6:10" ht="15.75" hidden="1" thickBot="1" x14ac:dyDescent="0.3">
      <c r="F551" s="272" t="s">
        <v>247</v>
      </c>
      <c r="G551" s="598" t="s">
        <v>4995</v>
      </c>
      <c r="J551" s="560">
        <f t="shared" si="18"/>
        <v>0</v>
      </c>
    </row>
    <row r="552" spans="6:10" ht="15.75" hidden="1" thickBot="1" x14ac:dyDescent="0.3">
      <c r="F552" s="272" t="s">
        <v>248</v>
      </c>
      <c r="G552" s="287" t="s">
        <v>57</v>
      </c>
      <c r="J552" s="560">
        <f t="shared" si="18"/>
        <v>0</v>
      </c>
    </row>
    <row r="553" spans="6:10" ht="15.75" hidden="1" thickBot="1" x14ac:dyDescent="0.3">
      <c r="F553" s="272" t="s">
        <v>249</v>
      </c>
      <c r="G553" s="287" t="s">
        <v>250</v>
      </c>
      <c r="J553" s="560">
        <f t="shared" si="18"/>
        <v>0</v>
      </c>
    </row>
    <row r="554" spans="6:10" ht="15.75" hidden="1" thickBot="1" x14ac:dyDescent="0.3">
      <c r="F554" s="272" t="s">
        <v>251</v>
      </c>
      <c r="G554" s="287" t="s">
        <v>252</v>
      </c>
      <c r="J554" s="560">
        <f t="shared" si="18"/>
        <v>0</v>
      </c>
    </row>
    <row r="555" spans="6:10" ht="30.75" hidden="1" thickBot="1" x14ac:dyDescent="0.3">
      <c r="F555" s="272" t="s">
        <v>253</v>
      </c>
      <c r="G555" s="287" t="s">
        <v>254</v>
      </c>
      <c r="J555" s="560">
        <f t="shared" si="18"/>
        <v>0</v>
      </c>
    </row>
    <row r="556" spans="6:10" ht="15.75" hidden="1" thickBot="1" x14ac:dyDescent="0.3">
      <c r="F556" s="272" t="s">
        <v>255</v>
      </c>
      <c r="G556" s="287" t="s">
        <v>256</v>
      </c>
      <c r="J556" s="560">
        <f t="shared" si="18"/>
        <v>0</v>
      </c>
    </row>
    <row r="557" spans="6:10" ht="30.75" hidden="1" thickBot="1" x14ac:dyDescent="0.3">
      <c r="F557" s="272" t="s">
        <v>257</v>
      </c>
      <c r="G557" s="287" t="s">
        <v>258</v>
      </c>
      <c r="J557" s="560">
        <f t="shared" si="18"/>
        <v>0</v>
      </c>
    </row>
    <row r="558" spans="6:10" ht="15.75" hidden="1" thickBot="1" x14ac:dyDescent="0.3">
      <c r="F558" s="272" t="s">
        <v>259</v>
      </c>
      <c r="G558" s="287" t="s">
        <v>260</v>
      </c>
      <c r="J558" s="560">
        <f t="shared" si="18"/>
        <v>0</v>
      </c>
    </row>
    <row r="559" spans="6:10" ht="15.75" hidden="1" thickBot="1" x14ac:dyDescent="0.3">
      <c r="F559" s="272" t="s">
        <v>261</v>
      </c>
      <c r="G559" s="287" t="s">
        <v>262</v>
      </c>
      <c r="H559" s="559"/>
      <c r="I559" s="560"/>
      <c r="J559" s="560">
        <f t="shared" si="18"/>
        <v>0</v>
      </c>
    </row>
    <row r="560" spans="6:10" ht="15.75" thickBot="1" x14ac:dyDescent="0.3">
      <c r="G560" s="268" t="s">
        <v>4174</v>
      </c>
      <c r="H560" s="561">
        <f>SUM(H544:H559)</f>
        <v>6679000</v>
      </c>
      <c r="I560" s="562">
        <f>SUM(I545:I559)</f>
        <v>0</v>
      </c>
      <c r="J560" s="562">
        <f>SUM(J544:J559)</f>
        <v>6679000</v>
      </c>
    </row>
    <row r="561" spans="1:10" hidden="1" x14ac:dyDescent="0.25">
      <c r="G561" s="312"/>
      <c r="H561" s="565"/>
      <c r="I561" s="566"/>
      <c r="J561" s="566"/>
    </row>
    <row r="562" spans="1:10" hidden="1" x14ac:dyDescent="0.25">
      <c r="G562" s="312"/>
      <c r="H562" s="565"/>
      <c r="I562" s="566"/>
      <c r="J562" s="566"/>
    </row>
    <row r="563" spans="1:10" hidden="1" x14ac:dyDescent="0.25">
      <c r="G563" s="312"/>
      <c r="H563" s="565"/>
      <c r="I563" s="566"/>
      <c r="J563" s="566"/>
    </row>
    <row r="564" spans="1:10" hidden="1" x14ac:dyDescent="0.25"/>
    <row r="565" spans="1:10" hidden="1" x14ac:dyDescent="0.25"/>
    <row r="566" spans="1:10" ht="0.75" customHeight="1" x14ac:dyDescent="0.25"/>
    <row r="567" spans="1:10" ht="0.75" customHeight="1" x14ac:dyDescent="0.25"/>
    <row r="568" spans="1:10" x14ac:dyDescent="0.25">
      <c r="A568" s="280">
        <v>2</v>
      </c>
      <c r="B568" s="280">
        <v>1</v>
      </c>
      <c r="C568" s="260"/>
      <c r="D568" s="256"/>
      <c r="E568" s="868"/>
      <c r="F568" s="256"/>
      <c r="G568" s="275" t="s">
        <v>5717</v>
      </c>
      <c r="H568" s="553"/>
      <c r="I568" s="554"/>
      <c r="J568" s="554"/>
    </row>
    <row r="569" spans="1:10" ht="30" customHeight="1" x14ac:dyDescent="0.25">
      <c r="C569" s="267" t="s">
        <v>5049</v>
      </c>
      <c r="G569" s="490" t="s">
        <v>5060</v>
      </c>
    </row>
    <row r="570" spans="1:10" x14ac:dyDescent="0.25">
      <c r="C570" s="267" t="s">
        <v>5053</v>
      </c>
      <c r="D570" s="259"/>
      <c r="G570" s="483" t="s">
        <v>5054</v>
      </c>
    </row>
    <row r="571" spans="1:10" x14ac:dyDescent="0.25">
      <c r="C571" s="267"/>
      <c r="D571" s="331">
        <v>111</v>
      </c>
      <c r="E571" s="869"/>
      <c r="F571" s="331"/>
      <c r="G571" s="333" t="s">
        <v>106</v>
      </c>
      <c r="H571" s="559"/>
      <c r="I571" s="560"/>
      <c r="J571" s="560"/>
    </row>
    <row r="572" spans="1:10" x14ac:dyDescent="0.25">
      <c r="E572" s="679">
        <v>17</v>
      </c>
      <c r="F572" s="278">
        <v>411</v>
      </c>
      <c r="G572" s="319" t="s">
        <v>4131</v>
      </c>
      <c r="H572" s="555">
        <v>4372500</v>
      </c>
      <c r="J572" s="556">
        <f>SUM(H572:I572)</f>
        <v>4372500</v>
      </c>
    </row>
    <row r="573" spans="1:10" x14ac:dyDescent="0.25">
      <c r="E573" s="679">
        <v>18</v>
      </c>
      <c r="F573" s="278">
        <v>412</v>
      </c>
      <c r="G573" s="317" t="s">
        <v>3766</v>
      </c>
      <c r="H573" s="555">
        <v>782700</v>
      </c>
      <c r="J573" s="556">
        <f t="shared" ref="J573:J631" si="19">SUM(H573:I573)</f>
        <v>782700</v>
      </c>
    </row>
    <row r="574" spans="1:10" hidden="1" x14ac:dyDescent="0.25">
      <c r="E574" s="679">
        <v>11</v>
      </c>
      <c r="F574" s="278">
        <v>413</v>
      </c>
      <c r="G574" s="319" t="s">
        <v>4132</v>
      </c>
      <c r="J574" s="556">
        <f t="shared" si="19"/>
        <v>0</v>
      </c>
    </row>
    <row r="575" spans="1:10" hidden="1" x14ac:dyDescent="0.25">
      <c r="E575" s="679">
        <v>12</v>
      </c>
      <c r="F575" s="278">
        <v>414</v>
      </c>
      <c r="G575" s="319" t="s">
        <v>3769</v>
      </c>
      <c r="J575" s="556">
        <f t="shared" si="19"/>
        <v>0</v>
      </c>
    </row>
    <row r="576" spans="1:10" x14ac:dyDescent="0.25">
      <c r="E576" s="679">
        <v>19</v>
      </c>
      <c r="F576" s="278">
        <v>415</v>
      </c>
      <c r="G576" s="319" t="s">
        <v>4141</v>
      </c>
      <c r="H576" s="555">
        <v>300000</v>
      </c>
      <c r="J576" s="556">
        <f t="shared" si="19"/>
        <v>300000</v>
      </c>
    </row>
    <row r="577" spans="5:10" hidden="1" x14ac:dyDescent="0.25">
      <c r="E577" s="679">
        <v>14</v>
      </c>
      <c r="F577" s="278">
        <v>416</v>
      </c>
      <c r="G577" s="319" t="s">
        <v>4142</v>
      </c>
      <c r="J577" s="556">
        <f t="shared" si="19"/>
        <v>0</v>
      </c>
    </row>
    <row r="578" spans="5:10" hidden="1" x14ac:dyDescent="0.25">
      <c r="E578" s="679">
        <v>15</v>
      </c>
      <c r="F578" s="278">
        <v>417</v>
      </c>
      <c r="G578" s="319" t="s">
        <v>4143</v>
      </c>
      <c r="J578" s="556">
        <f t="shared" si="19"/>
        <v>0</v>
      </c>
    </row>
    <row r="579" spans="5:10" hidden="1" x14ac:dyDescent="0.25">
      <c r="E579" s="679">
        <v>16</v>
      </c>
      <c r="F579" s="278">
        <v>418</v>
      </c>
      <c r="G579" s="319" t="s">
        <v>3775</v>
      </c>
      <c r="J579" s="556">
        <f t="shared" si="19"/>
        <v>0</v>
      </c>
    </row>
    <row r="580" spans="5:10" hidden="1" x14ac:dyDescent="0.25">
      <c r="E580" s="679">
        <v>17</v>
      </c>
      <c r="F580" s="278">
        <v>421</v>
      </c>
      <c r="G580" s="319" t="s">
        <v>3779</v>
      </c>
      <c r="J580" s="556">
        <f t="shared" si="19"/>
        <v>0</v>
      </c>
    </row>
    <row r="581" spans="5:10" ht="12.75" customHeight="1" x14ac:dyDescent="0.25">
      <c r="E581" s="679">
        <v>20</v>
      </c>
      <c r="F581" s="278">
        <v>422</v>
      </c>
      <c r="G581" s="319" t="s">
        <v>3780</v>
      </c>
      <c r="H581" s="555">
        <v>50000</v>
      </c>
      <c r="J581" s="556">
        <f t="shared" si="19"/>
        <v>50000</v>
      </c>
    </row>
    <row r="582" spans="5:10" x14ac:dyDescent="0.25">
      <c r="E582" s="679">
        <v>21</v>
      </c>
      <c r="F582" s="278">
        <v>423</v>
      </c>
      <c r="G582" s="319" t="s">
        <v>3781</v>
      </c>
      <c r="H582" s="555">
        <v>1000000</v>
      </c>
      <c r="J582" s="556">
        <f t="shared" si="19"/>
        <v>1000000</v>
      </c>
    </row>
    <row r="583" spans="5:10" x14ac:dyDescent="0.25">
      <c r="E583" s="679">
        <v>22</v>
      </c>
      <c r="F583" s="278">
        <v>424</v>
      </c>
      <c r="G583" s="492" t="s">
        <v>3783</v>
      </c>
      <c r="H583" s="555">
        <v>40000</v>
      </c>
      <c r="J583" s="556">
        <f>SUM(H583:I583)</f>
        <v>40000</v>
      </c>
    </row>
    <row r="584" spans="5:10" ht="13.5" customHeight="1" x14ac:dyDescent="0.25">
      <c r="E584" s="679">
        <v>23</v>
      </c>
      <c r="F584" s="278">
        <v>426</v>
      </c>
      <c r="G584" s="492" t="s">
        <v>5041</v>
      </c>
      <c r="H584" s="555">
        <v>100000</v>
      </c>
      <c r="J584" s="556">
        <f t="shared" si="19"/>
        <v>100000</v>
      </c>
    </row>
    <row r="585" spans="5:10" x14ac:dyDescent="0.25">
      <c r="E585" s="679">
        <v>24</v>
      </c>
      <c r="F585" s="278">
        <v>465</v>
      </c>
      <c r="G585" s="492" t="s">
        <v>4134</v>
      </c>
      <c r="H585" s="555">
        <v>600000</v>
      </c>
      <c r="J585" s="556">
        <f t="shared" si="19"/>
        <v>600000</v>
      </c>
    </row>
    <row r="586" spans="5:10" hidden="1" x14ac:dyDescent="0.25">
      <c r="E586" s="679">
        <v>23</v>
      </c>
      <c r="F586" s="278">
        <v>431</v>
      </c>
      <c r="G586" s="319" t="s">
        <v>4145</v>
      </c>
      <c r="J586" s="556">
        <f t="shared" si="19"/>
        <v>0</v>
      </c>
    </row>
    <row r="587" spans="5:10" hidden="1" x14ac:dyDescent="0.25">
      <c r="E587" s="679">
        <v>24</v>
      </c>
      <c r="F587" s="278">
        <v>432</v>
      </c>
      <c r="G587" s="319" t="s">
        <v>4146</v>
      </c>
      <c r="J587" s="556">
        <f t="shared" si="19"/>
        <v>0</v>
      </c>
    </row>
    <row r="588" spans="5:10" hidden="1" x14ac:dyDescent="0.25">
      <c r="E588" s="679">
        <v>25</v>
      </c>
      <c r="F588" s="278">
        <v>433</v>
      </c>
      <c r="G588" s="319" t="s">
        <v>4147</v>
      </c>
      <c r="J588" s="556">
        <f t="shared" si="19"/>
        <v>0</v>
      </c>
    </row>
    <row r="589" spans="5:10" hidden="1" x14ac:dyDescent="0.25">
      <c r="E589" s="679">
        <v>26</v>
      </c>
      <c r="F589" s="278">
        <v>434</v>
      </c>
      <c r="G589" s="319" t="s">
        <v>4148</v>
      </c>
      <c r="J589" s="556">
        <f t="shared" si="19"/>
        <v>0</v>
      </c>
    </row>
    <row r="590" spans="5:10" hidden="1" x14ac:dyDescent="0.25">
      <c r="E590" s="679">
        <v>27</v>
      </c>
      <c r="F590" s="278">
        <v>435</v>
      </c>
      <c r="G590" s="319" t="s">
        <v>3794</v>
      </c>
      <c r="J590" s="556">
        <f t="shared" si="19"/>
        <v>0</v>
      </c>
    </row>
    <row r="591" spans="5:10" hidden="1" x14ac:dyDescent="0.25">
      <c r="E591" s="679">
        <v>28</v>
      </c>
      <c r="F591" s="278">
        <v>441</v>
      </c>
      <c r="G591" s="319" t="s">
        <v>4149</v>
      </c>
      <c r="J591" s="556">
        <f t="shared" si="19"/>
        <v>0</v>
      </c>
    </row>
    <row r="592" spans="5:10" hidden="1" x14ac:dyDescent="0.25">
      <c r="E592" s="679">
        <v>29</v>
      </c>
      <c r="F592" s="278">
        <v>442</v>
      </c>
      <c r="G592" s="319" t="s">
        <v>4150</v>
      </c>
      <c r="J592" s="556">
        <f t="shared" si="19"/>
        <v>0</v>
      </c>
    </row>
    <row r="593" spans="5:10" hidden="1" x14ac:dyDescent="0.25">
      <c r="E593" s="679">
        <v>30</v>
      </c>
      <c r="F593" s="278">
        <v>443</v>
      </c>
      <c r="G593" s="319" t="s">
        <v>3799</v>
      </c>
      <c r="J593" s="556">
        <f t="shared" si="19"/>
        <v>0</v>
      </c>
    </row>
    <row r="594" spans="5:10" hidden="1" x14ac:dyDescent="0.25">
      <c r="E594" s="679">
        <v>31</v>
      </c>
      <c r="F594" s="278">
        <v>444</v>
      </c>
      <c r="G594" s="319" t="s">
        <v>3800</v>
      </c>
      <c r="J594" s="556">
        <f t="shared" si="19"/>
        <v>0</v>
      </c>
    </row>
    <row r="595" spans="5:10" ht="30" hidden="1" x14ac:dyDescent="0.25">
      <c r="E595" s="679">
        <v>32</v>
      </c>
      <c r="F595" s="278">
        <v>4511</v>
      </c>
      <c r="G595" s="263" t="s">
        <v>1690</v>
      </c>
      <c r="J595" s="556">
        <f t="shared" si="19"/>
        <v>0</v>
      </c>
    </row>
    <row r="596" spans="5:10" ht="30" hidden="1" x14ac:dyDescent="0.25">
      <c r="E596" s="679">
        <v>33</v>
      </c>
      <c r="F596" s="278">
        <v>4512</v>
      </c>
      <c r="G596" s="263" t="s">
        <v>1699</v>
      </c>
      <c r="J596" s="556">
        <f t="shared" si="19"/>
        <v>0</v>
      </c>
    </row>
    <row r="597" spans="5:10" hidden="1" x14ac:dyDescent="0.25">
      <c r="E597" s="679">
        <v>34</v>
      </c>
      <c r="F597" s="278">
        <v>452</v>
      </c>
      <c r="G597" s="319" t="s">
        <v>4151</v>
      </c>
      <c r="J597" s="556">
        <f t="shared" si="19"/>
        <v>0</v>
      </c>
    </row>
    <row r="598" spans="5:10" hidden="1" x14ac:dyDescent="0.25">
      <c r="E598" s="679">
        <v>35</v>
      </c>
      <c r="F598" s="278">
        <v>453</v>
      </c>
      <c r="G598" s="319" t="s">
        <v>4152</v>
      </c>
      <c r="J598" s="556">
        <f t="shared" si="19"/>
        <v>0</v>
      </c>
    </row>
    <row r="599" spans="5:10" hidden="1" x14ac:dyDescent="0.25">
      <c r="E599" s="679">
        <v>36</v>
      </c>
      <c r="F599" s="278">
        <v>454</v>
      </c>
      <c r="G599" s="319" t="s">
        <v>3805</v>
      </c>
      <c r="J599" s="556">
        <f t="shared" si="19"/>
        <v>0</v>
      </c>
    </row>
    <row r="600" spans="5:10" hidden="1" x14ac:dyDescent="0.25">
      <c r="E600" s="679">
        <v>37</v>
      </c>
      <c r="F600" s="278">
        <v>461</v>
      </c>
      <c r="G600" s="319" t="s">
        <v>4133</v>
      </c>
      <c r="J600" s="556">
        <f t="shared" si="19"/>
        <v>0</v>
      </c>
    </row>
    <row r="601" spans="5:10" hidden="1" x14ac:dyDescent="0.25">
      <c r="E601" s="679">
        <v>38</v>
      </c>
      <c r="F601" s="278">
        <v>462</v>
      </c>
      <c r="G601" s="319" t="s">
        <v>3808</v>
      </c>
      <c r="J601" s="556">
        <f t="shared" si="19"/>
        <v>0</v>
      </c>
    </row>
    <row r="602" spans="5:10" hidden="1" x14ac:dyDescent="0.25">
      <c r="E602" s="679">
        <v>39</v>
      </c>
      <c r="F602" s="278">
        <v>4631</v>
      </c>
      <c r="G602" s="319" t="s">
        <v>3809</v>
      </c>
      <c r="J602" s="556">
        <f t="shared" si="19"/>
        <v>0</v>
      </c>
    </row>
    <row r="603" spans="5:10" hidden="1" x14ac:dyDescent="0.25">
      <c r="E603" s="679">
        <v>40</v>
      </c>
      <c r="F603" s="278">
        <v>4632</v>
      </c>
      <c r="G603" s="319" t="s">
        <v>3810</v>
      </c>
      <c r="J603" s="556">
        <f t="shared" si="19"/>
        <v>0</v>
      </c>
    </row>
    <row r="604" spans="5:10" hidden="1" x14ac:dyDescent="0.25">
      <c r="E604" s="679">
        <v>41</v>
      </c>
      <c r="F604" s="278">
        <v>464</v>
      </c>
      <c r="G604" s="319" t="s">
        <v>3811</v>
      </c>
      <c r="J604" s="556">
        <f t="shared" si="19"/>
        <v>0</v>
      </c>
    </row>
    <row r="605" spans="5:10" hidden="1" x14ac:dyDescent="0.25">
      <c r="E605" s="679">
        <v>42</v>
      </c>
      <c r="F605" s="278">
        <v>465</v>
      </c>
      <c r="G605" s="319" t="s">
        <v>4134</v>
      </c>
      <c r="J605" s="556">
        <f t="shared" si="19"/>
        <v>0</v>
      </c>
    </row>
    <row r="606" spans="5:10" x14ac:dyDescent="0.25">
      <c r="E606" s="679">
        <v>25</v>
      </c>
      <c r="F606" s="278">
        <v>472</v>
      </c>
      <c r="G606" s="319" t="s">
        <v>3815</v>
      </c>
      <c r="H606" s="555">
        <v>200000</v>
      </c>
      <c r="J606" s="556">
        <f t="shared" si="19"/>
        <v>200000</v>
      </c>
    </row>
    <row r="607" spans="5:10" hidden="1" x14ac:dyDescent="0.25">
      <c r="E607" s="679">
        <v>44</v>
      </c>
      <c r="F607" s="278">
        <v>481</v>
      </c>
      <c r="G607" s="319" t="s">
        <v>4153</v>
      </c>
      <c r="J607" s="556">
        <f t="shared" si="19"/>
        <v>0</v>
      </c>
    </row>
    <row r="608" spans="5:10" ht="15.75" thickBot="1" x14ac:dyDescent="0.3">
      <c r="E608" s="679">
        <v>26</v>
      </c>
      <c r="F608" s="278">
        <v>482</v>
      </c>
      <c r="G608" s="319" t="s">
        <v>4154</v>
      </c>
      <c r="H608" s="555">
        <v>20000</v>
      </c>
      <c r="J608" s="556">
        <f t="shared" si="19"/>
        <v>20000</v>
      </c>
    </row>
    <row r="609" spans="5:10" hidden="1" x14ac:dyDescent="0.25">
      <c r="E609" s="679">
        <v>46</v>
      </c>
      <c r="F609" s="278">
        <v>483</v>
      </c>
      <c r="G609" s="322" t="s">
        <v>4155</v>
      </c>
      <c r="J609" s="556">
        <f t="shared" si="19"/>
        <v>0</v>
      </c>
    </row>
    <row r="610" spans="5:10" ht="30" hidden="1" x14ac:dyDescent="0.25">
      <c r="E610" s="679">
        <v>47</v>
      </c>
      <c r="F610" s="278">
        <v>484</v>
      </c>
      <c r="G610" s="319" t="s">
        <v>4156</v>
      </c>
      <c r="J610" s="556">
        <f t="shared" si="19"/>
        <v>0</v>
      </c>
    </row>
    <row r="611" spans="5:10" ht="30" hidden="1" x14ac:dyDescent="0.25">
      <c r="E611" s="679">
        <v>48</v>
      </c>
      <c r="F611" s="278">
        <v>485</v>
      </c>
      <c r="G611" s="319" t="s">
        <v>4157</v>
      </c>
      <c r="J611" s="556">
        <f t="shared" si="19"/>
        <v>0</v>
      </c>
    </row>
    <row r="612" spans="5:10" ht="30" hidden="1" x14ac:dyDescent="0.25">
      <c r="E612" s="679">
        <v>49</v>
      </c>
      <c r="F612" s="278">
        <v>489</v>
      </c>
      <c r="G612" s="319" t="s">
        <v>3823</v>
      </c>
      <c r="J612" s="556">
        <f t="shared" si="19"/>
        <v>0</v>
      </c>
    </row>
    <row r="613" spans="5:10" hidden="1" x14ac:dyDescent="0.25">
      <c r="E613" s="679">
        <v>50</v>
      </c>
      <c r="F613" s="278">
        <v>494</v>
      </c>
      <c r="G613" s="319" t="s">
        <v>4135</v>
      </c>
      <c r="J613" s="556">
        <f t="shared" si="19"/>
        <v>0</v>
      </c>
    </row>
    <row r="614" spans="5:10" ht="30" hidden="1" x14ac:dyDescent="0.25">
      <c r="E614" s="679">
        <v>51</v>
      </c>
      <c r="F614" s="278">
        <v>495</v>
      </c>
      <c r="G614" s="319" t="s">
        <v>4136</v>
      </c>
      <c r="J614" s="556">
        <f t="shared" si="19"/>
        <v>0</v>
      </c>
    </row>
    <row r="615" spans="5:10" ht="30" hidden="1" x14ac:dyDescent="0.25">
      <c r="E615" s="679">
        <v>52</v>
      </c>
      <c r="F615" s="278">
        <v>496</v>
      </c>
      <c r="G615" s="319" t="s">
        <v>4137</v>
      </c>
      <c r="J615" s="556">
        <f t="shared" si="19"/>
        <v>0</v>
      </c>
    </row>
    <row r="616" spans="5:10" ht="30" hidden="1" x14ac:dyDescent="0.25">
      <c r="E616" s="679">
        <v>53</v>
      </c>
      <c r="F616" s="278">
        <v>499</v>
      </c>
      <c r="G616" s="319" t="s">
        <v>4138</v>
      </c>
      <c r="J616" s="556">
        <f t="shared" si="19"/>
        <v>0</v>
      </c>
    </row>
    <row r="617" spans="5:10" hidden="1" x14ac:dyDescent="0.25">
      <c r="E617" s="679">
        <v>54</v>
      </c>
      <c r="F617" s="278">
        <v>511</v>
      </c>
      <c r="G617" s="322" t="s">
        <v>4158</v>
      </c>
      <c r="J617" s="556">
        <f t="shared" si="19"/>
        <v>0</v>
      </c>
    </row>
    <row r="618" spans="5:10" hidden="1" x14ac:dyDescent="0.25">
      <c r="E618" s="679">
        <v>55</v>
      </c>
      <c r="F618" s="278">
        <v>512</v>
      </c>
      <c r="G618" s="322" t="s">
        <v>4159</v>
      </c>
      <c r="J618" s="556">
        <f t="shared" si="19"/>
        <v>0</v>
      </c>
    </row>
    <row r="619" spans="5:10" hidden="1" x14ac:dyDescent="0.25">
      <c r="E619" s="679">
        <v>56</v>
      </c>
      <c r="F619" s="278">
        <v>513</v>
      </c>
      <c r="G619" s="322" t="s">
        <v>4160</v>
      </c>
      <c r="J619" s="556">
        <f t="shared" si="19"/>
        <v>0</v>
      </c>
    </row>
    <row r="620" spans="5:10" hidden="1" x14ac:dyDescent="0.25">
      <c r="E620" s="679">
        <v>57</v>
      </c>
      <c r="F620" s="278">
        <v>514</v>
      </c>
      <c r="G620" s="319" t="s">
        <v>4161</v>
      </c>
      <c r="J620" s="556">
        <f t="shared" si="19"/>
        <v>0</v>
      </c>
    </row>
    <row r="621" spans="5:10" hidden="1" x14ac:dyDescent="0.25">
      <c r="E621" s="679">
        <v>58</v>
      </c>
      <c r="F621" s="278">
        <v>515</v>
      </c>
      <c r="G621" s="319" t="s">
        <v>3834</v>
      </c>
      <c r="J621" s="556">
        <f t="shared" si="19"/>
        <v>0</v>
      </c>
    </row>
    <row r="622" spans="5:10" hidden="1" x14ac:dyDescent="0.25">
      <c r="E622" s="679">
        <v>59</v>
      </c>
      <c r="F622" s="278">
        <v>521</v>
      </c>
      <c r="G622" s="319" t="s">
        <v>4162</v>
      </c>
      <c r="J622" s="556">
        <f t="shared" si="19"/>
        <v>0</v>
      </c>
    </row>
    <row r="623" spans="5:10" hidden="1" x14ac:dyDescent="0.25">
      <c r="E623" s="679">
        <v>60</v>
      </c>
      <c r="F623" s="278">
        <v>522</v>
      </c>
      <c r="G623" s="319" t="s">
        <v>4163</v>
      </c>
      <c r="J623" s="556">
        <f t="shared" si="19"/>
        <v>0</v>
      </c>
    </row>
    <row r="624" spans="5:10" hidden="1" x14ac:dyDescent="0.25">
      <c r="E624" s="679">
        <v>61</v>
      </c>
      <c r="F624" s="278">
        <v>523</v>
      </c>
      <c r="G624" s="319" t="s">
        <v>3839</v>
      </c>
      <c r="J624" s="556">
        <f t="shared" si="19"/>
        <v>0</v>
      </c>
    </row>
    <row r="625" spans="5:10" hidden="1" x14ac:dyDescent="0.25">
      <c r="E625" s="679">
        <v>62</v>
      </c>
      <c r="F625" s="278">
        <v>531</v>
      </c>
      <c r="G625" s="317" t="s">
        <v>4139</v>
      </c>
      <c r="J625" s="556">
        <f t="shared" si="19"/>
        <v>0</v>
      </c>
    </row>
    <row r="626" spans="5:10" hidden="1" x14ac:dyDescent="0.25">
      <c r="E626" s="679">
        <v>63</v>
      </c>
      <c r="F626" s="278">
        <v>541</v>
      </c>
      <c r="G626" s="319" t="s">
        <v>4164</v>
      </c>
      <c r="J626" s="556">
        <f t="shared" si="19"/>
        <v>0</v>
      </c>
    </row>
    <row r="627" spans="5:10" hidden="1" x14ac:dyDescent="0.25">
      <c r="E627" s="679">
        <v>64</v>
      </c>
      <c r="F627" s="278">
        <v>542</v>
      </c>
      <c r="G627" s="319" t="s">
        <v>4165</v>
      </c>
      <c r="J627" s="556">
        <f t="shared" si="19"/>
        <v>0</v>
      </c>
    </row>
    <row r="628" spans="5:10" hidden="1" x14ac:dyDescent="0.25">
      <c r="E628" s="679">
        <v>65</v>
      </c>
      <c r="F628" s="278">
        <v>543</v>
      </c>
      <c r="G628" s="319" t="s">
        <v>3844</v>
      </c>
      <c r="J628" s="556">
        <f t="shared" si="19"/>
        <v>0</v>
      </c>
    </row>
    <row r="629" spans="5:10" ht="15" hidden="1" customHeight="1" x14ac:dyDescent="0.25">
      <c r="E629" s="679">
        <v>15</v>
      </c>
      <c r="F629" s="278">
        <v>481</v>
      </c>
      <c r="G629" s="492" t="s">
        <v>5042</v>
      </c>
      <c r="H629" s="555">
        <v>0</v>
      </c>
      <c r="J629" s="556">
        <f t="shared" si="19"/>
        <v>0</v>
      </c>
    </row>
    <row r="630" spans="5:10" ht="12.75" hidden="1" customHeight="1" x14ac:dyDescent="0.25">
      <c r="E630" s="679">
        <v>16</v>
      </c>
      <c r="F630" s="279">
        <v>483</v>
      </c>
      <c r="G630" s="498" t="s">
        <v>4155</v>
      </c>
      <c r="H630" s="555">
        <v>0</v>
      </c>
      <c r="J630" s="556">
        <f t="shared" si="19"/>
        <v>0</v>
      </c>
    </row>
    <row r="631" spans="5:10" ht="14.25" hidden="1" customHeight="1" thickBot="1" x14ac:dyDescent="0.3">
      <c r="E631" s="679">
        <v>17</v>
      </c>
      <c r="F631" s="279">
        <v>485</v>
      </c>
      <c r="G631" s="498" t="s">
        <v>4157</v>
      </c>
      <c r="H631" s="555">
        <v>0</v>
      </c>
      <c r="J631" s="556">
        <f t="shared" si="19"/>
        <v>0</v>
      </c>
    </row>
    <row r="632" spans="5:10" x14ac:dyDescent="0.25">
      <c r="E632" s="489"/>
      <c r="F632" s="324"/>
      <c r="G632" s="343" t="s">
        <v>4234</v>
      </c>
      <c r="H632" s="557"/>
      <c r="I632" s="583"/>
      <c r="J632" s="558"/>
    </row>
    <row r="633" spans="5:10" ht="15.75" thickBot="1" x14ac:dyDescent="0.3">
      <c r="E633" s="693"/>
      <c r="F633" s="284" t="s">
        <v>234</v>
      </c>
      <c r="G633" s="287" t="s">
        <v>235</v>
      </c>
      <c r="H633" s="559">
        <f>SUM(H572:H631)</f>
        <v>7465200</v>
      </c>
      <c r="I633" s="560"/>
      <c r="J633" s="560">
        <f t="shared" ref="J633:J648" si="20">SUM(H633:I633)</f>
        <v>7465200</v>
      </c>
    </row>
    <row r="634" spans="5:10" ht="15.75" hidden="1" thickBot="1" x14ac:dyDescent="0.3">
      <c r="F634" s="284" t="s">
        <v>236</v>
      </c>
      <c r="G634" s="287" t="s">
        <v>237</v>
      </c>
      <c r="J634" s="560">
        <f t="shared" si="20"/>
        <v>0</v>
      </c>
    </row>
    <row r="635" spans="5:10" ht="15.75" hidden="1" thickBot="1" x14ac:dyDescent="0.3">
      <c r="F635" s="284" t="s">
        <v>238</v>
      </c>
      <c r="G635" s="287" t="s">
        <v>239</v>
      </c>
      <c r="J635" s="560">
        <f t="shared" si="20"/>
        <v>0</v>
      </c>
    </row>
    <row r="636" spans="5:10" ht="15.75" hidden="1" thickBot="1" x14ac:dyDescent="0.3">
      <c r="F636" s="284" t="s">
        <v>240</v>
      </c>
      <c r="G636" s="287" t="s">
        <v>241</v>
      </c>
      <c r="J636" s="560">
        <f t="shared" si="20"/>
        <v>0</v>
      </c>
    </row>
    <row r="637" spans="5:10" ht="15.75" hidden="1" thickBot="1" x14ac:dyDescent="0.3">
      <c r="F637" s="284" t="s">
        <v>242</v>
      </c>
      <c r="G637" s="287" t="s">
        <v>243</v>
      </c>
      <c r="J637" s="560">
        <f t="shared" si="20"/>
        <v>0</v>
      </c>
    </row>
    <row r="638" spans="5:10" ht="15.75" hidden="1" thickBot="1" x14ac:dyDescent="0.3">
      <c r="F638" s="284" t="s">
        <v>244</v>
      </c>
      <c r="G638" s="287" t="s">
        <v>245</v>
      </c>
      <c r="J638" s="560">
        <f t="shared" si="20"/>
        <v>0</v>
      </c>
    </row>
    <row r="639" spans="5:10" ht="15.75" hidden="1" thickBot="1" x14ac:dyDescent="0.3">
      <c r="F639" s="284" t="s">
        <v>246</v>
      </c>
      <c r="G639" s="598" t="s">
        <v>4996</v>
      </c>
      <c r="J639" s="560">
        <f t="shared" si="20"/>
        <v>0</v>
      </c>
    </row>
    <row r="640" spans="5:10" ht="15.75" hidden="1" thickBot="1" x14ac:dyDescent="0.3">
      <c r="F640" s="284" t="s">
        <v>247</v>
      </c>
      <c r="G640" s="598" t="s">
        <v>4995</v>
      </c>
      <c r="J640" s="560">
        <f t="shared" si="20"/>
        <v>0</v>
      </c>
    </row>
    <row r="641" spans="5:10" ht="15.75" hidden="1" thickBot="1" x14ac:dyDescent="0.3">
      <c r="F641" s="284" t="s">
        <v>248</v>
      </c>
      <c r="G641" s="287" t="s">
        <v>57</v>
      </c>
      <c r="J641" s="560">
        <f t="shared" si="20"/>
        <v>0</v>
      </c>
    </row>
    <row r="642" spans="5:10" ht="15.75" hidden="1" thickBot="1" x14ac:dyDescent="0.3">
      <c r="F642" s="284" t="s">
        <v>249</v>
      </c>
      <c r="G642" s="287" t="s">
        <v>250</v>
      </c>
      <c r="J642" s="560">
        <f t="shared" si="20"/>
        <v>0</v>
      </c>
    </row>
    <row r="643" spans="5:10" ht="15.75" hidden="1" thickBot="1" x14ac:dyDescent="0.3">
      <c r="F643" s="284" t="s">
        <v>251</v>
      </c>
      <c r="G643" s="287" t="s">
        <v>252</v>
      </c>
      <c r="J643" s="560">
        <f t="shared" si="20"/>
        <v>0</v>
      </c>
    </row>
    <row r="644" spans="5:10" ht="30.75" hidden="1" thickBot="1" x14ac:dyDescent="0.3">
      <c r="F644" s="284" t="s">
        <v>253</v>
      </c>
      <c r="G644" s="287" t="s">
        <v>254</v>
      </c>
      <c r="J644" s="560">
        <f t="shared" si="20"/>
        <v>0</v>
      </c>
    </row>
    <row r="645" spans="5:10" ht="15.75" hidden="1" thickBot="1" x14ac:dyDescent="0.3">
      <c r="F645" s="284" t="s">
        <v>255</v>
      </c>
      <c r="G645" s="287" t="s">
        <v>256</v>
      </c>
      <c r="J645" s="560">
        <f t="shared" si="20"/>
        <v>0</v>
      </c>
    </row>
    <row r="646" spans="5:10" ht="30.75" hidden="1" thickBot="1" x14ac:dyDescent="0.3">
      <c r="F646" s="284" t="s">
        <v>257</v>
      </c>
      <c r="G646" s="287" t="s">
        <v>258</v>
      </c>
      <c r="J646" s="560">
        <f t="shared" si="20"/>
        <v>0</v>
      </c>
    </row>
    <row r="647" spans="5:10" ht="15.75" hidden="1" thickBot="1" x14ac:dyDescent="0.3">
      <c r="F647" s="284" t="s">
        <v>259</v>
      </c>
      <c r="G647" s="287" t="s">
        <v>260</v>
      </c>
      <c r="J647" s="560">
        <f t="shared" si="20"/>
        <v>0</v>
      </c>
    </row>
    <row r="648" spans="5:10" ht="15.75" hidden="1" thickBot="1" x14ac:dyDescent="0.3">
      <c r="F648" s="284" t="s">
        <v>261</v>
      </c>
      <c r="G648" s="287" t="s">
        <v>262</v>
      </c>
      <c r="H648" s="559"/>
      <c r="I648" s="560"/>
      <c r="J648" s="560">
        <f t="shared" si="20"/>
        <v>0</v>
      </c>
    </row>
    <row r="649" spans="5:10" ht="15.75" thickBot="1" x14ac:dyDescent="0.3">
      <c r="G649" s="268" t="s">
        <v>4238</v>
      </c>
      <c r="H649" s="561">
        <f>SUM(H633:H648)</f>
        <v>7465200</v>
      </c>
      <c r="I649" s="562">
        <f>SUM(I634:I648)</f>
        <v>0</v>
      </c>
      <c r="J649" s="562">
        <f>SUM(J633:J648)</f>
        <v>7465200</v>
      </c>
    </row>
    <row r="650" spans="5:10" ht="28.5" collapsed="1" x14ac:dyDescent="0.25">
      <c r="E650" s="489"/>
      <c r="F650" s="324"/>
      <c r="G650" s="270" t="s">
        <v>5061</v>
      </c>
      <c r="H650" s="563"/>
      <c r="I650" s="584"/>
      <c r="J650" s="564"/>
    </row>
    <row r="651" spans="5:10" ht="15.75" thickBot="1" x14ac:dyDescent="0.3">
      <c r="E651" s="693"/>
      <c r="F651" s="284" t="s">
        <v>234</v>
      </c>
      <c r="G651" s="287" t="s">
        <v>235</v>
      </c>
      <c r="H651" s="559">
        <f>SUM(H572:H631)</f>
        <v>7465200</v>
      </c>
      <c r="I651" s="560"/>
      <c r="J651" s="560">
        <f>SUM(H651:I651)</f>
        <v>7465200</v>
      </c>
    </row>
    <row r="652" spans="5:10" ht="15.75" hidden="1" thickBot="1" x14ac:dyDescent="0.3">
      <c r="F652" s="284" t="s">
        <v>236</v>
      </c>
      <c r="G652" s="287" t="s">
        <v>237</v>
      </c>
      <c r="J652" s="560">
        <f t="shared" ref="J652:J666" si="21">SUM(H652:I652)</f>
        <v>0</v>
      </c>
    </row>
    <row r="653" spans="5:10" ht="15.75" hidden="1" thickBot="1" x14ac:dyDescent="0.3">
      <c r="F653" s="284" t="s">
        <v>238</v>
      </c>
      <c r="G653" s="287" t="s">
        <v>239</v>
      </c>
      <c r="J653" s="560">
        <f t="shared" si="21"/>
        <v>0</v>
      </c>
    </row>
    <row r="654" spans="5:10" ht="15.75" hidden="1" thickBot="1" x14ac:dyDescent="0.3">
      <c r="F654" s="284" t="s">
        <v>240</v>
      </c>
      <c r="G654" s="287" t="s">
        <v>241</v>
      </c>
      <c r="J654" s="560">
        <f t="shared" si="21"/>
        <v>0</v>
      </c>
    </row>
    <row r="655" spans="5:10" ht="15.75" hidden="1" thickBot="1" x14ac:dyDescent="0.3">
      <c r="F655" s="284" t="s">
        <v>242</v>
      </c>
      <c r="G655" s="287" t="s">
        <v>243</v>
      </c>
      <c r="J655" s="560">
        <f t="shared" si="21"/>
        <v>0</v>
      </c>
    </row>
    <row r="656" spans="5:10" ht="15.75" hidden="1" thickBot="1" x14ac:dyDescent="0.3">
      <c r="F656" s="284" t="s">
        <v>244</v>
      </c>
      <c r="G656" s="287" t="s">
        <v>245</v>
      </c>
      <c r="J656" s="560">
        <f t="shared" si="21"/>
        <v>0</v>
      </c>
    </row>
    <row r="657" spans="5:10" ht="15.75" hidden="1" thickBot="1" x14ac:dyDescent="0.3">
      <c r="F657" s="284" t="s">
        <v>246</v>
      </c>
      <c r="G657" s="598" t="s">
        <v>4996</v>
      </c>
      <c r="J657" s="560">
        <f t="shared" si="21"/>
        <v>0</v>
      </c>
    </row>
    <row r="658" spans="5:10" ht="15.75" hidden="1" thickBot="1" x14ac:dyDescent="0.3">
      <c r="F658" s="284" t="s">
        <v>247</v>
      </c>
      <c r="G658" s="598" t="s">
        <v>4995</v>
      </c>
      <c r="J658" s="560">
        <f t="shared" si="21"/>
        <v>0</v>
      </c>
    </row>
    <row r="659" spans="5:10" ht="15.75" hidden="1" thickBot="1" x14ac:dyDescent="0.3">
      <c r="F659" s="284" t="s">
        <v>248</v>
      </c>
      <c r="G659" s="287" t="s">
        <v>57</v>
      </c>
      <c r="J659" s="560">
        <f t="shared" si="21"/>
        <v>0</v>
      </c>
    </row>
    <row r="660" spans="5:10" ht="15.75" hidden="1" thickBot="1" x14ac:dyDescent="0.3">
      <c r="F660" s="284" t="s">
        <v>249</v>
      </c>
      <c r="G660" s="287" t="s">
        <v>250</v>
      </c>
      <c r="J660" s="560">
        <f t="shared" si="21"/>
        <v>0</v>
      </c>
    </row>
    <row r="661" spans="5:10" ht="15.75" hidden="1" thickBot="1" x14ac:dyDescent="0.3">
      <c r="F661" s="284" t="s">
        <v>251</v>
      </c>
      <c r="G661" s="287" t="s">
        <v>252</v>
      </c>
      <c r="J661" s="560">
        <f t="shared" si="21"/>
        <v>0</v>
      </c>
    </row>
    <row r="662" spans="5:10" ht="30.75" hidden="1" thickBot="1" x14ac:dyDescent="0.3">
      <c r="F662" s="284" t="s">
        <v>253</v>
      </c>
      <c r="G662" s="287" t="s">
        <v>254</v>
      </c>
      <c r="J662" s="560">
        <f t="shared" si="21"/>
        <v>0</v>
      </c>
    </row>
    <row r="663" spans="5:10" ht="15.75" hidden="1" thickBot="1" x14ac:dyDescent="0.3">
      <c r="F663" s="284" t="s">
        <v>255</v>
      </c>
      <c r="G663" s="287" t="s">
        <v>256</v>
      </c>
      <c r="J663" s="560">
        <f t="shared" si="21"/>
        <v>0</v>
      </c>
    </row>
    <row r="664" spans="5:10" ht="30.75" hidden="1" thickBot="1" x14ac:dyDescent="0.3">
      <c r="F664" s="284" t="s">
        <v>257</v>
      </c>
      <c r="G664" s="287" t="s">
        <v>258</v>
      </c>
      <c r="J664" s="560">
        <f t="shared" si="21"/>
        <v>0</v>
      </c>
    </row>
    <row r="665" spans="5:10" ht="15.75" hidden="1" thickBot="1" x14ac:dyDescent="0.3">
      <c r="F665" s="284" t="s">
        <v>259</v>
      </c>
      <c r="G665" s="287" t="s">
        <v>260</v>
      </c>
      <c r="J665" s="560">
        <f t="shared" si="21"/>
        <v>0</v>
      </c>
    </row>
    <row r="666" spans="5:10" ht="15.75" hidden="1" thickBot="1" x14ac:dyDescent="0.3">
      <c r="F666" s="284" t="s">
        <v>261</v>
      </c>
      <c r="G666" s="287" t="s">
        <v>262</v>
      </c>
      <c r="H666" s="559"/>
      <c r="I666" s="560"/>
      <c r="J666" s="560">
        <f t="shared" si="21"/>
        <v>0</v>
      </c>
    </row>
    <row r="667" spans="5:10" ht="21" customHeight="1" collapsed="1" thickBot="1" x14ac:dyDescent="0.3">
      <c r="G667" s="268" t="s">
        <v>5062</v>
      </c>
      <c r="H667" s="561">
        <f>SUM(H651:H666)</f>
        <v>7465200</v>
      </c>
      <c r="I667" s="562">
        <f>SUM(I652:I666)</f>
        <v>0</v>
      </c>
      <c r="J667" s="562">
        <f>SUM(J651:J666)</f>
        <v>7465200</v>
      </c>
    </row>
    <row r="668" spans="5:10" x14ac:dyDescent="0.25">
      <c r="E668" s="489"/>
      <c r="F668" s="500"/>
      <c r="G668" s="285" t="s">
        <v>5058</v>
      </c>
      <c r="H668" s="567"/>
      <c r="I668" s="585"/>
      <c r="J668" s="568"/>
    </row>
    <row r="669" spans="5:10" ht="15.75" thickBot="1" x14ac:dyDescent="0.3">
      <c r="E669" s="693"/>
      <c r="F669" s="597" t="s">
        <v>234</v>
      </c>
      <c r="G669" s="598" t="s">
        <v>235</v>
      </c>
      <c r="H669" s="559">
        <f>SUM(H651)</f>
        <v>7465200</v>
      </c>
      <c r="I669" s="560"/>
      <c r="J669" s="560">
        <f>SUM(H669:I669)</f>
        <v>7465200</v>
      </c>
    </row>
    <row r="670" spans="5:10" ht="15.75" hidden="1" thickBot="1" x14ac:dyDescent="0.3">
      <c r="F670" s="597" t="s">
        <v>236</v>
      </c>
      <c r="G670" s="598" t="s">
        <v>237</v>
      </c>
      <c r="J670" s="560">
        <f t="shared" ref="J670:J684" si="22">SUM(H670:I670)</f>
        <v>0</v>
      </c>
    </row>
    <row r="671" spans="5:10" ht="15.75" hidden="1" thickBot="1" x14ac:dyDescent="0.3">
      <c r="F671" s="597" t="s">
        <v>238</v>
      </c>
      <c r="G671" s="598" t="s">
        <v>239</v>
      </c>
      <c r="J671" s="560">
        <f t="shared" si="22"/>
        <v>0</v>
      </c>
    </row>
    <row r="672" spans="5:10" ht="15.75" hidden="1" thickBot="1" x14ac:dyDescent="0.3">
      <c r="F672" s="597" t="s">
        <v>240</v>
      </c>
      <c r="G672" s="598" t="s">
        <v>241</v>
      </c>
      <c r="I672" s="556">
        <f>SUM(I238)</f>
        <v>0</v>
      </c>
      <c r="J672" s="560">
        <f t="shared" si="22"/>
        <v>0</v>
      </c>
    </row>
    <row r="673" spans="5:10" ht="15.75" hidden="1" thickBot="1" x14ac:dyDescent="0.3">
      <c r="F673" s="597" t="s">
        <v>242</v>
      </c>
      <c r="G673" s="598" t="s">
        <v>243</v>
      </c>
      <c r="J673" s="560">
        <f t="shared" si="22"/>
        <v>0</v>
      </c>
    </row>
    <row r="674" spans="5:10" ht="15.75" hidden="1" thickBot="1" x14ac:dyDescent="0.3">
      <c r="F674" s="597" t="s">
        <v>244</v>
      </c>
      <c r="G674" s="598" t="s">
        <v>245</v>
      </c>
      <c r="J674" s="560">
        <f t="shared" si="22"/>
        <v>0</v>
      </c>
    </row>
    <row r="675" spans="5:10" ht="15.75" hidden="1" thickBot="1" x14ac:dyDescent="0.3">
      <c r="F675" s="597" t="s">
        <v>246</v>
      </c>
      <c r="G675" s="598" t="s">
        <v>4996</v>
      </c>
      <c r="J675" s="560">
        <f t="shared" si="22"/>
        <v>0</v>
      </c>
    </row>
    <row r="676" spans="5:10" ht="15.75" hidden="1" thickBot="1" x14ac:dyDescent="0.3">
      <c r="F676" s="597" t="s">
        <v>247</v>
      </c>
      <c r="G676" s="598" t="s">
        <v>4995</v>
      </c>
      <c r="J676" s="560">
        <f t="shared" si="22"/>
        <v>0</v>
      </c>
    </row>
    <row r="677" spans="5:10" ht="15.75" hidden="1" thickBot="1" x14ac:dyDescent="0.3">
      <c r="F677" s="597" t="s">
        <v>248</v>
      </c>
      <c r="G677" s="598" t="s">
        <v>57</v>
      </c>
      <c r="J677" s="560">
        <f t="shared" si="22"/>
        <v>0</v>
      </c>
    </row>
    <row r="678" spans="5:10" ht="15.75" hidden="1" thickBot="1" x14ac:dyDescent="0.3">
      <c r="F678" s="597" t="s">
        <v>249</v>
      </c>
      <c r="G678" s="598" t="s">
        <v>250</v>
      </c>
      <c r="J678" s="560">
        <f t="shared" si="22"/>
        <v>0</v>
      </c>
    </row>
    <row r="679" spans="5:10" ht="15.75" hidden="1" thickBot="1" x14ac:dyDescent="0.3">
      <c r="F679" s="597" t="s">
        <v>251</v>
      </c>
      <c r="G679" s="598" t="s">
        <v>252</v>
      </c>
      <c r="J679" s="560">
        <f t="shared" si="22"/>
        <v>0</v>
      </c>
    </row>
    <row r="680" spans="5:10" ht="30.75" hidden="1" thickBot="1" x14ac:dyDescent="0.3">
      <c r="F680" s="597" t="s">
        <v>253</v>
      </c>
      <c r="G680" s="598" t="s">
        <v>254</v>
      </c>
      <c r="J680" s="560">
        <f t="shared" si="22"/>
        <v>0</v>
      </c>
    </row>
    <row r="681" spans="5:10" ht="15.75" hidden="1" thickBot="1" x14ac:dyDescent="0.3">
      <c r="F681" s="597" t="s">
        <v>255</v>
      </c>
      <c r="G681" s="598" t="s">
        <v>256</v>
      </c>
      <c r="J681" s="560">
        <f t="shared" si="22"/>
        <v>0</v>
      </c>
    </row>
    <row r="682" spans="5:10" ht="30.75" hidden="1" thickBot="1" x14ac:dyDescent="0.3">
      <c r="F682" s="597" t="s">
        <v>257</v>
      </c>
      <c r="G682" s="598" t="s">
        <v>258</v>
      </c>
      <c r="J682" s="560">
        <f t="shared" si="22"/>
        <v>0</v>
      </c>
    </row>
    <row r="683" spans="5:10" ht="15.75" hidden="1" thickBot="1" x14ac:dyDescent="0.3">
      <c r="F683" s="597" t="s">
        <v>259</v>
      </c>
      <c r="G683" s="598" t="s">
        <v>260</v>
      </c>
      <c r="J683" s="560">
        <f t="shared" si="22"/>
        <v>0</v>
      </c>
    </row>
    <row r="684" spans="5:10" ht="15.75" hidden="1" thickBot="1" x14ac:dyDescent="0.3">
      <c r="F684" s="597" t="s">
        <v>261</v>
      </c>
      <c r="G684" s="598" t="s">
        <v>262</v>
      </c>
      <c r="H684" s="559"/>
      <c r="I684" s="560"/>
      <c r="J684" s="560">
        <f t="shared" si="22"/>
        <v>0</v>
      </c>
    </row>
    <row r="685" spans="5:10" ht="15" customHeight="1" thickBot="1" x14ac:dyDescent="0.3">
      <c r="G685" s="268" t="s">
        <v>5059</v>
      </c>
      <c r="H685" s="561">
        <f>SUM(H669:H684)</f>
        <v>7465200</v>
      </c>
      <c r="I685" s="562">
        <f>SUM(I670:I684)</f>
        <v>0</v>
      </c>
      <c r="J685" s="562">
        <f>SUM(J669:J684)</f>
        <v>7465200</v>
      </c>
    </row>
    <row r="686" spans="5:10" ht="15" hidden="1" customHeight="1" x14ac:dyDescent="0.25"/>
    <row r="687" spans="5:10" x14ac:dyDescent="0.25">
      <c r="E687" s="489"/>
      <c r="F687" s="500"/>
      <c r="G687" s="285" t="s">
        <v>4170</v>
      </c>
      <c r="H687" s="567"/>
      <c r="I687" s="585"/>
      <c r="J687" s="568"/>
    </row>
    <row r="688" spans="5:10" ht="15.75" thickBot="1" x14ac:dyDescent="0.3">
      <c r="E688" s="693"/>
      <c r="F688" s="597" t="s">
        <v>234</v>
      </c>
      <c r="G688" s="598" t="s">
        <v>235</v>
      </c>
      <c r="H688" s="559">
        <f>SUM(H667)</f>
        <v>7465200</v>
      </c>
      <c r="I688" s="560"/>
      <c r="J688" s="560">
        <f>SUM(H688:I688)</f>
        <v>7465200</v>
      </c>
    </row>
    <row r="689" spans="6:10" ht="15.75" hidden="1" thickBot="1" x14ac:dyDescent="0.3">
      <c r="F689" s="597" t="s">
        <v>236</v>
      </c>
      <c r="G689" s="598" t="s">
        <v>237</v>
      </c>
      <c r="J689" s="560">
        <f t="shared" ref="J689:J703" si="23">SUM(H689:I689)</f>
        <v>0</v>
      </c>
    </row>
    <row r="690" spans="6:10" ht="15.75" hidden="1" thickBot="1" x14ac:dyDescent="0.3">
      <c r="F690" s="597" t="s">
        <v>238</v>
      </c>
      <c r="G690" s="598" t="s">
        <v>239</v>
      </c>
      <c r="J690" s="560">
        <f t="shared" si="23"/>
        <v>0</v>
      </c>
    </row>
    <row r="691" spans="6:10" ht="15.75" hidden="1" thickBot="1" x14ac:dyDescent="0.3">
      <c r="F691" s="597" t="s">
        <v>240</v>
      </c>
      <c r="G691" s="598" t="s">
        <v>241</v>
      </c>
      <c r="J691" s="560">
        <f t="shared" si="23"/>
        <v>0</v>
      </c>
    </row>
    <row r="692" spans="6:10" ht="15.75" hidden="1" thickBot="1" x14ac:dyDescent="0.3">
      <c r="F692" s="597" t="s">
        <v>242</v>
      </c>
      <c r="G692" s="598" t="s">
        <v>243</v>
      </c>
      <c r="J692" s="560">
        <f t="shared" si="23"/>
        <v>0</v>
      </c>
    </row>
    <row r="693" spans="6:10" ht="15.75" hidden="1" thickBot="1" x14ac:dyDescent="0.3">
      <c r="F693" s="597" t="s">
        <v>244</v>
      </c>
      <c r="G693" s="598" t="s">
        <v>245</v>
      </c>
      <c r="J693" s="560">
        <f t="shared" si="23"/>
        <v>0</v>
      </c>
    </row>
    <row r="694" spans="6:10" ht="15.75" hidden="1" thickBot="1" x14ac:dyDescent="0.3">
      <c r="F694" s="597" t="s">
        <v>246</v>
      </c>
      <c r="G694" s="598" t="s">
        <v>4996</v>
      </c>
      <c r="J694" s="560">
        <f t="shared" si="23"/>
        <v>0</v>
      </c>
    </row>
    <row r="695" spans="6:10" ht="15.75" hidden="1" thickBot="1" x14ac:dyDescent="0.3">
      <c r="F695" s="597" t="s">
        <v>247</v>
      </c>
      <c r="G695" s="598" t="s">
        <v>4995</v>
      </c>
      <c r="J695" s="560">
        <f t="shared" si="23"/>
        <v>0</v>
      </c>
    </row>
    <row r="696" spans="6:10" ht="15.75" hidden="1" thickBot="1" x14ac:dyDescent="0.3">
      <c r="F696" s="597" t="s">
        <v>248</v>
      </c>
      <c r="G696" s="598" t="s">
        <v>57</v>
      </c>
      <c r="J696" s="560">
        <f t="shared" si="23"/>
        <v>0</v>
      </c>
    </row>
    <row r="697" spans="6:10" ht="15.75" hidden="1" thickBot="1" x14ac:dyDescent="0.3">
      <c r="F697" s="597" t="s">
        <v>249</v>
      </c>
      <c r="G697" s="598" t="s">
        <v>250</v>
      </c>
      <c r="J697" s="560">
        <f t="shared" si="23"/>
        <v>0</v>
      </c>
    </row>
    <row r="698" spans="6:10" ht="15.75" hidden="1" thickBot="1" x14ac:dyDescent="0.3">
      <c r="F698" s="597" t="s">
        <v>251</v>
      </c>
      <c r="G698" s="598" t="s">
        <v>252</v>
      </c>
      <c r="J698" s="560">
        <f t="shared" si="23"/>
        <v>0</v>
      </c>
    </row>
    <row r="699" spans="6:10" ht="30.75" hidden="1" thickBot="1" x14ac:dyDescent="0.3">
      <c r="F699" s="597" t="s">
        <v>253</v>
      </c>
      <c r="G699" s="598" t="s">
        <v>254</v>
      </c>
      <c r="J699" s="560">
        <f t="shared" si="23"/>
        <v>0</v>
      </c>
    </row>
    <row r="700" spans="6:10" ht="15.75" hidden="1" thickBot="1" x14ac:dyDescent="0.3">
      <c r="F700" s="597" t="s">
        <v>255</v>
      </c>
      <c r="G700" s="598" t="s">
        <v>256</v>
      </c>
      <c r="J700" s="560">
        <f t="shared" si="23"/>
        <v>0</v>
      </c>
    </row>
    <row r="701" spans="6:10" ht="30.75" hidden="1" thickBot="1" x14ac:dyDescent="0.3">
      <c r="F701" s="597" t="s">
        <v>257</v>
      </c>
      <c r="G701" s="598" t="s">
        <v>258</v>
      </c>
      <c r="J701" s="560">
        <f t="shared" si="23"/>
        <v>0</v>
      </c>
    </row>
    <row r="702" spans="6:10" ht="15.75" hidden="1" thickBot="1" x14ac:dyDescent="0.3">
      <c r="F702" s="597" t="s">
        <v>259</v>
      </c>
      <c r="G702" s="598" t="s">
        <v>260</v>
      </c>
      <c r="J702" s="560">
        <f t="shared" si="23"/>
        <v>0</v>
      </c>
    </row>
    <row r="703" spans="6:10" ht="15.75" hidden="1" thickBot="1" x14ac:dyDescent="0.3">
      <c r="F703" s="597" t="s">
        <v>261</v>
      </c>
      <c r="G703" s="598" t="s">
        <v>262</v>
      </c>
      <c r="H703" s="559"/>
      <c r="I703" s="560"/>
      <c r="J703" s="560">
        <f t="shared" si="23"/>
        <v>0</v>
      </c>
    </row>
    <row r="704" spans="6:10" ht="16.5" customHeight="1" thickBot="1" x14ac:dyDescent="0.3">
      <c r="G704" s="268" t="s">
        <v>4171</v>
      </c>
      <c r="H704" s="561">
        <f>SUM(H688:H703)</f>
        <v>7465200</v>
      </c>
      <c r="I704" s="562">
        <f>SUM(I689:I703)</f>
        <v>0</v>
      </c>
      <c r="J704" s="562">
        <f>SUM(J688:J703)</f>
        <v>7465200</v>
      </c>
    </row>
    <row r="705" spans="5:10" ht="16.5" hidden="1" customHeight="1" x14ac:dyDescent="0.25"/>
    <row r="706" spans="5:10" x14ac:dyDescent="0.25">
      <c r="E706" s="489"/>
      <c r="F706" s="500"/>
      <c r="G706" s="285" t="s">
        <v>4175</v>
      </c>
      <c r="H706" s="567"/>
      <c r="I706" s="585"/>
      <c r="J706" s="568"/>
    </row>
    <row r="707" spans="5:10" ht="15.75" thickBot="1" x14ac:dyDescent="0.3">
      <c r="E707" s="693"/>
      <c r="F707" s="597" t="s">
        <v>234</v>
      </c>
      <c r="G707" s="598" t="s">
        <v>235</v>
      </c>
      <c r="H707" s="559">
        <f>SUM(H688)</f>
        <v>7465200</v>
      </c>
      <c r="I707" s="560"/>
      <c r="J707" s="560">
        <f>SUM(H707:I707)</f>
        <v>7465200</v>
      </c>
    </row>
    <row r="708" spans="5:10" ht="15.75" hidden="1" thickBot="1" x14ac:dyDescent="0.3">
      <c r="F708" s="597" t="s">
        <v>236</v>
      </c>
      <c r="G708" s="598" t="s">
        <v>237</v>
      </c>
      <c r="J708" s="560">
        <f t="shared" ref="J708:J722" si="24">SUM(H708:I708)</f>
        <v>0</v>
      </c>
    </row>
    <row r="709" spans="5:10" ht="15.75" hidden="1" thickBot="1" x14ac:dyDescent="0.3">
      <c r="F709" s="597" t="s">
        <v>238</v>
      </c>
      <c r="G709" s="598" t="s">
        <v>239</v>
      </c>
      <c r="J709" s="560">
        <f t="shared" si="24"/>
        <v>0</v>
      </c>
    </row>
    <row r="710" spans="5:10" ht="15.75" hidden="1" thickBot="1" x14ac:dyDescent="0.3">
      <c r="F710" s="597" t="s">
        <v>240</v>
      </c>
      <c r="G710" s="598" t="s">
        <v>241</v>
      </c>
      <c r="J710" s="560">
        <f t="shared" si="24"/>
        <v>0</v>
      </c>
    </row>
    <row r="711" spans="5:10" ht="15.75" hidden="1" thickBot="1" x14ac:dyDescent="0.3">
      <c r="F711" s="597" t="s">
        <v>242</v>
      </c>
      <c r="G711" s="598" t="s">
        <v>243</v>
      </c>
      <c r="J711" s="560">
        <f t="shared" si="24"/>
        <v>0</v>
      </c>
    </row>
    <row r="712" spans="5:10" ht="15.75" hidden="1" thickBot="1" x14ac:dyDescent="0.3">
      <c r="F712" s="597" t="s">
        <v>244</v>
      </c>
      <c r="G712" s="598" t="s">
        <v>245</v>
      </c>
      <c r="J712" s="560">
        <f t="shared" si="24"/>
        <v>0</v>
      </c>
    </row>
    <row r="713" spans="5:10" ht="15.75" hidden="1" thickBot="1" x14ac:dyDescent="0.3">
      <c r="F713" s="597" t="s">
        <v>246</v>
      </c>
      <c r="G713" s="598" t="s">
        <v>4996</v>
      </c>
      <c r="J713" s="560">
        <f t="shared" si="24"/>
        <v>0</v>
      </c>
    </row>
    <row r="714" spans="5:10" ht="15.75" hidden="1" thickBot="1" x14ac:dyDescent="0.3">
      <c r="F714" s="597" t="s">
        <v>247</v>
      </c>
      <c r="G714" s="598" t="s">
        <v>4995</v>
      </c>
      <c r="J714" s="560">
        <f t="shared" si="24"/>
        <v>0</v>
      </c>
    </row>
    <row r="715" spans="5:10" ht="15.75" hidden="1" thickBot="1" x14ac:dyDescent="0.3">
      <c r="F715" s="597" t="s">
        <v>248</v>
      </c>
      <c r="G715" s="598" t="s">
        <v>57</v>
      </c>
      <c r="J715" s="560">
        <f t="shared" si="24"/>
        <v>0</v>
      </c>
    </row>
    <row r="716" spans="5:10" ht="15.75" hidden="1" thickBot="1" x14ac:dyDescent="0.3">
      <c r="F716" s="597" t="s">
        <v>249</v>
      </c>
      <c r="G716" s="598" t="s">
        <v>250</v>
      </c>
      <c r="J716" s="560">
        <f t="shared" si="24"/>
        <v>0</v>
      </c>
    </row>
    <row r="717" spans="5:10" ht="15.75" hidden="1" thickBot="1" x14ac:dyDescent="0.3">
      <c r="F717" s="597" t="s">
        <v>251</v>
      </c>
      <c r="G717" s="598" t="s">
        <v>252</v>
      </c>
      <c r="J717" s="560">
        <f t="shared" si="24"/>
        <v>0</v>
      </c>
    </row>
    <row r="718" spans="5:10" ht="30.75" hidden="1" thickBot="1" x14ac:dyDescent="0.3">
      <c r="F718" s="597" t="s">
        <v>253</v>
      </c>
      <c r="G718" s="598" t="s">
        <v>254</v>
      </c>
      <c r="J718" s="560">
        <f t="shared" si="24"/>
        <v>0</v>
      </c>
    </row>
    <row r="719" spans="5:10" ht="15.75" hidden="1" thickBot="1" x14ac:dyDescent="0.3">
      <c r="F719" s="597" t="s">
        <v>255</v>
      </c>
      <c r="G719" s="598" t="s">
        <v>256</v>
      </c>
      <c r="J719" s="560">
        <f t="shared" si="24"/>
        <v>0</v>
      </c>
    </row>
    <row r="720" spans="5:10" ht="30.75" hidden="1" thickBot="1" x14ac:dyDescent="0.3">
      <c r="F720" s="597" t="s">
        <v>257</v>
      </c>
      <c r="G720" s="598" t="s">
        <v>258</v>
      </c>
      <c r="J720" s="560">
        <f t="shared" si="24"/>
        <v>0</v>
      </c>
    </row>
    <row r="721" spans="1:25" ht="15.75" hidden="1" thickBot="1" x14ac:dyDescent="0.3">
      <c r="F721" s="597" t="s">
        <v>259</v>
      </c>
      <c r="G721" s="598" t="s">
        <v>260</v>
      </c>
      <c r="J721" s="560">
        <f t="shared" si="24"/>
        <v>0</v>
      </c>
    </row>
    <row r="722" spans="1:25" ht="15.75" hidden="1" thickBot="1" x14ac:dyDescent="0.3">
      <c r="F722" s="597" t="s">
        <v>261</v>
      </c>
      <c r="G722" s="598" t="s">
        <v>262</v>
      </c>
      <c r="H722" s="559"/>
      <c r="I722" s="560"/>
      <c r="J722" s="560">
        <f t="shared" si="24"/>
        <v>0</v>
      </c>
    </row>
    <row r="723" spans="1:25" ht="15.75" thickBot="1" x14ac:dyDescent="0.3">
      <c r="G723" s="268" t="s">
        <v>4176</v>
      </c>
      <c r="H723" s="561">
        <f>SUM(H707:H722)</f>
        <v>7465200</v>
      </c>
      <c r="I723" s="562">
        <f>SUM(I708:I722)</f>
        <v>0</v>
      </c>
      <c r="J723" s="562">
        <f>SUM(J707:J722)</f>
        <v>7465200</v>
      </c>
    </row>
    <row r="724" spans="1:25" ht="21" hidden="1" customHeight="1" x14ac:dyDescent="0.25">
      <c r="G724" s="312"/>
      <c r="H724" s="565"/>
      <c r="I724" s="566"/>
      <c r="J724" s="566"/>
    </row>
    <row r="725" spans="1:25" ht="21" hidden="1" customHeight="1" x14ac:dyDescent="0.25">
      <c r="G725" s="312"/>
      <c r="H725" s="565"/>
      <c r="I725" s="566"/>
      <c r="J725" s="566"/>
    </row>
    <row r="726" spans="1:25" ht="21" hidden="1" customHeight="1" x14ac:dyDescent="0.25">
      <c r="G726" s="312"/>
      <c r="H726" s="565"/>
      <c r="I726" s="566"/>
      <c r="J726" s="566"/>
    </row>
    <row r="727" spans="1:25" hidden="1" x14ac:dyDescent="0.25"/>
    <row r="728" spans="1:25" ht="0.75" customHeight="1" x14ac:dyDescent="0.25">
      <c r="G728" s="312"/>
      <c r="H728" s="565"/>
      <c r="I728" s="566"/>
      <c r="J728" s="566"/>
    </row>
    <row r="729" spans="1:25" ht="0.75" customHeight="1" x14ac:dyDescent="0.25">
      <c r="G729" s="312"/>
      <c r="H729" s="565"/>
      <c r="I729" s="566"/>
      <c r="J729" s="566"/>
    </row>
    <row r="730" spans="1:25" customFormat="1" ht="0.75" customHeight="1" x14ac:dyDescent="0.25">
      <c r="E730" s="872"/>
      <c r="F730" s="258"/>
    </row>
    <row r="731" spans="1:25" customFormat="1" ht="0.75" customHeight="1" x14ac:dyDescent="0.25">
      <c r="E731" s="872"/>
      <c r="F731" s="258"/>
    </row>
    <row r="732" spans="1:25" s="758" customFormat="1" ht="14.25" x14ac:dyDescent="0.2">
      <c r="A732" s="759">
        <v>3</v>
      </c>
      <c r="B732" s="759">
        <v>1</v>
      </c>
      <c r="C732" s="760"/>
      <c r="D732" s="759"/>
      <c r="E732" s="873"/>
      <c r="F732" s="759"/>
      <c r="G732" s="761" t="s">
        <v>5228</v>
      </c>
      <c r="H732" s="762"/>
      <c r="I732" s="763"/>
      <c r="J732" s="763"/>
      <c r="K732" s="757"/>
      <c r="L732" s="757"/>
      <c r="M732" s="757"/>
      <c r="N732" s="757"/>
      <c r="O732" s="757"/>
      <c r="P732" s="757"/>
      <c r="Q732" s="757"/>
      <c r="R732" s="757"/>
      <c r="S732" s="757"/>
      <c r="T732" s="757"/>
      <c r="U732" s="757"/>
      <c r="V732" s="757"/>
      <c r="W732" s="757"/>
      <c r="X732" s="757"/>
      <c r="Y732" s="757"/>
    </row>
    <row r="733" spans="1:25" ht="36" customHeight="1" x14ac:dyDescent="0.25">
      <c r="C733" s="267" t="s">
        <v>5049</v>
      </c>
      <c r="G733" s="490" t="s">
        <v>5060</v>
      </c>
    </row>
    <row r="734" spans="1:25" x14ac:dyDescent="0.25">
      <c r="C734" s="267" t="s">
        <v>5053</v>
      </c>
      <c r="D734" s="259"/>
      <c r="G734" s="483" t="s">
        <v>5054</v>
      </c>
    </row>
    <row r="735" spans="1:25" ht="30" x14ac:dyDescent="0.25">
      <c r="C735" s="267"/>
      <c r="D735" s="331">
        <v>110</v>
      </c>
      <c r="E735" s="869"/>
      <c r="F735" s="331"/>
      <c r="G735" s="332" t="s">
        <v>105</v>
      </c>
      <c r="H735" s="559"/>
      <c r="I735" s="560"/>
      <c r="J735" s="560"/>
    </row>
    <row r="736" spans="1:25" hidden="1" x14ac:dyDescent="0.25">
      <c r="F736" s="499">
        <v>411</v>
      </c>
      <c r="G736" s="492" t="s">
        <v>4131</v>
      </c>
      <c r="J736" s="556">
        <f>SUM(H736:I736)</f>
        <v>0</v>
      </c>
    </row>
    <row r="737" spans="5:10" hidden="1" x14ac:dyDescent="0.25">
      <c r="F737" s="499">
        <v>412</v>
      </c>
      <c r="G737" s="488" t="s">
        <v>3766</v>
      </c>
      <c r="J737" s="556">
        <f t="shared" ref="J737:J749" si="25">SUM(H737:I737)</f>
        <v>0</v>
      </c>
    </row>
    <row r="738" spans="5:10" hidden="1" x14ac:dyDescent="0.25">
      <c r="F738" s="499">
        <v>413</v>
      </c>
      <c r="G738" s="492" t="s">
        <v>4132</v>
      </c>
      <c r="J738" s="556">
        <f t="shared" si="25"/>
        <v>0</v>
      </c>
    </row>
    <row r="739" spans="5:10" hidden="1" x14ac:dyDescent="0.25">
      <c r="F739" s="499">
        <v>414</v>
      </c>
      <c r="G739" s="492" t="s">
        <v>3769</v>
      </c>
      <c r="J739" s="556">
        <f t="shared" si="25"/>
        <v>0</v>
      </c>
    </row>
    <row r="740" spans="5:10" x14ac:dyDescent="0.25">
      <c r="E740" s="679">
        <v>27</v>
      </c>
      <c r="F740" s="499">
        <v>415</v>
      </c>
      <c r="G740" s="492" t="s">
        <v>4141</v>
      </c>
      <c r="H740" s="555">
        <v>70000</v>
      </c>
      <c r="J740" s="556">
        <f t="shared" si="25"/>
        <v>70000</v>
      </c>
    </row>
    <row r="741" spans="5:10" hidden="1" x14ac:dyDescent="0.25">
      <c r="F741" s="499">
        <v>416</v>
      </c>
      <c r="G741" s="492" t="s">
        <v>4142</v>
      </c>
      <c r="J741" s="556">
        <f t="shared" si="25"/>
        <v>0</v>
      </c>
    </row>
    <row r="742" spans="5:10" hidden="1" x14ac:dyDescent="0.25">
      <c r="F742" s="499">
        <v>417</v>
      </c>
      <c r="G742" s="492" t="s">
        <v>4143</v>
      </c>
      <c r="J742" s="556">
        <f t="shared" si="25"/>
        <v>0</v>
      </c>
    </row>
    <row r="743" spans="5:10" hidden="1" x14ac:dyDescent="0.25">
      <c r="F743" s="499">
        <v>418</v>
      </c>
      <c r="G743" s="492" t="s">
        <v>3775</v>
      </c>
      <c r="J743" s="556">
        <f t="shared" si="25"/>
        <v>0</v>
      </c>
    </row>
    <row r="744" spans="5:10" hidden="1" x14ac:dyDescent="0.25">
      <c r="F744" s="499">
        <v>421</v>
      </c>
      <c r="G744" s="492" t="s">
        <v>3779</v>
      </c>
      <c r="J744" s="556">
        <f t="shared" si="25"/>
        <v>0</v>
      </c>
    </row>
    <row r="745" spans="5:10" x14ac:dyDescent="0.25">
      <c r="E745" s="679">
        <v>28</v>
      </c>
      <c r="F745" s="499">
        <v>422</v>
      </c>
      <c r="G745" s="492" t="s">
        <v>3780</v>
      </c>
      <c r="H745" s="555">
        <v>0</v>
      </c>
      <c r="J745" s="556">
        <f t="shared" si="25"/>
        <v>0</v>
      </c>
    </row>
    <row r="746" spans="5:10" ht="15.75" thickBot="1" x14ac:dyDescent="0.3">
      <c r="E746" s="679">
        <v>29</v>
      </c>
      <c r="F746" s="499">
        <v>423</v>
      </c>
      <c r="G746" s="492" t="s">
        <v>3781</v>
      </c>
      <c r="H746" s="555">
        <v>800000</v>
      </c>
      <c r="J746" s="556">
        <f t="shared" si="25"/>
        <v>800000</v>
      </c>
    </row>
    <row r="747" spans="5:10" ht="15.75" hidden="1" thickBot="1" x14ac:dyDescent="0.3">
      <c r="E747" s="679">
        <v>19</v>
      </c>
      <c r="F747" s="499">
        <v>424</v>
      </c>
      <c r="G747" s="492" t="s">
        <v>3783</v>
      </c>
      <c r="H747" s="555">
        <v>0</v>
      </c>
      <c r="J747" s="556">
        <f t="shared" si="25"/>
        <v>0</v>
      </c>
    </row>
    <row r="748" spans="5:10" ht="15.75" hidden="1" thickBot="1" x14ac:dyDescent="0.3">
      <c r="F748" s="499">
        <v>426</v>
      </c>
      <c r="G748" s="492" t="s">
        <v>3787</v>
      </c>
      <c r="J748" s="556">
        <f t="shared" si="25"/>
        <v>0</v>
      </c>
    </row>
    <row r="749" spans="5:10" ht="15" hidden="1" customHeight="1" x14ac:dyDescent="0.25">
      <c r="E749" s="679">
        <v>20</v>
      </c>
      <c r="F749" s="499">
        <v>425</v>
      </c>
      <c r="G749" s="492" t="s">
        <v>4144</v>
      </c>
      <c r="H749" s="555">
        <v>0</v>
      </c>
      <c r="J749" s="556">
        <f t="shared" si="25"/>
        <v>0</v>
      </c>
    </row>
    <row r="750" spans="5:10" ht="13.5" hidden="1" customHeight="1" thickBot="1" x14ac:dyDescent="0.3">
      <c r="E750" s="679">
        <v>21</v>
      </c>
      <c r="F750" s="499">
        <v>512</v>
      </c>
      <c r="G750" s="492" t="s">
        <v>5040</v>
      </c>
      <c r="H750" s="555">
        <v>0</v>
      </c>
      <c r="J750" s="556">
        <f>SUM(H750)</f>
        <v>0</v>
      </c>
    </row>
    <row r="751" spans="5:10" x14ac:dyDescent="0.25">
      <c r="E751" s="489"/>
      <c r="F751" s="500"/>
      <c r="G751" s="343" t="s">
        <v>4287</v>
      </c>
      <c r="H751" s="557"/>
      <c r="I751" s="583"/>
      <c r="J751" s="558"/>
    </row>
    <row r="752" spans="5:10" ht="15" customHeight="1" thickBot="1" x14ac:dyDescent="0.3">
      <c r="E752" s="693"/>
      <c r="F752" s="597" t="s">
        <v>234</v>
      </c>
      <c r="G752" s="598" t="s">
        <v>235</v>
      </c>
      <c r="H752" s="559">
        <f>SUM(H740:H750)</f>
        <v>870000</v>
      </c>
      <c r="I752" s="560"/>
      <c r="J752" s="560">
        <f t="shared" ref="J752:J767" si="26">SUM(H752:I752)</f>
        <v>870000</v>
      </c>
    </row>
    <row r="753" spans="6:10" ht="11.25" hidden="1" customHeight="1" thickBot="1" x14ac:dyDescent="0.3">
      <c r="F753" s="597" t="s">
        <v>236</v>
      </c>
      <c r="G753" s="598" t="s">
        <v>237</v>
      </c>
      <c r="J753" s="560">
        <f t="shared" si="26"/>
        <v>0</v>
      </c>
    </row>
    <row r="754" spans="6:10" ht="15.75" hidden="1" thickBot="1" x14ac:dyDescent="0.3">
      <c r="F754" s="597" t="s">
        <v>238</v>
      </c>
      <c r="G754" s="598" t="s">
        <v>239</v>
      </c>
      <c r="J754" s="560">
        <f t="shared" si="26"/>
        <v>0</v>
      </c>
    </row>
    <row r="755" spans="6:10" ht="15.75" hidden="1" thickBot="1" x14ac:dyDescent="0.3">
      <c r="F755" s="597" t="s">
        <v>240</v>
      </c>
      <c r="G755" s="598" t="s">
        <v>241</v>
      </c>
      <c r="J755" s="560">
        <f t="shared" si="26"/>
        <v>0</v>
      </c>
    </row>
    <row r="756" spans="6:10" ht="15.75" hidden="1" thickBot="1" x14ac:dyDescent="0.3">
      <c r="F756" s="597" t="s">
        <v>242</v>
      </c>
      <c r="G756" s="598" t="s">
        <v>243</v>
      </c>
      <c r="J756" s="560">
        <f t="shared" si="26"/>
        <v>0</v>
      </c>
    </row>
    <row r="757" spans="6:10" ht="15.75" hidden="1" thickBot="1" x14ac:dyDescent="0.3">
      <c r="F757" s="597" t="s">
        <v>244</v>
      </c>
      <c r="G757" s="598" t="s">
        <v>245</v>
      </c>
      <c r="J757" s="560">
        <f t="shared" si="26"/>
        <v>0</v>
      </c>
    </row>
    <row r="758" spans="6:10" ht="15.75" hidden="1" thickBot="1" x14ac:dyDescent="0.3">
      <c r="F758" s="597" t="s">
        <v>246</v>
      </c>
      <c r="G758" s="598" t="s">
        <v>4996</v>
      </c>
      <c r="J758" s="560">
        <f t="shared" si="26"/>
        <v>0</v>
      </c>
    </row>
    <row r="759" spans="6:10" ht="15.75" hidden="1" thickBot="1" x14ac:dyDescent="0.3">
      <c r="F759" s="597" t="s">
        <v>247</v>
      </c>
      <c r="G759" s="598" t="s">
        <v>4995</v>
      </c>
      <c r="J759" s="560">
        <f t="shared" si="26"/>
        <v>0</v>
      </c>
    </row>
    <row r="760" spans="6:10" ht="15.75" hidden="1" thickBot="1" x14ac:dyDescent="0.3">
      <c r="F760" s="597" t="s">
        <v>248</v>
      </c>
      <c r="G760" s="598" t="s">
        <v>57</v>
      </c>
      <c r="J760" s="560">
        <f t="shared" si="26"/>
        <v>0</v>
      </c>
    </row>
    <row r="761" spans="6:10" ht="15.75" hidden="1" thickBot="1" x14ac:dyDescent="0.3">
      <c r="F761" s="597" t="s">
        <v>249</v>
      </c>
      <c r="G761" s="598" t="s">
        <v>250</v>
      </c>
      <c r="J761" s="560">
        <f t="shared" si="26"/>
        <v>0</v>
      </c>
    </row>
    <row r="762" spans="6:10" ht="15.75" hidden="1" thickBot="1" x14ac:dyDescent="0.3">
      <c r="F762" s="597" t="s">
        <v>251</v>
      </c>
      <c r="G762" s="598" t="s">
        <v>252</v>
      </c>
      <c r="J762" s="560">
        <f t="shared" si="26"/>
        <v>0</v>
      </c>
    </row>
    <row r="763" spans="6:10" ht="30.75" hidden="1" thickBot="1" x14ac:dyDescent="0.3">
      <c r="F763" s="597" t="s">
        <v>253</v>
      </c>
      <c r="G763" s="598" t="s">
        <v>254</v>
      </c>
      <c r="J763" s="560">
        <f t="shared" si="26"/>
        <v>0</v>
      </c>
    </row>
    <row r="764" spans="6:10" ht="15.75" hidden="1" thickBot="1" x14ac:dyDescent="0.3">
      <c r="F764" s="597" t="s">
        <v>255</v>
      </c>
      <c r="G764" s="598" t="s">
        <v>256</v>
      </c>
      <c r="J764" s="560">
        <f t="shared" si="26"/>
        <v>0</v>
      </c>
    </row>
    <row r="765" spans="6:10" ht="30.75" hidden="1" thickBot="1" x14ac:dyDescent="0.3">
      <c r="F765" s="597" t="s">
        <v>257</v>
      </c>
      <c r="G765" s="598" t="s">
        <v>258</v>
      </c>
      <c r="J765" s="560">
        <f t="shared" si="26"/>
        <v>0</v>
      </c>
    </row>
    <row r="766" spans="6:10" ht="15.75" hidden="1" thickBot="1" x14ac:dyDescent="0.3">
      <c r="F766" s="597" t="s">
        <v>259</v>
      </c>
      <c r="G766" s="598" t="s">
        <v>260</v>
      </c>
      <c r="J766" s="560">
        <f t="shared" si="26"/>
        <v>0</v>
      </c>
    </row>
    <row r="767" spans="6:10" ht="15.75" hidden="1" thickBot="1" x14ac:dyDescent="0.3">
      <c r="F767" s="597" t="s">
        <v>261</v>
      </c>
      <c r="G767" s="598" t="s">
        <v>262</v>
      </c>
      <c r="H767" s="559"/>
      <c r="I767" s="560"/>
      <c r="J767" s="560">
        <f t="shared" si="26"/>
        <v>0</v>
      </c>
    </row>
    <row r="768" spans="6:10" ht="12.75" customHeight="1" thickBot="1" x14ac:dyDescent="0.3">
      <c r="G768" s="268" t="s">
        <v>4231</v>
      </c>
      <c r="H768" s="561">
        <f>SUM(H752)</f>
        <v>870000</v>
      </c>
      <c r="I768" s="562">
        <f>SUM(I753:I767)</f>
        <v>0</v>
      </c>
      <c r="J768" s="562">
        <f>SUM(J752:J767)</f>
        <v>870000</v>
      </c>
    </row>
    <row r="769" spans="5:10" ht="28.5" x14ac:dyDescent="0.25">
      <c r="E769" s="489"/>
      <c r="F769" s="500"/>
      <c r="G769" s="270" t="s">
        <v>5061</v>
      </c>
      <c r="H769" s="563"/>
      <c r="I769" s="584"/>
      <c r="J769" s="564"/>
    </row>
    <row r="770" spans="5:10" ht="15" customHeight="1" thickBot="1" x14ac:dyDescent="0.3">
      <c r="E770" s="693"/>
      <c r="F770" s="597" t="s">
        <v>234</v>
      </c>
      <c r="G770" s="598" t="s">
        <v>235</v>
      </c>
      <c r="H770" s="559">
        <f>SUM(H768)</f>
        <v>870000</v>
      </c>
      <c r="I770" s="560"/>
      <c r="J770" s="560">
        <f>SUM(H770:I770)</f>
        <v>870000</v>
      </c>
    </row>
    <row r="771" spans="5:10" ht="9.75" hidden="1" customHeight="1" thickBot="1" x14ac:dyDescent="0.3">
      <c r="F771" s="597" t="s">
        <v>236</v>
      </c>
      <c r="G771" s="598" t="s">
        <v>237</v>
      </c>
      <c r="J771" s="560">
        <f t="shared" ref="J771:J785" si="27">SUM(H771:I771)</f>
        <v>0</v>
      </c>
    </row>
    <row r="772" spans="5:10" ht="15.75" hidden="1" thickBot="1" x14ac:dyDescent="0.3">
      <c r="F772" s="597" t="s">
        <v>238</v>
      </c>
      <c r="G772" s="598" t="s">
        <v>239</v>
      </c>
      <c r="J772" s="560">
        <f t="shared" si="27"/>
        <v>0</v>
      </c>
    </row>
    <row r="773" spans="5:10" ht="15.75" hidden="1" thickBot="1" x14ac:dyDescent="0.3">
      <c r="F773" s="597" t="s">
        <v>240</v>
      </c>
      <c r="G773" s="598" t="s">
        <v>241</v>
      </c>
      <c r="J773" s="560">
        <f t="shared" si="27"/>
        <v>0</v>
      </c>
    </row>
    <row r="774" spans="5:10" ht="15.75" hidden="1" thickBot="1" x14ac:dyDescent="0.3">
      <c r="F774" s="597" t="s">
        <v>242</v>
      </c>
      <c r="G774" s="598" t="s">
        <v>243</v>
      </c>
      <c r="J774" s="560">
        <f t="shared" si="27"/>
        <v>0</v>
      </c>
    </row>
    <row r="775" spans="5:10" ht="15.75" hidden="1" thickBot="1" x14ac:dyDescent="0.3">
      <c r="F775" s="597" t="s">
        <v>244</v>
      </c>
      <c r="G775" s="598" t="s">
        <v>245</v>
      </c>
      <c r="J775" s="560">
        <f t="shared" si="27"/>
        <v>0</v>
      </c>
    </row>
    <row r="776" spans="5:10" ht="15.75" hidden="1" thickBot="1" x14ac:dyDescent="0.3">
      <c r="F776" s="597" t="s">
        <v>246</v>
      </c>
      <c r="G776" s="598" t="s">
        <v>4996</v>
      </c>
      <c r="J776" s="560">
        <f t="shared" si="27"/>
        <v>0</v>
      </c>
    </row>
    <row r="777" spans="5:10" ht="15.75" hidden="1" thickBot="1" x14ac:dyDescent="0.3">
      <c r="F777" s="597" t="s">
        <v>247</v>
      </c>
      <c r="G777" s="598" t="s">
        <v>4995</v>
      </c>
      <c r="J777" s="560">
        <f t="shared" si="27"/>
        <v>0</v>
      </c>
    </row>
    <row r="778" spans="5:10" ht="15.75" hidden="1" thickBot="1" x14ac:dyDescent="0.3">
      <c r="F778" s="597" t="s">
        <v>248</v>
      </c>
      <c r="G778" s="598" t="s">
        <v>57</v>
      </c>
      <c r="J778" s="560">
        <f t="shared" si="27"/>
        <v>0</v>
      </c>
    </row>
    <row r="779" spans="5:10" ht="15.75" hidden="1" thickBot="1" x14ac:dyDescent="0.3">
      <c r="F779" s="597" t="s">
        <v>249</v>
      </c>
      <c r="G779" s="598" t="s">
        <v>250</v>
      </c>
      <c r="J779" s="560">
        <f t="shared" si="27"/>
        <v>0</v>
      </c>
    </row>
    <row r="780" spans="5:10" ht="15.75" hidden="1" thickBot="1" x14ac:dyDescent="0.3">
      <c r="F780" s="597" t="s">
        <v>251</v>
      </c>
      <c r="G780" s="598" t="s">
        <v>252</v>
      </c>
      <c r="J780" s="560">
        <f t="shared" si="27"/>
        <v>0</v>
      </c>
    </row>
    <row r="781" spans="5:10" ht="30.75" hidden="1" thickBot="1" x14ac:dyDescent="0.3">
      <c r="F781" s="597" t="s">
        <v>253</v>
      </c>
      <c r="G781" s="598" t="s">
        <v>254</v>
      </c>
      <c r="J781" s="560">
        <f t="shared" si="27"/>
        <v>0</v>
      </c>
    </row>
    <row r="782" spans="5:10" ht="15.75" hidden="1" thickBot="1" x14ac:dyDescent="0.3">
      <c r="F782" s="597" t="s">
        <v>255</v>
      </c>
      <c r="G782" s="598" t="s">
        <v>256</v>
      </c>
      <c r="J782" s="560">
        <f t="shared" si="27"/>
        <v>0</v>
      </c>
    </row>
    <row r="783" spans="5:10" ht="30.75" hidden="1" thickBot="1" x14ac:dyDescent="0.3">
      <c r="F783" s="597" t="s">
        <v>257</v>
      </c>
      <c r="G783" s="598" t="s">
        <v>258</v>
      </c>
      <c r="J783" s="560">
        <f t="shared" si="27"/>
        <v>0</v>
      </c>
    </row>
    <row r="784" spans="5:10" ht="15.75" hidden="1" thickBot="1" x14ac:dyDescent="0.3">
      <c r="F784" s="597" t="s">
        <v>259</v>
      </c>
      <c r="G784" s="598" t="s">
        <v>260</v>
      </c>
      <c r="J784" s="560">
        <f t="shared" si="27"/>
        <v>0</v>
      </c>
    </row>
    <row r="785" spans="5:10" ht="15.75" hidden="1" thickBot="1" x14ac:dyDescent="0.3">
      <c r="F785" s="597" t="s">
        <v>261</v>
      </c>
      <c r="G785" s="598" t="s">
        <v>262</v>
      </c>
      <c r="H785" s="559"/>
      <c r="I785" s="560"/>
      <c r="J785" s="560">
        <f t="shared" si="27"/>
        <v>0</v>
      </c>
    </row>
    <row r="786" spans="5:10" ht="15" customHeight="1" thickBot="1" x14ac:dyDescent="0.3">
      <c r="G786" s="268" t="s">
        <v>5062</v>
      </c>
      <c r="H786" s="561">
        <f>SUM(H770)</f>
        <v>870000</v>
      </c>
      <c r="I786" s="562">
        <f>SUM(I771:I785)</f>
        <v>0</v>
      </c>
      <c r="J786" s="562">
        <f>SUM(J770:J785)</f>
        <v>870000</v>
      </c>
    </row>
    <row r="787" spans="5:10" hidden="1" x14ac:dyDescent="0.25">
      <c r="G787" s="312"/>
      <c r="H787" s="565"/>
      <c r="I787" s="566"/>
      <c r="J787" s="566"/>
    </row>
    <row r="788" spans="5:10" hidden="1" x14ac:dyDescent="0.25">
      <c r="G788" s="312"/>
      <c r="H788" s="565"/>
      <c r="I788" s="566"/>
      <c r="J788" s="566"/>
    </row>
    <row r="789" spans="5:10" hidden="1" x14ac:dyDescent="0.25">
      <c r="G789" s="312"/>
      <c r="H789" s="565"/>
      <c r="I789" s="566"/>
      <c r="J789" s="566"/>
    </row>
    <row r="790" spans="5:10" hidden="1" x14ac:dyDescent="0.25">
      <c r="G790" s="312"/>
      <c r="H790" s="565"/>
      <c r="I790" s="566"/>
      <c r="J790" s="566"/>
    </row>
    <row r="791" spans="5:10" hidden="1" x14ac:dyDescent="0.25">
      <c r="G791" s="312"/>
      <c r="H791" s="565"/>
      <c r="I791" s="566"/>
      <c r="J791" s="566"/>
    </row>
    <row r="792" spans="5:10" hidden="1" x14ac:dyDescent="0.25">
      <c r="G792" s="312"/>
      <c r="H792" s="565"/>
      <c r="I792" s="566"/>
      <c r="J792" s="566"/>
    </row>
    <row r="793" spans="5:10" hidden="1" x14ac:dyDescent="0.25">
      <c r="G793" s="312"/>
      <c r="H793" s="565"/>
      <c r="I793" s="566"/>
      <c r="J793" s="566"/>
    </row>
    <row r="794" spans="5:10" hidden="1" x14ac:dyDescent="0.25">
      <c r="G794" s="312"/>
      <c r="H794" s="565"/>
      <c r="I794" s="566"/>
      <c r="J794" s="566"/>
    </row>
    <row r="795" spans="5:10" hidden="1" x14ac:dyDescent="0.25"/>
    <row r="796" spans="5:10" x14ac:dyDescent="0.25">
      <c r="E796" s="489"/>
      <c r="F796" s="279"/>
      <c r="G796" s="285" t="s">
        <v>5058</v>
      </c>
      <c r="H796" s="567"/>
      <c r="I796" s="585"/>
      <c r="J796" s="568"/>
    </row>
    <row r="797" spans="5:10" ht="15.75" thickBot="1" x14ac:dyDescent="0.3">
      <c r="E797" s="693"/>
      <c r="F797" s="272" t="s">
        <v>234</v>
      </c>
      <c r="G797" s="287" t="s">
        <v>235</v>
      </c>
      <c r="H797" s="559">
        <f>SUM(H770)</f>
        <v>870000</v>
      </c>
      <c r="I797" s="560"/>
      <c r="J797" s="560">
        <f>SUM(H797:I797)</f>
        <v>870000</v>
      </c>
    </row>
    <row r="798" spans="5:10" ht="15.75" hidden="1" thickBot="1" x14ac:dyDescent="0.3">
      <c r="F798" s="272" t="s">
        <v>236</v>
      </c>
      <c r="G798" s="287" t="s">
        <v>237</v>
      </c>
      <c r="J798" s="560">
        <f t="shared" ref="J798:J812" si="28">SUM(H798:I798)</f>
        <v>0</v>
      </c>
    </row>
    <row r="799" spans="5:10" ht="15.75" hidden="1" thickBot="1" x14ac:dyDescent="0.3">
      <c r="F799" s="272" t="s">
        <v>238</v>
      </c>
      <c r="G799" s="287" t="s">
        <v>239</v>
      </c>
      <c r="J799" s="560">
        <f t="shared" si="28"/>
        <v>0</v>
      </c>
    </row>
    <row r="800" spans="5:10" ht="15.75" hidden="1" thickBot="1" x14ac:dyDescent="0.3">
      <c r="F800" s="272" t="s">
        <v>240</v>
      </c>
      <c r="G800" s="287" t="s">
        <v>241</v>
      </c>
      <c r="J800" s="560">
        <f t="shared" si="28"/>
        <v>0</v>
      </c>
    </row>
    <row r="801" spans="5:10" ht="15.75" hidden="1" thickBot="1" x14ac:dyDescent="0.3">
      <c r="F801" s="272" t="s">
        <v>242</v>
      </c>
      <c r="G801" s="287" t="s">
        <v>243</v>
      </c>
      <c r="J801" s="560">
        <f t="shared" si="28"/>
        <v>0</v>
      </c>
    </row>
    <row r="802" spans="5:10" ht="15.75" hidden="1" thickBot="1" x14ac:dyDescent="0.3">
      <c r="F802" s="272" t="s">
        <v>244</v>
      </c>
      <c r="G802" s="287" t="s">
        <v>245</v>
      </c>
      <c r="J802" s="560">
        <f t="shared" si="28"/>
        <v>0</v>
      </c>
    </row>
    <row r="803" spans="5:10" ht="15.75" hidden="1" thickBot="1" x14ac:dyDescent="0.3">
      <c r="F803" s="272" t="s">
        <v>246</v>
      </c>
      <c r="G803" s="598" t="s">
        <v>4996</v>
      </c>
      <c r="J803" s="560">
        <f t="shared" si="28"/>
        <v>0</v>
      </c>
    </row>
    <row r="804" spans="5:10" ht="15.75" hidden="1" thickBot="1" x14ac:dyDescent="0.3">
      <c r="F804" s="272" t="s">
        <v>247</v>
      </c>
      <c r="G804" s="598" t="s">
        <v>4995</v>
      </c>
      <c r="J804" s="560">
        <f t="shared" si="28"/>
        <v>0</v>
      </c>
    </row>
    <row r="805" spans="5:10" ht="15.75" hidden="1" thickBot="1" x14ac:dyDescent="0.3">
      <c r="F805" s="272" t="s">
        <v>248</v>
      </c>
      <c r="G805" s="287" t="s">
        <v>57</v>
      </c>
      <c r="J805" s="560">
        <f t="shared" si="28"/>
        <v>0</v>
      </c>
    </row>
    <row r="806" spans="5:10" ht="15.75" hidden="1" thickBot="1" x14ac:dyDescent="0.3">
      <c r="F806" s="272" t="s">
        <v>249</v>
      </c>
      <c r="G806" s="287" t="s">
        <v>250</v>
      </c>
      <c r="J806" s="560">
        <f t="shared" si="28"/>
        <v>0</v>
      </c>
    </row>
    <row r="807" spans="5:10" ht="15.75" hidden="1" thickBot="1" x14ac:dyDescent="0.3">
      <c r="F807" s="272" t="s">
        <v>251</v>
      </c>
      <c r="G807" s="287" t="s">
        <v>252</v>
      </c>
      <c r="J807" s="560">
        <f t="shared" si="28"/>
        <v>0</v>
      </c>
    </row>
    <row r="808" spans="5:10" ht="30.75" hidden="1" thickBot="1" x14ac:dyDescent="0.3">
      <c r="F808" s="272" t="s">
        <v>253</v>
      </c>
      <c r="G808" s="287" t="s">
        <v>254</v>
      </c>
      <c r="J808" s="560">
        <f t="shared" si="28"/>
        <v>0</v>
      </c>
    </row>
    <row r="809" spans="5:10" ht="15.75" hidden="1" thickBot="1" x14ac:dyDescent="0.3">
      <c r="F809" s="272" t="s">
        <v>255</v>
      </c>
      <c r="G809" s="287" t="s">
        <v>256</v>
      </c>
      <c r="J809" s="560">
        <f t="shared" si="28"/>
        <v>0</v>
      </c>
    </row>
    <row r="810" spans="5:10" ht="30.75" hidden="1" thickBot="1" x14ac:dyDescent="0.3">
      <c r="F810" s="272" t="s">
        <v>257</v>
      </c>
      <c r="G810" s="287" t="s">
        <v>258</v>
      </c>
      <c r="J810" s="560">
        <f t="shared" si="28"/>
        <v>0</v>
      </c>
    </row>
    <row r="811" spans="5:10" ht="15.75" hidden="1" thickBot="1" x14ac:dyDescent="0.3">
      <c r="F811" s="272" t="s">
        <v>259</v>
      </c>
      <c r="G811" s="287" t="s">
        <v>260</v>
      </c>
      <c r="J811" s="560">
        <f t="shared" si="28"/>
        <v>0</v>
      </c>
    </row>
    <row r="812" spans="5:10" ht="15.75" hidden="1" thickBot="1" x14ac:dyDescent="0.3">
      <c r="F812" s="272" t="s">
        <v>261</v>
      </c>
      <c r="G812" s="287" t="s">
        <v>262</v>
      </c>
      <c r="H812" s="559"/>
      <c r="I812" s="560"/>
      <c r="J812" s="560">
        <f t="shared" si="28"/>
        <v>0</v>
      </c>
    </row>
    <row r="813" spans="5:10" ht="14.25" customHeight="1" thickBot="1" x14ac:dyDescent="0.3">
      <c r="G813" s="268" t="s">
        <v>5059</v>
      </c>
      <c r="H813" s="561">
        <f>SUM(H797)</f>
        <v>870000</v>
      </c>
      <c r="I813" s="562">
        <f>SUM(I798:I812)</f>
        <v>0</v>
      </c>
      <c r="J813" s="562">
        <f>SUM(J797:J812)</f>
        <v>870000</v>
      </c>
    </row>
    <row r="814" spans="5:10" ht="12.75" customHeight="1" x14ac:dyDescent="0.25">
      <c r="J814" s="726" t="s">
        <v>5206</v>
      </c>
    </row>
    <row r="815" spans="5:10" ht="13.5" customHeight="1" x14ac:dyDescent="0.25">
      <c r="E815" s="489"/>
      <c r="F815" s="279"/>
      <c r="G815" s="285" t="s">
        <v>4170</v>
      </c>
      <c r="H815" s="567"/>
      <c r="I815" s="585"/>
      <c r="J815" s="568"/>
    </row>
    <row r="816" spans="5:10" ht="15.75" thickBot="1" x14ac:dyDescent="0.3">
      <c r="E816" s="693"/>
      <c r="F816" s="272" t="s">
        <v>234</v>
      </c>
      <c r="G816" s="287" t="s">
        <v>235</v>
      </c>
      <c r="H816" s="559">
        <f>SUM(H797)</f>
        <v>870000</v>
      </c>
      <c r="I816" s="560"/>
      <c r="J816" s="560">
        <f>SUM(H816:I816)</f>
        <v>870000</v>
      </c>
    </row>
    <row r="817" spans="6:10" ht="15.75" hidden="1" thickBot="1" x14ac:dyDescent="0.3">
      <c r="F817" s="272" t="s">
        <v>236</v>
      </c>
      <c r="G817" s="287" t="s">
        <v>237</v>
      </c>
      <c r="J817" s="560">
        <f t="shared" ref="J817:J831" si="29">SUM(H817:I817)</f>
        <v>0</v>
      </c>
    </row>
    <row r="818" spans="6:10" ht="15.75" hidden="1" thickBot="1" x14ac:dyDescent="0.3">
      <c r="F818" s="272" t="s">
        <v>238</v>
      </c>
      <c r="G818" s="287" t="s">
        <v>239</v>
      </c>
      <c r="J818" s="560">
        <f t="shared" si="29"/>
        <v>0</v>
      </c>
    </row>
    <row r="819" spans="6:10" ht="15.75" hidden="1" thickBot="1" x14ac:dyDescent="0.3">
      <c r="F819" s="272" t="s">
        <v>240</v>
      </c>
      <c r="G819" s="287" t="s">
        <v>241</v>
      </c>
      <c r="J819" s="560">
        <f t="shared" si="29"/>
        <v>0</v>
      </c>
    </row>
    <row r="820" spans="6:10" ht="15.75" hidden="1" thickBot="1" x14ac:dyDescent="0.3">
      <c r="F820" s="272" t="s">
        <v>242</v>
      </c>
      <c r="G820" s="287" t="s">
        <v>243</v>
      </c>
      <c r="J820" s="560">
        <f t="shared" si="29"/>
        <v>0</v>
      </c>
    </row>
    <row r="821" spans="6:10" ht="15.75" hidden="1" thickBot="1" x14ac:dyDescent="0.3">
      <c r="F821" s="272" t="s">
        <v>244</v>
      </c>
      <c r="G821" s="287" t="s">
        <v>245</v>
      </c>
      <c r="J821" s="560">
        <f t="shared" si="29"/>
        <v>0</v>
      </c>
    </row>
    <row r="822" spans="6:10" ht="15.75" hidden="1" thickBot="1" x14ac:dyDescent="0.3">
      <c r="F822" s="272" t="s">
        <v>246</v>
      </c>
      <c r="G822" s="598" t="s">
        <v>4996</v>
      </c>
      <c r="J822" s="560">
        <f t="shared" si="29"/>
        <v>0</v>
      </c>
    </row>
    <row r="823" spans="6:10" ht="15.75" hidden="1" thickBot="1" x14ac:dyDescent="0.3">
      <c r="F823" s="272" t="s">
        <v>247</v>
      </c>
      <c r="G823" s="598" t="s">
        <v>4995</v>
      </c>
      <c r="J823" s="560">
        <f t="shared" si="29"/>
        <v>0</v>
      </c>
    </row>
    <row r="824" spans="6:10" ht="15.75" hidden="1" thickBot="1" x14ac:dyDescent="0.3">
      <c r="F824" s="272" t="s">
        <v>248</v>
      </c>
      <c r="G824" s="287" t="s">
        <v>57</v>
      </c>
      <c r="J824" s="560">
        <f t="shared" si="29"/>
        <v>0</v>
      </c>
    </row>
    <row r="825" spans="6:10" ht="15.75" hidden="1" thickBot="1" x14ac:dyDescent="0.3">
      <c r="F825" s="272" t="s">
        <v>249</v>
      </c>
      <c r="G825" s="287" t="s">
        <v>250</v>
      </c>
      <c r="J825" s="560">
        <f t="shared" si="29"/>
        <v>0</v>
      </c>
    </row>
    <row r="826" spans="6:10" ht="15.75" hidden="1" thickBot="1" x14ac:dyDescent="0.3">
      <c r="F826" s="272" t="s">
        <v>251</v>
      </c>
      <c r="G826" s="287" t="s">
        <v>252</v>
      </c>
      <c r="J826" s="560">
        <f t="shared" si="29"/>
        <v>0</v>
      </c>
    </row>
    <row r="827" spans="6:10" ht="30.75" hidden="1" thickBot="1" x14ac:dyDescent="0.3">
      <c r="F827" s="272" t="s">
        <v>253</v>
      </c>
      <c r="G827" s="287" t="s">
        <v>254</v>
      </c>
      <c r="J827" s="560">
        <f t="shared" si="29"/>
        <v>0</v>
      </c>
    </row>
    <row r="828" spans="6:10" ht="15.75" hidden="1" thickBot="1" x14ac:dyDescent="0.3">
      <c r="F828" s="272" t="s">
        <v>255</v>
      </c>
      <c r="G828" s="287" t="s">
        <v>256</v>
      </c>
      <c r="J828" s="560">
        <f t="shared" si="29"/>
        <v>0</v>
      </c>
    </row>
    <row r="829" spans="6:10" ht="30.75" hidden="1" thickBot="1" x14ac:dyDescent="0.3">
      <c r="F829" s="272" t="s">
        <v>257</v>
      </c>
      <c r="G829" s="287" t="s">
        <v>258</v>
      </c>
      <c r="J829" s="560">
        <f t="shared" si="29"/>
        <v>0</v>
      </c>
    </row>
    <row r="830" spans="6:10" ht="15.75" hidden="1" thickBot="1" x14ac:dyDescent="0.3">
      <c r="F830" s="272" t="s">
        <v>259</v>
      </c>
      <c r="G830" s="287" t="s">
        <v>260</v>
      </c>
      <c r="J830" s="560">
        <f t="shared" si="29"/>
        <v>0</v>
      </c>
    </row>
    <row r="831" spans="6:10" ht="15.75" hidden="1" thickBot="1" x14ac:dyDescent="0.3">
      <c r="F831" s="272" t="s">
        <v>261</v>
      </c>
      <c r="G831" s="287" t="s">
        <v>262</v>
      </c>
      <c r="H831" s="559"/>
      <c r="I831" s="560"/>
      <c r="J831" s="560">
        <f t="shared" si="29"/>
        <v>0</v>
      </c>
    </row>
    <row r="832" spans="6:10" ht="13.5" customHeight="1" thickBot="1" x14ac:dyDescent="0.3">
      <c r="G832" s="268" t="s">
        <v>4171</v>
      </c>
      <c r="H832" s="561">
        <f>SUM(H813)</f>
        <v>870000</v>
      </c>
      <c r="I832" s="562">
        <f>SUM(I817:I831)</f>
        <v>0</v>
      </c>
      <c r="J832" s="562">
        <f>SUM(J816:J831)</f>
        <v>870000</v>
      </c>
    </row>
    <row r="833" spans="5:10" ht="17.25" hidden="1" customHeight="1" x14ac:dyDescent="0.25"/>
    <row r="834" spans="5:10" x14ac:dyDescent="0.25">
      <c r="E834" s="489"/>
      <c r="F834" s="279"/>
      <c r="G834" s="285" t="s">
        <v>4177</v>
      </c>
      <c r="H834" s="567"/>
      <c r="I834" s="585"/>
      <c r="J834" s="568"/>
    </row>
    <row r="835" spans="5:10" ht="12.75" customHeight="1" thickBot="1" x14ac:dyDescent="0.3">
      <c r="E835" s="693"/>
      <c r="F835" s="272" t="s">
        <v>234</v>
      </c>
      <c r="G835" s="287" t="s">
        <v>235</v>
      </c>
      <c r="H835" s="559">
        <f>SUM(H816)</f>
        <v>870000</v>
      </c>
      <c r="I835" s="560"/>
      <c r="J835" s="560">
        <f>SUM(H835:I835)</f>
        <v>870000</v>
      </c>
    </row>
    <row r="836" spans="5:10" ht="15.75" hidden="1" thickBot="1" x14ac:dyDescent="0.3">
      <c r="F836" s="272" t="s">
        <v>236</v>
      </c>
      <c r="G836" s="287" t="s">
        <v>237</v>
      </c>
      <c r="J836" s="560">
        <f t="shared" ref="J836:J850" si="30">SUM(H836:I836)</f>
        <v>0</v>
      </c>
    </row>
    <row r="837" spans="5:10" ht="15.75" hidden="1" thickBot="1" x14ac:dyDescent="0.3">
      <c r="F837" s="272" t="s">
        <v>238</v>
      </c>
      <c r="G837" s="287" t="s">
        <v>239</v>
      </c>
      <c r="J837" s="560">
        <f t="shared" si="30"/>
        <v>0</v>
      </c>
    </row>
    <row r="838" spans="5:10" ht="15.75" hidden="1" thickBot="1" x14ac:dyDescent="0.3">
      <c r="F838" s="272" t="s">
        <v>240</v>
      </c>
      <c r="G838" s="287" t="s">
        <v>241</v>
      </c>
      <c r="J838" s="560">
        <f t="shared" si="30"/>
        <v>0</v>
      </c>
    </row>
    <row r="839" spans="5:10" ht="15.75" hidden="1" thickBot="1" x14ac:dyDescent="0.3">
      <c r="F839" s="272" t="s">
        <v>242</v>
      </c>
      <c r="G839" s="287" t="s">
        <v>243</v>
      </c>
      <c r="J839" s="560">
        <f t="shared" si="30"/>
        <v>0</v>
      </c>
    </row>
    <row r="840" spans="5:10" ht="15.75" hidden="1" thickBot="1" x14ac:dyDescent="0.3">
      <c r="F840" s="272" t="s">
        <v>244</v>
      </c>
      <c r="G840" s="287" t="s">
        <v>245</v>
      </c>
      <c r="J840" s="560">
        <f t="shared" si="30"/>
        <v>0</v>
      </c>
    </row>
    <row r="841" spans="5:10" ht="15.75" hidden="1" thickBot="1" x14ac:dyDescent="0.3">
      <c r="F841" s="272" t="s">
        <v>246</v>
      </c>
      <c r="G841" s="598" t="s">
        <v>4996</v>
      </c>
      <c r="J841" s="560">
        <f t="shared" si="30"/>
        <v>0</v>
      </c>
    </row>
    <row r="842" spans="5:10" ht="15.75" hidden="1" thickBot="1" x14ac:dyDescent="0.3">
      <c r="F842" s="272" t="s">
        <v>247</v>
      </c>
      <c r="G842" s="598" t="s">
        <v>4995</v>
      </c>
      <c r="J842" s="560">
        <f t="shared" si="30"/>
        <v>0</v>
      </c>
    </row>
    <row r="843" spans="5:10" ht="15.75" hidden="1" thickBot="1" x14ac:dyDescent="0.3">
      <c r="F843" s="272" t="s">
        <v>248</v>
      </c>
      <c r="G843" s="287" t="s">
        <v>57</v>
      </c>
      <c r="J843" s="560">
        <f t="shared" si="30"/>
        <v>0</v>
      </c>
    </row>
    <row r="844" spans="5:10" ht="15.75" hidden="1" thickBot="1" x14ac:dyDescent="0.3">
      <c r="F844" s="272" t="s">
        <v>249</v>
      </c>
      <c r="G844" s="287" t="s">
        <v>250</v>
      </c>
      <c r="J844" s="560">
        <f t="shared" si="30"/>
        <v>0</v>
      </c>
    </row>
    <row r="845" spans="5:10" ht="15.75" hidden="1" thickBot="1" x14ac:dyDescent="0.3">
      <c r="F845" s="272" t="s">
        <v>251</v>
      </c>
      <c r="G845" s="287" t="s">
        <v>252</v>
      </c>
      <c r="J845" s="560">
        <f t="shared" si="30"/>
        <v>0</v>
      </c>
    </row>
    <row r="846" spans="5:10" ht="30.75" hidden="1" thickBot="1" x14ac:dyDescent="0.3">
      <c r="F846" s="272" t="s">
        <v>253</v>
      </c>
      <c r="G846" s="287" t="s">
        <v>254</v>
      </c>
      <c r="J846" s="560">
        <f t="shared" si="30"/>
        <v>0</v>
      </c>
    </row>
    <row r="847" spans="5:10" ht="15.75" hidden="1" thickBot="1" x14ac:dyDescent="0.3">
      <c r="F847" s="272" t="s">
        <v>255</v>
      </c>
      <c r="G847" s="287" t="s">
        <v>256</v>
      </c>
      <c r="J847" s="560">
        <f t="shared" si="30"/>
        <v>0</v>
      </c>
    </row>
    <row r="848" spans="5:10" ht="30.75" hidden="1" thickBot="1" x14ac:dyDescent="0.3">
      <c r="F848" s="272" t="s">
        <v>257</v>
      </c>
      <c r="G848" s="287" t="s">
        <v>258</v>
      </c>
      <c r="J848" s="560">
        <f t="shared" si="30"/>
        <v>0</v>
      </c>
    </row>
    <row r="849" spans="1:10" ht="15.75" hidden="1" thickBot="1" x14ac:dyDescent="0.3">
      <c r="F849" s="272" t="s">
        <v>259</v>
      </c>
      <c r="G849" s="287" t="s">
        <v>260</v>
      </c>
      <c r="J849" s="560">
        <f t="shared" si="30"/>
        <v>0</v>
      </c>
    </row>
    <row r="850" spans="1:10" ht="15.75" hidden="1" thickBot="1" x14ac:dyDescent="0.3">
      <c r="F850" s="272" t="s">
        <v>261</v>
      </c>
      <c r="G850" s="287" t="s">
        <v>262</v>
      </c>
      <c r="H850" s="559"/>
      <c r="I850" s="560"/>
      <c r="J850" s="560">
        <f t="shared" si="30"/>
        <v>0</v>
      </c>
    </row>
    <row r="851" spans="1:10" ht="13.5" customHeight="1" thickBot="1" x14ac:dyDescent="0.3">
      <c r="G851" s="268" t="s">
        <v>5039</v>
      </c>
      <c r="H851" s="561">
        <f>SUM(H835)</f>
        <v>870000</v>
      </c>
      <c r="I851" s="562">
        <f>SUM(I836:I850)</f>
        <v>0</v>
      </c>
      <c r="J851" s="562">
        <f>SUM(J835:J850)</f>
        <v>870000</v>
      </c>
    </row>
    <row r="852" spans="1:10" hidden="1" x14ac:dyDescent="0.25"/>
    <row r="853" spans="1:10" ht="0.75" hidden="1" customHeight="1" x14ac:dyDescent="0.25"/>
    <row r="854" spans="1:10" ht="29.25" customHeight="1" x14ac:dyDescent="0.25">
      <c r="A854" s="280">
        <v>4</v>
      </c>
      <c r="B854" s="280">
        <v>1</v>
      </c>
      <c r="C854" s="260"/>
      <c r="D854" s="256"/>
      <c r="E854" s="868"/>
      <c r="F854" s="256"/>
      <c r="G854" s="275" t="s">
        <v>5718</v>
      </c>
      <c r="H854" s="553"/>
      <c r="I854" s="554"/>
      <c r="J854" s="554"/>
    </row>
    <row r="855" spans="1:10" ht="13.5" customHeight="1" x14ac:dyDescent="0.25">
      <c r="C855" s="267" t="s">
        <v>3599</v>
      </c>
      <c r="D855" s="259"/>
      <c r="G855" s="318" t="s">
        <v>4130</v>
      </c>
    </row>
    <row r="856" spans="1:10" ht="30" customHeight="1" x14ac:dyDescent="0.25">
      <c r="C856" s="267" t="s">
        <v>4103</v>
      </c>
      <c r="D856" s="259"/>
      <c r="G856" s="490" t="s">
        <v>5719</v>
      </c>
    </row>
    <row r="857" spans="1:10" ht="12.75" customHeight="1" x14ac:dyDescent="0.25">
      <c r="C857" s="267"/>
      <c r="D857" s="331">
        <v>330</v>
      </c>
      <c r="E857" s="869"/>
      <c r="F857" s="331"/>
      <c r="G857" s="333" t="s">
        <v>130</v>
      </c>
      <c r="H857" s="569"/>
      <c r="I857" s="570"/>
      <c r="J857" s="570"/>
    </row>
    <row r="858" spans="1:10" ht="13.5" customHeight="1" x14ac:dyDescent="0.25">
      <c r="E858" s="679">
        <v>30</v>
      </c>
      <c r="F858" s="281">
        <v>411</v>
      </c>
      <c r="G858" s="319" t="s">
        <v>4131</v>
      </c>
      <c r="H858" s="555">
        <v>1000000</v>
      </c>
      <c r="J858" s="556">
        <f>SUM(H858:I858)</f>
        <v>1000000</v>
      </c>
    </row>
    <row r="859" spans="1:10" ht="12.75" customHeight="1" x14ac:dyDescent="0.25">
      <c r="E859" s="679">
        <v>31</v>
      </c>
      <c r="F859" s="281">
        <v>412</v>
      </c>
      <c r="G859" s="317" t="s">
        <v>3766</v>
      </c>
      <c r="H859" s="555">
        <v>180000</v>
      </c>
      <c r="J859" s="556">
        <f>SUM(H859:I859)</f>
        <v>180000</v>
      </c>
    </row>
    <row r="860" spans="1:10" x14ac:dyDescent="0.25">
      <c r="E860" s="679">
        <v>32</v>
      </c>
      <c r="F860" s="281">
        <v>413</v>
      </c>
      <c r="G860" s="319" t="s">
        <v>4132</v>
      </c>
      <c r="H860" s="555">
        <v>80000</v>
      </c>
      <c r="J860" s="556">
        <f t="shared" ref="J860:J868" si="31">SUM(H860:I860)</f>
        <v>80000</v>
      </c>
    </row>
    <row r="861" spans="1:10" hidden="1" x14ac:dyDescent="0.25">
      <c r="F861" s="281">
        <v>414</v>
      </c>
      <c r="G861" s="319" t="s">
        <v>3769</v>
      </c>
      <c r="J861" s="556">
        <f t="shared" si="31"/>
        <v>0</v>
      </c>
    </row>
    <row r="862" spans="1:10" x14ac:dyDescent="0.25">
      <c r="E862" s="679">
        <v>33</v>
      </c>
      <c r="F862" s="281">
        <v>415</v>
      </c>
      <c r="G862" s="319" t="s">
        <v>4141</v>
      </c>
      <c r="H862" s="555">
        <v>1000</v>
      </c>
      <c r="J862" s="556">
        <f t="shared" si="31"/>
        <v>1000</v>
      </c>
    </row>
    <row r="863" spans="1:10" hidden="1" x14ac:dyDescent="0.25">
      <c r="F863" s="281">
        <v>416</v>
      </c>
      <c r="G863" s="319" t="s">
        <v>4142</v>
      </c>
      <c r="J863" s="556">
        <f t="shared" si="31"/>
        <v>0</v>
      </c>
    </row>
    <row r="864" spans="1:10" hidden="1" x14ac:dyDescent="0.25">
      <c r="F864" s="281">
        <v>417</v>
      </c>
      <c r="G864" s="319" t="s">
        <v>4143</v>
      </c>
      <c r="J864" s="556">
        <f t="shared" si="31"/>
        <v>0</v>
      </c>
    </row>
    <row r="865" spans="5:10" hidden="1" x14ac:dyDescent="0.25">
      <c r="F865" s="281">
        <v>418</v>
      </c>
      <c r="G865" s="319" t="s">
        <v>3775</v>
      </c>
      <c r="J865" s="556">
        <f t="shared" si="31"/>
        <v>0</v>
      </c>
    </row>
    <row r="866" spans="5:10" x14ac:dyDescent="0.25">
      <c r="E866" s="679">
        <v>34</v>
      </c>
      <c r="F866" s="281">
        <v>421</v>
      </c>
      <c r="G866" s="319" t="s">
        <v>3779</v>
      </c>
      <c r="H866" s="555">
        <v>1000</v>
      </c>
      <c r="J866" s="556">
        <f t="shared" si="31"/>
        <v>1000</v>
      </c>
    </row>
    <row r="867" spans="5:10" ht="13.5" customHeight="1" x14ac:dyDescent="0.25">
      <c r="E867" s="679">
        <v>35</v>
      </c>
      <c r="F867" s="281">
        <v>422</v>
      </c>
      <c r="G867" s="319" t="s">
        <v>3780</v>
      </c>
      <c r="H867" s="555">
        <v>100000</v>
      </c>
      <c r="J867" s="556">
        <f t="shared" si="31"/>
        <v>100000</v>
      </c>
    </row>
    <row r="868" spans="5:10" x14ac:dyDescent="0.25">
      <c r="E868" s="679">
        <v>36</v>
      </c>
      <c r="F868" s="281">
        <v>423</v>
      </c>
      <c r="G868" s="319" t="s">
        <v>3781</v>
      </c>
      <c r="H868" s="555">
        <v>100000</v>
      </c>
      <c r="J868" s="556">
        <f t="shared" si="31"/>
        <v>100000</v>
      </c>
    </row>
    <row r="869" spans="5:10" hidden="1" x14ac:dyDescent="0.25">
      <c r="F869" s="499"/>
      <c r="G869" s="492"/>
    </row>
    <row r="870" spans="5:10" hidden="1" x14ac:dyDescent="0.25">
      <c r="F870" s="281">
        <v>424</v>
      </c>
      <c r="G870" s="319" t="s">
        <v>3783</v>
      </c>
      <c r="J870" s="556">
        <f t="shared" ref="J870:J918" si="32">SUM(H870:I870)</f>
        <v>0</v>
      </c>
    </row>
    <row r="871" spans="5:10" hidden="1" x14ac:dyDescent="0.25">
      <c r="F871" s="281">
        <v>425</v>
      </c>
      <c r="G871" s="319" t="s">
        <v>4144</v>
      </c>
      <c r="J871" s="556">
        <f t="shared" si="32"/>
        <v>0</v>
      </c>
    </row>
    <row r="872" spans="5:10" ht="12.75" customHeight="1" x14ac:dyDescent="0.25">
      <c r="E872" s="679">
        <v>37</v>
      </c>
      <c r="F872" s="281">
        <v>426</v>
      </c>
      <c r="G872" s="319" t="s">
        <v>3787</v>
      </c>
      <c r="H872" s="555">
        <v>150000</v>
      </c>
      <c r="J872" s="556">
        <f t="shared" si="32"/>
        <v>150000</v>
      </c>
    </row>
    <row r="873" spans="5:10" hidden="1" x14ac:dyDescent="0.25">
      <c r="F873" s="281">
        <v>431</v>
      </c>
      <c r="G873" s="319" t="s">
        <v>4145</v>
      </c>
      <c r="J873" s="556">
        <f t="shared" si="32"/>
        <v>0</v>
      </c>
    </row>
    <row r="874" spans="5:10" hidden="1" x14ac:dyDescent="0.25">
      <c r="F874" s="281">
        <v>432</v>
      </c>
      <c r="G874" s="319" t="s">
        <v>4146</v>
      </c>
      <c r="J874" s="556">
        <f t="shared" si="32"/>
        <v>0</v>
      </c>
    </row>
    <row r="875" spans="5:10" hidden="1" x14ac:dyDescent="0.25">
      <c r="F875" s="281">
        <v>433</v>
      </c>
      <c r="G875" s="319" t="s">
        <v>4147</v>
      </c>
      <c r="J875" s="556">
        <f t="shared" si="32"/>
        <v>0</v>
      </c>
    </row>
    <row r="876" spans="5:10" hidden="1" x14ac:dyDescent="0.25">
      <c r="F876" s="281">
        <v>434</v>
      </c>
      <c r="G876" s="319" t="s">
        <v>4148</v>
      </c>
      <c r="J876" s="556">
        <f t="shared" si="32"/>
        <v>0</v>
      </c>
    </row>
    <row r="877" spans="5:10" hidden="1" x14ac:dyDescent="0.25">
      <c r="F877" s="281">
        <v>435</v>
      </c>
      <c r="G877" s="319" t="s">
        <v>3794</v>
      </c>
      <c r="J877" s="556">
        <f t="shared" si="32"/>
        <v>0</v>
      </c>
    </row>
    <row r="878" spans="5:10" hidden="1" x14ac:dyDescent="0.25">
      <c r="F878" s="281">
        <v>441</v>
      </c>
      <c r="G878" s="319" t="s">
        <v>4149</v>
      </c>
      <c r="J878" s="556">
        <f t="shared" si="32"/>
        <v>0</v>
      </c>
    </row>
    <row r="879" spans="5:10" hidden="1" x14ac:dyDescent="0.25">
      <c r="F879" s="281">
        <v>442</v>
      </c>
      <c r="G879" s="319" t="s">
        <v>4150</v>
      </c>
      <c r="J879" s="556">
        <f t="shared" si="32"/>
        <v>0</v>
      </c>
    </row>
    <row r="880" spans="5:10" hidden="1" x14ac:dyDescent="0.25">
      <c r="F880" s="281">
        <v>443</v>
      </c>
      <c r="G880" s="319" t="s">
        <v>3799</v>
      </c>
      <c r="J880" s="556">
        <f t="shared" si="32"/>
        <v>0</v>
      </c>
    </row>
    <row r="881" spans="6:10" hidden="1" x14ac:dyDescent="0.25">
      <c r="F881" s="281">
        <v>444</v>
      </c>
      <c r="G881" s="319" t="s">
        <v>3800</v>
      </c>
      <c r="J881" s="556">
        <f t="shared" si="32"/>
        <v>0</v>
      </c>
    </row>
    <row r="882" spans="6:10" ht="30" hidden="1" x14ac:dyDescent="0.25">
      <c r="F882" s="281">
        <v>4511</v>
      </c>
      <c r="G882" s="263" t="s">
        <v>1690</v>
      </c>
      <c r="J882" s="556">
        <f t="shared" si="32"/>
        <v>0</v>
      </c>
    </row>
    <row r="883" spans="6:10" ht="30" hidden="1" x14ac:dyDescent="0.25">
      <c r="F883" s="281">
        <v>4512</v>
      </c>
      <c r="G883" s="263" t="s">
        <v>1699</v>
      </c>
      <c r="J883" s="556">
        <f t="shared" si="32"/>
        <v>0</v>
      </c>
    </row>
    <row r="884" spans="6:10" hidden="1" x14ac:dyDescent="0.25">
      <c r="F884" s="281">
        <v>452</v>
      </c>
      <c r="G884" s="319" t="s">
        <v>4151</v>
      </c>
      <c r="J884" s="556">
        <f t="shared" si="32"/>
        <v>0</v>
      </c>
    </row>
    <row r="885" spans="6:10" hidden="1" x14ac:dyDescent="0.25">
      <c r="F885" s="281">
        <v>453</v>
      </c>
      <c r="G885" s="319" t="s">
        <v>4152</v>
      </c>
      <c r="J885" s="556">
        <f t="shared" si="32"/>
        <v>0</v>
      </c>
    </row>
    <row r="886" spans="6:10" hidden="1" x14ac:dyDescent="0.25">
      <c r="F886" s="281">
        <v>454</v>
      </c>
      <c r="G886" s="319" t="s">
        <v>3805</v>
      </c>
      <c r="J886" s="556">
        <f t="shared" si="32"/>
        <v>0</v>
      </c>
    </row>
    <row r="887" spans="6:10" hidden="1" x14ac:dyDescent="0.25">
      <c r="F887" s="281">
        <v>461</v>
      </c>
      <c r="G887" s="319" t="s">
        <v>4133</v>
      </c>
      <c r="J887" s="556">
        <f t="shared" si="32"/>
        <v>0</v>
      </c>
    </row>
    <row r="888" spans="6:10" hidden="1" x14ac:dyDescent="0.25">
      <c r="F888" s="281">
        <v>462</v>
      </c>
      <c r="G888" s="319" t="s">
        <v>3808</v>
      </c>
      <c r="J888" s="556">
        <f t="shared" si="32"/>
        <v>0</v>
      </c>
    </row>
    <row r="889" spans="6:10" hidden="1" x14ac:dyDescent="0.25">
      <c r="F889" s="281">
        <v>4631</v>
      </c>
      <c r="G889" s="319" t="s">
        <v>3809</v>
      </c>
      <c r="J889" s="556">
        <f t="shared" si="32"/>
        <v>0</v>
      </c>
    </row>
    <row r="890" spans="6:10" hidden="1" x14ac:dyDescent="0.25">
      <c r="F890" s="281">
        <v>4632</v>
      </c>
      <c r="G890" s="319" t="s">
        <v>3810</v>
      </c>
      <c r="J890" s="556">
        <f t="shared" si="32"/>
        <v>0</v>
      </c>
    </row>
    <row r="891" spans="6:10" hidden="1" x14ac:dyDescent="0.25">
      <c r="F891" s="281">
        <v>464</v>
      </c>
      <c r="G891" s="319" t="s">
        <v>3811</v>
      </c>
      <c r="J891" s="556">
        <f t="shared" si="32"/>
        <v>0</v>
      </c>
    </row>
    <row r="892" spans="6:10" hidden="1" x14ac:dyDescent="0.25">
      <c r="F892" s="281">
        <v>465</v>
      </c>
      <c r="G892" s="319" t="s">
        <v>4134</v>
      </c>
      <c r="J892" s="556">
        <f t="shared" si="32"/>
        <v>0</v>
      </c>
    </row>
    <row r="893" spans="6:10" hidden="1" x14ac:dyDescent="0.25">
      <c r="F893" s="281">
        <v>472</v>
      </c>
      <c r="G893" s="319" t="s">
        <v>3815</v>
      </c>
      <c r="J893" s="556">
        <f t="shared" si="32"/>
        <v>0</v>
      </c>
    </row>
    <row r="894" spans="6:10" hidden="1" x14ac:dyDescent="0.25">
      <c r="F894" s="281">
        <v>481</v>
      </c>
      <c r="G894" s="319" t="s">
        <v>4153</v>
      </c>
      <c r="J894" s="556">
        <f t="shared" si="32"/>
        <v>0</v>
      </c>
    </row>
    <row r="895" spans="6:10" hidden="1" x14ac:dyDescent="0.25">
      <c r="F895" s="281">
        <v>482</v>
      </c>
      <c r="G895" s="319" t="s">
        <v>4154</v>
      </c>
      <c r="J895" s="556">
        <f t="shared" si="32"/>
        <v>0</v>
      </c>
    </row>
    <row r="896" spans="6:10" hidden="1" x14ac:dyDescent="0.25">
      <c r="F896" s="281">
        <v>483</v>
      </c>
      <c r="G896" s="322" t="s">
        <v>4155</v>
      </c>
      <c r="J896" s="556">
        <f t="shared" si="32"/>
        <v>0</v>
      </c>
    </row>
    <row r="897" spans="6:10" ht="30" hidden="1" x14ac:dyDescent="0.25">
      <c r="F897" s="281">
        <v>484</v>
      </c>
      <c r="G897" s="319" t="s">
        <v>4156</v>
      </c>
      <c r="J897" s="556">
        <f t="shared" si="32"/>
        <v>0</v>
      </c>
    </row>
    <row r="898" spans="6:10" ht="30" hidden="1" x14ac:dyDescent="0.25">
      <c r="F898" s="281">
        <v>485</v>
      </c>
      <c r="G898" s="319" t="s">
        <v>4157</v>
      </c>
      <c r="J898" s="556">
        <f t="shared" si="32"/>
        <v>0</v>
      </c>
    </row>
    <row r="899" spans="6:10" ht="30" hidden="1" x14ac:dyDescent="0.25">
      <c r="F899" s="281">
        <v>489</v>
      </c>
      <c r="G899" s="319" t="s">
        <v>3823</v>
      </c>
      <c r="J899" s="556">
        <f t="shared" si="32"/>
        <v>0</v>
      </c>
    </row>
    <row r="900" spans="6:10" hidden="1" x14ac:dyDescent="0.25">
      <c r="F900" s="281">
        <v>494</v>
      </c>
      <c r="G900" s="319" t="s">
        <v>4135</v>
      </c>
      <c r="J900" s="556">
        <f t="shared" si="32"/>
        <v>0</v>
      </c>
    </row>
    <row r="901" spans="6:10" ht="30" hidden="1" x14ac:dyDescent="0.25">
      <c r="F901" s="281">
        <v>495</v>
      </c>
      <c r="G901" s="319" t="s">
        <v>4136</v>
      </c>
      <c r="J901" s="556">
        <f t="shared" si="32"/>
        <v>0</v>
      </c>
    </row>
    <row r="902" spans="6:10" ht="30" hidden="1" x14ac:dyDescent="0.25">
      <c r="F902" s="281">
        <v>496</v>
      </c>
      <c r="G902" s="319" t="s">
        <v>4137</v>
      </c>
      <c r="J902" s="556">
        <f t="shared" si="32"/>
        <v>0</v>
      </c>
    </row>
    <row r="903" spans="6:10" ht="30" hidden="1" x14ac:dyDescent="0.25">
      <c r="F903" s="281">
        <v>499</v>
      </c>
      <c r="G903" s="319" t="s">
        <v>4138</v>
      </c>
      <c r="J903" s="556">
        <f t="shared" si="32"/>
        <v>0</v>
      </c>
    </row>
    <row r="904" spans="6:10" hidden="1" x14ac:dyDescent="0.25">
      <c r="F904" s="281">
        <v>511</v>
      </c>
      <c r="G904" s="322" t="s">
        <v>4158</v>
      </c>
      <c r="J904" s="556">
        <f t="shared" si="32"/>
        <v>0</v>
      </c>
    </row>
    <row r="905" spans="6:10" hidden="1" x14ac:dyDescent="0.25">
      <c r="F905" s="281">
        <v>512</v>
      </c>
      <c r="G905" s="322" t="s">
        <v>4159</v>
      </c>
      <c r="J905" s="556">
        <f t="shared" si="32"/>
        <v>0</v>
      </c>
    </row>
    <row r="906" spans="6:10" hidden="1" x14ac:dyDescent="0.25">
      <c r="F906" s="281">
        <v>513</v>
      </c>
      <c r="G906" s="322" t="s">
        <v>4160</v>
      </c>
      <c r="J906" s="556">
        <f t="shared" si="32"/>
        <v>0</v>
      </c>
    </row>
    <row r="907" spans="6:10" hidden="1" x14ac:dyDescent="0.25">
      <c r="F907" s="281">
        <v>514</v>
      </c>
      <c r="G907" s="319" t="s">
        <v>4161</v>
      </c>
      <c r="J907" s="556">
        <f t="shared" si="32"/>
        <v>0</v>
      </c>
    </row>
    <row r="908" spans="6:10" hidden="1" x14ac:dyDescent="0.25">
      <c r="F908" s="281">
        <v>515</v>
      </c>
      <c r="G908" s="319" t="s">
        <v>3834</v>
      </c>
      <c r="J908" s="556">
        <f t="shared" si="32"/>
        <v>0</v>
      </c>
    </row>
    <row r="909" spans="6:10" hidden="1" x14ac:dyDescent="0.25">
      <c r="F909" s="281">
        <v>521</v>
      </c>
      <c r="G909" s="319" t="s">
        <v>4162</v>
      </c>
      <c r="J909" s="556">
        <f t="shared" si="32"/>
        <v>0</v>
      </c>
    </row>
    <row r="910" spans="6:10" hidden="1" x14ac:dyDescent="0.25">
      <c r="F910" s="281">
        <v>522</v>
      </c>
      <c r="G910" s="319" t="s">
        <v>4163</v>
      </c>
      <c r="J910" s="556">
        <f t="shared" si="32"/>
        <v>0</v>
      </c>
    </row>
    <row r="911" spans="6:10" hidden="1" x14ac:dyDescent="0.25">
      <c r="F911" s="281">
        <v>523</v>
      </c>
      <c r="G911" s="319" t="s">
        <v>3839</v>
      </c>
      <c r="J911" s="556">
        <f t="shared" si="32"/>
        <v>0</v>
      </c>
    </row>
    <row r="912" spans="6:10" hidden="1" x14ac:dyDescent="0.25">
      <c r="F912" s="281">
        <v>531</v>
      </c>
      <c r="G912" s="317" t="s">
        <v>4139</v>
      </c>
      <c r="J912" s="556">
        <f t="shared" si="32"/>
        <v>0</v>
      </c>
    </row>
    <row r="913" spans="5:10" hidden="1" x14ac:dyDescent="0.25">
      <c r="F913" s="281">
        <v>541</v>
      </c>
      <c r="G913" s="319" t="s">
        <v>4164</v>
      </c>
      <c r="J913" s="556">
        <f t="shared" si="32"/>
        <v>0</v>
      </c>
    </row>
    <row r="914" spans="5:10" hidden="1" x14ac:dyDescent="0.25">
      <c r="F914" s="281">
        <v>542</v>
      </c>
      <c r="G914" s="319" t="s">
        <v>4165</v>
      </c>
      <c r="J914" s="556">
        <f t="shared" si="32"/>
        <v>0</v>
      </c>
    </row>
    <row r="915" spans="5:10" hidden="1" x14ac:dyDescent="0.25">
      <c r="F915" s="281">
        <v>543</v>
      </c>
      <c r="G915" s="319" t="s">
        <v>3844</v>
      </c>
      <c r="J915" s="556">
        <f t="shared" si="32"/>
        <v>0</v>
      </c>
    </row>
    <row r="916" spans="5:10" ht="30" hidden="1" x14ac:dyDescent="0.25">
      <c r="F916" s="281">
        <v>551</v>
      </c>
      <c r="G916" s="319" t="s">
        <v>4140</v>
      </c>
      <c r="J916" s="556">
        <f t="shared" si="32"/>
        <v>0</v>
      </c>
    </row>
    <row r="917" spans="5:10" hidden="1" x14ac:dyDescent="0.25">
      <c r="F917" s="282">
        <v>611</v>
      </c>
      <c r="G917" s="323" t="s">
        <v>3850</v>
      </c>
      <c r="J917" s="556">
        <f t="shared" si="32"/>
        <v>0</v>
      </c>
    </row>
    <row r="918" spans="5:10" ht="14.25" customHeight="1" x14ac:dyDescent="0.25">
      <c r="E918" s="679">
        <v>38</v>
      </c>
      <c r="F918" s="282">
        <v>465</v>
      </c>
      <c r="G918" s="498" t="s">
        <v>4134</v>
      </c>
      <c r="H918" s="555">
        <v>123000</v>
      </c>
      <c r="J918" s="556">
        <f t="shared" si="32"/>
        <v>123000</v>
      </c>
    </row>
    <row r="919" spans="5:10" ht="14.25" customHeight="1" thickBot="1" x14ac:dyDescent="0.3">
      <c r="E919" s="679">
        <v>39</v>
      </c>
      <c r="F919" s="500">
        <v>512</v>
      </c>
      <c r="G919" s="498" t="s">
        <v>5229</v>
      </c>
      <c r="H919" s="555">
        <v>1000</v>
      </c>
      <c r="J919" s="556">
        <f>SUM(H919:I919)</f>
        <v>1000</v>
      </c>
    </row>
    <row r="920" spans="5:10" x14ac:dyDescent="0.25">
      <c r="E920" s="489"/>
      <c r="F920" s="324"/>
      <c r="G920" s="343" t="s">
        <v>4288</v>
      </c>
      <c r="H920" s="557"/>
      <c r="I920" s="583"/>
      <c r="J920" s="558"/>
    </row>
    <row r="921" spans="5:10" ht="15.75" thickBot="1" x14ac:dyDescent="0.3">
      <c r="E921" s="693"/>
      <c r="F921" s="284" t="s">
        <v>234</v>
      </c>
      <c r="G921" s="287" t="s">
        <v>235</v>
      </c>
      <c r="H921" s="559">
        <f>SUM(H858:H919)</f>
        <v>1736000</v>
      </c>
      <c r="I921" s="560"/>
      <c r="J921" s="560">
        <f t="shared" ref="J921:J936" si="33">SUM(H921:I921)</f>
        <v>1736000</v>
      </c>
    </row>
    <row r="922" spans="5:10" ht="15.75" hidden="1" thickBot="1" x14ac:dyDescent="0.3">
      <c r="F922" s="284" t="s">
        <v>236</v>
      </c>
      <c r="G922" s="287" t="s">
        <v>237</v>
      </c>
      <c r="J922" s="560">
        <f t="shared" si="33"/>
        <v>0</v>
      </c>
    </row>
    <row r="923" spans="5:10" ht="15.75" hidden="1" thickBot="1" x14ac:dyDescent="0.3">
      <c r="F923" s="284" t="s">
        <v>238</v>
      </c>
      <c r="G923" s="287" t="s">
        <v>239</v>
      </c>
      <c r="J923" s="560">
        <f t="shared" si="33"/>
        <v>0</v>
      </c>
    </row>
    <row r="924" spans="5:10" ht="15.75" hidden="1" thickBot="1" x14ac:dyDescent="0.3">
      <c r="F924" s="284" t="s">
        <v>240</v>
      </c>
      <c r="G924" s="287" t="s">
        <v>241</v>
      </c>
      <c r="J924" s="560">
        <f t="shared" si="33"/>
        <v>0</v>
      </c>
    </row>
    <row r="925" spans="5:10" ht="15.75" hidden="1" thickBot="1" x14ac:dyDescent="0.3">
      <c r="F925" s="284" t="s">
        <v>242</v>
      </c>
      <c r="G925" s="287" t="s">
        <v>243</v>
      </c>
      <c r="J925" s="560">
        <f t="shared" si="33"/>
        <v>0</v>
      </c>
    </row>
    <row r="926" spans="5:10" ht="15.75" hidden="1" thickBot="1" x14ac:dyDescent="0.3">
      <c r="F926" s="284" t="s">
        <v>244</v>
      </c>
      <c r="G926" s="287" t="s">
        <v>245</v>
      </c>
      <c r="J926" s="560">
        <f t="shared" si="33"/>
        <v>0</v>
      </c>
    </row>
    <row r="927" spans="5:10" ht="15.75" hidden="1" thickBot="1" x14ac:dyDescent="0.3">
      <c r="F927" s="284" t="s">
        <v>246</v>
      </c>
      <c r="G927" s="598" t="s">
        <v>4996</v>
      </c>
      <c r="J927" s="560">
        <f t="shared" si="33"/>
        <v>0</v>
      </c>
    </row>
    <row r="928" spans="5:10" ht="15.75" hidden="1" thickBot="1" x14ac:dyDescent="0.3">
      <c r="F928" s="284" t="s">
        <v>247</v>
      </c>
      <c r="G928" s="598" t="s">
        <v>4995</v>
      </c>
      <c r="J928" s="560">
        <f t="shared" si="33"/>
        <v>0</v>
      </c>
    </row>
    <row r="929" spans="5:10" ht="15.75" hidden="1" thickBot="1" x14ac:dyDescent="0.3">
      <c r="F929" s="284" t="s">
        <v>248</v>
      </c>
      <c r="G929" s="287" t="s">
        <v>57</v>
      </c>
      <c r="J929" s="560">
        <f t="shared" si="33"/>
        <v>0</v>
      </c>
    </row>
    <row r="930" spans="5:10" ht="15.75" hidden="1" thickBot="1" x14ac:dyDescent="0.3">
      <c r="F930" s="284" t="s">
        <v>249</v>
      </c>
      <c r="G930" s="287" t="s">
        <v>250</v>
      </c>
      <c r="J930" s="560">
        <f t="shared" si="33"/>
        <v>0</v>
      </c>
    </row>
    <row r="931" spans="5:10" ht="15.75" hidden="1" thickBot="1" x14ac:dyDescent="0.3">
      <c r="F931" s="284" t="s">
        <v>251</v>
      </c>
      <c r="G931" s="287" t="s">
        <v>252</v>
      </c>
      <c r="J931" s="560">
        <f t="shared" si="33"/>
        <v>0</v>
      </c>
    </row>
    <row r="932" spans="5:10" ht="30.75" hidden="1" thickBot="1" x14ac:dyDescent="0.3">
      <c r="F932" s="284" t="s">
        <v>253</v>
      </c>
      <c r="G932" s="287" t="s">
        <v>254</v>
      </c>
      <c r="J932" s="560">
        <f t="shared" si="33"/>
        <v>0</v>
      </c>
    </row>
    <row r="933" spans="5:10" ht="15.75" hidden="1" thickBot="1" x14ac:dyDescent="0.3">
      <c r="F933" s="284" t="s">
        <v>255</v>
      </c>
      <c r="G933" s="287" t="s">
        <v>256</v>
      </c>
      <c r="J933" s="560">
        <f t="shared" si="33"/>
        <v>0</v>
      </c>
    </row>
    <row r="934" spans="5:10" ht="30.75" hidden="1" thickBot="1" x14ac:dyDescent="0.3">
      <c r="F934" s="284" t="s">
        <v>257</v>
      </c>
      <c r="G934" s="287" t="s">
        <v>258</v>
      </c>
      <c r="J934" s="560">
        <f t="shared" si="33"/>
        <v>0</v>
      </c>
    </row>
    <row r="935" spans="5:10" ht="15.75" hidden="1" thickBot="1" x14ac:dyDescent="0.3">
      <c r="F935" s="284" t="s">
        <v>259</v>
      </c>
      <c r="G935" s="287" t="s">
        <v>260</v>
      </c>
      <c r="J935" s="560">
        <f t="shared" si="33"/>
        <v>0</v>
      </c>
    </row>
    <row r="936" spans="5:10" ht="15.75" hidden="1" thickBot="1" x14ac:dyDescent="0.3">
      <c r="F936" s="284" t="s">
        <v>261</v>
      </c>
      <c r="G936" s="287" t="s">
        <v>262</v>
      </c>
      <c r="H936" s="559"/>
      <c r="I936" s="560"/>
      <c r="J936" s="560">
        <f t="shared" si="33"/>
        <v>0</v>
      </c>
    </row>
    <row r="937" spans="5:10" ht="15.75" thickBot="1" x14ac:dyDescent="0.3">
      <c r="G937" s="268" t="s">
        <v>4235</v>
      </c>
      <c r="H937" s="561">
        <f>SUM(H921:H936)</f>
        <v>1736000</v>
      </c>
      <c r="I937" s="562">
        <f>SUM(I922:I936)</f>
        <v>0</v>
      </c>
      <c r="J937" s="562">
        <f>SUM(J921:J936)</f>
        <v>1736000</v>
      </c>
    </row>
    <row r="938" spans="5:10" ht="28.5" collapsed="1" x14ac:dyDescent="0.25">
      <c r="E938" s="489"/>
      <c r="F938" s="324"/>
      <c r="G938" s="270" t="s">
        <v>4236</v>
      </c>
      <c r="H938" s="563"/>
      <c r="I938" s="584"/>
      <c r="J938" s="564"/>
    </row>
    <row r="939" spans="5:10" ht="15.75" thickBot="1" x14ac:dyDescent="0.3">
      <c r="E939" s="693"/>
      <c r="F939" s="284" t="s">
        <v>234</v>
      </c>
      <c r="G939" s="287" t="s">
        <v>235</v>
      </c>
      <c r="H939" s="559">
        <f>SUM(H858:H919)</f>
        <v>1736000</v>
      </c>
      <c r="I939" s="560"/>
      <c r="J939" s="560">
        <f>SUM(H939:I939)</f>
        <v>1736000</v>
      </c>
    </row>
    <row r="940" spans="5:10" ht="15.75" hidden="1" thickBot="1" x14ac:dyDescent="0.3">
      <c r="F940" s="284" t="s">
        <v>236</v>
      </c>
      <c r="G940" s="287" t="s">
        <v>237</v>
      </c>
      <c r="J940" s="560">
        <f t="shared" ref="J940:J954" si="34">SUM(H940:I940)</f>
        <v>0</v>
      </c>
    </row>
    <row r="941" spans="5:10" ht="15.75" hidden="1" thickBot="1" x14ac:dyDescent="0.3">
      <c r="F941" s="284" t="s">
        <v>238</v>
      </c>
      <c r="G941" s="287" t="s">
        <v>239</v>
      </c>
      <c r="J941" s="560">
        <f t="shared" si="34"/>
        <v>0</v>
      </c>
    </row>
    <row r="942" spans="5:10" ht="15.75" hidden="1" thickBot="1" x14ac:dyDescent="0.3">
      <c r="F942" s="284" t="s">
        <v>240</v>
      </c>
      <c r="G942" s="287" t="s">
        <v>241</v>
      </c>
      <c r="J942" s="560">
        <f t="shared" si="34"/>
        <v>0</v>
      </c>
    </row>
    <row r="943" spans="5:10" ht="15.75" hidden="1" thickBot="1" x14ac:dyDescent="0.3">
      <c r="F943" s="284" t="s">
        <v>242</v>
      </c>
      <c r="G943" s="287" t="s">
        <v>243</v>
      </c>
      <c r="J943" s="560">
        <f t="shared" si="34"/>
        <v>0</v>
      </c>
    </row>
    <row r="944" spans="5:10" ht="15.75" hidden="1" thickBot="1" x14ac:dyDescent="0.3">
      <c r="F944" s="284" t="s">
        <v>244</v>
      </c>
      <c r="G944" s="287" t="s">
        <v>245</v>
      </c>
      <c r="J944" s="560">
        <f t="shared" si="34"/>
        <v>0</v>
      </c>
    </row>
    <row r="945" spans="5:10" ht="15.75" hidden="1" thickBot="1" x14ac:dyDescent="0.3">
      <c r="F945" s="284" t="s">
        <v>246</v>
      </c>
      <c r="G945" s="598" t="s">
        <v>4996</v>
      </c>
      <c r="J945" s="560">
        <f t="shared" si="34"/>
        <v>0</v>
      </c>
    </row>
    <row r="946" spans="5:10" ht="15.75" hidden="1" thickBot="1" x14ac:dyDescent="0.3">
      <c r="F946" s="284" t="s">
        <v>247</v>
      </c>
      <c r="G946" s="598" t="s">
        <v>4995</v>
      </c>
      <c r="J946" s="560">
        <f t="shared" si="34"/>
        <v>0</v>
      </c>
    </row>
    <row r="947" spans="5:10" ht="15.75" hidden="1" thickBot="1" x14ac:dyDescent="0.3">
      <c r="F947" s="284" t="s">
        <v>248</v>
      </c>
      <c r="G947" s="287" t="s">
        <v>57</v>
      </c>
      <c r="J947" s="560">
        <f t="shared" si="34"/>
        <v>0</v>
      </c>
    </row>
    <row r="948" spans="5:10" ht="15.75" hidden="1" thickBot="1" x14ac:dyDescent="0.3">
      <c r="F948" s="284" t="s">
        <v>249</v>
      </c>
      <c r="G948" s="287" t="s">
        <v>250</v>
      </c>
      <c r="J948" s="560">
        <f t="shared" si="34"/>
        <v>0</v>
      </c>
    </row>
    <row r="949" spans="5:10" ht="15.75" hidden="1" thickBot="1" x14ac:dyDescent="0.3">
      <c r="F949" s="284" t="s">
        <v>251</v>
      </c>
      <c r="G949" s="287" t="s">
        <v>252</v>
      </c>
      <c r="J949" s="560">
        <f t="shared" si="34"/>
        <v>0</v>
      </c>
    </row>
    <row r="950" spans="5:10" ht="30.75" hidden="1" thickBot="1" x14ac:dyDescent="0.3">
      <c r="F950" s="284" t="s">
        <v>253</v>
      </c>
      <c r="G950" s="287" t="s">
        <v>254</v>
      </c>
      <c r="J950" s="560">
        <f t="shared" si="34"/>
        <v>0</v>
      </c>
    </row>
    <row r="951" spans="5:10" ht="15.75" hidden="1" thickBot="1" x14ac:dyDescent="0.3">
      <c r="F951" s="284" t="s">
        <v>255</v>
      </c>
      <c r="G951" s="287" t="s">
        <v>256</v>
      </c>
      <c r="J951" s="560">
        <f t="shared" si="34"/>
        <v>0</v>
      </c>
    </row>
    <row r="952" spans="5:10" ht="30.75" hidden="1" thickBot="1" x14ac:dyDescent="0.3">
      <c r="F952" s="284" t="s">
        <v>257</v>
      </c>
      <c r="G952" s="287" t="s">
        <v>258</v>
      </c>
      <c r="J952" s="560">
        <f t="shared" si="34"/>
        <v>0</v>
      </c>
    </row>
    <row r="953" spans="5:10" ht="15.75" hidden="1" thickBot="1" x14ac:dyDescent="0.3">
      <c r="F953" s="284" t="s">
        <v>259</v>
      </c>
      <c r="G953" s="287" t="s">
        <v>260</v>
      </c>
      <c r="J953" s="560">
        <f t="shared" si="34"/>
        <v>0</v>
      </c>
    </row>
    <row r="954" spans="5:10" ht="15.75" hidden="1" thickBot="1" x14ac:dyDescent="0.3">
      <c r="F954" s="284" t="s">
        <v>261</v>
      </c>
      <c r="G954" s="287" t="s">
        <v>262</v>
      </c>
      <c r="H954" s="559"/>
      <c r="I954" s="560"/>
      <c r="J954" s="560">
        <f t="shared" si="34"/>
        <v>0</v>
      </c>
    </row>
    <row r="955" spans="5:10" ht="14.25" customHeight="1" collapsed="1" thickBot="1" x14ac:dyDescent="0.3">
      <c r="G955" s="268" t="s">
        <v>4237</v>
      </c>
      <c r="H955" s="561">
        <f>SUM(H939:H954)</f>
        <v>1736000</v>
      </c>
      <c r="I955" s="562">
        <f>SUM(I940:I954)</f>
        <v>0</v>
      </c>
      <c r="J955" s="562">
        <f>SUM(J939:J954)</f>
        <v>1736000</v>
      </c>
    </row>
    <row r="956" spans="5:10" ht="15.75" hidden="1" customHeight="1" x14ac:dyDescent="0.25"/>
    <row r="957" spans="5:10" x14ac:dyDescent="0.25">
      <c r="E957" s="489"/>
      <c r="F957" s="282"/>
      <c r="G957" s="285" t="s">
        <v>4167</v>
      </c>
      <c r="H957" s="567"/>
      <c r="I957" s="585"/>
      <c r="J957" s="568"/>
    </row>
    <row r="958" spans="5:10" ht="15.75" thickBot="1" x14ac:dyDescent="0.3">
      <c r="E958" s="693"/>
      <c r="F958" s="272" t="s">
        <v>234</v>
      </c>
      <c r="G958" s="287" t="s">
        <v>235</v>
      </c>
      <c r="H958" s="559">
        <f>SUM(H939)</f>
        <v>1736000</v>
      </c>
      <c r="I958" s="560"/>
      <c r="J958" s="560">
        <f>SUM(H958:I958)</f>
        <v>1736000</v>
      </c>
    </row>
    <row r="959" spans="5:10" ht="15.75" hidden="1" thickBot="1" x14ac:dyDescent="0.3">
      <c r="F959" s="272" t="s">
        <v>236</v>
      </c>
      <c r="G959" s="287" t="s">
        <v>237</v>
      </c>
      <c r="J959" s="560">
        <f t="shared" ref="J959:J973" si="35">SUM(H959:I959)</f>
        <v>0</v>
      </c>
    </row>
    <row r="960" spans="5:10" ht="15.75" hidden="1" thickBot="1" x14ac:dyDescent="0.3">
      <c r="F960" s="272" t="s">
        <v>238</v>
      </c>
      <c r="G960" s="287" t="s">
        <v>239</v>
      </c>
      <c r="J960" s="560">
        <f t="shared" si="35"/>
        <v>0</v>
      </c>
    </row>
    <row r="961" spans="5:10" ht="15.75" hidden="1" thickBot="1" x14ac:dyDescent="0.3">
      <c r="F961" s="272" t="s">
        <v>240</v>
      </c>
      <c r="G961" s="287" t="s">
        <v>241</v>
      </c>
      <c r="J961" s="560">
        <f t="shared" si="35"/>
        <v>0</v>
      </c>
    </row>
    <row r="962" spans="5:10" ht="15.75" hidden="1" thickBot="1" x14ac:dyDescent="0.3">
      <c r="F962" s="272" t="s">
        <v>242</v>
      </c>
      <c r="G962" s="287" t="s">
        <v>243</v>
      </c>
      <c r="J962" s="560">
        <f t="shared" si="35"/>
        <v>0</v>
      </c>
    </row>
    <row r="963" spans="5:10" ht="15.75" hidden="1" thickBot="1" x14ac:dyDescent="0.3">
      <c r="F963" s="272" t="s">
        <v>244</v>
      </c>
      <c r="G963" s="287" t="s">
        <v>245</v>
      </c>
      <c r="J963" s="560">
        <f t="shared" si="35"/>
        <v>0</v>
      </c>
    </row>
    <row r="964" spans="5:10" ht="15.75" hidden="1" thickBot="1" x14ac:dyDescent="0.3">
      <c r="F964" s="272" t="s">
        <v>246</v>
      </c>
      <c r="G964" s="598" t="s">
        <v>4996</v>
      </c>
      <c r="J964" s="560">
        <f t="shared" si="35"/>
        <v>0</v>
      </c>
    </row>
    <row r="965" spans="5:10" ht="15.75" hidden="1" thickBot="1" x14ac:dyDescent="0.3">
      <c r="F965" s="272" t="s">
        <v>247</v>
      </c>
      <c r="G965" s="598" t="s">
        <v>4995</v>
      </c>
      <c r="J965" s="560">
        <f t="shared" si="35"/>
        <v>0</v>
      </c>
    </row>
    <row r="966" spans="5:10" ht="15.75" hidden="1" thickBot="1" x14ac:dyDescent="0.3">
      <c r="F966" s="272" t="s">
        <v>248</v>
      </c>
      <c r="G966" s="287" t="s">
        <v>57</v>
      </c>
      <c r="J966" s="560">
        <f t="shared" si="35"/>
        <v>0</v>
      </c>
    </row>
    <row r="967" spans="5:10" ht="15.75" hidden="1" thickBot="1" x14ac:dyDescent="0.3">
      <c r="F967" s="272" t="s">
        <v>249</v>
      </c>
      <c r="G967" s="287" t="s">
        <v>250</v>
      </c>
      <c r="J967" s="560">
        <f t="shared" si="35"/>
        <v>0</v>
      </c>
    </row>
    <row r="968" spans="5:10" ht="15.75" hidden="1" thickBot="1" x14ac:dyDescent="0.3">
      <c r="F968" s="272" t="s">
        <v>251</v>
      </c>
      <c r="G968" s="287" t="s">
        <v>252</v>
      </c>
      <c r="J968" s="560">
        <f t="shared" si="35"/>
        <v>0</v>
      </c>
    </row>
    <row r="969" spans="5:10" ht="30.75" hidden="1" thickBot="1" x14ac:dyDescent="0.3">
      <c r="F969" s="272" t="s">
        <v>253</v>
      </c>
      <c r="G969" s="287" t="s">
        <v>254</v>
      </c>
      <c r="J969" s="560">
        <f t="shared" si="35"/>
        <v>0</v>
      </c>
    </row>
    <row r="970" spans="5:10" ht="15.75" hidden="1" thickBot="1" x14ac:dyDescent="0.3">
      <c r="F970" s="272" t="s">
        <v>255</v>
      </c>
      <c r="G970" s="287" t="s">
        <v>256</v>
      </c>
      <c r="J970" s="560">
        <f t="shared" si="35"/>
        <v>0</v>
      </c>
    </row>
    <row r="971" spans="5:10" ht="30.75" hidden="1" thickBot="1" x14ac:dyDescent="0.3">
      <c r="F971" s="272" t="s">
        <v>257</v>
      </c>
      <c r="G971" s="287" t="s">
        <v>258</v>
      </c>
      <c r="J971" s="560">
        <f t="shared" si="35"/>
        <v>0</v>
      </c>
    </row>
    <row r="972" spans="5:10" ht="15.75" hidden="1" thickBot="1" x14ac:dyDescent="0.3">
      <c r="F972" s="272" t="s">
        <v>259</v>
      </c>
      <c r="G972" s="287" t="s">
        <v>260</v>
      </c>
      <c r="J972" s="560">
        <f t="shared" si="35"/>
        <v>0</v>
      </c>
    </row>
    <row r="973" spans="5:10" ht="15.75" hidden="1" thickBot="1" x14ac:dyDescent="0.3">
      <c r="F973" s="272" t="s">
        <v>261</v>
      </c>
      <c r="G973" s="287" t="s">
        <v>262</v>
      </c>
      <c r="H973" s="559"/>
      <c r="I973" s="560"/>
      <c r="J973" s="560">
        <f t="shared" si="35"/>
        <v>0</v>
      </c>
    </row>
    <row r="974" spans="5:10" ht="13.5" customHeight="1" thickBot="1" x14ac:dyDescent="0.3">
      <c r="G974" s="268" t="s">
        <v>4168</v>
      </c>
      <c r="H974" s="561">
        <f>SUM(H958:H973)</f>
        <v>1736000</v>
      </c>
      <c r="I974" s="562">
        <f>SUM(I959:I973)</f>
        <v>0</v>
      </c>
      <c r="J974" s="562">
        <f>SUM(J958:J973)</f>
        <v>1736000</v>
      </c>
    </row>
    <row r="975" spans="5:10" ht="15" hidden="1" customHeight="1" x14ac:dyDescent="0.25"/>
    <row r="976" spans="5:10" x14ac:dyDescent="0.25">
      <c r="E976" s="489"/>
      <c r="F976" s="282"/>
      <c r="G976" s="285" t="s">
        <v>4170</v>
      </c>
      <c r="H976" s="567"/>
      <c r="I976" s="585"/>
      <c r="J976" s="568"/>
    </row>
    <row r="977" spans="5:10" ht="15.75" thickBot="1" x14ac:dyDescent="0.3">
      <c r="E977" s="693"/>
      <c r="F977" s="272" t="s">
        <v>234</v>
      </c>
      <c r="G977" s="287" t="s">
        <v>235</v>
      </c>
      <c r="H977" s="559">
        <f>SUM(H958)</f>
        <v>1736000</v>
      </c>
      <c r="I977" s="560"/>
      <c r="J977" s="560">
        <f>SUM(H977:I977)</f>
        <v>1736000</v>
      </c>
    </row>
    <row r="978" spans="5:10" ht="15.75" hidden="1" thickBot="1" x14ac:dyDescent="0.3">
      <c r="F978" s="272" t="s">
        <v>236</v>
      </c>
      <c r="G978" s="287" t="s">
        <v>237</v>
      </c>
      <c r="J978" s="560">
        <f t="shared" ref="J978:J992" si="36">SUM(H978:I978)</f>
        <v>0</v>
      </c>
    </row>
    <row r="979" spans="5:10" ht="15.75" hidden="1" thickBot="1" x14ac:dyDescent="0.3">
      <c r="F979" s="272" t="s">
        <v>238</v>
      </c>
      <c r="G979" s="287" t="s">
        <v>239</v>
      </c>
      <c r="J979" s="560">
        <f t="shared" si="36"/>
        <v>0</v>
      </c>
    </row>
    <row r="980" spans="5:10" ht="15.75" hidden="1" thickBot="1" x14ac:dyDescent="0.3">
      <c r="F980" s="272" t="s">
        <v>240</v>
      </c>
      <c r="G980" s="287" t="s">
        <v>241</v>
      </c>
      <c r="J980" s="560">
        <f t="shared" si="36"/>
        <v>0</v>
      </c>
    </row>
    <row r="981" spans="5:10" ht="15.75" hidden="1" thickBot="1" x14ac:dyDescent="0.3">
      <c r="F981" s="272" t="s">
        <v>242</v>
      </c>
      <c r="G981" s="287" t="s">
        <v>243</v>
      </c>
      <c r="J981" s="560">
        <f t="shared" si="36"/>
        <v>0</v>
      </c>
    </row>
    <row r="982" spans="5:10" ht="15.75" hidden="1" thickBot="1" x14ac:dyDescent="0.3">
      <c r="F982" s="272" t="s">
        <v>244</v>
      </c>
      <c r="G982" s="287" t="s">
        <v>245</v>
      </c>
      <c r="J982" s="560">
        <f t="shared" si="36"/>
        <v>0</v>
      </c>
    </row>
    <row r="983" spans="5:10" ht="15.75" hidden="1" thickBot="1" x14ac:dyDescent="0.3">
      <c r="F983" s="272" t="s">
        <v>246</v>
      </c>
      <c r="G983" s="598" t="s">
        <v>4996</v>
      </c>
      <c r="J983" s="560">
        <f t="shared" si="36"/>
        <v>0</v>
      </c>
    </row>
    <row r="984" spans="5:10" ht="15.75" hidden="1" thickBot="1" x14ac:dyDescent="0.3">
      <c r="F984" s="272" t="s">
        <v>247</v>
      </c>
      <c r="G984" s="598" t="s">
        <v>4995</v>
      </c>
      <c r="J984" s="560">
        <f t="shared" si="36"/>
        <v>0</v>
      </c>
    </row>
    <row r="985" spans="5:10" ht="15.75" hidden="1" thickBot="1" x14ac:dyDescent="0.3">
      <c r="F985" s="272" t="s">
        <v>248</v>
      </c>
      <c r="G985" s="287" t="s">
        <v>57</v>
      </c>
      <c r="J985" s="560">
        <f t="shared" si="36"/>
        <v>0</v>
      </c>
    </row>
    <row r="986" spans="5:10" ht="15.75" hidden="1" thickBot="1" x14ac:dyDescent="0.3">
      <c r="F986" s="272" t="s">
        <v>249</v>
      </c>
      <c r="G986" s="287" t="s">
        <v>250</v>
      </c>
      <c r="J986" s="560">
        <f t="shared" si="36"/>
        <v>0</v>
      </c>
    </row>
    <row r="987" spans="5:10" ht="15.75" hidden="1" thickBot="1" x14ac:dyDescent="0.3">
      <c r="F987" s="272" t="s">
        <v>251</v>
      </c>
      <c r="G987" s="287" t="s">
        <v>252</v>
      </c>
      <c r="J987" s="560">
        <f t="shared" si="36"/>
        <v>0</v>
      </c>
    </row>
    <row r="988" spans="5:10" ht="30.75" hidden="1" thickBot="1" x14ac:dyDescent="0.3">
      <c r="F988" s="272" t="s">
        <v>253</v>
      </c>
      <c r="G988" s="287" t="s">
        <v>254</v>
      </c>
      <c r="J988" s="560">
        <f t="shared" si="36"/>
        <v>0</v>
      </c>
    </row>
    <row r="989" spans="5:10" ht="15.75" hidden="1" thickBot="1" x14ac:dyDescent="0.3">
      <c r="F989" s="272" t="s">
        <v>255</v>
      </c>
      <c r="G989" s="287" t="s">
        <v>256</v>
      </c>
      <c r="J989" s="560">
        <f t="shared" si="36"/>
        <v>0</v>
      </c>
    </row>
    <row r="990" spans="5:10" ht="30.75" hidden="1" thickBot="1" x14ac:dyDescent="0.3">
      <c r="F990" s="272" t="s">
        <v>257</v>
      </c>
      <c r="G990" s="287" t="s">
        <v>258</v>
      </c>
      <c r="J990" s="560">
        <f t="shared" si="36"/>
        <v>0</v>
      </c>
    </row>
    <row r="991" spans="5:10" ht="15.75" hidden="1" thickBot="1" x14ac:dyDescent="0.3">
      <c r="F991" s="272" t="s">
        <v>259</v>
      </c>
      <c r="G991" s="287" t="s">
        <v>260</v>
      </c>
      <c r="J991" s="560">
        <f t="shared" si="36"/>
        <v>0</v>
      </c>
    </row>
    <row r="992" spans="5:10" ht="15.75" hidden="1" thickBot="1" x14ac:dyDescent="0.3">
      <c r="F992" s="272" t="s">
        <v>261</v>
      </c>
      <c r="G992" s="287" t="s">
        <v>262</v>
      </c>
      <c r="H992" s="559"/>
      <c r="I992" s="560"/>
      <c r="J992" s="560">
        <f t="shared" si="36"/>
        <v>0</v>
      </c>
    </row>
    <row r="993" spans="5:10" ht="12.75" customHeight="1" thickBot="1" x14ac:dyDescent="0.3">
      <c r="G993" s="268" t="s">
        <v>4171</v>
      </c>
      <c r="H993" s="561">
        <f>SUM(H977:H992)</f>
        <v>1736000</v>
      </c>
      <c r="I993" s="562">
        <f>SUM(I978:I992)</f>
        <v>0</v>
      </c>
      <c r="J993" s="562">
        <f>SUM(J977:J992)</f>
        <v>1736000</v>
      </c>
    </row>
    <row r="994" spans="5:10" ht="13.5" hidden="1" customHeight="1" x14ac:dyDescent="0.25"/>
    <row r="995" spans="5:10" x14ac:dyDescent="0.25">
      <c r="E995" s="489"/>
      <c r="F995" s="282"/>
      <c r="G995" s="285" t="s">
        <v>5230</v>
      </c>
      <c r="H995" s="567"/>
      <c r="I995" s="585"/>
      <c r="J995" s="568"/>
    </row>
    <row r="996" spans="5:10" ht="12.75" customHeight="1" thickBot="1" x14ac:dyDescent="0.3">
      <c r="E996" s="693"/>
      <c r="F996" s="272" t="s">
        <v>234</v>
      </c>
      <c r="G996" s="287" t="s">
        <v>235</v>
      </c>
      <c r="H996" s="559">
        <f>SUM(H977)</f>
        <v>1736000</v>
      </c>
      <c r="I996" s="560"/>
      <c r="J996" s="560">
        <f>SUM(H996:I996)</f>
        <v>1736000</v>
      </c>
    </row>
    <row r="997" spans="5:10" ht="15.75" hidden="1" thickBot="1" x14ac:dyDescent="0.3">
      <c r="F997" s="272" t="s">
        <v>236</v>
      </c>
      <c r="G997" s="287" t="s">
        <v>237</v>
      </c>
      <c r="J997" s="560">
        <f t="shared" ref="J997:J1011" si="37">SUM(H997:I997)</f>
        <v>0</v>
      </c>
    </row>
    <row r="998" spans="5:10" ht="15.75" hidden="1" thickBot="1" x14ac:dyDescent="0.3">
      <c r="F998" s="272" t="s">
        <v>238</v>
      </c>
      <c r="G998" s="287" t="s">
        <v>239</v>
      </c>
      <c r="J998" s="560">
        <f t="shared" si="37"/>
        <v>0</v>
      </c>
    </row>
    <row r="999" spans="5:10" ht="15.75" hidden="1" thickBot="1" x14ac:dyDescent="0.3">
      <c r="F999" s="272" t="s">
        <v>240</v>
      </c>
      <c r="G999" s="287" t="s">
        <v>241</v>
      </c>
      <c r="J999" s="560">
        <f t="shared" si="37"/>
        <v>0</v>
      </c>
    </row>
    <row r="1000" spans="5:10" ht="15.75" hidden="1" thickBot="1" x14ac:dyDescent="0.3">
      <c r="F1000" s="272" t="s">
        <v>242</v>
      </c>
      <c r="G1000" s="287" t="s">
        <v>243</v>
      </c>
      <c r="J1000" s="560">
        <f t="shared" si="37"/>
        <v>0</v>
      </c>
    </row>
    <row r="1001" spans="5:10" ht="15.75" hidden="1" thickBot="1" x14ac:dyDescent="0.3">
      <c r="F1001" s="272" t="s">
        <v>244</v>
      </c>
      <c r="G1001" s="287" t="s">
        <v>245</v>
      </c>
      <c r="J1001" s="560">
        <f t="shared" si="37"/>
        <v>0</v>
      </c>
    </row>
    <row r="1002" spans="5:10" ht="15.75" hidden="1" thickBot="1" x14ac:dyDescent="0.3">
      <c r="F1002" s="272" t="s">
        <v>246</v>
      </c>
      <c r="G1002" s="598" t="s">
        <v>4996</v>
      </c>
      <c r="J1002" s="560">
        <f t="shared" si="37"/>
        <v>0</v>
      </c>
    </row>
    <row r="1003" spans="5:10" ht="15.75" hidden="1" thickBot="1" x14ac:dyDescent="0.3">
      <c r="F1003" s="272" t="s">
        <v>247</v>
      </c>
      <c r="G1003" s="598" t="s">
        <v>4995</v>
      </c>
      <c r="J1003" s="560">
        <f t="shared" si="37"/>
        <v>0</v>
      </c>
    </row>
    <row r="1004" spans="5:10" ht="15.75" hidden="1" thickBot="1" x14ac:dyDescent="0.3">
      <c r="F1004" s="272" t="s">
        <v>248</v>
      </c>
      <c r="G1004" s="287" t="s">
        <v>57</v>
      </c>
      <c r="J1004" s="560">
        <f t="shared" si="37"/>
        <v>0</v>
      </c>
    </row>
    <row r="1005" spans="5:10" ht="15.75" hidden="1" thickBot="1" x14ac:dyDescent="0.3">
      <c r="F1005" s="272" t="s">
        <v>249</v>
      </c>
      <c r="G1005" s="287" t="s">
        <v>250</v>
      </c>
      <c r="J1005" s="560">
        <f t="shared" si="37"/>
        <v>0</v>
      </c>
    </row>
    <row r="1006" spans="5:10" ht="15.75" hidden="1" thickBot="1" x14ac:dyDescent="0.3">
      <c r="F1006" s="272" t="s">
        <v>251</v>
      </c>
      <c r="G1006" s="287" t="s">
        <v>252</v>
      </c>
      <c r="J1006" s="560">
        <f t="shared" si="37"/>
        <v>0</v>
      </c>
    </row>
    <row r="1007" spans="5:10" ht="30.75" hidden="1" thickBot="1" x14ac:dyDescent="0.3">
      <c r="F1007" s="272" t="s">
        <v>253</v>
      </c>
      <c r="G1007" s="287" t="s">
        <v>254</v>
      </c>
      <c r="J1007" s="560">
        <f t="shared" si="37"/>
        <v>0</v>
      </c>
    </row>
    <row r="1008" spans="5:10" ht="15.75" hidden="1" thickBot="1" x14ac:dyDescent="0.3">
      <c r="F1008" s="272" t="s">
        <v>255</v>
      </c>
      <c r="G1008" s="287" t="s">
        <v>256</v>
      </c>
      <c r="J1008" s="560">
        <f t="shared" si="37"/>
        <v>0</v>
      </c>
    </row>
    <row r="1009" spans="1:25" ht="30.75" hidden="1" thickBot="1" x14ac:dyDescent="0.3">
      <c r="F1009" s="272" t="s">
        <v>257</v>
      </c>
      <c r="G1009" s="287" t="s">
        <v>258</v>
      </c>
      <c r="J1009" s="560">
        <f t="shared" si="37"/>
        <v>0</v>
      </c>
    </row>
    <row r="1010" spans="1:25" ht="15.75" hidden="1" thickBot="1" x14ac:dyDescent="0.3">
      <c r="F1010" s="272" t="s">
        <v>259</v>
      </c>
      <c r="G1010" s="287" t="s">
        <v>260</v>
      </c>
      <c r="J1010" s="560">
        <f t="shared" si="37"/>
        <v>0</v>
      </c>
    </row>
    <row r="1011" spans="1:25" ht="15.75" hidden="1" thickBot="1" x14ac:dyDescent="0.3">
      <c r="F1011" s="272" t="s">
        <v>261</v>
      </c>
      <c r="G1011" s="287" t="s">
        <v>262</v>
      </c>
      <c r="H1011" s="559"/>
      <c r="I1011" s="560"/>
      <c r="J1011" s="560">
        <f t="shared" si="37"/>
        <v>0</v>
      </c>
    </row>
    <row r="1012" spans="1:25" ht="14.25" customHeight="1" thickBot="1" x14ac:dyDescent="0.3">
      <c r="G1012" s="268" t="s">
        <v>5231</v>
      </c>
      <c r="H1012" s="561">
        <f>SUM(H996:H1011)</f>
        <v>1736000</v>
      </c>
      <c r="I1012" s="562">
        <f>SUM(I997:I1011)</f>
        <v>0</v>
      </c>
      <c r="J1012" s="562">
        <f>SUM(J996:J1011)</f>
        <v>1736000</v>
      </c>
    </row>
    <row r="1013" spans="1:25" hidden="1" x14ac:dyDescent="0.25"/>
    <row r="1014" spans="1:25" ht="15.75" hidden="1" customHeight="1" x14ac:dyDescent="0.25"/>
    <row r="1015" spans="1:25" s="839" customFormat="1" x14ac:dyDescent="0.25">
      <c r="A1015" s="829">
        <v>5</v>
      </c>
      <c r="B1015" s="830">
        <v>1</v>
      </c>
      <c r="C1015" s="831"/>
      <c r="D1015" s="832"/>
      <c r="E1015" s="874"/>
      <c r="F1015" s="833"/>
      <c r="G1015" s="834" t="s">
        <v>5720</v>
      </c>
      <c r="H1015" s="835"/>
      <c r="I1015" s="836"/>
      <c r="J1015" s="837"/>
      <c r="K1015" s="838"/>
      <c r="L1015" s="838"/>
      <c r="M1015" s="838"/>
      <c r="N1015" s="838"/>
      <c r="O1015" s="838"/>
      <c r="P1015" s="838"/>
      <c r="Q1015" s="838"/>
      <c r="R1015" s="838"/>
      <c r="S1015" s="838"/>
      <c r="T1015" s="838"/>
      <c r="U1015" s="838"/>
      <c r="V1015" s="838"/>
      <c r="W1015" s="838"/>
      <c r="X1015" s="838"/>
      <c r="Y1015" s="838"/>
    </row>
    <row r="1016" spans="1:25" s="88" customFormat="1" x14ac:dyDescent="0.25">
      <c r="A1016" s="290"/>
      <c r="B1016" s="288"/>
      <c r="C1016" s="294" t="s">
        <v>3599</v>
      </c>
      <c r="D1016" s="258"/>
      <c r="E1016" s="679"/>
      <c r="F1016" s="258"/>
      <c r="G1016" s="329" t="s">
        <v>5067</v>
      </c>
      <c r="H1016" s="588"/>
      <c r="I1016" s="571"/>
      <c r="J1016" s="589"/>
      <c r="K1016" s="505"/>
      <c r="L1016" s="505"/>
      <c r="M1016" s="505"/>
      <c r="N1016" s="505"/>
      <c r="O1016" s="505"/>
      <c r="P1016" s="505"/>
      <c r="Q1016" s="505"/>
      <c r="R1016" s="505"/>
      <c r="S1016" s="505"/>
      <c r="T1016" s="505"/>
      <c r="U1016" s="505"/>
      <c r="V1016" s="505"/>
      <c r="W1016" s="505"/>
      <c r="X1016" s="505"/>
      <c r="Y1016" s="505"/>
    </row>
    <row r="1017" spans="1:25" s="88" customFormat="1" ht="12" customHeight="1" x14ac:dyDescent="0.25">
      <c r="A1017" s="290"/>
      <c r="B1017" s="288"/>
      <c r="C1017" s="302" t="s">
        <v>4098</v>
      </c>
      <c r="D1017" s="259"/>
      <c r="E1017" s="702"/>
      <c r="F1017" s="303"/>
      <c r="G1017" s="330" t="s">
        <v>5027</v>
      </c>
      <c r="H1017" s="588"/>
      <c r="I1017" s="571"/>
      <c r="J1017" s="589"/>
      <c r="K1017" s="505"/>
      <c r="L1017" s="505"/>
      <c r="M1017" s="505"/>
      <c r="N1017" s="505"/>
      <c r="O1017" s="505"/>
      <c r="P1017" s="505"/>
      <c r="Q1017" s="505"/>
      <c r="R1017" s="505"/>
      <c r="S1017" s="505"/>
      <c r="T1017" s="505"/>
      <c r="U1017" s="505"/>
      <c r="V1017" s="505"/>
      <c r="W1017" s="505"/>
      <c r="X1017" s="505"/>
      <c r="Y1017" s="505"/>
    </row>
    <row r="1018" spans="1:25" s="88" customFormat="1" ht="12.75" customHeight="1" x14ac:dyDescent="0.25">
      <c r="A1018" s="290"/>
      <c r="B1018" s="288"/>
      <c r="C1018" s="294"/>
      <c r="D1018" s="331">
        <v>130</v>
      </c>
      <c r="E1018" s="869"/>
      <c r="F1018" s="331"/>
      <c r="G1018" s="341" t="s">
        <v>4249</v>
      </c>
      <c r="H1018" s="588"/>
      <c r="I1018" s="571"/>
      <c r="J1018" s="589"/>
      <c r="K1018" s="505"/>
      <c r="L1018" s="505"/>
      <c r="M1018" s="505"/>
      <c r="N1018" s="505"/>
      <c r="O1018" s="505"/>
      <c r="P1018" s="505"/>
      <c r="Q1018" s="505"/>
      <c r="R1018" s="505"/>
      <c r="S1018" s="505"/>
      <c r="T1018" s="505"/>
      <c r="U1018" s="505"/>
      <c r="V1018" s="505"/>
      <c r="W1018" s="505"/>
      <c r="X1018" s="505"/>
      <c r="Y1018" s="505"/>
    </row>
    <row r="1019" spans="1:25" s="88" customFormat="1" x14ac:dyDescent="0.25">
      <c r="A1019" s="481"/>
      <c r="B1019" s="288"/>
      <c r="C1019" s="294"/>
      <c r="D1019" s="331"/>
      <c r="E1019" s="859">
        <v>40</v>
      </c>
      <c r="F1019" s="258">
        <v>411</v>
      </c>
      <c r="G1019" s="492" t="s">
        <v>4131</v>
      </c>
      <c r="H1019" s="588">
        <v>28200000</v>
      </c>
      <c r="I1019" s="571"/>
      <c r="J1019" s="589">
        <f>SUM(H1019:I1019)</f>
        <v>28200000</v>
      </c>
      <c r="K1019" s="505"/>
      <c r="L1019" s="505"/>
      <c r="M1019" s="505"/>
      <c r="N1019" s="505"/>
      <c r="O1019" s="505"/>
      <c r="P1019" s="505"/>
      <c r="Q1019" s="505"/>
      <c r="R1019" s="505"/>
      <c r="S1019" s="505"/>
      <c r="T1019" s="505"/>
      <c r="U1019" s="505"/>
      <c r="V1019" s="505"/>
      <c r="W1019" s="505"/>
      <c r="X1019" s="505"/>
      <c r="Y1019" s="505"/>
    </row>
    <row r="1020" spans="1:25" s="88" customFormat="1" ht="12.75" customHeight="1" x14ac:dyDescent="0.25">
      <c r="A1020" s="481"/>
      <c r="B1020" s="288"/>
      <c r="C1020" s="294"/>
      <c r="D1020" s="331"/>
      <c r="E1020" s="859">
        <v>41</v>
      </c>
      <c r="F1020" s="258">
        <v>412</v>
      </c>
      <c r="G1020" s="488" t="s">
        <v>3766</v>
      </c>
      <c r="H1020" s="588">
        <v>5050000</v>
      </c>
      <c r="I1020" s="571"/>
      <c r="J1020" s="589">
        <f t="shared" ref="J1020:J1040" si="38">SUM(H1020:I1020)</f>
        <v>5050000</v>
      </c>
      <c r="K1020" s="505"/>
      <c r="L1020" s="505"/>
      <c r="M1020" s="505"/>
      <c r="N1020" s="505"/>
      <c r="O1020" s="505"/>
      <c r="P1020" s="505"/>
      <c r="Q1020" s="505"/>
      <c r="R1020" s="505"/>
      <c r="S1020" s="505"/>
      <c r="T1020" s="505"/>
      <c r="U1020" s="505"/>
      <c r="V1020" s="505"/>
      <c r="W1020" s="505"/>
      <c r="X1020" s="505"/>
      <c r="Y1020" s="505"/>
    </row>
    <row r="1021" spans="1:25" s="88" customFormat="1" ht="12.75" customHeight="1" x14ac:dyDescent="0.25">
      <c r="A1021" s="481"/>
      <c r="B1021" s="288"/>
      <c r="C1021" s="294"/>
      <c r="D1021" s="331"/>
      <c r="E1021" s="859">
        <v>42</v>
      </c>
      <c r="F1021" s="258">
        <v>413</v>
      </c>
      <c r="G1021" s="488" t="s">
        <v>4132</v>
      </c>
      <c r="H1021" s="588">
        <v>400000</v>
      </c>
      <c r="I1021" s="571"/>
      <c r="J1021" s="589">
        <f t="shared" si="38"/>
        <v>400000</v>
      </c>
      <c r="K1021" s="505"/>
      <c r="L1021" s="505"/>
      <c r="M1021" s="505"/>
      <c r="N1021" s="505"/>
      <c r="O1021" s="505"/>
      <c r="P1021" s="505"/>
      <c r="Q1021" s="505"/>
      <c r="R1021" s="505"/>
      <c r="S1021" s="505"/>
      <c r="T1021" s="505"/>
      <c r="U1021" s="505"/>
      <c r="V1021" s="505"/>
      <c r="W1021" s="505"/>
      <c r="X1021" s="505"/>
      <c r="Y1021" s="505"/>
    </row>
    <row r="1022" spans="1:25" s="88" customFormat="1" ht="13.5" customHeight="1" x14ac:dyDescent="0.25">
      <c r="A1022" s="481"/>
      <c r="B1022" s="288"/>
      <c r="C1022" s="294"/>
      <c r="D1022" s="331"/>
      <c r="E1022" s="859">
        <v>43</v>
      </c>
      <c r="F1022" s="258">
        <v>414</v>
      </c>
      <c r="G1022" s="488" t="s">
        <v>3769</v>
      </c>
      <c r="H1022" s="588">
        <v>1300000</v>
      </c>
      <c r="I1022" s="571"/>
      <c r="J1022" s="589">
        <f t="shared" si="38"/>
        <v>1300000</v>
      </c>
      <c r="K1022" s="505"/>
      <c r="L1022" s="505"/>
      <c r="M1022" s="505"/>
      <c r="N1022" s="505"/>
      <c r="O1022" s="505"/>
      <c r="P1022" s="505"/>
      <c r="Q1022" s="505"/>
      <c r="R1022" s="505"/>
      <c r="S1022" s="505"/>
      <c r="T1022" s="505"/>
      <c r="U1022" s="505"/>
      <c r="V1022" s="505"/>
      <c r="W1022" s="505"/>
      <c r="X1022" s="505"/>
      <c r="Y1022" s="505"/>
    </row>
    <row r="1023" spans="1:25" s="88" customFormat="1" x14ac:dyDescent="0.25">
      <c r="A1023" s="481"/>
      <c r="B1023" s="288"/>
      <c r="C1023" s="294"/>
      <c r="D1023" s="331"/>
      <c r="E1023" s="859">
        <v>44</v>
      </c>
      <c r="F1023" s="258">
        <v>415</v>
      </c>
      <c r="G1023" s="488" t="s">
        <v>4141</v>
      </c>
      <c r="H1023" s="588">
        <v>3360000</v>
      </c>
      <c r="I1023" s="571"/>
      <c r="J1023" s="589">
        <f t="shared" si="38"/>
        <v>3360000</v>
      </c>
      <c r="K1023" s="505"/>
      <c r="L1023" s="505"/>
      <c r="M1023" s="505"/>
      <c r="N1023" s="505"/>
      <c r="O1023" s="505"/>
      <c r="P1023" s="505"/>
      <c r="Q1023" s="505"/>
      <c r="R1023" s="505"/>
      <c r="S1023" s="505"/>
      <c r="T1023" s="505"/>
      <c r="U1023" s="505"/>
      <c r="V1023" s="505"/>
      <c r="W1023" s="505"/>
      <c r="X1023" s="505"/>
      <c r="Y1023" s="505"/>
    </row>
    <row r="1024" spans="1:25" s="88" customFormat="1" ht="12" customHeight="1" x14ac:dyDescent="0.25">
      <c r="A1024" s="481"/>
      <c r="B1024" s="288"/>
      <c r="C1024" s="294"/>
      <c r="D1024" s="331"/>
      <c r="E1024" s="859">
        <v>45</v>
      </c>
      <c r="F1024" s="258">
        <v>416</v>
      </c>
      <c r="G1024" s="488" t="s">
        <v>4142</v>
      </c>
      <c r="H1024" s="588">
        <v>485000</v>
      </c>
      <c r="I1024" s="571"/>
      <c r="J1024" s="589">
        <f t="shared" si="38"/>
        <v>485000</v>
      </c>
      <c r="K1024" s="505"/>
      <c r="L1024" s="505"/>
      <c r="M1024" s="505"/>
      <c r="N1024" s="505"/>
      <c r="O1024" s="505"/>
      <c r="P1024" s="505"/>
      <c r="Q1024" s="505"/>
      <c r="R1024" s="505"/>
      <c r="S1024" s="505"/>
      <c r="T1024" s="505"/>
      <c r="U1024" s="505"/>
      <c r="V1024" s="505"/>
      <c r="W1024" s="505"/>
      <c r="X1024" s="505"/>
      <c r="Y1024" s="505"/>
    </row>
    <row r="1025" spans="1:25" s="88" customFormat="1" ht="19.5" customHeight="1" x14ac:dyDescent="0.25">
      <c r="A1025" s="481"/>
      <c r="B1025" s="288"/>
      <c r="C1025" s="294"/>
      <c r="D1025" s="331"/>
      <c r="E1025" s="859">
        <v>46</v>
      </c>
      <c r="F1025" s="258">
        <v>421</v>
      </c>
      <c r="G1025" s="488" t="s">
        <v>3779</v>
      </c>
      <c r="H1025" s="588">
        <v>12000000</v>
      </c>
      <c r="I1025" s="571">
        <v>57780</v>
      </c>
      <c r="J1025" s="589">
        <f t="shared" si="38"/>
        <v>12057780</v>
      </c>
      <c r="K1025" s="505"/>
      <c r="L1025" s="505"/>
      <c r="M1025" s="505"/>
      <c r="N1025" s="505"/>
      <c r="O1025" s="505"/>
      <c r="P1025" s="505"/>
      <c r="Q1025" s="505"/>
      <c r="R1025" s="505"/>
      <c r="S1025" s="505"/>
      <c r="T1025" s="505"/>
      <c r="U1025" s="505"/>
      <c r="V1025" s="505"/>
      <c r="W1025" s="505"/>
      <c r="X1025" s="505"/>
      <c r="Y1025" s="505"/>
    </row>
    <row r="1026" spans="1:25" s="88" customFormat="1" ht="12" customHeight="1" x14ac:dyDescent="0.25">
      <c r="A1026" s="290"/>
      <c r="B1026" s="288"/>
      <c r="C1026" s="334"/>
      <c r="D1026" s="286"/>
      <c r="E1026" s="875">
        <v>47</v>
      </c>
      <c r="F1026" s="292">
        <v>422</v>
      </c>
      <c r="G1026" s="735" t="s">
        <v>3780</v>
      </c>
      <c r="H1026" s="588">
        <v>250000</v>
      </c>
      <c r="I1026" s="571"/>
      <c r="J1026" s="589">
        <f t="shared" si="38"/>
        <v>250000</v>
      </c>
      <c r="K1026" s="505"/>
      <c r="L1026" s="505"/>
      <c r="M1026" s="505"/>
      <c r="N1026" s="505"/>
      <c r="O1026" s="505"/>
      <c r="P1026" s="505"/>
      <c r="Q1026" s="505"/>
      <c r="R1026" s="505"/>
      <c r="S1026" s="505"/>
      <c r="T1026" s="505"/>
      <c r="U1026" s="505"/>
      <c r="V1026" s="505"/>
      <c r="W1026" s="505"/>
      <c r="X1026" s="505"/>
      <c r="Y1026" s="505"/>
    </row>
    <row r="1027" spans="1:25" s="88" customFormat="1" ht="13.5" customHeight="1" x14ac:dyDescent="0.25">
      <c r="A1027" s="290"/>
      <c r="B1027" s="288"/>
      <c r="C1027" s="334"/>
      <c r="D1027" s="286"/>
      <c r="E1027" s="875">
        <v>48</v>
      </c>
      <c r="F1027" s="292">
        <v>423</v>
      </c>
      <c r="G1027" s="735" t="s">
        <v>3781</v>
      </c>
      <c r="H1027" s="588">
        <v>10000000</v>
      </c>
      <c r="I1027" s="571">
        <v>1031350</v>
      </c>
      <c r="J1027" s="589">
        <f t="shared" si="38"/>
        <v>11031350</v>
      </c>
      <c r="K1027" s="505"/>
      <c r="L1027" s="505"/>
      <c r="M1027" s="505"/>
      <c r="N1027" s="505"/>
      <c r="O1027" s="505"/>
      <c r="P1027" s="505"/>
      <c r="Q1027" s="505"/>
      <c r="R1027" s="505"/>
      <c r="S1027" s="505"/>
      <c r="T1027" s="505"/>
      <c r="U1027" s="505"/>
      <c r="V1027" s="505"/>
      <c r="W1027" s="505"/>
      <c r="X1027" s="505"/>
      <c r="Y1027" s="505"/>
    </row>
    <row r="1028" spans="1:25" s="88" customFormat="1" ht="20.25" customHeight="1" x14ac:dyDescent="0.25">
      <c r="A1028" s="290"/>
      <c r="B1028" s="288"/>
      <c r="C1028" s="334"/>
      <c r="D1028" s="286"/>
      <c r="E1028" s="875">
        <v>49</v>
      </c>
      <c r="F1028" s="292">
        <v>424</v>
      </c>
      <c r="G1028" s="754" t="s">
        <v>3783</v>
      </c>
      <c r="H1028" s="588">
        <v>300000</v>
      </c>
      <c r="I1028" s="571"/>
      <c r="J1028" s="589">
        <f t="shared" si="38"/>
        <v>300000</v>
      </c>
      <c r="K1028" s="505"/>
      <c r="L1028" s="505"/>
      <c r="M1028" s="505"/>
      <c r="N1028" s="505"/>
      <c r="O1028" s="505"/>
      <c r="P1028" s="505"/>
      <c r="Q1028" s="505"/>
      <c r="R1028" s="505"/>
      <c r="S1028" s="505"/>
      <c r="T1028" s="505"/>
      <c r="U1028" s="505"/>
      <c r="V1028" s="505"/>
      <c r="W1028" s="505"/>
      <c r="X1028" s="505"/>
      <c r="Y1028" s="505"/>
    </row>
    <row r="1029" spans="1:25" s="88" customFormat="1" x14ac:dyDescent="0.25">
      <c r="A1029" s="290"/>
      <c r="B1029" s="288"/>
      <c r="C1029" s="334"/>
      <c r="D1029" s="286"/>
      <c r="E1029" s="875">
        <v>50</v>
      </c>
      <c r="F1029" s="292">
        <v>425</v>
      </c>
      <c r="G1029" s="319" t="s">
        <v>4144</v>
      </c>
      <c r="H1029" s="588">
        <v>1500000</v>
      </c>
      <c r="I1029" s="571"/>
      <c r="J1029" s="589">
        <f t="shared" si="38"/>
        <v>1500000</v>
      </c>
      <c r="K1029" s="505"/>
      <c r="L1029" s="505"/>
      <c r="M1029" s="505"/>
      <c r="N1029" s="505"/>
      <c r="O1029" s="505"/>
      <c r="P1029" s="505"/>
      <c r="Q1029" s="505"/>
      <c r="R1029" s="505"/>
      <c r="S1029" s="505"/>
      <c r="T1029" s="505"/>
      <c r="U1029" s="505"/>
      <c r="V1029" s="505"/>
      <c r="W1029" s="505"/>
      <c r="X1029" s="505"/>
      <c r="Y1029" s="505"/>
    </row>
    <row r="1030" spans="1:25" s="88" customFormat="1" ht="13.5" customHeight="1" x14ac:dyDescent="0.25">
      <c r="A1030" s="290"/>
      <c r="B1030" s="288"/>
      <c r="C1030" s="334"/>
      <c r="D1030" s="286"/>
      <c r="E1030" s="875">
        <v>51</v>
      </c>
      <c r="F1030" s="292">
        <v>426</v>
      </c>
      <c r="G1030" s="319" t="s">
        <v>3787</v>
      </c>
      <c r="H1030" s="588">
        <v>2500000</v>
      </c>
      <c r="I1030" s="571">
        <v>36870</v>
      </c>
      <c r="J1030" s="589">
        <f t="shared" si="38"/>
        <v>2536870</v>
      </c>
      <c r="K1030" s="505"/>
      <c r="L1030" s="505"/>
      <c r="M1030" s="505"/>
      <c r="N1030" s="505"/>
      <c r="O1030" s="505"/>
      <c r="P1030" s="505"/>
      <c r="Q1030" s="505"/>
      <c r="R1030" s="505"/>
      <c r="S1030" s="505"/>
      <c r="T1030" s="505"/>
      <c r="U1030" s="505"/>
      <c r="V1030" s="505"/>
      <c r="W1030" s="505"/>
      <c r="X1030" s="505"/>
      <c r="Y1030" s="505"/>
    </row>
    <row r="1031" spans="1:25" s="88" customFormat="1" hidden="1" x14ac:dyDescent="0.25">
      <c r="A1031" s="481"/>
      <c r="B1031" s="288"/>
      <c r="C1031" s="334"/>
      <c r="D1031" s="286"/>
      <c r="E1031" s="875">
        <v>40</v>
      </c>
      <c r="F1031" s="499">
        <v>4511</v>
      </c>
      <c r="G1031" s="492" t="s">
        <v>5068</v>
      </c>
      <c r="H1031" s="588">
        <v>0</v>
      </c>
      <c r="I1031" s="571"/>
      <c r="J1031" s="589">
        <f t="shared" si="38"/>
        <v>0</v>
      </c>
      <c r="K1031" s="505"/>
      <c r="L1031" s="505"/>
      <c r="M1031" s="505"/>
      <c r="N1031" s="505"/>
      <c r="O1031" s="505"/>
      <c r="P1031" s="505"/>
      <c r="Q1031" s="505"/>
      <c r="R1031" s="505"/>
      <c r="S1031" s="505"/>
      <c r="T1031" s="505"/>
      <c r="U1031" s="505"/>
      <c r="V1031" s="505"/>
      <c r="W1031" s="505"/>
      <c r="X1031" s="505"/>
      <c r="Y1031" s="505"/>
    </row>
    <row r="1032" spans="1:25" s="88" customFormat="1" hidden="1" x14ac:dyDescent="0.25">
      <c r="A1032" s="481"/>
      <c r="B1032" s="288"/>
      <c r="C1032" s="334"/>
      <c r="D1032" s="286"/>
      <c r="E1032" s="875">
        <v>41</v>
      </c>
      <c r="F1032" s="499">
        <v>4511</v>
      </c>
      <c r="G1032" s="492" t="s">
        <v>5068</v>
      </c>
      <c r="H1032" s="588">
        <v>0</v>
      </c>
      <c r="I1032" s="571"/>
      <c r="J1032" s="589">
        <f t="shared" si="38"/>
        <v>0</v>
      </c>
      <c r="K1032" s="505"/>
      <c r="L1032" s="505"/>
      <c r="M1032" s="505"/>
      <c r="N1032" s="505"/>
      <c r="O1032" s="505"/>
      <c r="P1032" s="505"/>
      <c r="Q1032" s="505"/>
      <c r="R1032" s="505"/>
      <c r="S1032" s="505"/>
      <c r="T1032" s="505"/>
      <c r="U1032" s="505"/>
      <c r="V1032" s="505"/>
      <c r="W1032" s="505"/>
      <c r="X1032" s="505"/>
      <c r="Y1032" s="505"/>
    </row>
    <row r="1033" spans="1:25" s="88" customFormat="1" x14ac:dyDescent="0.25">
      <c r="A1033" s="481"/>
      <c r="B1033" s="288"/>
      <c r="C1033" s="334"/>
      <c r="D1033" s="286"/>
      <c r="E1033" s="875">
        <v>52</v>
      </c>
      <c r="F1033" s="499">
        <v>465</v>
      </c>
      <c r="G1033" s="492" t="s">
        <v>4134</v>
      </c>
      <c r="H1033" s="588">
        <v>3750000</v>
      </c>
      <c r="I1033" s="571"/>
      <c r="J1033" s="589">
        <f t="shared" si="38"/>
        <v>3750000</v>
      </c>
      <c r="K1033" s="505"/>
      <c r="L1033" s="505"/>
      <c r="M1033" s="505"/>
      <c r="N1033" s="505"/>
      <c r="O1033" s="505"/>
      <c r="P1033" s="505"/>
      <c r="Q1033" s="505"/>
      <c r="R1033" s="505"/>
      <c r="S1033" s="505"/>
      <c r="T1033" s="505"/>
      <c r="U1033" s="505"/>
      <c r="V1033" s="505"/>
      <c r="W1033" s="505"/>
      <c r="X1033" s="505"/>
      <c r="Y1033" s="505"/>
    </row>
    <row r="1034" spans="1:25" s="88" customFormat="1" x14ac:dyDescent="0.25">
      <c r="A1034" s="481"/>
      <c r="B1034" s="288"/>
      <c r="C1034" s="334"/>
      <c r="D1034" s="286"/>
      <c r="E1034" s="875">
        <v>53</v>
      </c>
      <c r="F1034" s="499">
        <v>472</v>
      </c>
      <c r="G1034" s="492" t="s">
        <v>5232</v>
      </c>
      <c r="H1034" s="588">
        <v>130000</v>
      </c>
      <c r="I1034" s="571"/>
      <c r="J1034" s="589">
        <f t="shared" si="38"/>
        <v>130000</v>
      </c>
      <c r="K1034" s="505"/>
      <c r="L1034" s="505"/>
      <c r="M1034" s="505"/>
      <c r="N1034" s="505"/>
      <c r="O1034" s="505"/>
      <c r="P1034" s="505"/>
      <c r="Q1034" s="505"/>
      <c r="R1034" s="505"/>
      <c r="S1034" s="505"/>
      <c r="T1034" s="505"/>
      <c r="U1034" s="505"/>
      <c r="V1034" s="505"/>
      <c r="W1034" s="505"/>
      <c r="X1034" s="505"/>
      <c r="Y1034" s="505"/>
    </row>
    <row r="1035" spans="1:25" s="88" customFormat="1" x14ac:dyDescent="0.25">
      <c r="A1035" s="290"/>
      <c r="B1035" s="288"/>
      <c r="C1035" s="334"/>
      <c r="D1035" s="286"/>
      <c r="E1035" s="875">
        <v>54</v>
      </c>
      <c r="F1035" s="292">
        <v>482</v>
      </c>
      <c r="G1035" s="319" t="s">
        <v>4154</v>
      </c>
      <c r="H1035" s="588">
        <v>650000</v>
      </c>
      <c r="I1035" s="571"/>
      <c r="J1035" s="589">
        <f t="shared" si="38"/>
        <v>650000</v>
      </c>
      <c r="K1035" s="505"/>
      <c r="L1035" s="505"/>
      <c r="M1035" s="505"/>
      <c r="N1035" s="505"/>
      <c r="O1035" s="505"/>
      <c r="P1035" s="505"/>
      <c r="Q1035" s="505"/>
      <c r="R1035" s="505"/>
      <c r="S1035" s="505"/>
      <c r="T1035" s="505"/>
      <c r="U1035" s="505"/>
      <c r="V1035" s="505"/>
      <c r="W1035" s="505"/>
      <c r="X1035" s="505"/>
      <c r="Y1035" s="505"/>
    </row>
    <row r="1036" spans="1:25" s="88" customFormat="1" x14ac:dyDescent="0.25">
      <c r="A1036" s="481"/>
      <c r="B1036" s="288"/>
      <c r="C1036" s="334"/>
      <c r="D1036" s="286"/>
      <c r="E1036" s="875">
        <v>55</v>
      </c>
      <c r="F1036" s="499">
        <v>484</v>
      </c>
      <c r="G1036" s="492" t="s">
        <v>5233</v>
      </c>
      <c r="H1036" s="588">
        <v>500000</v>
      </c>
      <c r="I1036" s="571"/>
      <c r="J1036" s="589">
        <f t="shared" si="38"/>
        <v>500000</v>
      </c>
      <c r="K1036" s="505"/>
      <c r="L1036" s="505"/>
      <c r="M1036" s="505"/>
      <c r="N1036" s="505"/>
      <c r="O1036" s="505"/>
      <c r="P1036" s="505"/>
      <c r="Q1036" s="505"/>
      <c r="R1036" s="505"/>
      <c r="S1036" s="505"/>
      <c r="T1036" s="505"/>
      <c r="U1036" s="505"/>
      <c r="V1036" s="505"/>
      <c r="W1036" s="505"/>
      <c r="X1036" s="505"/>
      <c r="Y1036" s="505"/>
    </row>
    <row r="1037" spans="1:25" s="88" customFormat="1" ht="15" customHeight="1" x14ac:dyDescent="0.25">
      <c r="A1037" s="481"/>
      <c r="B1037" s="288"/>
      <c r="C1037" s="334"/>
      <c r="D1037" s="286"/>
      <c r="E1037" s="875">
        <v>56</v>
      </c>
      <c r="F1037" s="499">
        <v>485</v>
      </c>
      <c r="G1037" s="498" t="s">
        <v>4157</v>
      </c>
      <c r="H1037" s="588">
        <v>500000</v>
      </c>
      <c r="I1037" s="571"/>
      <c r="J1037" s="589">
        <f t="shared" si="38"/>
        <v>500000</v>
      </c>
      <c r="K1037" s="505"/>
      <c r="L1037" s="505"/>
      <c r="M1037" s="505"/>
      <c r="N1037" s="505"/>
      <c r="O1037" s="505"/>
      <c r="P1037" s="505"/>
      <c r="Q1037" s="505"/>
      <c r="R1037" s="505"/>
      <c r="S1037" s="505"/>
      <c r="T1037" s="505"/>
      <c r="U1037" s="505"/>
      <c r="V1037" s="505"/>
      <c r="W1037" s="505"/>
      <c r="X1037" s="505"/>
      <c r="Y1037" s="505"/>
    </row>
    <row r="1038" spans="1:25" s="88" customFormat="1" ht="35.25" customHeight="1" x14ac:dyDescent="0.25">
      <c r="A1038" s="290"/>
      <c r="B1038" s="288"/>
      <c r="C1038" s="334"/>
      <c r="D1038" s="286"/>
      <c r="E1038" s="875">
        <v>57</v>
      </c>
      <c r="F1038" s="292">
        <v>511</v>
      </c>
      <c r="G1038" s="496" t="s">
        <v>5234</v>
      </c>
      <c r="H1038" s="588">
        <v>400000</v>
      </c>
      <c r="I1038" s="571"/>
      <c r="J1038" s="589">
        <f t="shared" si="38"/>
        <v>400000</v>
      </c>
      <c r="K1038" s="505"/>
      <c r="L1038" s="505"/>
      <c r="M1038" s="505"/>
      <c r="N1038" s="505"/>
      <c r="O1038" s="505"/>
      <c r="P1038" s="505"/>
      <c r="Q1038" s="505"/>
      <c r="R1038" s="505"/>
      <c r="S1038" s="505"/>
      <c r="T1038" s="505"/>
      <c r="U1038" s="505"/>
      <c r="V1038" s="505"/>
      <c r="W1038" s="505"/>
      <c r="X1038" s="505"/>
      <c r="Y1038" s="505"/>
    </row>
    <row r="1039" spans="1:25" s="88" customFormat="1" ht="15.75" customHeight="1" x14ac:dyDescent="0.25">
      <c r="A1039" s="481"/>
      <c r="B1039" s="288"/>
      <c r="C1039" s="334"/>
      <c r="D1039" s="286"/>
      <c r="E1039" s="875">
        <v>58</v>
      </c>
      <c r="F1039" s="499">
        <v>512</v>
      </c>
      <c r="G1039" s="496" t="s">
        <v>5235</v>
      </c>
      <c r="H1039" s="588">
        <v>1000000</v>
      </c>
      <c r="I1039" s="571"/>
      <c r="J1039" s="589">
        <f t="shared" si="38"/>
        <v>1000000</v>
      </c>
      <c r="K1039" s="505"/>
      <c r="L1039" s="505"/>
      <c r="M1039" s="505"/>
      <c r="N1039" s="505"/>
      <c r="O1039" s="505"/>
      <c r="P1039" s="505"/>
      <c r="Q1039" s="505"/>
      <c r="R1039" s="505"/>
      <c r="S1039" s="505"/>
      <c r="T1039" s="505"/>
      <c r="U1039" s="505"/>
      <c r="V1039" s="505"/>
      <c r="W1039" s="505"/>
      <c r="X1039" s="505"/>
      <c r="Y1039" s="505"/>
    </row>
    <row r="1040" spans="1:25" s="88" customFormat="1" ht="15" customHeight="1" thickBot="1" x14ac:dyDescent="0.3">
      <c r="A1040" s="481"/>
      <c r="B1040" s="288"/>
      <c r="C1040" s="334"/>
      <c r="D1040" s="286"/>
      <c r="E1040" s="875">
        <v>59</v>
      </c>
      <c r="F1040" s="499">
        <v>513</v>
      </c>
      <c r="G1040" s="496" t="s">
        <v>3834</v>
      </c>
      <c r="H1040" s="588">
        <v>500000</v>
      </c>
      <c r="I1040" s="571"/>
      <c r="J1040" s="589">
        <f t="shared" si="38"/>
        <v>500000</v>
      </c>
      <c r="K1040" s="505"/>
      <c r="L1040" s="505"/>
      <c r="M1040" s="505"/>
      <c r="N1040" s="505"/>
      <c r="O1040" s="505"/>
      <c r="P1040" s="505"/>
      <c r="Q1040" s="505"/>
      <c r="R1040" s="505"/>
      <c r="S1040" s="505"/>
      <c r="T1040" s="505"/>
      <c r="U1040" s="505"/>
      <c r="V1040" s="505"/>
      <c r="W1040" s="505"/>
      <c r="X1040" s="505"/>
      <c r="Y1040" s="505"/>
    </row>
    <row r="1041" spans="1:25" s="88" customFormat="1" ht="15.75" hidden="1" thickBot="1" x14ac:dyDescent="0.3">
      <c r="A1041" s="481"/>
      <c r="B1041" s="288"/>
      <c r="C1041" s="334"/>
      <c r="D1041" s="286"/>
      <c r="E1041" s="876"/>
      <c r="F1041" s="499"/>
      <c r="G1041" s="496"/>
      <c r="H1041" s="588"/>
      <c r="I1041" s="571"/>
      <c r="J1041" s="589"/>
      <c r="K1041" s="505"/>
      <c r="L1041" s="505"/>
      <c r="M1041" s="505"/>
      <c r="N1041" s="505"/>
      <c r="O1041" s="505"/>
      <c r="P1041" s="505"/>
      <c r="Q1041" s="505"/>
      <c r="R1041" s="505"/>
      <c r="S1041" s="505"/>
      <c r="T1041" s="505"/>
      <c r="U1041" s="505"/>
      <c r="V1041" s="505"/>
      <c r="W1041" s="505"/>
      <c r="X1041" s="505"/>
      <c r="Y1041" s="505"/>
    </row>
    <row r="1042" spans="1:25" ht="17.25" customHeight="1" x14ac:dyDescent="0.25">
      <c r="E1042" s="489"/>
      <c r="F1042" s="324"/>
      <c r="G1042" s="753" t="s">
        <v>4315</v>
      </c>
      <c r="H1042" s="557"/>
      <c r="I1042" s="583"/>
      <c r="J1042" s="558"/>
    </row>
    <row r="1043" spans="1:25" x14ac:dyDescent="0.25">
      <c r="E1043" s="693"/>
      <c r="F1043" s="284" t="s">
        <v>234</v>
      </c>
      <c r="G1043" s="287" t="s">
        <v>235</v>
      </c>
      <c r="H1043" s="559">
        <f>SUM(H1019:H1040)</f>
        <v>72775000</v>
      </c>
      <c r="I1043" s="560"/>
      <c r="J1043" s="560">
        <f t="shared" ref="J1043:J1058" si="39">SUM(H1043:I1043)</f>
        <v>72775000</v>
      </c>
    </row>
    <row r="1044" spans="1:25" hidden="1" x14ac:dyDescent="0.25">
      <c r="F1044" s="284" t="s">
        <v>236</v>
      </c>
      <c r="G1044" s="287" t="s">
        <v>237</v>
      </c>
      <c r="J1044" s="560">
        <f t="shared" si="39"/>
        <v>0</v>
      </c>
    </row>
    <row r="1045" spans="1:25" hidden="1" x14ac:dyDescent="0.25">
      <c r="F1045" s="284" t="s">
        <v>238</v>
      </c>
      <c r="G1045" s="287" t="s">
        <v>239</v>
      </c>
      <c r="J1045" s="560">
        <f t="shared" si="39"/>
        <v>0</v>
      </c>
    </row>
    <row r="1046" spans="1:25" hidden="1" x14ac:dyDescent="0.25">
      <c r="F1046" s="284" t="s">
        <v>240</v>
      </c>
      <c r="G1046" s="287" t="s">
        <v>241</v>
      </c>
      <c r="J1046" s="560">
        <f t="shared" si="39"/>
        <v>0</v>
      </c>
    </row>
    <row r="1047" spans="1:25" hidden="1" x14ac:dyDescent="0.25">
      <c r="F1047" s="284" t="s">
        <v>242</v>
      </c>
      <c r="G1047" s="287" t="s">
        <v>243</v>
      </c>
      <c r="J1047" s="560">
        <f t="shared" si="39"/>
        <v>0</v>
      </c>
    </row>
    <row r="1048" spans="1:25" hidden="1" x14ac:dyDescent="0.25">
      <c r="F1048" s="284" t="s">
        <v>244</v>
      </c>
      <c r="G1048" s="287" t="s">
        <v>245</v>
      </c>
      <c r="J1048" s="560">
        <f t="shared" si="39"/>
        <v>0</v>
      </c>
    </row>
    <row r="1049" spans="1:25" ht="15.75" thickBot="1" x14ac:dyDescent="0.3">
      <c r="F1049" s="284" t="s">
        <v>246</v>
      </c>
      <c r="G1049" s="598" t="s">
        <v>4996</v>
      </c>
      <c r="I1049" s="556">
        <v>1126000</v>
      </c>
      <c r="J1049" s="560">
        <f t="shared" si="39"/>
        <v>1126000</v>
      </c>
    </row>
    <row r="1050" spans="1:25" hidden="1" x14ac:dyDescent="0.25">
      <c r="F1050" s="284" t="s">
        <v>247</v>
      </c>
      <c r="G1050" s="598" t="s">
        <v>4995</v>
      </c>
      <c r="J1050" s="560">
        <f t="shared" si="39"/>
        <v>0</v>
      </c>
    </row>
    <row r="1051" spans="1:25" hidden="1" x14ac:dyDescent="0.25">
      <c r="F1051" s="284" t="s">
        <v>248</v>
      </c>
      <c r="G1051" s="287" t="s">
        <v>57</v>
      </c>
      <c r="J1051" s="560">
        <f t="shared" si="39"/>
        <v>0</v>
      </c>
    </row>
    <row r="1052" spans="1:25" hidden="1" x14ac:dyDescent="0.25">
      <c r="F1052" s="284" t="s">
        <v>249</v>
      </c>
      <c r="G1052" s="287" t="s">
        <v>250</v>
      </c>
      <c r="J1052" s="560">
        <f t="shared" si="39"/>
        <v>0</v>
      </c>
    </row>
    <row r="1053" spans="1:25" hidden="1" x14ac:dyDescent="0.25">
      <c r="F1053" s="284" t="s">
        <v>251</v>
      </c>
      <c r="G1053" s="287" t="s">
        <v>252</v>
      </c>
      <c r="J1053" s="560">
        <f t="shared" si="39"/>
        <v>0</v>
      </c>
    </row>
    <row r="1054" spans="1:25" ht="30" hidden="1" x14ac:dyDescent="0.25">
      <c r="F1054" s="284" t="s">
        <v>253</v>
      </c>
      <c r="G1054" s="287" t="s">
        <v>254</v>
      </c>
      <c r="J1054" s="560">
        <f t="shared" si="39"/>
        <v>0</v>
      </c>
    </row>
    <row r="1055" spans="1:25" hidden="1" x14ac:dyDescent="0.25">
      <c r="F1055" s="284" t="s">
        <v>255</v>
      </c>
      <c r="G1055" s="287" t="s">
        <v>256</v>
      </c>
      <c r="J1055" s="560">
        <f t="shared" si="39"/>
        <v>0</v>
      </c>
    </row>
    <row r="1056" spans="1:25" ht="30" hidden="1" x14ac:dyDescent="0.25">
      <c r="F1056" s="284" t="s">
        <v>257</v>
      </c>
      <c r="G1056" s="287" t="s">
        <v>258</v>
      </c>
      <c r="J1056" s="560">
        <f t="shared" si="39"/>
        <v>0</v>
      </c>
    </row>
    <row r="1057" spans="5:10" hidden="1" x14ac:dyDescent="0.25">
      <c r="F1057" s="284" t="s">
        <v>259</v>
      </c>
      <c r="G1057" s="287" t="s">
        <v>260</v>
      </c>
      <c r="J1057" s="560">
        <f t="shared" si="39"/>
        <v>0</v>
      </c>
    </row>
    <row r="1058" spans="5:10" ht="15.75" hidden="1" thickBot="1" x14ac:dyDescent="0.3">
      <c r="F1058" s="284" t="s">
        <v>261</v>
      </c>
      <c r="G1058" s="287" t="s">
        <v>262</v>
      </c>
      <c r="H1058" s="559"/>
      <c r="I1058" s="560"/>
      <c r="J1058" s="560">
        <f t="shared" si="39"/>
        <v>0</v>
      </c>
    </row>
    <row r="1059" spans="5:10" ht="13.5" customHeight="1" thickBot="1" x14ac:dyDescent="0.3">
      <c r="G1059" s="728" t="s">
        <v>4240</v>
      </c>
      <c r="H1059" s="561">
        <f>SUM(H1043:H1058)</f>
        <v>72775000</v>
      </c>
      <c r="I1059" s="562">
        <f>SUM(I1044:I1058)</f>
        <v>1126000</v>
      </c>
      <c r="J1059" s="562">
        <f>SUM(J1043:J1058)</f>
        <v>73901000</v>
      </c>
    </row>
    <row r="1060" spans="5:10" ht="28.5" collapsed="1" x14ac:dyDescent="0.25">
      <c r="E1060" s="489"/>
      <c r="F1060" s="324"/>
      <c r="G1060" s="270" t="s">
        <v>4233</v>
      </c>
      <c r="H1060" s="563"/>
      <c r="I1060" s="584"/>
      <c r="J1060" s="564"/>
    </row>
    <row r="1061" spans="5:10" ht="13.5" customHeight="1" x14ac:dyDescent="0.25">
      <c r="E1061" s="693"/>
      <c r="F1061" s="284" t="s">
        <v>234</v>
      </c>
      <c r="G1061" s="729" t="s">
        <v>235</v>
      </c>
      <c r="H1061" s="559">
        <f>SUM(H1043)</f>
        <v>72775000</v>
      </c>
      <c r="I1061" s="560"/>
      <c r="J1061" s="560">
        <f>SUM(H1061:I1061)</f>
        <v>72775000</v>
      </c>
    </row>
    <row r="1062" spans="5:10" hidden="1" x14ac:dyDescent="0.25">
      <c r="F1062" s="284" t="s">
        <v>236</v>
      </c>
      <c r="G1062" s="287" t="s">
        <v>237</v>
      </c>
      <c r="J1062" s="560">
        <f t="shared" ref="J1062:J1076" si="40">SUM(H1062:I1062)</f>
        <v>0</v>
      </c>
    </row>
    <row r="1063" spans="5:10" hidden="1" x14ac:dyDescent="0.25">
      <c r="F1063" s="284" t="s">
        <v>238</v>
      </c>
      <c r="G1063" s="287" t="s">
        <v>239</v>
      </c>
      <c r="J1063" s="560">
        <f t="shared" si="40"/>
        <v>0</v>
      </c>
    </row>
    <row r="1064" spans="5:10" hidden="1" x14ac:dyDescent="0.25">
      <c r="F1064" s="284" t="s">
        <v>240</v>
      </c>
      <c r="G1064" s="287" t="s">
        <v>241</v>
      </c>
      <c r="J1064" s="560">
        <f t="shared" si="40"/>
        <v>0</v>
      </c>
    </row>
    <row r="1065" spans="5:10" hidden="1" x14ac:dyDescent="0.25">
      <c r="F1065" s="284" t="s">
        <v>242</v>
      </c>
      <c r="G1065" s="287" t="s">
        <v>243</v>
      </c>
      <c r="J1065" s="560">
        <f t="shared" si="40"/>
        <v>0</v>
      </c>
    </row>
    <row r="1066" spans="5:10" hidden="1" x14ac:dyDescent="0.25">
      <c r="F1066" s="284" t="s">
        <v>244</v>
      </c>
      <c r="G1066" s="287" t="s">
        <v>245</v>
      </c>
      <c r="J1066" s="560">
        <f t="shared" si="40"/>
        <v>0</v>
      </c>
    </row>
    <row r="1067" spans="5:10" ht="15.75" thickBot="1" x14ac:dyDescent="0.3">
      <c r="F1067" s="284" t="s">
        <v>246</v>
      </c>
      <c r="G1067" s="598" t="s">
        <v>4996</v>
      </c>
      <c r="I1067" s="556">
        <v>1126000</v>
      </c>
      <c r="J1067" s="560">
        <f t="shared" si="40"/>
        <v>1126000</v>
      </c>
    </row>
    <row r="1068" spans="5:10" hidden="1" x14ac:dyDescent="0.25">
      <c r="F1068" s="284" t="s">
        <v>247</v>
      </c>
      <c r="G1068" s="598" t="s">
        <v>4995</v>
      </c>
      <c r="J1068" s="560">
        <f t="shared" si="40"/>
        <v>0</v>
      </c>
    </row>
    <row r="1069" spans="5:10" hidden="1" x14ac:dyDescent="0.25">
      <c r="F1069" s="284" t="s">
        <v>248</v>
      </c>
      <c r="G1069" s="287" t="s">
        <v>57</v>
      </c>
      <c r="J1069" s="560">
        <f t="shared" si="40"/>
        <v>0</v>
      </c>
    </row>
    <row r="1070" spans="5:10" hidden="1" x14ac:dyDescent="0.25">
      <c r="F1070" s="284" t="s">
        <v>249</v>
      </c>
      <c r="G1070" s="287" t="s">
        <v>250</v>
      </c>
      <c r="J1070" s="560">
        <f t="shared" si="40"/>
        <v>0</v>
      </c>
    </row>
    <row r="1071" spans="5:10" hidden="1" x14ac:dyDescent="0.25">
      <c r="F1071" s="284" t="s">
        <v>251</v>
      </c>
      <c r="G1071" s="287" t="s">
        <v>252</v>
      </c>
      <c r="J1071" s="560">
        <f t="shared" si="40"/>
        <v>0</v>
      </c>
    </row>
    <row r="1072" spans="5:10" ht="30" hidden="1" x14ac:dyDescent="0.25">
      <c r="F1072" s="284" t="s">
        <v>253</v>
      </c>
      <c r="G1072" s="287" t="s">
        <v>254</v>
      </c>
      <c r="J1072" s="560">
        <f t="shared" si="40"/>
        <v>0</v>
      </c>
    </row>
    <row r="1073" spans="3:10" hidden="1" x14ac:dyDescent="0.25">
      <c r="F1073" s="284" t="s">
        <v>255</v>
      </c>
      <c r="G1073" s="287" t="s">
        <v>256</v>
      </c>
      <c r="J1073" s="560">
        <f t="shared" si="40"/>
        <v>0</v>
      </c>
    </row>
    <row r="1074" spans="3:10" ht="30" hidden="1" x14ac:dyDescent="0.25">
      <c r="F1074" s="284" t="s">
        <v>257</v>
      </c>
      <c r="G1074" s="287" t="s">
        <v>258</v>
      </c>
      <c r="J1074" s="560">
        <f t="shared" si="40"/>
        <v>0</v>
      </c>
    </row>
    <row r="1075" spans="3:10" hidden="1" x14ac:dyDescent="0.25">
      <c r="F1075" s="284" t="s">
        <v>259</v>
      </c>
      <c r="G1075" s="287" t="s">
        <v>260</v>
      </c>
      <c r="J1075" s="560">
        <f t="shared" si="40"/>
        <v>0</v>
      </c>
    </row>
    <row r="1076" spans="3:10" ht="15.75" hidden="1" thickBot="1" x14ac:dyDescent="0.3">
      <c r="F1076" s="284" t="s">
        <v>261</v>
      </c>
      <c r="G1076" s="287" t="s">
        <v>262</v>
      </c>
      <c r="H1076" s="559"/>
      <c r="I1076" s="560"/>
      <c r="J1076" s="560">
        <f t="shared" si="40"/>
        <v>0</v>
      </c>
    </row>
    <row r="1077" spans="3:10" ht="15" customHeight="1" collapsed="1" thickBot="1" x14ac:dyDescent="0.3">
      <c r="G1077" s="268" t="s">
        <v>4232</v>
      </c>
      <c r="H1077" s="561">
        <f>SUM(H1061:H1076)</f>
        <v>72775000</v>
      </c>
      <c r="I1077" s="562">
        <f>SUM(I1062:I1076)</f>
        <v>1126000</v>
      </c>
      <c r="J1077" s="562">
        <f>SUM(J1061:J1076)</f>
        <v>73901000</v>
      </c>
    </row>
    <row r="1078" spans="3:10" ht="0.75" hidden="1" customHeight="1" x14ac:dyDescent="0.25">
      <c r="G1078" s="312"/>
      <c r="H1078" s="565"/>
      <c r="I1078" s="566"/>
      <c r="J1078" s="566"/>
    </row>
    <row r="1079" spans="3:10" ht="0.75" customHeight="1" x14ac:dyDescent="0.25">
      <c r="G1079" s="312"/>
      <c r="H1079" s="565"/>
      <c r="I1079" s="566"/>
      <c r="J1079" s="566"/>
    </row>
    <row r="1080" spans="3:10" ht="12" customHeight="1" x14ac:dyDescent="0.25">
      <c r="C1080" s="267" t="s">
        <v>4843</v>
      </c>
      <c r="D1080" s="259"/>
      <c r="G1080" s="483" t="s">
        <v>5250</v>
      </c>
    </row>
    <row r="1081" spans="3:10" ht="13.5" customHeight="1" x14ac:dyDescent="0.25">
      <c r="C1081" s="267"/>
      <c r="D1081" s="344">
        <v>660</v>
      </c>
      <c r="E1081" s="871"/>
      <c r="F1081" s="345"/>
      <c r="G1081" s="332" t="s">
        <v>186</v>
      </c>
    </row>
    <row r="1082" spans="3:10" ht="13.5" hidden="1" customHeight="1" x14ac:dyDescent="0.25">
      <c r="F1082" s="499">
        <v>411</v>
      </c>
      <c r="G1082" s="492" t="s">
        <v>4131</v>
      </c>
      <c r="J1082" s="556">
        <f>SUM(H1082:I1082)</f>
        <v>0</v>
      </c>
    </row>
    <row r="1083" spans="3:10" ht="13.5" hidden="1" customHeight="1" x14ac:dyDescent="0.25">
      <c r="F1083" s="499">
        <v>412</v>
      </c>
      <c r="G1083" s="488" t="s">
        <v>3766</v>
      </c>
      <c r="J1083" s="556">
        <f t="shared" ref="J1083:J1141" si="41">SUM(H1083:I1083)</f>
        <v>0</v>
      </c>
    </row>
    <row r="1084" spans="3:10" ht="13.5" hidden="1" customHeight="1" x14ac:dyDescent="0.25">
      <c r="F1084" s="499">
        <v>413</v>
      </c>
      <c r="G1084" s="492" t="s">
        <v>4132</v>
      </c>
      <c r="J1084" s="556">
        <f t="shared" si="41"/>
        <v>0</v>
      </c>
    </row>
    <row r="1085" spans="3:10" ht="13.5" hidden="1" customHeight="1" x14ac:dyDescent="0.25">
      <c r="F1085" s="499">
        <v>414</v>
      </c>
      <c r="G1085" s="492" t="s">
        <v>3769</v>
      </c>
      <c r="J1085" s="556">
        <f t="shared" si="41"/>
        <v>0</v>
      </c>
    </row>
    <row r="1086" spans="3:10" ht="13.5" hidden="1" customHeight="1" x14ac:dyDescent="0.25">
      <c r="F1086" s="499">
        <v>415</v>
      </c>
      <c r="G1086" s="492" t="s">
        <v>4141</v>
      </c>
      <c r="J1086" s="556">
        <f t="shared" si="41"/>
        <v>0</v>
      </c>
    </row>
    <row r="1087" spans="3:10" ht="13.5" hidden="1" customHeight="1" x14ac:dyDescent="0.25">
      <c r="F1087" s="499">
        <v>416</v>
      </c>
      <c r="G1087" s="492" t="s">
        <v>4142</v>
      </c>
      <c r="J1087" s="556">
        <f t="shared" si="41"/>
        <v>0</v>
      </c>
    </row>
    <row r="1088" spans="3:10" ht="13.5" hidden="1" customHeight="1" x14ac:dyDescent="0.25">
      <c r="F1088" s="499">
        <v>417</v>
      </c>
      <c r="G1088" s="492" t="s">
        <v>4143</v>
      </c>
      <c r="J1088" s="556">
        <f t="shared" si="41"/>
        <v>0</v>
      </c>
    </row>
    <row r="1089" spans="6:10" ht="13.5" hidden="1" customHeight="1" x14ac:dyDescent="0.25">
      <c r="F1089" s="499">
        <v>418</v>
      </c>
      <c r="G1089" s="492" t="s">
        <v>3775</v>
      </c>
      <c r="J1089" s="556">
        <f t="shared" si="41"/>
        <v>0</v>
      </c>
    </row>
    <row r="1090" spans="6:10" ht="13.5" hidden="1" customHeight="1" x14ac:dyDescent="0.25">
      <c r="F1090" s="499">
        <v>421</v>
      </c>
      <c r="G1090" s="492" t="s">
        <v>3779</v>
      </c>
      <c r="J1090" s="556">
        <f t="shared" si="41"/>
        <v>0</v>
      </c>
    </row>
    <row r="1091" spans="6:10" ht="13.5" hidden="1" customHeight="1" x14ac:dyDescent="0.25">
      <c r="F1091" s="499">
        <v>422</v>
      </c>
      <c r="G1091" s="492" t="s">
        <v>3780</v>
      </c>
      <c r="J1091" s="556">
        <f t="shared" si="41"/>
        <v>0</v>
      </c>
    </row>
    <row r="1092" spans="6:10" ht="13.5" hidden="1" customHeight="1" x14ac:dyDescent="0.25">
      <c r="F1092" s="499">
        <v>423</v>
      </c>
      <c r="G1092" s="492" t="s">
        <v>3781</v>
      </c>
      <c r="J1092" s="556">
        <f t="shared" si="41"/>
        <v>0</v>
      </c>
    </row>
    <row r="1093" spans="6:10" ht="13.5" hidden="1" customHeight="1" x14ac:dyDescent="0.25">
      <c r="F1093" s="499">
        <v>424</v>
      </c>
      <c r="G1093" s="492" t="s">
        <v>3783</v>
      </c>
      <c r="J1093" s="556">
        <f t="shared" si="41"/>
        <v>0</v>
      </c>
    </row>
    <row r="1094" spans="6:10" ht="13.5" hidden="1" customHeight="1" x14ac:dyDescent="0.25">
      <c r="F1094" s="499">
        <v>425</v>
      </c>
      <c r="G1094" s="492" t="s">
        <v>4144</v>
      </c>
      <c r="J1094" s="556">
        <f t="shared" si="41"/>
        <v>0</v>
      </c>
    </row>
    <row r="1095" spans="6:10" ht="13.5" hidden="1" customHeight="1" x14ac:dyDescent="0.25">
      <c r="F1095" s="499">
        <v>426</v>
      </c>
      <c r="G1095" s="492" t="s">
        <v>3787</v>
      </c>
      <c r="J1095" s="556">
        <f t="shared" si="41"/>
        <v>0</v>
      </c>
    </row>
    <row r="1096" spans="6:10" ht="13.5" hidden="1" customHeight="1" x14ac:dyDescent="0.25">
      <c r="F1096" s="499">
        <v>431</v>
      </c>
      <c r="G1096" s="492" t="s">
        <v>4145</v>
      </c>
      <c r="J1096" s="556">
        <f t="shared" si="41"/>
        <v>0</v>
      </c>
    </row>
    <row r="1097" spans="6:10" ht="13.5" hidden="1" customHeight="1" x14ac:dyDescent="0.25">
      <c r="F1097" s="499">
        <v>432</v>
      </c>
      <c r="G1097" s="492" t="s">
        <v>4146</v>
      </c>
      <c r="J1097" s="556">
        <f t="shared" si="41"/>
        <v>0</v>
      </c>
    </row>
    <row r="1098" spans="6:10" ht="13.5" hidden="1" customHeight="1" x14ac:dyDescent="0.25">
      <c r="F1098" s="499">
        <v>433</v>
      </c>
      <c r="G1098" s="492" t="s">
        <v>4147</v>
      </c>
      <c r="J1098" s="556">
        <f t="shared" si="41"/>
        <v>0</v>
      </c>
    </row>
    <row r="1099" spans="6:10" ht="13.5" hidden="1" customHeight="1" x14ac:dyDescent="0.25">
      <c r="F1099" s="499">
        <v>434</v>
      </c>
      <c r="G1099" s="492" t="s">
        <v>4148</v>
      </c>
      <c r="J1099" s="556">
        <f t="shared" si="41"/>
        <v>0</v>
      </c>
    </row>
    <row r="1100" spans="6:10" ht="13.5" hidden="1" customHeight="1" x14ac:dyDescent="0.25">
      <c r="F1100" s="499">
        <v>435</v>
      </c>
      <c r="G1100" s="492" t="s">
        <v>3794</v>
      </c>
      <c r="J1100" s="556">
        <f t="shared" si="41"/>
        <v>0</v>
      </c>
    </row>
    <row r="1101" spans="6:10" ht="13.5" hidden="1" customHeight="1" x14ac:dyDescent="0.25">
      <c r="F1101" s="499">
        <v>441</v>
      </c>
      <c r="G1101" s="492" t="s">
        <v>4149</v>
      </c>
      <c r="J1101" s="556">
        <f t="shared" si="41"/>
        <v>0</v>
      </c>
    </row>
    <row r="1102" spans="6:10" ht="13.5" hidden="1" customHeight="1" x14ac:dyDescent="0.25">
      <c r="F1102" s="499">
        <v>442</v>
      </c>
      <c r="G1102" s="492" t="s">
        <v>4150</v>
      </c>
      <c r="J1102" s="556">
        <f t="shared" si="41"/>
        <v>0</v>
      </c>
    </row>
    <row r="1103" spans="6:10" ht="13.5" hidden="1" customHeight="1" x14ac:dyDescent="0.25">
      <c r="F1103" s="499">
        <v>443</v>
      </c>
      <c r="G1103" s="492" t="s">
        <v>3799</v>
      </c>
      <c r="J1103" s="556">
        <f t="shared" si="41"/>
        <v>0</v>
      </c>
    </row>
    <row r="1104" spans="6:10" ht="13.5" hidden="1" customHeight="1" x14ac:dyDescent="0.25">
      <c r="F1104" s="499">
        <v>444</v>
      </c>
      <c r="G1104" s="492" t="s">
        <v>3800</v>
      </c>
      <c r="J1104" s="556">
        <f t="shared" si="41"/>
        <v>0</v>
      </c>
    </row>
    <row r="1105" spans="6:10" ht="13.5" hidden="1" customHeight="1" x14ac:dyDescent="0.25">
      <c r="F1105" s="499">
        <v>4511</v>
      </c>
      <c r="G1105" s="756" t="s">
        <v>1690</v>
      </c>
      <c r="J1105" s="556">
        <f t="shared" si="41"/>
        <v>0</v>
      </c>
    </row>
    <row r="1106" spans="6:10" ht="13.5" hidden="1" customHeight="1" x14ac:dyDescent="0.25">
      <c r="F1106" s="499">
        <v>4512</v>
      </c>
      <c r="G1106" s="756" t="s">
        <v>1699</v>
      </c>
      <c r="J1106" s="556">
        <f t="shared" si="41"/>
        <v>0</v>
      </c>
    </row>
    <row r="1107" spans="6:10" ht="13.5" hidden="1" customHeight="1" x14ac:dyDescent="0.25">
      <c r="F1107" s="499">
        <v>452</v>
      </c>
      <c r="G1107" s="492" t="s">
        <v>4151</v>
      </c>
      <c r="J1107" s="556">
        <f t="shared" si="41"/>
        <v>0</v>
      </c>
    </row>
    <row r="1108" spans="6:10" ht="13.5" hidden="1" customHeight="1" x14ac:dyDescent="0.25">
      <c r="F1108" s="499">
        <v>453</v>
      </c>
      <c r="G1108" s="492" t="s">
        <v>4152</v>
      </c>
      <c r="J1108" s="556">
        <f t="shared" si="41"/>
        <v>0</v>
      </c>
    </row>
    <row r="1109" spans="6:10" ht="13.5" hidden="1" customHeight="1" x14ac:dyDescent="0.25">
      <c r="F1109" s="499">
        <v>454</v>
      </c>
      <c r="G1109" s="492" t="s">
        <v>3805</v>
      </c>
      <c r="J1109" s="556">
        <f t="shared" si="41"/>
        <v>0</v>
      </c>
    </row>
    <row r="1110" spans="6:10" ht="13.5" hidden="1" customHeight="1" x14ac:dyDescent="0.25">
      <c r="F1110" s="499">
        <v>461</v>
      </c>
      <c r="G1110" s="492" t="s">
        <v>4133</v>
      </c>
      <c r="J1110" s="556">
        <f t="shared" si="41"/>
        <v>0</v>
      </c>
    </row>
    <row r="1111" spans="6:10" ht="13.5" hidden="1" customHeight="1" x14ac:dyDescent="0.25">
      <c r="F1111" s="499">
        <v>462</v>
      </c>
      <c r="G1111" s="492" t="s">
        <v>3808</v>
      </c>
      <c r="J1111" s="556">
        <f t="shared" si="41"/>
        <v>0</v>
      </c>
    </row>
    <row r="1112" spans="6:10" ht="13.5" hidden="1" customHeight="1" x14ac:dyDescent="0.25">
      <c r="F1112" s="499">
        <v>511</v>
      </c>
      <c r="G1112" s="492" t="s">
        <v>4158</v>
      </c>
      <c r="J1112" s="556">
        <f t="shared" si="41"/>
        <v>0</v>
      </c>
    </row>
    <row r="1113" spans="6:10" ht="13.5" hidden="1" customHeight="1" x14ac:dyDescent="0.25">
      <c r="F1113" s="499">
        <v>4632</v>
      </c>
      <c r="G1113" s="492" t="s">
        <v>3810</v>
      </c>
      <c r="J1113" s="556">
        <f t="shared" si="41"/>
        <v>0</v>
      </c>
    </row>
    <row r="1114" spans="6:10" ht="13.5" hidden="1" customHeight="1" x14ac:dyDescent="0.25">
      <c r="F1114" s="499">
        <v>464</v>
      </c>
      <c r="G1114" s="492" t="s">
        <v>3811</v>
      </c>
      <c r="J1114" s="556">
        <f t="shared" si="41"/>
        <v>0</v>
      </c>
    </row>
    <row r="1115" spans="6:10" ht="13.5" hidden="1" customHeight="1" x14ac:dyDescent="0.25">
      <c r="F1115" s="499">
        <v>465</v>
      </c>
      <c r="G1115" s="492" t="s">
        <v>4134</v>
      </c>
      <c r="J1115" s="556">
        <f t="shared" si="41"/>
        <v>0</v>
      </c>
    </row>
    <row r="1116" spans="6:10" ht="13.5" hidden="1" customHeight="1" x14ac:dyDescent="0.25">
      <c r="F1116" s="499">
        <v>472</v>
      </c>
      <c r="G1116" s="492" t="s">
        <v>3815</v>
      </c>
      <c r="J1116" s="556">
        <f t="shared" si="41"/>
        <v>0</v>
      </c>
    </row>
    <row r="1117" spans="6:10" ht="13.5" hidden="1" customHeight="1" x14ac:dyDescent="0.25">
      <c r="F1117" s="499">
        <v>481</v>
      </c>
      <c r="G1117" s="492" t="s">
        <v>4153</v>
      </c>
      <c r="J1117" s="556">
        <f t="shared" si="41"/>
        <v>0</v>
      </c>
    </row>
    <row r="1118" spans="6:10" ht="13.5" hidden="1" customHeight="1" x14ac:dyDescent="0.25">
      <c r="F1118" s="499">
        <v>482</v>
      </c>
      <c r="G1118" s="492" t="s">
        <v>4154</v>
      </c>
      <c r="J1118" s="556">
        <f t="shared" si="41"/>
        <v>0</v>
      </c>
    </row>
    <row r="1119" spans="6:10" ht="13.5" hidden="1" customHeight="1" x14ac:dyDescent="0.25">
      <c r="F1119" s="499">
        <v>483</v>
      </c>
      <c r="G1119" s="496" t="s">
        <v>4155</v>
      </c>
      <c r="J1119" s="556">
        <f t="shared" si="41"/>
        <v>0</v>
      </c>
    </row>
    <row r="1120" spans="6:10" ht="13.5" hidden="1" customHeight="1" x14ac:dyDescent="0.25">
      <c r="F1120" s="499">
        <v>484</v>
      </c>
      <c r="G1120" s="492" t="s">
        <v>4156</v>
      </c>
      <c r="J1120" s="556">
        <f t="shared" si="41"/>
        <v>0</v>
      </c>
    </row>
    <row r="1121" spans="5:10" ht="13.5" hidden="1" customHeight="1" x14ac:dyDescent="0.25">
      <c r="F1121" s="499">
        <v>485</v>
      </c>
      <c r="G1121" s="492" t="s">
        <v>4157</v>
      </c>
      <c r="J1121" s="556">
        <f t="shared" si="41"/>
        <v>0</v>
      </c>
    </row>
    <row r="1122" spans="5:10" ht="13.5" hidden="1" customHeight="1" x14ac:dyDescent="0.25">
      <c r="F1122" s="499">
        <v>489</v>
      </c>
      <c r="G1122" s="492" t="s">
        <v>3823</v>
      </c>
      <c r="J1122" s="556">
        <f t="shared" si="41"/>
        <v>0</v>
      </c>
    </row>
    <row r="1123" spans="5:10" ht="13.5" hidden="1" customHeight="1" x14ac:dyDescent="0.25">
      <c r="F1123" s="499">
        <v>494</v>
      </c>
      <c r="G1123" s="492" t="s">
        <v>4135</v>
      </c>
      <c r="J1123" s="556">
        <f t="shared" si="41"/>
        <v>0</v>
      </c>
    </row>
    <row r="1124" spans="5:10" ht="13.5" hidden="1" customHeight="1" x14ac:dyDescent="0.25">
      <c r="F1124" s="499">
        <v>495</v>
      </c>
      <c r="G1124" s="492" t="s">
        <v>4136</v>
      </c>
      <c r="J1124" s="556">
        <f t="shared" si="41"/>
        <v>0</v>
      </c>
    </row>
    <row r="1125" spans="5:10" ht="13.5" hidden="1" customHeight="1" x14ac:dyDescent="0.25">
      <c r="F1125" s="499">
        <v>496</v>
      </c>
      <c r="G1125" s="492" t="s">
        <v>4137</v>
      </c>
      <c r="J1125" s="556">
        <f t="shared" si="41"/>
        <v>0</v>
      </c>
    </row>
    <row r="1126" spans="5:10" ht="13.5" hidden="1" customHeight="1" x14ac:dyDescent="0.25">
      <c r="F1126" s="499">
        <v>499</v>
      </c>
      <c r="G1126" s="492" t="s">
        <v>4138</v>
      </c>
      <c r="J1126" s="556">
        <f t="shared" si="41"/>
        <v>0</v>
      </c>
    </row>
    <row r="1127" spans="5:10" ht="61.5" customHeight="1" thickBot="1" x14ac:dyDescent="0.3">
      <c r="E1127" s="679" t="s">
        <v>5418</v>
      </c>
      <c r="F1127" s="499">
        <v>511</v>
      </c>
      <c r="G1127" s="686" t="s">
        <v>5432</v>
      </c>
      <c r="H1127" s="555">
        <v>1806840</v>
      </c>
      <c r="J1127" s="556">
        <f t="shared" si="41"/>
        <v>1806840</v>
      </c>
    </row>
    <row r="1128" spans="5:10" ht="13.5" hidden="1" customHeight="1" x14ac:dyDescent="0.25">
      <c r="F1128" s="499">
        <v>512</v>
      </c>
      <c r="G1128" s="496" t="s">
        <v>4159</v>
      </c>
      <c r="J1128" s="556">
        <f t="shared" si="41"/>
        <v>0</v>
      </c>
    </row>
    <row r="1129" spans="5:10" ht="13.5" hidden="1" customHeight="1" x14ac:dyDescent="0.25">
      <c r="F1129" s="499">
        <v>513</v>
      </c>
      <c r="G1129" s="496" t="s">
        <v>4160</v>
      </c>
      <c r="J1129" s="556">
        <f t="shared" si="41"/>
        <v>0</v>
      </c>
    </row>
    <row r="1130" spans="5:10" ht="13.5" hidden="1" customHeight="1" x14ac:dyDescent="0.25">
      <c r="F1130" s="499">
        <v>514</v>
      </c>
      <c r="G1130" s="492" t="s">
        <v>4161</v>
      </c>
      <c r="J1130" s="556">
        <f t="shared" si="41"/>
        <v>0</v>
      </c>
    </row>
    <row r="1131" spans="5:10" ht="13.5" hidden="1" customHeight="1" x14ac:dyDescent="0.25">
      <c r="F1131" s="499">
        <v>515</v>
      </c>
      <c r="G1131" s="492" t="s">
        <v>3834</v>
      </c>
      <c r="J1131" s="556">
        <f t="shared" si="41"/>
        <v>0</v>
      </c>
    </row>
    <row r="1132" spans="5:10" ht="13.5" hidden="1" customHeight="1" x14ac:dyDescent="0.25">
      <c r="F1132" s="499">
        <v>521</v>
      </c>
      <c r="G1132" s="492" t="s">
        <v>4162</v>
      </c>
      <c r="J1132" s="556">
        <f t="shared" si="41"/>
        <v>0</v>
      </c>
    </row>
    <row r="1133" spans="5:10" ht="13.5" hidden="1" customHeight="1" x14ac:dyDescent="0.25">
      <c r="F1133" s="499">
        <v>522</v>
      </c>
      <c r="G1133" s="492" t="s">
        <v>4163</v>
      </c>
      <c r="J1133" s="556">
        <f t="shared" si="41"/>
        <v>0</v>
      </c>
    </row>
    <row r="1134" spans="5:10" ht="13.5" hidden="1" customHeight="1" x14ac:dyDescent="0.25">
      <c r="F1134" s="499">
        <v>523</v>
      </c>
      <c r="G1134" s="492" t="s">
        <v>3839</v>
      </c>
      <c r="J1134" s="556">
        <f t="shared" si="41"/>
        <v>0</v>
      </c>
    </row>
    <row r="1135" spans="5:10" ht="13.5" hidden="1" customHeight="1" x14ac:dyDescent="0.25">
      <c r="F1135" s="499">
        <v>531</v>
      </c>
      <c r="G1135" s="488" t="s">
        <v>4139</v>
      </c>
      <c r="J1135" s="556">
        <f t="shared" si="41"/>
        <v>0</v>
      </c>
    </row>
    <row r="1136" spans="5:10" ht="13.5" hidden="1" customHeight="1" x14ac:dyDescent="0.25">
      <c r="F1136" s="499">
        <v>541</v>
      </c>
      <c r="G1136" s="492" t="s">
        <v>4164</v>
      </c>
      <c r="J1136" s="556">
        <f t="shared" si="41"/>
        <v>0</v>
      </c>
    </row>
    <row r="1137" spans="5:10" ht="13.5" hidden="1" customHeight="1" x14ac:dyDescent="0.25">
      <c r="F1137" s="499">
        <v>542</v>
      </c>
      <c r="G1137" s="492" t="s">
        <v>4165</v>
      </c>
      <c r="J1137" s="556">
        <f t="shared" si="41"/>
        <v>0</v>
      </c>
    </row>
    <row r="1138" spans="5:10" ht="13.5" hidden="1" customHeight="1" x14ac:dyDescent="0.25">
      <c r="F1138" s="499">
        <v>543</v>
      </c>
      <c r="G1138" s="492" t="s">
        <v>3844</v>
      </c>
      <c r="J1138" s="556">
        <f t="shared" si="41"/>
        <v>0</v>
      </c>
    </row>
    <row r="1139" spans="5:10" ht="13.5" hidden="1" customHeight="1" x14ac:dyDescent="0.25">
      <c r="F1139" s="499">
        <v>551</v>
      </c>
      <c r="G1139" s="492" t="s">
        <v>4140</v>
      </c>
      <c r="J1139" s="556">
        <f t="shared" si="41"/>
        <v>0</v>
      </c>
    </row>
    <row r="1140" spans="5:10" ht="13.5" hidden="1" customHeight="1" x14ac:dyDescent="0.25">
      <c r="F1140" s="500">
        <v>611</v>
      </c>
      <c r="G1140" s="498" t="s">
        <v>3850</v>
      </c>
      <c r="J1140" s="556">
        <f t="shared" si="41"/>
        <v>0</v>
      </c>
    </row>
    <row r="1141" spans="5:10" ht="13.5" hidden="1" customHeight="1" thickBot="1" x14ac:dyDescent="0.3">
      <c r="F1141" s="500">
        <v>620</v>
      </c>
      <c r="G1141" s="498" t="s">
        <v>88</v>
      </c>
      <c r="J1141" s="556">
        <f t="shared" si="41"/>
        <v>0</v>
      </c>
    </row>
    <row r="1142" spans="5:10" ht="13.5" customHeight="1" x14ac:dyDescent="0.25">
      <c r="E1142" s="489"/>
      <c r="F1142" s="500"/>
      <c r="G1142" s="343" t="s">
        <v>4337</v>
      </c>
      <c r="H1142" s="557"/>
      <c r="I1142" s="583"/>
      <c r="J1142" s="558"/>
    </row>
    <row r="1143" spans="5:10" ht="13.5" customHeight="1" x14ac:dyDescent="0.25">
      <c r="E1143" s="693"/>
      <c r="F1143" s="597" t="s">
        <v>234</v>
      </c>
      <c r="G1143" s="598" t="s">
        <v>235</v>
      </c>
      <c r="H1143" s="559">
        <v>1000</v>
      </c>
      <c r="I1143" s="560"/>
      <c r="J1143" s="560">
        <f t="shared" ref="J1143:J1158" si="42">SUM(H1143:I1143)</f>
        <v>1000</v>
      </c>
    </row>
    <row r="1144" spans="5:10" ht="13.5" hidden="1" customHeight="1" x14ac:dyDescent="0.25">
      <c r="F1144" s="597" t="s">
        <v>236</v>
      </c>
      <c r="G1144" s="598" t="s">
        <v>237</v>
      </c>
      <c r="J1144" s="560">
        <f t="shared" si="42"/>
        <v>0</v>
      </c>
    </row>
    <row r="1145" spans="5:10" ht="13.5" hidden="1" customHeight="1" x14ac:dyDescent="0.25">
      <c r="F1145" s="597" t="s">
        <v>238</v>
      </c>
      <c r="G1145" s="598" t="s">
        <v>239</v>
      </c>
      <c r="J1145" s="560">
        <f t="shared" si="42"/>
        <v>0</v>
      </c>
    </row>
    <row r="1146" spans="5:10" ht="13.5" hidden="1" customHeight="1" x14ac:dyDescent="0.25">
      <c r="F1146" s="597" t="s">
        <v>240</v>
      </c>
      <c r="G1146" s="598" t="s">
        <v>241</v>
      </c>
      <c r="J1146" s="560">
        <f t="shared" si="42"/>
        <v>0</v>
      </c>
    </row>
    <row r="1147" spans="5:10" ht="13.5" hidden="1" customHeight="1" x14ac:dyDescent="0.25">
      <c r="F1147" s="597" t="s">
        <v>242</v>
      </c>
      <c r="G1147" s="598" t="s">
        <v>243</v>
      </c>
      <c r="J1147" s="560">
        <f t="shared" si="42"/>
        <v>0</v>
      </c>
    </row>
    <row r="1148" spans="5:10" ht="13.5" hidden="1" customHeight="1" x14ac:dyDescent="0.25">
      <c r="F1148" s="597" t="s">
        <v>244</v>
      </c>
      <c r="G1148" s="598" t="s">
        <v>245</v>
      </c>
      <c r="J1148" s="560">
        <f t="shared" si="42"/>
        <v>0</v>
      </c>
    </row>
    <row r="1149" spans="5:10" ht="13.5" hidden="1" customHeight="1" x14ac:dyDescent="0.25">
      <c r="F1149" s="597" t="s">
        <v>246</v>
      </c>
      <c r="G1149" s="598" t="s">
        <v>4996</v>
      </c>
      <c r="J1149" s="560">
        <f t="shared" si="42"/>
        <v>0</v>
      </c>
    </row>
    <row r="1150" spans="5:10" ht="13.5" hidden="1" customHeight="1" x14ac:dyDescent="0.25">
      <c r="F1150" s="597" t="s">
        <v>247</v>
      </c>
      <c r="G1150" s="598" t="s">
        <v>4995</v>
      </c>
      <c r="J1150" s="560">
        <f t="shared" si="42"/>
        <v>0</v>
      </c>
    </row>
    <row r="1151" spans="5:10" ht="13.5" hidden="1" customHeight="1" x14ac:dyDescent="0.25">
      <c r="F1151" s="597" t="s">
        <v>248</v>
      </c>
      <c r="G1151" s="598" t="s">
        <v>57</v>
      </c>
      <c r="J1151" s="560">
        <f t="shared" si="42"/>
        <v>0</v>
      </c>
    </row>
    <row r="1152" spans="5:10" ht="13.5" hidden="1" customHeight="1" x14ac:dyDescent="0.25">
      <c r="F1152" s="597" t="s">
        <v>249</v>
      </c>
      <c r="G1152" s="598" t="s">
        <v>250</v>
      </c>
      <c r="J1152" s="560">
        <f t="shared" si="42"/>
        <v>0</v>
      </c>
    </row>
    <row r="1153" spans="5:10" ht="13.5" hidden="1" customHeight="1" x14ac:dyDescent="0.25">
      <c r="F1153" s="597" t="s">
        <v>251</v>
      </c>
      <c r="G1153" s="598" t="s">
        <v>252</v>
      </c>
      <c r="J1153" s="560">
        <f t="shared" si="42"/>
        <v>0</v>
      </c>
    </row>
    <row r="1154" spans="5:10" ht="13.5" hidden="1" customHeight="1" x14ac:dyDescent="0.25">
      <c r="F1154" s="597" t="s">
        <v>253</v>
      </c>
      <c r="G1154" s="598" t="s">
        <v>254</v>
      </c>
      <c r="J1154" s="560">
        <f t="shared" si="42"/>
        <v>0</v>
      </c>
    </row>
    <row r="1155" spans="5:10" ht="13.5" customHeight="1" thickBot="1" x14ac:dyDescent="0.3">
      <c r="F1155" s="597" t="s">
        <v>255</v>
      </c>
      <c r="G1155" s="598" t="s">
        <v>256</v>
      </c>
      <c r="H1155" s="555">
        <v>1805840</v>
      </c>
      <c r="J1155" s="560">
        <f t="shared" si="42"/>
        <v>1805840</v>
      </c>
    </row>
    <row r="1156" spans="5:10" ht="13.5" hidden="1" customHeight="1" x14ac:dyDescent="0.25">
      <c r="F1156" s="597" t="s">
        <v>257</v>
      </c>
      <c r="G1156" s="598" t="s">
        <v>258</v>
      </c>
      <c r="J1156" s="560">
        <f t="shared" si="42"/>
        <v>0</v>
      </c>
    </row>
    <row r="1157" spans="5:10" ht="13.5" hidden="1" customHeight="1" x14ac:dyDescent="0.25">
      <c r="F1157" s="597" t="s">
        <v>259</v>
      </c>
      <c r="G1157" s="598" t="s">
        <v>260</v>
      </c>
      <c r="J1157" s="560">
        <f t="shared" si="42"/>
        <v>0</v>
      </c>
    </row>
    <row r="1158" spans="5:10" ht="13.5" hidden="1" customHeight="1" thickBot="1" x14ac:dyDescent="0.3">
      <c r="F1158" s="597" t="s">
        <v>261</v>
      </c>
      <c r="G1158" s="598" t="s">
        <v>262</v>
      </c>
      <c r="H1158" s="559"/>
      <c r="I1158" s="560"/>
      <c r="J1158" s="560">
        <f t="shared" si="42"/>
        <v>0</v>
      </c>
    </row>
    <row r="1159" spans="5:10" ht="13.5" customHeight="1" thickBot="1" x14ac:dyDescent="0.3">
      <c r="G1159" s="268" t="s">
        <v>4338</v>
      </c>
      <c r="H1159" s="561">
        <f>SUM(H1143:H1158)</f>
        <v>1806840</v>
      </c>
      <c r="I1159" s="562">
        <f>SUM(I1144:I1158)</f>
        <v>0</v>
      </c>
      <c r="J1159" s="562">
        <f>SUM(J1143:J1158)</f>
        <v>1806840</v>
      </c>
    </row>
    <row r="1160" spans="5:10" ht="13.5" customHeight="1" x14ac:dyDescent="0.25">
      <c r="E1160" s="489"/>
      <c r="F1160" s="500"/>
      <c r="G1160" s="270" t="s">
        <v>5412</v>
      </c>
      <c r="H1160" s="563"/>
      <c r="I1160" s="584"/>
      <c r="J1160" s="564"/>
    </row>
    <row r="1161" spans="5:10" ht="13.5" customHeight="1" x14ac:dyDescent="0.25">
      <c r="E1161" s="693"/>
      <c r="F1161" s="597" t="s">
        <v>234</v>
      </c>
      <c r="G1161" s="598" t="s">
        <v>235</v>
      </c>
      <c r="H1161" s="559">
        <v>1000</v>
      </c>
      <c r="I1161" s="560"/>
      <c r="J1161" s="560">
        <f>SUM(H1161:I1161)</f>
        <v>1000</v>
      </c>
    </row>
    <row r="1162" spans="5:10" ht="13.5" hidden="1" customHeight="1" x14ac:dyDescent="0.25">
      <c r="F1162" s="597" t="s">
        <v>236</v>
      </c>
      <c r="G1162" s="598" t="s">
        <v>237</v>
      </c>
      <c r="J1162" s="560">
        <f t="shared" ref="J1162:J1176" si="43">SUM(H1162:I1162)</f>
        <v>0</v>
      </c>
    </row>
    <row r="1163" spans="5:10" ht="13.5" hidden="1" customHeight="1" x14ac:dyDescent="0.25">
      <c r="F1163" s="597" t="s">
        <v>238</v>
      </c>
      <c r="G1163" s="598" t="s">
        <v>239</v>
      </c>
      <c r="J1163" s="560">
        <f t="shared" si="43"/>
        <v>0</v>
      </c>
    </row>
    <row r="1164" spans="5:10" ht="13.5" hidden="1" customHeight="1" x14ac:dyDescent="0.25">
      <c r="F1164" s="597" t="s">
        <v>240</v>
      </c>
      <c r="G1164" s="598" t="s">
        <v>241</v>
      </c>
      <c r="J1164" s="560">
        <f t="shared" si="43"/>
        <v>0</v>
      </c>
    </row>
    <row r="1165" spans="5:10" ht="13.5" hidden="1" customHeight="1" x14ac:dyDescent="0.25">
      <c r="F1165" s="597" t="s">
        <v>242</v>
      </c>
      <c r="G1165" s="598" t="s">
        <v>243</v>
      </c>
      <c r="J1165" s="560">
        <f t="shared" si="43"/>
        <v>0</v>
      </c>
    </row>
    <row r="1166" spans="5:10" ht="13.5" hidden="1" customHeight="1" x14ac:dyDescent="0.25">
      <c r="F1166" s="597" t="s">
        <v>244</v>
      </c>
      <c r="G1166" s="598" t="s">
        <v>245</v>
      </c>
      <c r="J1166" s="560">
        <f t="shared" si="43"/>
        <v>0</v>
      </c>
    </row>
    <row r="1167" spans="5:10" ht="13.5" hidden="1" customHeight="1" x14ac:dyDescent="0.25">
      <c r="F1167" s="597" t="s">
        <v>246</v>
      </c>
      <c r="G1167" s="598" t="s">
        <v>4996</v>
      </c>
      <c r="J1167" s="560">
        <f t="shared" si="43"/>
        <v>0</v>
      </c>
    </row>
    <row r="1168" spans="5:10" ht="13.5" hidden="1" customHeight="1" x14ac:dyDescent="0.25">
      <c r="F1168" s="597" t="s">
        <v>247</v>
      </c>
      <c r="G1168" s="598" t="s">
        <v>4995</v>
      </c>
      <c r="J1168" s="560">
        <f t="shared" si="43"/>
        <v>0</v>
      </c>
    </row>
    <row r="1169" spans="3:10" ht="13.5" hidden="1" customHeight="1" x14ac:dyDescent="0.25">
      <c r="F1169" s="597" t="s">
        <v>248</v>
      </c>
      <c r="G1169" s="598" t="s">
        <v>57</v>
      </c>
      <c r="J1169" s="560">
        <f t="shared" si="43"/>
        <v>0</v>
      </c>
    </row>
    <row r="1170" spans="3:10" ht="13.5" hidden="1" customHeight="1" x14ac:dyDescent="0.25">
      <c r="F1170" s="597" t="s">
        <v>249</v>
      </c>
      <c r="G1170" s="598" t="s">
        <v>250</v>
      </c>
      <c r="J1170" s="560">
        <f t="shared" si="43"/>
        <v>0</v>
      </c>
    </row>
    <row r="1171" spans="3:10" ht="13.5" hidden="1" customHeight="1" x14ac:dyDescent="0.25">
      <c r="F1171" s="597" t="s">
        <v>251</v>
      </c>
      <c r="G1171" s="598" t="s">
        <v>252</v>
      </c>
      <c r="J1171" s="560">
        <f t="shared" si="43"/>
        <v>0</v>
      </c>
    </row>
    <row r="1172" spans="3:10" ht="13.5" hidden="1" customHeight="1" x14ac:dyDescent="0.25">
      <c r="F1172" s="597" t="s">
        <v>253</v>
      </c>
      <c r="G1172" s="598" t="s">
        <v>254</v>
      </c>
      <c r="J1172" s="560">
        <f t="shared" si="43"/>
        <v>0</v>
      </c>
    </row>
    <row r="1173" spans="3:10" ht="13.5" customHeight="1" thickBot="1" x14ac:dyDescent="0.3">
      <c r="F1173" s="597" t="s">
        <v>255</v>
      </c>
      <c r="G1173" s="598" t="s">
        <v>256</v>
      </c>
      <c r="H1173" s="555">
        <v>1805840</v>
      </c>
      <c r="J1173" s="560">
        <f t="shared" si="43"/>
        <v>1805840</v>
      </c>
    </row>
    <row r="1174" spans="3:10" ht="13.5" hidden="1" customHeight="1" x14ac:dyDescent="0.25">
      <c r="F1174" s="597" t="s">
        <v>257</v>
      </c>
      <c r="G1174" s="598" t="s">
        <v>258</v>
      </c>
      <c r="J1174" s="560">
        <f t="shared" si="43"/>
        <v>0</v>
      </c>
    </row>
    <row r="1175" spans="3:10" ht="13.5" hidden="1" customHeight="1" x14ac:dyDescent="0.25">
      <c r="F1175" s="597" t="s">
        <v>259</v>
      </c>
      <c r="G1175" s="598" t="s">
        <v>260</v>
      </c>
      <c r="J1175" s="560">
        <f t="shared" si="43"/>
        <v>0</v>
      </c>
    </row>
    <row r="1176" spans="3:10" ht="13.5" hidden="1" customHeight="1" thickBot="1" x14ac:dyDescent="0.3">
      <c r="F1176" s="597" t="s">
        <v>261</v>
      </c>
      <c r="G1176" s="598" t="s">
        <v>262</v>
      </c>
      <c r="H1176" s="559"/>
      <c r="I1176" s="560"/>
      <c r="J1176" s="560">
        <f t="shared" si="43"/>
        <v>0</v>
      </c>
    </row>
    <row r="1177" spans="3:10" ht="13.5" customHeight="1" thickBot="1" x14ac:dyDescent="0.3">
      <c r="G1177" s="268" t="s">
        <v>4909</v>
      </c>
      <c r="H1177" s="561">
        <f>SUM(H1161:H1176)</f>
        <v>1806840</v>
      </c>
      <c r="I1177" s="562">
        <f>SUM(I1162:I1176)</f>
        <v>0</v>
      </c>
      <c r="J1177" s="562">
        <f>SUM(J1161:J1176)</f>
        <v>1806840</v>
      </c>
    </row>
    <row r="1178" spans="3:10" ht="13.5" customHeight="1" x14ac:dyDescent="0.25">
      <c r="C1178" s="267" t="s">
        <v>4844</v>
      </c>
      <c r="D1178" s="259"/>
      <c r="G1178" s="483" t="s">
        <v>5251</v>
      </c>
    </row>
    <row r="1179" spans="3:10" ht="13.5" customHeight="1" x14ac:dyDescent="0.25">
      <c r="C1179" s="267"/>
      <c r="D1179" s="344">
        <v>130</v>
      </c>
      <c r="E1179" s="871"/>
      <c r="F1179" s="345"/>
      <c r="G1179" s="332" t="s">
        <v>112</v>
      </c>
    </row>
    <row r="1180" spans="3:10" ht="13.5" hidden="1" customHeight="1" x14ac:dyDescent="0.25">
      <c r="F1180" s="499">
        <v>411</v>
      </c>
      <c r="G1180" s="492" t="s">
        <v>4131</v>
      </c>
      <c r="J1180" s="556">
        <f>SUM(H1180:I1180)</f>
        <v>0</v>
      </c>
    </row>
    <row r="1181" spans="3:10" ht="13.5" hidden="1" customHeight="1" x14ac:dyDescent="0.25">
      <c r="F1181" s="499">
        <v>412</v>
      </c>
      <c r="G1181" s="488" t="s">
        <v>3766</v>
      </c>
      <c r="J1181" s="556">
        <f t="shared" ref="J1181:J1239" si="44">SUM(H1181:I1181)</f>
        <v>0</v>
      </c>
    </row>
    <row r="1182" spans="3:10" ht="13.5" hidden="1" customHeight="1" x14ac:dyDescent="0.25">
      <c r="F1182" s="499">
        <v>413</v>
      </c>
      <c r="G1182" s="492" t="s">
        <v>4132</v>
      </c>
      <c r="J1182" s="556">
        <f t="shared" si="44"/>
        <v>0</v>
      </c>
    </row>
    <row r="1183" spans="3:10" ht="13.5" hidden="1" customHeight="1" x14ac:dyDescent="0.25">
      <c r="F1183" s="499">
        <v>414</v>
      </c>
      <c r="G1183" s="492" t="s">
        <v>3769</v>
      </c>
      <c r="J1183" s="556">
        <f t="shared" si="44"/>
        <v>0</v>
      </c>
    </row>
    <row r="1184" spans="3:10" ht="13.5" hidden="1" customHeight="1" x14ac:dyDescent="0.25">
      <c r="F1184" s="499">
        <v>415</v>
      </c>
      <c r="G1184" s="492" t="s">
        <v>4141</v>
      </c>
      <c r="J1184" s="556">
        <f t="shared" si="44"/>
        <v>0</v>
      </c>
    </row>
    <row r="1185" spans="6:10" ht="13.5" hidden="1" customHeight="1" x14ac:dyDescent="0.25">
      <c r="F1185" s="499">
        <v>416</v>
      </c>
      <c r="G1185" s="492" t="s">
        <v>4142</v>
      </c>
      <c r="J1185" s="556">
        <f t="shared" si="44"/>
        <v>0</v>
      </c>
    </row>
    <row r="1186" spans="6:10" ht="13.5" hidden="1" customHeight="1" x14ac:dyDescent="0.25">
      <c r="F1186" s="499">
        <v>417</v>
      </c>
      <c r="G1186" s="492" t="s">
        <v>4143</v>
      </c>
      <c r="J1186" s="556">
        <f t="shared" si="44"/>
        <v>0</v>
      </c>
    </row>
    <row r="1187" spans="6:10" ht="13.5" hidden="1" customHeight="1" x14ac:dyDescent="0.25">
      <c r="F1187" s="499">
        <v>418</v>
      </c>
      <c r="G1187" s="492" t="s">
        <v>3775</v>
      </c>
      <c r="J1187" s="556">
        <f t="shared" si="44"/>
        <v>0</v>
      </c>
    </row>
    <row r="1188" spans="6:10" ht="13.5" hidden="1" customHeight="1" x14ac:dyDescent="0.25">
      <c r="F1188" s="499">
        <v>421</v>
      </c>
      <c r="G1188" s="492" t="s">
        <v>3779</v>
      </c>
      <c r="J1188" s="556">
        <f t="shared" si="44"/>
        <v>0</v>
      </c>
    </row>
    <row r="1189" spans="6:10" ht="13.5" hidden="1" customHeight="1" x14ac:dyDescent="0.25">
      <c r="F1189" s="499">
        <v>422</v>
      </c>
      <c r="G1189" s="492" t="s">
        <v>3780</v>
      </c>
      <c r="J1189" s="556">
        <f t="shared" si="44"/>
        <v>0</v>
      </c>
    </row>
    <row r="1190" spans="6:10" ht="13.5" hidden="1" customHeight="1" x14ac:dyDescent="0.25">
      <c r="F1190" s="499">
        <v>423</v>
      </c>
      <c r="G1190" s="492" t="s">
        <v>3781</v>
      </c>
      <c r="J1190" s="556">
        <f t="shared" si="44"/>
        <v>0</v>
      </c>
    </row>
    <row r="1191" spans="6:10" ht="13.5" hidden="1" customHeight="1" x14ac:dyDescent="0.25">
      <c r="F1191" s="499">
        <v>424</v>
      </c>
      <c r="G1191" s="492" t="s">
        <v>3783</v>
      </c>
      <c r="J1191" s="556">
        <f t="shared" si="44"/>
        <v>0</v>
      </c>
    </row>
    <row r="1192" spans="6:10" ht="13.5" hidden="1" customHeight="1" x14ac:dyDescent="0.25">
      <c r="F1192" s="499">
        <v>425</v>
      </c>
      <c r="G1192" s="492" t="s">
        <v>4144</v>
      </c>
      <c r="J1192" s="556">
        <f t="shared" si="44"/>
        <v>0</v>
      </c>
    </row>
    <row r="1193" spans="6:10" ht="13.5" hidden="1" customHeight="1" x14ac:dyDescent="0.25">
      <c r="F1193" s="499">
        <v>426</v>
      </c>
      <c r="G1193" s="492" t="s">
        <v>3787</v>
      </c>
      <c r="J1193" s="556">
        <f t="shared" si="44"/>
        <v>0</v>
      </c>
    </row>
    <row r="1194" spans="6:10" ht="13.5" hidden="1" customHeight="1" x14ac:dyDescent="0.25">
      <c r="F1194" s="499">
        <v>431</v>
      </c>
      <c r="G1194" s="492" t="s">
        <v>4145</v>
      </c>
      <c r="J1194" s="556">
        <f t="shared" si="44"/>
        <v>0</v>
      </c>
    </row>
    <row r="1195" spans="6:10" ht="13.5" hidden="1" customHeight="1" x14ac:dyDescent="0.25">
      <c r="F1195" s="499">
        <v>432</v>
      </c>
      <c r="G1195" s="492" t="s">
        <v>4146</v>
      </c>
      <c r="J1195" s="556">
        <f t="shared" si="44"/>
        <v>0</v>
      </c>
    </row>
    <row r="1196" spans="6:10" ht="13.5" hidden="1" customHeight="1" x14ac:dyDescent="0.25">
      <c r="F1196" s="499">
        <v>433</v>
      </c>
      <c r="G1196" s="492" t="s">
        <v>4147</v>
      </c>
      <c r="J1196" s="556">
        <f t="shared" si="44"/>
        <v>0</v>
      </c>
    </row>
    <row r="1197" spans="6:10" ht="13.5" hidden="1" customHeight="1" x14ac:dyDescent="0.25">
      <c r="F1197" s="499">
        <v>434</v>
      </c>
      <c r="G1197" s="492" t="s">
        <v>4148</v>
      </c>
      <c r="J1197" s="556">
        <f t="shared" si="44"/>
        <v>0</v>
      </c>
    </row>
    <row r="1198" spans="6:10" ht="13.5" hidden="1" customHeight="1" x14ac:dyDescent="0.25">
      <c r="F1198" s="499">
        <v>435</v>
      </c>
      <c r="G1198" s="492" t="s">
        <v>3794</v>
      </c>
      <c r="J1198" s="556">
        <f t="shared" si="44"/>
        <v>0</v>
      </c>
    </row>
    <row r="1199" spans="6:10" ht="13.5" hidden="1" customHeight="1" x14ac:dyDescent="0.25">
      <c r="F1199" s="499">
        <v>441</v>
      </c>
      <c r="G1199" s="492" t="s">
        <v>4149</v>
      </c>
      <c r="J1199" s="556">
        <f t="shared" si="44"/>
        <v>0</v>
      </c>
    </row>
    <row r="1200" spans="6:10" ht="13.5" hidden="1" customHeight="1" x14ac:dyDescent="0.25">
      <c r="F1200" s="499">
        <v>442</v>
      </c>
      <c r="G1200" s="492" t="s">
        <v>4150</v>
      </c>
      <c r="J1200" s="556">
        <f t="shared" si="44"/>
        <v>0</v>
      </c>
    </row>
    <row r="1201" spans="6:10" ht="13.5" hidden="1" customHeight="1" x14ac:dyDescent="0.25">
      <c r="F1201" s="499">
        <v>443</v>
      </c>
      <c r="G1201" s="492" t="s">
        <v>3799</v>
      </c>
      <c r="J1201" s="556">
        <f t="shared" si="44"/>
        <v>0</v>
      </c>
    </row>
    <row r="1202" spans="6:10" ht="13.5" hidden="1" customHeight="1" x14ac:dyDescent="0.25">
      <c r="F1202" s="499">
        <v>444</v>
      </c>
      <c r="G1202" s="492" t="s">
        <v>3800</v>
      </c>
      <c r="J1202" s="556">
        <f t="shared" si="44"/>
        <v>0</v>
      </c>
    </row>
    <row r="1203" spans="6:10" ht="13.5" hidden="1" customHeight="1" x14ac:dyDescent="0.25">
      <c r="F1203" s="499">
        <v>4511</v>
      </c>
      <c r="G1203" s="756" t="s">
        <v>1690</v>
      </c>
      <c r="J1203" s="556">
        <f t="shared" si="44"/>
        <v>0</v>
      </c>
    </row>
    <row r="1204" spans="6:10" ht="13.5" hidden="1" customHeight="1" x14ac:dyDescent="0.25">
      <c r="F1204" s="499">
        <v>4512</v>
      </c>
      <c r="G1204" s="756" t="s">
        <v>1699</v>
      </c>
      <c r="J1204" s="556">
        <f t="shared" si="44"/>
        <v>0</v>
      </c>
    </row>
    <row r="1205" spans="6:10" ht="13.5" hidden="1" customHeight="1" x14ac:dyDescent="0.25">
      <c r="F1205" s="499">
        <v>452</v>
      </c>
      <c r="G1205" s="492" t="s">
        <v>4151</v>
      </c>
      <c r="J1205" s="556">
        <f t="shared" si="44"/>
        <v>0</v>
      </c>
    </row>
    <row r="1206" spans="6:10" ht="13.5" hidden="1" customHeight="1" x14ac:dyDescent="0.25">
      <c r="F1206" s="499">
        <v>453</v>
      </c>
      <c r="G1206" s="492" t="s">
        <v>4152</v>
      </c>
      <c r="J1206" s="556">
        <f t="shared" si="44"/>
        <v>0</v>
      </c>
    </row>
    <row r="1207" spans="6:10" ht="13.5" hidden="1" customHeight="1" x14ac:dyDescent="0.25">
      <c r="F1207" s="499">
        <v>454</v>
      </c>
      <c r="G1207" s="492" t="s">
        <v>3805</v>
      </c>
      <c r="J1207" s="556">
        <f t="shared" si="44"/>
        <v>0</v>
      </c>
    </row>
    <row r="1208" spans="6:10" ht="13.5" hidden="1" customHeight="1" x14ac:dyDescent="0.25">
      <c r="F1208" s="499">
        <v>461</v>
      </c>
      <c r="G1208" s="492" t="s">
        <v>4133</v>
      </c>
      <c r="J1208" s="556">
        <f t="shared" si="44"/>
        <v>0</v>
      </c>
    </row>
    <row r="1209" spans="6:10" ht="13.5" hidden="1" customHeight="1" x14ac:dyDescent="0.25">
      <c r="F1209" s="499">
        <v>462</v>
      </c>
      <c r="G1209" s="492" t="s">
        <v>3808</v>
      </c>
      <c r="J1209" s="556">
        <f t="shared" si="44"/>
        <v>0</v>
      </c>
    </row>
    <row r="1210" spans="6:10" ht="13.5" hidden="1" customHeight="1" x14ac:dyDescent="0.25">
      <c r="F1210" s="499">
        <v>511</v>
      </c>
      <c r="G1210" s="492" t="s">
        <v>4158</v>
      </c>
      <c r="J1210" s="556">
        <f t="shared" si="44"/>
        <v>0</v>
      </c>
    </row>
    <row r="1211" spans="6:10" ht="13.5" hidden="1" customHeight="1" x14ac:dyDescent="0.25">
      <c r="F1211" s="499">
        <v>4632</v>
      </c>
      <c r="G1211" s="492" t="s">
        <v>3810</v>
      </c>
      <c r="J1211" s="556">
        <f t="shared" si="44"/>
        <v>0</v>
      </c>
    </row>
    <row r="1212" spans="6:10" ht="13.5" hidden="1" customHeight="1" x14ac:dyDescent="0.25">
      <c r="F1212" s="499">
        <v>464</v>
      </c>
      <c r="G1212" s="492" t="s">
        <v>3811</v>
      </c>
      <c r="J1212" s="556">
        <f t="shared" si="44"/>
        <v>0</v>
      </c>
    </row>
    <row r="1213" spans="6:10" ht="13.5" hidden="1" customHeight="1" x14ac:dyDescent="0.25">
      <c r="F1213" s="499">
        <v>465</v>
      </c>
      <c r="G1213" s="492" t="s">
        <v>4134</v>
      </c>
      <c r="J1213" s="556">
        <f t="shared" si="44"/>
        <v>0</v>
      </c>
    </row>
    <row r="1214" spans="6:10" ht="13.5" hidden="1" customHeight="1" x14ac:dyDescent="0.25">
      <c r="F1214" s="499">
        <v>472</v>
      </c>
      <c r="G1214" s="492" t="s">
        <v>3815</v>
      </c>
      <c r="J1214" s="556">
        <f t="shared" si="44"/>
        <v>0</v>
      </c>
    </row>
    <row r="1215" spans="6:10" ht="13.5" hidden="1" customHeight="1" x14ac:dyDescent="0.25">
      <c r="F1215" s="499">
        <v>481</v>
      </c>
      <c r="G1215" s="492" t="s">
        <v>4153</v>
      </c>
      <c r="J1215" s="556">
        <f t="shared" si="44"/>
        <v>0</v>
      </c>
    </row>
    <row r="1216" spans="6:10" ht="13.5" hidden="1" customHeight="1" x14ac:dyDescent="0.25">
      <c r="F1216" s="499">
        <v>482</v>
      </c>
      <c r="G1216" s="492" t="s">
        <v>4154</v>
      </c>
      <c r="J1216" s="556">
        <f t="shared" si="44"/>
        <v>0</v>
      </c>
    </row>
    <row r="1217" spans="5:10" ht="13.5" hidden="1" customHeight="1" x14ac:dyDescent="0.25">
      <c r="F1217" s="499">
        <v>483</v>
      </c>
      <c r="G1217" s="496" t="s">
        <v>4155</v>
      </c>
      <c r="J1217" s="556">
        <f t="shared" si="44"/>
        <v>0</v>
      </c>
    </row>
    <row r="1218" spans="5:10" ht="13.5" hidden="1" customHeight="1" x14ac:dyDescent="0.25">
      <c r="F1218" s="499">
        <v>484</v>
      </c>
      <c r="G1218" s="492" t="s">
        <v>4156</v>
      </c>
      <c r="J1218" s="556">
        <f t="shared" si="44"/>
        <v>0</v>
      </c>
    </row>
    <row r="1219" spans="5:10" ht="13.5" hidden="1" customHeight="1" x14ac:dyDescent="0.25">
      <c r="F1219" s="499">
        <v>485</v>
      </c>
      <c r="G1219" s="492" t="s">
        <v>4157</v>
      </c>
      <c r="J1219" s="556">
        <f t="shared" si="44"/>
        <v>0</v>
      </c>
    </row>
    <row r="1220" spans="5:10" ht="13.5" hidden="1" customHeight="1" x14ac:dyDescent="0.25">
      <c r="F1220" s="499">
        <v>489</v>
      </c>
      <c r="G1220" s="492" t="s">
        <v>3823</v>
      </c>
      <c r="J1220" s="556">
        <f t="shared" si="44"/>
        <v>0</v>
      </c>
    </row>
    <row r="1221" spans="5:10" ht="13.5" hidden="1" customHeight="1" x14ac:dyDescent="0.25">
      <c r="F1221" s="499">
        <v>494</v>
      </c>
      <c r="G1221" s="492" t="s">
        <v>4135</v>
      </c>
      <c r="J1221" s="556">
        <f t="shared" si="44"/>
        <v>0</v>
      </c>
    </row>
    <row r="1222" spans="5:10" ht="13.5" hidden="1" customHeight="1" x14ac:dyDescent="0.25">
      <c r="F1222" s="499">
        <v>495</v>
      </c>
      <c r="G1222" s="492" t="s">
        <v>4136</v>
      </c>
      <c r="J1222" s="556">
        <f t="shared" si="44"/>
        <v>0</v>
      </c>
    </row>
    <row r="1223" spans="5:10" ht="13.5" hidden="1" customHeight="1" x14ac:dyDescent="0.25">
      <c r="F1223" s="499">
        <v>496</v>
      </c>
      <c r="G1223" s="492" t="s">
        <v>4137</v>
      </c>
      <c r="J1223" s="556">
        <f t="shared" si="44"/>
        <v>0</v>
      </c>
    </row>
    <row r="1224" spans="5:10" ht="13.5" hidden="1" customHeight="1" x14ac:dyDescent="0.25">
      <c r="F1224" s="499">
        <v>499</v>
      </c>
      <c r="G1224" s="492" t="s">
        <v>4138</v>
      </c>
      <c r="J1224" s="556">
        <f t="shared" si="44"/>
        <v>0</v>
      </c>
    </row>
    <row r="1225" spans="5:10" ht="13.5" customHeight="1" thickBot="1" x14ac:dyDescent="0.3">
      <c r="E1225" s="679">
        <v>63</v>
      </c>
      <c r="F1225" s="499">
        <v>511</v>
      </c>
      <c r="G1225" s="496" t="s">
        <v>5253</v>
      </c>
      <c r="H1225" s="555">
        <v>1500000</v>
      </c>
      <c r="J1225" s="556">
        <f t="shared" si="44"/>
        <v>1500000</v>
      </c>
    </row>
    <row r="1226" spans="5:10" ht="13.5" hidden="1" customHeight="1" x14ac:dyDescent="0.25">
      <c r="F1226" s="499">
        <v>512</v>
      </c>
      <c r="G1226" s="496" t="s">
        <v>4159</v>
      </c>
      <c r="J1226" s="556">
        <f t="shared" si="44"/>
        <v>0</v>
      </c>
    </row>
    <row r="1227" spans="5:10" ht="13.5" hidden="1" customHeight="1" x14ac:dyDescent="0.25">
      <c r="F1227" s="499">
        <v>513</v>
      </c>
      <c r="G1227" s="496" t="s">
        <v>4160</v>
      </c>
      <c r="J1227" s="556">
        <f t="shared" si="44"/>
        <v>0</v>
      </c>
    </row>
    <row r="1228" spans="5:10" ht="13.5" hidden="1" customHeight="1" x14ac:dyDescent="0.25">
      <c r="F1228" s="499">
        <v>514</v>
      </c>
      <c r="G1228" s="492" t="s">
        <v>4161</v>
      </c>
      <c r="J1228" s="556">
        <f t="shared" si="44"/>
        <v>0</v>
      </c>
    </row>
    <row r="1229" spans="5:10" ht="13.5" hidden="1" customHeight="1" x14ac:dyDescent="0.25">
      <c r="F1229" s="499">
        <v>515</v>
      </c>
      <c r="G1229" s="492" t="s">
        <v>3834</v>
      </c>
      <c r="J1229" s="556">
        <f t="shared" si="44"/>
        <v>0</v>
      </c>
    </row>
    <row r="1230" spans="5:10" ht="13.5" hidden="1" customHeight="1" x14ac:dyDescent="0.25">
      <c r="F1230" s="499">
        <v>521</v>
      </c>
      <c r="G1230" s="492" t="s">
        <v>4162</v>
      </c>
      <c r="J1230" s="556">
        <f t="shared" si="44"/>
        <v>0</v>
      </c>
    </row>
    <row r="1231" spans="5:10" ht="13.5" hidden="1" customHeight="1" x14ac:dyDescent="0.25">
      <c r="F1231" s="499">
        <v>522</v>
      </c>
      <c r="G1231" s="492" t="s">
        <v>4163</v>
      </c>
      <c r="J1231" s="556">
        <f t="shared" si="44"/>
        <v>0</v>
      </c>
    </row>
    <row r="1232" spans="5:10" ht="13.5" hidden="1" customHeight="1" x14ac:dyDescent="0.25">
      <c r="F1232" s="499">
        <v>523</v>
      </c>
      <c r="G1232" s="492" t="s">
        <v>3839</v>
      </c>
      <c r="J1232" s="556">
        <f t="shared" si="44"/>
        <v>0</v>
      </c>
    </row>
    <row r="1233" spans="5:10" ht="13.5" hidden="1" customHeight="1" x14ac:dyDescent="0.25">
      <c r="F1233" s="499">
        <v>531</v>
      </c>
      <c r="G1233" s="488" t="s">
        <v>4139</v>
      </c>
      <c r="J1233" s="556">
        <f t="shared" si="44"/>
        <v>0</v>
      </c>
    </row>
    <row r="1234" spans="5:10" ht="13.5" hidden="1" customHeight="1" x14ac:dyDescent="0.25">
      <c r="F1234" s="499">
        <v>541</v>
      </c>
      <c r="G1234" s="492" t="s">
        <v>4164</v>
      </c>
      <c r="J1234" s="556">
        <f t="shared" si="44"/>
        <v>0</v>
      </c>
    </row>
    <row r="1235" spans="5:10" ht="13.5" hidden="1" customHeight="1" x14ac:dyDescent="0.25">
      <c r="F1235" s="499">
        <v>542</v>
      </c>
      <c r="G1235" s="492" t="s">
        <v>4165</v>
      </c>
      <c r="J1235" s="556">
        <f t="shared" si="44"/>
        <v>0</v>
      </c>
    </row>
    <row r="1236" spans="5:10" ht="13.5" hidden="1" customHeight="1" x14ac:dyDescent="0.25">
      <c r="F1236" s="499">
        <v>543</v>
      </c>
      <c r="G1236" s="492" t="s">
        <v>3844</v>
      </c>
      <c r="J1236" s="556">
        <f t="shared" si="44"/>
        <v>0</v>
      </c>
    </row>
    <row r="1237" spans="5:10" ht="13.5" hidden="1" customHeight="1" x14ac:dyDescent="0.25">
      <c r="F1237" s="499">
        <v>551</v>
      </c>
      <c r="G1237" s="492" t="s">
        <v>4140</v>
      </c>
      <c r="J1237" s="556">
        <f t="shared" si="44"/>
        <v>0</v>
      </c>
    </row>
    <row r="1238" spans="5:10" ht="13.5" hidden="1" customHeight="1" x14ac:dyDescent="0.25">
      <c r="F1238" s="500">
        <v>611</v>
      </c>
      <c r="G1238" s="498" t="s">
        <v>3850</v>
      </c>
      <c r="J1238" s="556">
        <f t="shared" si="44"/>
        <v>0</v>
      </c>
    </row>
    <row r="1239" spans="5:10" ht="13.5" hidden="1" customHeight="1" thickBot="1" x14ac:dyDescent="0.3">
      <c r="F1239" s="500">
        <v>620</v>
      </c>
      <c r="G1239" s="498" t="s">
        <v>88</v>
      </c>
      <c r="J1239" s="556">
        <f t="shared" si="44"/>
        <v>0</v>
      </c>
    </row>
    <row r="1240" spans="5:10" ht="13.5" customHeight="1" x14ac:dyDescent="0.25">
      <c r="E1240" s="489"/>
      <c r="F1240" s="500"/>
      <c r="G1240" s="343" t="s">
        <v>4315</v>
      </c>
      <c r="H1240" s="557"/>
      <c r="I1240" s="583"/>
      <c r="J1240" s="558"/>
    </row>
    <row r="1241" spans="5:10" ht="13.5" hidden="1" customHeight="1" x14ac:dyDescent="0.25">
      <c r="E1241" s="693"/>
      <c r="F1241" s="597" t="s">
        <v>234</v>
      </c>
      <c r="G1241" s="598" t="s">
        <v>235</v>
      </c>
      <c r="H1241" s="559">
        <v>0</v>
      </c>
      <c r="I1241" s="560"/>
      <c r="J1241" s="560">
        <f t="shared" ref="J1241:J1256" si="45">SUM(H1241:I1241)</f>
        <v>0</v>
      </c>
    </row>
    <row r="1242" spans="5:10" ht="13.5" hidden="1" customHeight="1" x14ac:dyDescent="0.25">
      <c r="F1242" s="597" t="s">
        <v>236</v>
      </c>
      <c r="G1242" s="598" t="s">
        <v>237</v>
      </c>
      <c r="J1242" s="560">
        <f t="shared" si="45"/>
        <v>0</v>
      </c>
    </row>
    <row r="1243" spans="5:10" ht="13.5" hidden="1" customHeight="1" x14ac:dyDescent="0.25">
      <c r="F1243" s="597" t="s">
        <v>238</v>
      </c>
      <c r="G1243" s="598" t="s">
        <v>239</v>
      </c>
      <c r="J1243" s="560">
        <f t="shared" si="45"/>
        <v>0</v>
      </c>
    </row>
    <row r="1244" spans="5:10" ht="13.5" hidden="1" customHeight="1" x14ac:dyDescent="0.25">
      <c r="F1244" s="597" t="s">
        <v>240</v>
      </c>
      <c r="G1244" s="598" t="s">
        <v>241</v>
      </c>
      <c r="J1244" s="560">
        <f t="shared" si="45"/>
        <v>0</v>
      </c>
    </row>
    <row r="1245" spans="5:10" ht="13.5" hidden="1" customHeight="1" x14ac:dyDescent="0.25">
      <c r="F1245" s="597" t="s">
        <v>242</v>
      </c>
      <c r="G1245" s="598" t="s">
        <v>243</v>
      </c>
      <c r="J1245" s="560">
        <f t="shared" si="45"/>
        <v>0</v>
      </c>
    </row>
    <row r="1246" spans="5:10" ht="13.5" hidden="1" customHeight="1" x14ac:dyDescent="0.25">
      <c r="F1246" s="597" t="s">
        <v>244</v>
      </c>
      <c r="G1246" s="598" t="s">
        <v>245</v>
      </c>
      <c r="J1246" s="560">
        <f t="shared" si="45"/>
        <v>0</v>
      </c>
    </row>
    <row r="1247" spans="5:10" ht="13.5" hidden="1" customHeight="1" x14ac:dyDescent="0.25">
      <c r="F1247" s="597" t="s">
        <v>246</v>
      </c>
      <c r="G1247" s="598" t="s">
        <v>4996</v>
      </c>
      <c r="J1247" s="560">
        <f t="shared" si="45"/>
        <v>0</v>
      </c>
    </row>
    <row r="1248" spans="5:10" ht="13.5" hidden="1" customHeight="1" x14ac:dyDescent="0.25">
      <c r="F1248" s="597" t="s">
        <v>247</v>
      </c>
      <c r="G1248" s="598" t="s">
        <v>4995</v>
      </c>
      <c r="J1248" s="560">
        <f t="shared" si="45"/>
        <v>0</v>
      </c>
    </row>
    <row r="1249" spans="5:10" ht="13.5" hidden="1" customHeight="1" x14ac:dyDescent="0.25">
      <c r="F1249" s="597" t="s">
        <v>248</v>
      </c>
      <c r="G1249" s="598" t="s">
        <v>57</v>
      </c>
      <c r="J1249" s="560">
        <f t="shared" si="45"/>
        <v>0</v>
      </c>
    </row>
    <row r="1250" spans="5:10" ht="13.5" hidden="1" customHeight="1" x14ac:dyDescent="0.25">
      <c r="F1250" s="597" t="s">
        <v>249</v>
      </c>
      <c r="G1250" s="598" t="s">
        <v>250</v>
      </c>
      <c r="J1250" s="560">
        <f t="shared" si="45"/>
        <v>0</v>
      </c>
    </row>
    <row r="1251" spans="5:10" ht="13.5" hidden="1" customHeight="1" x14ac:dyDescent="0.25">
      <c r="F1251" s="597" t="s">
        <v>251</v>
      </c>
      <c r="G1251" s="598" t="s">
        <v>252</v>
      </c>
      <c r="J1251" s="560">
        <f t="shared" si="45"/>
        <v>0</v>
      </c>
    </row>
    <row r="1252" spans="5:10" ht="13.5" hidden="1" customHeight="1" x14ac:dyDescent="0.25">
      <c r="F1252" s="597" t="s">
        <v>253</v>
      </c>
      <c r="G1252" s="598" t="s">
        <v>254</v>
      </c>
      <c r="J1252" s="560">
        <f t="shared" si="45"/>
        <v>0</v>
      </c>
    </row>
    <row r="1253" spans="5:10" ht="13.5" customHeight="1" thickBot="1" x14ac:dyDescent="0.3">
      <c r="F1253" s="597" t="s">
        <v>255</v>
      </c>
      <c r="G1253" s="598" t="s">
        <v>256</v>
      </c>
      <c r="H1253" s="555">
        <v>1500000</v>
      </c>
      <c r="J1253" s="560">
        <f t="shared" si="45"/>
        <v>1500000</v>
      </c>
    </row>
    <row r="1254" spans="5:10" ht="13.5" hidden="1" customHeight="1" x14ac:dyDescent="0.25">
      <c r="F1254" s="597" t="s">
        <v>257</v>
      </c>
      <c r="G1254" s="598" t="s">
        <v>258</v>
      </c>
      <c r="J1254" s="560">
        <f t="shared" si="45"/>
        <v>0</v>
      </c>
    </row>
    <row r="1255" spans="5:10" ht="13.5" hidden="1" customHeight="1" x14ac:dyDescent="0.25">
      <c r="F1255" s="597" t="s">
        <v>259</v>
      </c>
      <c r="G1255" s="598" t="s">
        <v>260</v>
      </c>
      <c r="J1255" s="560">
        <f t="shared" si="45"/>
        <v>0</v>
      </c>
    </row>
    <row r="1256" spans="5:10" ht="13.5" hidden="1" customHeight="1" thickBot="1" x14ac:dyDescent="0.3">
      <c r="F1256" s="597" t="s">
        <v>261</v>
      </c>
      <c r="G1256" s="598" t="s">
        <v>262</v>
      </c>
      <c r="H1256" s="559"/>
      <c r="I1256" s="560"/>
      <c r="J1256" s="560">
        <f t="shared" si="45"/>
        <v>0</v>
      </c>
    </row>
    <row r="1257" spans="5:10" ht="13.5" customHeight="1" thickBot="1" x14ac:dyDescent="0.3">
      <c r="G1257" s="268" t="s">
        <v>4240</v>
      </c>
      <c r="H1257" s="561">
        <f>SUM(H1241:H1256)</f>
        <v>1500000</v>
      </c>
      <c r="I1257" s="562">
        <f>SUM(I1242:I1256)</f>
        <v>0</v>
      </c>
      <c r="J1257" s="562">
        <f>SUM(J1241:J1256)</f>
        <v>1500000</v>
      </c>
    </row>
    <row r="1258" spans="5:10" ht="13.5" customHeight="1" x14ac:dyDescent="0.25">
      <c r="E1258" s="489"/>
      <c r="F1258" s="500"/>
      <c r="G1258" s="270" t="s">
        <v>5252</v>
      </c>
      <c r="H1258" s="563"/>
      <c r="I1258" s="584"/>
      <c r="J1258" s="564"/>
    </row>
    <row r="1259" spans="5:10" ht="13.5" hidden="1" customHeight="1" x14ac:dyDescent="0.25">
      <c r="E1259" s="693"/>
      <c r="F1259" s="597" t="s">
        <v>234</v>
      </c>
      <c r="G1259" s="598" t="s">
        <v>235</v>
      </c>
      <c r="H1259" s="559"/>
      <c r="I1259" s="560"/>
      <c r="J1259" s="560">
        <f>SUM(H1259:I1259)</f>
        <v>0</v>
      </c>
    </row>
    <row r="1260" spans="5:10" ht="13.5" hidden="1" customHeight="1" x14ac:dyDescent="0.25">
      <c r="F1260" s="597" t="s">
        <v>236</v>
      </c>
      <c r="G1260" s="598" t="s">
        <v>237</v>
      </c>
      <c r="J1260" s="560">
        <f t="shared" ref="J1260:J1274" si="46">SUM(H1260:I1260)</f>
        <v>0</v>
      </c>
    </row>
    <row r="1261" spans="5:10" ht="13.5" hidden="1" customHeight="1" x14ac:dyDescent="0.25">
      <c r="F1261" s="597" t="s">
        <v>238</v>
      </c>
      <c r="G1261" s="598" t="s">
        <v>239</v>
      </c>
      <c r="J1261" s="560">
        <f t="shared" si="46"/>
        <v>0</v>
      </c>
    </row>
    <row r="1262" spans="5:10" ht="13.5" hidden="1" customHeight="1" x14ac:dyDescent="0.25">
      <c r="F1262" s="597" t="s">
        <v>240</v>
      </c>
      <c r="G1262" s="598" t="s">
        <v>241</v>
      </c>
      <c r="J1262" s="560">
        <f t="shared" si="46"/>
        <v>0</v>
      </c>
    </row>
    <row r="1263" spans="5:10" ht="13.5" hidden="1" customHeight="1" x14ac:dyDescent="0.25">
      <c r="F1263" s="597" t="s">
        <v>242</v>
      </c>
      <c r="G1263" s="598" t="s">
        <v>243</v>
      </c>
      <c r="J1263" s="560">
        <f t="shared" si="46"/>
        <v>0</v>
      </c>
    </row>
    <row r="1264" spans="5:10" ht="13.5" hidden="1" customHeight="1" x14ac:dyDescent="0.25">
      <c r="F1264" s="597" t="s">
        <v>244</v>
      </c>
      <c r="G1264" s="598" t="s">
        <v>245</v>
      </c>
      <c r="J1264" s="560">
        <f t="shared" si="46"/>
        <v>0</v>
      </c>
    </row>
    <row r="1265" spans="3:10" ht="13.5" hidden="1" customHeight="1" x14ac:dyDescent="0.25">
      <c r="F1265" s="597" t="s">
        <v>246</v>
      </c>
      <c r="G1265" s="598" t="s">
        <v>4996</v>
      </c>
      <c r="J1265" s="560">
        <f t="shared" si="46"/>
        <v>0</v>
      </c>
    </row>
    <row r="1266" spans="3:10" ht="13.5" hidden="1" customHeight="1" x14ac:dyDescent="0.25">
      <c r="F1266" s="597" t="s">
        <v>247</v>
      </c>
      <c r="G1266" s="598" t="s">
        <v>4995</v>
      </c>
      <c r="J1266" s="560">
        <f t="shared" si="46"/>
        <v>0</v>
      </c>
    </row>
    <row r="1267" spans="3:10" ht="13.5" hidden="1" customHeight="1" x14ac:dyDescent="0.25">
      <c r="F1267" s="597" t="s">
        <v>248</v>
      </c>
      <c r="G1267" s="598" t="s">
        <v>57</v>
      </c>
      <c r="J1267" s="560">
        <f t="shared" si="46"/>
        <v>0</v>
      </c>
    </row>
    <row r="1268" spans="3:10" ht="13.5" hidden="1" customHeight="1" x14ac:dyDescent="0.25">
      <c r="F1268" s="597" t="s">
        <v>249</v>
      </c>
      <c r="G1268" s="598" t="s">
        <v>250</v>
      </c>
      <c r="J1268" s="560">
        <f t="shared" si="46"/>
        <v>0</v>
      </c>
    </row>
    <row r="1269" spans="3:10" ht="13.5" hidden="1" customHeight="1" x14ac:dyDescent="0.25">
      <c r="F1269" s="597" t="s">
        <v>251</v>
      </c>
      <c r="G1269" s="598" t="s">
        <v>252</v>
      </c>
      <c r="J1269" s="560">
        <f t="shared" si="46"/>
        <v>0</v>
      </c>
    </row>
    <row r="1270" spans="3:10" ht="13.5" hidden="1" customHeight="1" x14ac:dyDescent="0.25">
      <c r="F1270" s="597" t="s">
        <v>253</v>
      </c>
      <c r="G1270" s="598" t="s">
        <v>254</v>
      </c>
      <c r="J1270" s="560">
        <f t="shared" si="46"/>
        <v>0</v>
      </c>
    </row>
    <row r="1271" spans="3:10" ht="13.5" customHeight="1" thickBot="1" x14ac:dyDescent="0.3">
      <c r="F1271" s="597" t="s">
        <v>255</v>
      </c>
      <c r="G1271" s="598" t="s">
        <v>256</v>
      </c>
      <c r="H1271" s="555">
        <v>1500000</v>
      </c>
      <c r="J1271" s="560">
        <f t="shared" si="46"/>
        <v>1500000</v>
      </c>
    </row>
    <row r="1272" spans="3:10" ht="13.5" hidden="1" customHeight="1" x14ac:dyDescent="0.25">
      <c r="F1272" s="597" t="s">
        <v>257</v>
      </c>
      <c r="G1272" s="598" t="s">
        <v>258</v>
      </c>
      <c r="J1272" s="560">
        <f t="shared" si="46"/>
        <v>0</v>
      </c>
    </row>
    <row r="1273" spans="3:10" ht="13.5" hidden="1" customHeight="1" x14ac:dyDescent="0.25">
      <c r="F1273" s="597" t="s">
        <v>259</v>
      </c>
      <c r="G1273" s="598" t="s">
        <v>260</v>
      </c>
      <c r="J1273" s="560">
        <f t="shared" si="46"/>
        <v>0</v>
      </c>
    </row>
    <row r="1274" spans="3:10" ht="13.5" hidden="1" customHeight="1" thickBot="1" x14ac:dyDescent="0.3">
      <c r="F1274" s="597" t="s">
        <v>261</v>
      </c>
      <c r="G1274" s="598" t="s">
        <v>262</v>
      </c>
      <c r="H1274" s="559"/>
      <c r="I1274" s="560"/>
      <c r="J1274" s="560">
        <f t="shared" si="46"/>
        <v>0</v>
      </c>
    </row>
    <row r="1275" spans="3:10" ht="13.5" customHeight="1" thickBot="1" x14ac:dyDescent="0.3">
      <c r="G1275" s="268" t="s">
        <v>4910</v>
      </c>
      <c r="H1275" s="561">
        <f>SUM(H1259:H1274)</f>
        <v>1500000</v>
      </c>
      <c r="I1275" s="562">
        <f>SUM(I1260:I1274)</f>
        <v>0</v>
      </c>
      <c r="J1275" s="562">
        <f>SUM(J1259:J1274)</f>
        <v>1500000</v>
      </c>
    </row>
    <row r="1276" spans="3:10" ht="13.5" customHeight="1" x14ac:dyDescent="0.25">
      <c r="C1276" s="267" t="s">
        <v>4845</v>
      </c>
      <c r="D1276" s="259"/>
      <c r="G1276" s="483" t="s">
        <v>5254</v>
      </c>
    </row>
    <row r="1277" spans="3:10" ht="13.5" customHeight="1" x14ac:dyDescent="0.25">
      <c r="C1277" s="267"/>
      <c r="D1277" s="344">
        <v>130</v>
      </c>
      <c r="E1277" s="871"/>
      <c r="F1277" s="345"/>
      <c r="G1277" s="332" t="s">
        <v>112</v>
      </c>
    </row>
    <row r="1278" spans="3:10" ht="13.5" hidden="1" customHeight="1" x14ac:dyDescent="0.25">
      <c r="F1278" s="499">
        <v>411</v>
      </c>
      <c r="G1278" s="492" t="s">
        <v>4131</v>
      </c>
      <c r="J1278" s="556">
        <f>SUM(H1278:I1278)</f>
        <v>0</v>
      </c>
    </row>
    <row r="1279" spans="3:10" ht="13.5" hidden="1" customHeight="1" x14ac:dyDescent="0.25">
      <c r="F1279" s="499">
        <v>412</v>
      </c>
      <c r="G1279" s="488" t="s">
        <v>3766</v>
      </c>
      <c r="J1279" s="556">
        <f t="shared" ref="J1279:J1337" si="47">SUM(H1279:I1279)</f>
        <v>0</v>
      </c>
    </row>
    <row r="1280" spans="3:10" ht="13.5" hidden="1" customHeight="1" x14ac:dyDescent="0.25">
      <c r="F1280" s="499">
        <v>413</v>
      </c>
      <c r="G1280" s="492" t="s">
        <v>4132</v>
      </c>
      <c r="J1280" s="556">
        <f t="shared" si="47"/>
        <v>0</v>
      </c>
    </row>
    <row r="1281" spans="5:10" ht="13.5" hidden="1" customHeight="1" x14ac:dyDescent="0.25">
      <c r="F1281" s="499">
        <v>414</v>
      </c>
      <c r="G1281" s="492" t="s">
        <v>3769</v>
      </c>
      <c r="J1281" s="556">
        <f t="shared" si="47"/>
        <v>0</v>
      </c>
    </row>
    <row r="1282" spans="5:10" ht="13.5" hidden="1" customHeight="1" x14ac:dyDescent="0.25">
      <c r="F1282" s="499">
        <v>415</v>
      </c>
      <c r="G1282" s="492" t="s">
        <v>4141</v>
      </c>
      <c r="J1282" s="556">
        <f t="shared" si="47"/>
        <v>0</v>
      </c>
    </row>
    <row r="1283" spans="5:10" ht="13.5" hidden="1" customHeight="1" x14ac:dyDescent="0.25">
      <c r="F1283" s="499">
        <v>416</v>
      </c>
      <c r="G1283" s="492" t="s">
        <v>4142</v>
      </c>
      <c r="J1283" s="556">
        <f t="shared" si="47"/>
        <v>0</v>
      </c>
    </row>
    <row r="1284" spans="5:10" ht="13.5" hidden="1" customHeight="1" x14ac:dyDescent="0.25">
      <c r="F1284" s="499">
        <v>417</v>
      </c>
      <c r="G1284" s="492" t="s">
        <v>4143</v>
      </c>
      <c r="J1284" s="556">
        <f t="shared" si="47"/>
        <v>0</v>
      </c>
    </row>
    <row r="1285" spans="5:10" ht="13.5" hidden="1" customHeight="1" x14ac:dyDescent="0.25">
      <c r="F1285" s="499">
        <v>418</v>
      </c>
      <c r="G1285" s="492" t="s">
        <v>3775</v>
      </c>
      <c r="J1285" s="556">
        <f t="shared" si="47"/>
        <v>0</v>
      </c>
    </row>
    <row r="1286" spans="5:10" ht="13.5" hidden="1" customHeight="1" x14ac:dyDescent="0.25">
      <c r="F1286" s="499">
        <v>421</v>
      </c>
      <c r="G1286" s="492" t="s">
        <v>3779</v>
      </c>
      <c r="J1286" s="556">
        <f t="shared" si="47"/>
        <v>0</v>
      </c>
    </row>
    <row r="1287" spans="5:10" ht="13.5" hidden="1" customHeight="1" x14ac:dyDescent="0.25">
      <c r="F1287" s="499">
        <v>422</v>
      </c>
      <c r="G1287" s="492" t="s">
        <v>3780</v>
      </c>
      <c r="J1287" s="556">
        <f t="shared" si="47"/>
        <v>0</v>
      </c>
    </row>
    <row r="1288" spans="5:10" ht="13.5" customHeight="1" x14ac:dyDescent="0.25">
      <c r="E1288" s="679">
        <v>64</v>
      </c>
      <c r="F1288" s="499">
        <v>423</v>
      </c>
      <c r="G1288" s="492" t="s">
        <v>3781</v>
      </c>
      <c r="H1288" s="555">
        <v>700000</v>
      </c>
      <c r="J1288" s="556">
        <f t="shared" si="47"/>
        <v>700000</v>
      </c>
    </row>
    <row r="1289" spans="5:10" ht="13.5" hidden="1" customHeight="1" x14ac:dyDescent="0.25">
      <c r="F1289" s="499">
        <v>424</v>
      </c>
      <c r="G1289" s="492" t="s">
        <v>3783</v>
      </c>
      <c r="J1289" s="556">
        <f t="shared" si="47"/>
        <v>0</v>
      </c>
    </row>
    <row r="1290" spans="5:10" ht="13.5" hidden="1" customHeight="1" x14ac:dyDescent="0.25">
      <c r="F1290" s="499">
        <v>425</v>
      </c>
      <c r="G1290" s="492" t="s">
        <v>4144</v>
      </c>
      <c r="J1290" s="556">
        <f t="shared" si="47"/>
        <v>0</v>
      </c>
    </row>
    <row r="1291" spans="5:10" ht="13.5" hidden="1" customHeight="1" x14ac:dyDescent="0.25">
      <c r="F1291" s="499">
        <v>426</v>
      </c>
      <c r="G1291" s="492" t="s">
        <v>3787</v>
      </c>
      <c r="J1291" s="556">
        <f t="shared" si="47"/>
        <v>0</v>
      </c>
    </row>
    <row r="1292" spans="5:10" ht="13.5" hidden="1" customHeight="1" x14ac:dyDescent="0.25">
      <c r="F1292" s="499">
        <v>431</v>
      </c>
      <c r="G1292" s="492" t="s">
        <v>4145</v>
      </c>
      <c r="J1292" s="556">
        <f t="shared" si="47"/>
        <v>0</v>
      </c>
    </row>
    <row r="1293" spans="5:10" ht="13.5" hidden="1" customHeight="1" x14ac:dyDescent="0.25">
      <c r="F1293" s="499">
        <v>432</v>
      </c>
      <c r="G1293" s="492" t="s">
        <v>4146</v>
      </c>
      <c r="J1293" s="556">
        <f t="shared" si="47"/>
        <v>0</v>
      </c>
    </row>
    <row r="1294" spans="5:10" ht="13.5" hidden="1" customHeight="1" x14ac:dyDescent="0.25">
      <c r="F1294" s="499">
        <v>433</v>
      </c>
      <c r="G1294" s="492" t="s">
        <v>4147</v>
      </c>
      <c r="J1294" s="556">
        <f t="shared" si="47"/>
        <v>0</v>
      </c>
    </row>
    <row r="1295" spans="5:10" ht="13.5" hidden="1" customHeight="1" x14ac:dyDescent="0.25">
      <c r="F1295" s="499">
        <v>434</v>
      </c>
      <c r="G1295" s="492" t="s">
        <v>4148</v>
      </c>
      <c r="J1295" s="556">
        <f t="shared" si="47"/>
        <v>0</v>
      </c>
    </row>
    <row r="1296" spans="5:10" ht="13.5" hidden="1" customHeight="1" x14ac:dyDescent="0.25">
      <c r="F1296" s="499">
        <v>435</v>
      </c>
      <c r="G1296" s="492" t="s">
        <v>3794</v>
      </c>
      <c r="J1296" s="556">
        <f t="shared" si="47"/>
        <v>0</v>
      </c>
    </row>
    <row r="1297" spans="6:10" ht="13.5" hidden="1" customHeight="1" x14ac:dyDescent="0.25">
      <c r="F1297" s="499">
        <v>441</v>
      </c>
      <c r="G1297" s="492" t="s">
        <v>4149</v>
      </c>
      <c r="J1297" s="556">
        <f t="shared" si="47"/>
        <v>0</v>
      </c>
    </row>
    <row r="1298" spans="6:10" ht="13.5" hidden="1" customHeight="1" x14ac:dyDescent="0.25">
      <c r="F1298" s="499">
        <v>442</v>
      </c>
      <c r="G1298" s="492" t="s">
        <v>4150</v>
      </c>
      <c r="J1298" s="556">
        <f t="shared" si="47"/>
        <v>0</v>
      </c>
    </row>
    <row r="1299" spans="6:10" ht="13.5" hidden="1" customHeight="1" x14ac:dyDescent="0.25">
      <c r="F1299" s="499">
        <v>443</v>
      </c>
      <c r="G1299" s="492" t="s">
        <v>3799</v>
      </c>
      <c r="J1299" s="556">
        <f t="shared" si="47"/>
        <v>0</v>
      </c>
    </row>
    <row r="1300" spans="6:10" ht="13.5" hidden="1" customHeight="1" x14ac:dyDescent="0.25">
      <c r="F1300" s="499">
        <v>444</v>
      </c>
      <c r="G1300" s="492" t="s">
        <v>3800</v>
      </c>
      <c r="J1300" s="556">
        <f t="shared" si="47"/>
        <v>0</v>
      </c>
    </row>
    <row r="1301" spans="6:10" ht="13.5" hidden="1" customHeight="1" x14ac:dyDescent="0.25">
      <c r="F1301" s="499">
        <v>4511</v>
      </c>
      <c r="G1301" s="756" t="s">
        <v>1690</v>
      </c>
      <c r="J1301" s="556">
        <f t="shared" si="47"/>
        <v>0</v>
      </c>
    </row>
    <row r="1302" spans="6:10" ht="13.5" hidden="1" customHeight="1" x14ac:dyDescent="0.25">
      <c r="F1302" s="499">
        <v>4512</v>
      </c>
      <c r="G1302" s="756" t="s">
        <v>1699</v>
      </c>
      <c r="J1302" s="556">
        <f t="shared" si="47"/>
        <v>0</v>
      </c>
    </row>
    <row r="1303" spans="6:10" ht="13.5" hidden="1" customHeight="1" x14ac:dyDescent="0.25">
      <c r="F1303" s="499">
        <v>452</v>
      </c>
      <c r="G1303" s="492" t="s">
        <v>4151</v>
      </c>
      <c r="J1303" s="556">
        <f t="shared" si="47"/>
        <v>0</v>
      </c>
    </row>
    <row r="1304" spans="6:10" ht="13.5" hidden="1" customHeight="1" x14ac:dyDescent="0.25">
      <c r="F1304" s="499">
        <v>453</v>
      </c>
      <c r="G1304" s="492" t="s">
        <v>4152</v>
      </c>
      <c r="J1304" s="556">
        <f t="shared" si="47"/>
        <v>0</v>
      </c>
    </row>
    <row r="1305" spans="6:10" ht="13.5" hidden="1" customHeight="1" x14ac:dyDescent="0.25">
      <c r="F1305" s="499">
        <v>454</v>
      </c>
      <c r="G1305" s="492" t="s">
        <v>3805</v>
      </c>
      <c r="J1305" s="556">
        <f t="shared" si="47"/>
        <v>0</v>
      </c>
    </row>
    <row r="1306" spans="6:10" ht="13.5" hidden="1" customHeight="1" x14ac:dyDescent="0.25">
      <c r="F1306" s="499">
        <v>461</v>
      </c>
      <c r="G1306" s="492" t="s">
        <v>4133</v>
      </c>
      <c r="J1306" s="556">
        <f t="shared" si="47"/>
        <v>0</v>
      </c>
    </row>
    <row r="1307" spans="6:10" ht="13.5" hidden="1" customHeight="1" x14ac:dyDescent="0.25">
      <c r="F1307" s="499">
        <v>462</v>
      </c>
      <c r="G1307" s="492" t="s">
        <v>3808</v>
      </c>
      <c r="J1307" s="556">
        <f t="shared" si="47"/>
        <v>0</v>
      </c>
    </row>
    <row r="1308" spans="6:10" ht="13.5" hidden="1" customHeight="1" x14ac:dyDescent="0.25">
      <c r="F1308" s="499">
        <v>511</v>
      </c>
      <c r="G1308" s="492" t="s">
        <v>4158</v>
      </c>
      <c r="J1308" s="556">
        <f t="shared" si="47"/>
        <v>0</v>
      </c>
    </row>
    <row r="1309" spans="6:10" ht="13.5" hidden="1" customHeight="1" x14ac:dyDescent="0.25">
      <c r="F1309" s="499">
        <v>4632</v>
      </c>
      <c r="G1309" s="492" t="s">
        <v>3810</v>
      </c>
      <c r="J1309" s="556">
        <f t="shared" si="47"/>
        <v>0</v>
      </c>
    </row>
    <row r="1310" spans="6:10" ht="13.5" hidden="1" customHeight="1" x14ac:dyDescent="0.25">
      <c r="F1310" s="499">
        <v>464</v>
      </c>
      <c r="G1310" s="492" t="s">
        <v>3811</v>
      </c>
      <c r="J1310" s="556">
        <f t="shared" si="47"/>
        <v>0</v>
      </c>
    </row>
    <row r="1311" spans="6:10" ht="13.5" hidden="1" customHeight="1" x14ac:dyDescent="0.25">
      <c r="F1311" s="499">
        <v>465</v>
      </c>
      <c r="G1311" s="492" t="s">
        <v>4134</v>
      </c>
      <c r="J1311" s="556">
        <f t="shared" si="47"/>
        <v>0</v>
      </c>
    </row>
    <row r="1312" spans="6:10" ht="13.5" hidden="1" customHeight="1" x14ac:dyDescent="0.25">
      <c r="F1312" s="499">
        <v>472</v>
      </c>
      <c r="G1312" s="492" t="s">
        <v>3815</v>
      </c>
      <c r="J1312" s="556">
        <f t="shared" si="47"/>
        <v>0</v>
      </c>
    </row>
    <row r="1313" spans="5:10" ht="13.5" hidden="1" customHeight="1" x14ac:dyDescent="0.25">
      <c r="F1313" s="499">
        <v>481</v>
      </c>
      <c r="G1313" s="492" t="s">
        <v>4153</v>
      </c>
      <c r="J1313" s="556">
        <f t="shared" si="47"/>
        <v>0</v>
      </c>
    </row>
    <row r="1314" spans="5:10" ht="13.5" hidden="1" customHeight="1" x14ac:dyDescent="0.25">
      <c r="F1314" s="499">
        <v>482</v>
      </c>
      <c r="G1314" s="492" t="s">
        <v>4154</v>
      </c>
      <c r="J1314" s="556">
        <f t="shared" si="47"/>
        <v>0</v>
      </c>
    </row>
    <row r="1315" spans="5:10" ht="13.5" hidden="1" customHeight="1" x14ac:dyDescent="0.25">
      <c r="F1315" s="499">
        <v>483</v>
      </c>
      <c r="G1315" s="496" t="s">
        <v>4155</v>
      </c>
      <c r="J1315" s="556">
        <f t="shared" si="47"/>
        <v>0</v>
      </c>
    </row>
    <row r="1316" spans="5:10" ht="13.5" hidden="1" customHeight="1" x14ac:dyDescent="0.25">
      <c r="F1316" s="499">
        <v>484</v>
      </c>
      <c r="G1316" s="492" t="s">
        <v>4156</v>
      </c>
      <c r="J1316" s="556">
        <f t="shared" si="47"/>
        <v>0</v>
      </c>
    </row>
    <row r="1317" spans="5:10" ht="13.5" hidden="1" customHeight="1" x14ac:dyDescent="0.25">
      <c r="F1317" s="499">
        <v>485</v>
      </c>
      <c r="G1317" s="492" t="s">
        <v>4157</v>
      </c>
      <c r="J1317" s="556">
        <f t="shared" si="47"/>
        <v>0</v>
      </c>
    </row>
    <row r="1318" spans="5:10" ht="13.5" hidden="1" customHeight="1" x14ac:dyDescent="0.25">
      <c r="F1318" s="499">
        <v>489</v>
      </c>
      <c r="G1318" s="492" t="s">
        <v>3823</v>
      </c>
      <c r="J1318" s="556">
        <f t="shared" si="47"/>
        <v>0</v>
      </c>
    </row>
    <row r="1319" spans="5:10" ht="13.5" hidden="1" customHeight="1" x14ac:dyDescent="0.25">
      <c r="F1319" s="499">
        <v>494</v>
      </c>
      <c r="G1319" s="492" t="s">
        <v>4135</v>
      </c>
      <c r="J1319" s="556">
        <f t="shared" si="47"/>
        <v>0</v>
      </c>
    </row>
    <row r="1320" spans="5:10" ht="13.5" hidden="1" customHeight="1" x14ac:dyDescent="0.25">
      <c r="F1320" s="499">
        <v>495</v>
      </c>
      <c r="G1320" s="492" t="s">
        <v>4136</v>
      </c>
      <c r="J1320" s="556">
        <f t="shared" si="47"/>
        <v>0</v>
      </c>
    </row>
    <row r="1321" spans="5:10" ht="13.5" hidden="1" customHeight="1" x14ac:dyDescent="0.25">
      <c r="F1321" s="499">
        <v>496</v>
      </c>
      <c r="G1321" s="492" t="s">
        <v>4137</v>
      </c>
      <c r="J1321" s="556">
        <f t="shared" si="47"/>
        <v>0</v>
      </c>
    </row>
    <row r="1322" spans="5:10" ht="13.5" hidden="1" customHeight="1" x14ac:dyDescent="0.25">
      <c r="F1322" s="499">
        <v>499</v>
      </c>
      <c r="G1322" s="492" t="s">
        <v>4138</v>
      </c>
      <c r="J1322" s="556">
        <f t="shared" si="47"/>
        <v>0</v>
      </c>
    </row>
    <row r="1323" spans="5:10" ht="13.5" hidden="1" customHeight="1" x14ac:dyDescent="0.25">
      <c r="E1323" s="679">
        <v>51</v>
      </c>
      <c r="F1323" s="499">
        <v>511</v>
      </c>
      <c r="G1323" s="496" t="s">
        <v>5253</v>
      </c>
      <c r="H1323" s="555">
        <v>0</v>
      </c>
      <c r="J1323" s="556">
        <f t="shared" si="47"/>
        <v>0</v>
      </c>
    </row>
    <row r="1324" spans="5:10" ht="13.5" customHeight="1" thickBot="1" x14ac:dyDescent="0.3">
      <c r="E1324" s="679">
        <v>65</v>
      </c>
      <c r="F1324" s="499">
        <v>512</v>
      </c>
      <c r="G1324" s="496" t="s">
        <v>4159</v>
      </c>
      <c r="H1324" s="555">
        <v>50000</v>
      </c>
      <c r="J1324" s="556">
        <f t="shared" si="47"/>
        <v>50000</v>
      </c>
    </row>
    <row r="1325" spans="5:10" ht="13.5" hidden="1" customHeight="1" x14ac:dyDescent="0.25">
      <c r="F1325" s="499">
        <v>513</v>
      </c>
      <c r="G1325" s="496" t="s">
        <v>4160</v>
      </c>
      <c r="J1325" s="556">
        <f t="shared" si="47"/>
        <v>0</v>
      </c>
    </row>
    <row r="1326" spans="5:10" ht="13.5" hidden="1" customHeight="1" x14ac:dyDescent="0.25">
      <c r="F1326" s="499">
        <v>514</v>
      </c>
      <c r="G1326" s="492" t="s">
        <v>4161</v>
      </c>
      <c r="J1326" s="556">
        <f t="shared" si="47"/>
        <v>0</v>
      </c>
    </row>
    <row r="1327" spans="5:10" ht="13.5" hidden="1" customHeight="1" x14ac:dyDescent="0.25">
      <c r="F1327" s="499">
        <v>515</v>
      </c>
      <c r="G1327" s="492" t="s">
        <v>3834</v>
      </c>
      <c r="J1327" s="556">
        <f t="shared" si="47"/>
        <v>0</v>
      </c>
    </row>
    <row r="1328" spans="5:10" ht="13.5" hidden="1" customHeight="1" x14ac:dyDescent="0.25">
      <c r="F1328" s="499">
        <v>521</v>
      </c>
      <c r="G1328" s="492" t="s">
        <v>4162</v>
      </c>
      <c r="J1328" s="556">
        <f t="shared" si="47"/>
        <v>0</v>
      </c>
    </row>
    <row r="1329" spans="5:10" ht="13.5" hidden="1" customHeight="1" x14ac:dyDescent="0.25">
      <c r="F1329" s="499">
        <v>522</v>
      </c>
      <c r="G1329" s="492" t="s">
        <v>4163</v>
      </c>
      <c r="J1329" s="556">
        <f t="shared" si="47"/>
        <v>0</v>
      </c>
    </row>
    <row r="1330" spans="5:10" ht="13.5" hidden="1" customHeight="1" x14ac:dyDescent="0.25">
      <c r="F1330" s="499">
        <v>523</v>
      </c>
      <c r="G1330" s="492" t="s">
        <v>3839</v>
      </c>
      <c r="J1330" s="556">
        <f t="shared" si="47"/>
        <v>0</v>
      </c>
    </row>
    <row r="1331" spans="5:10" ht="13.5" hidden="1" customHeight="1" x14ac:dyDescent="0.25">
      <c r="F1331" s="499">
        <v>531</v>
      </c>
      <c r="G1331" s="488" t="s">
        <v>4139</v>
      </c>
      <c r="J1331" s="556">
        <f t="shared" si="47"/>
        <v>0</v>
      </c>
    </row>
    <row r="1332" spans="5:10" ht="13.5" hidden="1" customHeight="1" x14ac:dyDescent="0.25">
      <c r="F1332" s="499">
        <v>541</v>
      </c>
      <c r="G1332" s="492" t="s">
        <v>4164</v>
      </c>
      <c r="J1332" s="556">
        <f t="shared" si="47"/>
        <v>0</v>
      </c>
    </row>
    <row r="1333" spans="5:10" ht="13.5" hidden="1" customHeight="1" x14ac:dyDescent="0.25">
      <c r="F1333" s="499">
        <v>542</v>
      </c>
      <c r="G1333" s="492" t="s">
        <v>4165</v>
      </c>
      <c r="J1333" s="556">
        <f t="shared" si="47"/>
        <v>0</v>
      </c>
    </row>
    <row r="1334" spans="5:10" ht="13.5" hidden="1" customHeight="1" x14ac:dyDescent="0.25">
      <c r="F1334" s="499">
        <v>543</v>
      </c>
      <c r="G1334" s="492" t="s">
        <v>3844</v>
      </c>
      <c r="J1334" s="556">
        <f t="shared" si="47"/>
        <v>0</v>
      </c>
    </row>
    <row r="1335" spans="5:10" ht="13.5" hidden="1" customHeight="1" x14ac:dyDescent="0.25">
      <c r="F1335" s="499">
        <v>551</v>
      </c>
      <c r="G1335" s="492" t="s">
        <v>4140</v>
      </c>
      <c r="J1335" s="556">
        <f t="shared" si="47"/>
        <v>0</v>
      </c>
    </row>
    <row r="1336" spans="5:10" ht="13.5" hidden="1" customHeight="1" x14ac:dyDescent="0.25">
      <c r="F1336" s="500">
        <v>611</v>
      </c>
      <c r="G1336" s="498" t="s">
        <v>3850</v>
      </c>
      <c r="J1336" s="556">
        <f t="shared" si="47"/>
        <v>0</v>
      </c>
    </row>
    <row r="1337" spans="5:10" ht="13.5" hidden="1" customHeight="1" thickBot="1" x14ac:dyDescent="0.3">
      <c r="F1337" s="500">
        <v>620</v>
      </c>
      <c r="G1337" s="498" t="s">
        <v>88</v>
      </c>
      <c r="J1337" s="556">
        <f t="shared" si="47"/>
        <v>0</v>
      </c>
    </row>
    <row r="1338" spans="5:10" ht="13.5" customHeight="1" x14ac:dyDescent="0.25">
      <c r="E1338" s="489"/>
      <c r="F1338" s="500"/>
      <c r="G1338" s="343" t="s">
        <v>4315</v>
      </c>
      <c r="H1338" s="557"/>
      <c r="I1338" s="583"/>
      <c r="J1338" s="558"/>
    </row>
    <row r="1339" spans="5:10" ht="13.5" customHeight="1" thickBot="1" x14ac:dyDescent="0.3">
      <c r="E1339" s="693"/>
      <c r="F1339" s="597" t="s">
        <v>234</v>
      </c>
      <c r="G1339" s="598" t="s">
        <v>235</v>
      </c>
      <c r="H1339" s="559">
        <f>SUM(H1288:H1324)</f>
        <v>750000</v>
      </c>
      <c r="I1339" s="560"/>
      <c r="J1339" s="560">
        <f t="shared" ref="J1339:J1354" si="48">SUM(H1339:I1339)</f>
        <v>750000</v>
      </c>
    </row>
    <row r="1340" spans="5:10" ht="13.5" hidden="1" customHeight="1" x14ac:dyDescent="0.25">
      <c r="F1340" s="597" t="s">
        <v>236</v>
      </c>
      <c r="G1340" s="598" t="s">
        <v>237</v>
      </c>
      <c r="J1340" s="560">
        <f t="shared" si="48"/>
        <v>0</v>
      </c>
    </row>
    <row r="1341" spans="5:10" ht="13.5" hidden="1" customHeight="1" x14ac:dyDescent="0.25">
      <c r="F1341" s="597" t="s">
        <v>238</v>
      </c>
      <c r="G1341" s="598" t="s">
        <v>239</v>
      </c>
      <c r="J1341" s="560">
        <f t="shared" si="48"/>
        <v>0</v>
      </c>
    </row>
    <row r="1342" spans="5:10" ht="13.5" hidden="1" customHeight="1" x14ac:dyDescent="0.25">
      <c r="F1342" s="597" t="s">
        <v>240</v>
      </c>
      <c r="G1342" s="598" t="s">
        <v>241</v>
      </c>
      <c r="J1342" s="560">
        <f t="shared" si="48"/>
        <v>0</v>
      </c>
    </row>
    <row r="1343" spans="5:10" ht="13.5" hidden="1" customHeight="1" x14ac:dyDescent="0.25">
      <c r="F1343" s="597" t="s">
        <v>242</v>
      </c>
      <c r="G1343" s="598" t="s">
        <v>243</v>
      </c>
      <c r="J1343" s="560">
        <f t="shared" si="48"/>
        <v>0</v>
      </c>
    </row>
    <row r="1344" spans="5:10" ht="13.5" hidden="1" customHeight="1" x14ac:dyDescent="0.25">
      <c r="F1344" s="597" t="s">
        <v>244</v>
      </c>
      <c r="G1344" s="598" t="s">
        <v>245</v>
      </c>
      <c r="J1344" s="560">
        <f t="shared" si="48"/>
        <v>0</v>
      </c>
    </row>
    <row r="1345" spans="5:10" ht="13.5" hidden="1" customHeight="1" x14ac:dyDescent="0.25">
      <c r="F1345" s="597" t="s">
        <v>246</v>
      </c>
      <c r="G1345" s="598" t="s">
        <v>4996</v>
      </c>
      <c r="J1345" s="560">
        <f t="shared" si="48"/>
        <v>0</v>
      </c>
    </row>
    <row r="1346" spans="5:10" ht="13.5" hidden="1" customHeight="1" x14ac:dyDescent="0.25">
      <c r="F1346" s="597" t="s">
        <v>247</v>
      </c>
      <c r="G1346" s="598" t="s">
        <v>4995</v>
      </c>
      <c r="J1346" s="560">
        <f t="shared" si="48"/>
        <v>0</v>
      </c>
    </row>
    <row r="1347" spans="5:10" ht="13.5" hidden="1" customHeight="1" x14ac:dyDescent="0.25">
      <c r="F1347" s="597" t="s">
        <v>248</v>
      </c>
      <c r="G1347" s="598" t="s">
        <v>57</v>
      </c>
      <c r="J1347" s="560">
        <f t="shared" si="48"/>
        <v>0</v>
      </c>
    </row>
    <row r="1348" spans="5:10" ht="13.5" hidden="1" customHeight="1" x14ac:dyDescent="0.25">
      <c r="F1348" s="597" t="s">
        <v>249</v>
      </c>
      <c r="G1348" s="598" t="s">
        <v>250</v>
      </c>
      <c r="J1348" s="560">
        <f t="shared" si="48"/>
        <v>0</v>
      </c>
    </row>
    <row r="1349" spans="5:10" ht="13.5" hidden="1" customHeight="1" x14ac:dyDescent="0.25">
      <c r="F1349" s="597" t="s">
        <v>251</v>
      </c>
      <c r="G1349" s="598" t="s">
        <v>252</v>
      </c>
      <c r="J1349" s="560">
        <f t="shared" si="48"/>
        <v>0</v>
      </c>
    </row>
    <row r="1350" spans="5:10" ht="13.5" hidden="1" customHeight="1" x14ac:dyDescent="0.25">
      <c r="F1350" s="597" t="s">
        <v>253</v>
      </c>
      <c r="G1350" s="598" t="s">
        <v>254</v>
      </c>
      <c r="J1350" s="560">
        <f t="shared" si="48"/>
        <v>0</v>
      </c>
    </row>
    <row r="1351" spans="5:10" ht="13.5" hidden="1" customHeight="1" x14ac:dyDescent="0.25">
      <c r="F1351" s="597" t="s">
        <v>255</v>
      </c>
      <c r="G1351" s="598" t="s">
        <v>256</v>
      </c>
      <c r="H1351" s="555">
        <v>0</v>
      </c>
      <c r="J1351" s="560">
        <f t="shared" si="48"/>
        <v>0</v>
      </c>
    </row>
    <row r="1352" spans="5:10" ht="13.5" hidden="1" customHeight="1" x14ac:dyDescent="0.25">
      <c r="F1352" s="597" t="s">
        <v>257</v>
      </c>
      <c r="G1352" s="598" t="s">
        <v>258</v>
      </c>
      <c r="J1352" s="560">
        <f t="shared" si="48"/>
        <v>0</v>
      </c>
    </row>
    <row r="1353" spans="5:10" ht="13.5" hidden="1" customHeight="1" x14ac:dyDescent="0.25">
      <c r="F1353" s="597" t="s">
        <v>259</v>
      </c>
      <c r="G1353" s="598" t="s">
        <v>260</v>
      </c>
      <c r="J1353" s="560">
        <f t="shared" si="48"/>
        <v>0</v>
      </c>
    </row>
    <row r="1354" spans="5:10" ht="13.5" hidden="1" customHeight="1" thickBot="1" x14ac:dyDescent="0.3">
      <c r="F1354" s="597" t="s">
        <v>261</v>
      </c>
      <c r="G1354" s="598" t="s">
        <v>262</v>
      </c>
      <c r="H1354" s="559"/>
      <c r="I1354" s="560"/>
      <c r="J1354" s="560">
        <f t="shared" si="48"/>
        <v>0</v>
      </c>
    </row>
    <row r="1355" spans="5:10" ht="13.5" customHeight="1" thickBot="1" x14ac:dyDescent="0.3">
      <c r="G1355" s="268" t="s">
        <v>4240</v>
      </c>
      <c r="H1355" s="561">
        <f>SUM(H1339:H1354)</f>
        <v>750000</v>
      </c>
      <c r="I1355" s="562">
        <f>SUM(I1340:I1354)</f>
        <v>0</v>
      </c>
      <c r="J1355" s="562">
        <f>SUM(J1339:J1354)</f>
        <v>750000</v>
      </c>
    </row>
    <row r="1356" spans="5:10" ht="13.5" customHeight="1" x14ac:dyDescent="0.25">
      <c r="E1356" s="489"/>
      <c r="F1356" s="500"/>
      <c r="G1356" s="270" t="s">
        <v>5255</v>
      </c>
      <c r="H1356" s="563"/>
      <c r="I1356" s="584"/>
      <c r="J1356" s="564"/>
    </row>
    <row r="1357" spans="5:10" ht="13.5" customHeight="1" thickBot="1" x14ac:dyDescent="0.3">
      <c r="E1357" s="693"/>
      <c r="F1357" s="597" t="s">
        <v>234</v>
      </c>
      <c r="G1357" s="598" t="s">
        <v>235</v>
      </c>
      <c r="H1357" s="559">
        <f>SUM(H1339)</f>
        <v>750000</v>
      </c>
      <c r="I1357" s="560"/>
      <c r="J1357" s="560">
        <f>SUM(H1357:I1357)</f>
        <v>750000</v>
      </c>
    </row>
    <row r="1358" spans="5:10" ht="13.5" hidden="1" customHeight="1" x14ac:dyDescent="0.25">
      <c r="F1358" s="597" t="s">
        <v>236</v>
      </c>
      <c r="G1358" s="598" t="s">
        <v>237</v>
      </c>
      <c r="J1358" s="560">
        <f t="shared" ref="J1358:J1372" si="49">SUM(H1358:I1358)</f>
        <v>0</v>
      </c>
    </row>
    <row r="1359" spans="5:10" ht="13.5" hidden="1" customHeight="1" x14ac:dyDescent="0.25">
      <c r="F1359" s="597" t="s">
        <v>238</v>
      </c>
      <c r="G1359" s="598" t="s">
        <v>239</v>
      </c>
      <c r="J1359" s="560">
        <f t="shared" si="49"/>
        <v>0</v>
      </c>
    </row>
    <row r="1360" spans="5:10" ht="13.5" hidden="1" customHeight="1" x14ac:dyDescent="0.25">
      <c r="F1360" s="597" t="s">
        <v>240</v>
      </c>
      <c r="G1360" s="598" t="s">
        <v>241</v>
      </c>
      <c r="J1360" s="560">
        <f t="shared" si="49"/>
        <v>0</v>
      </c>
    </row>
    <row r="1361" spans="1:10" ht="13.5" hidden="1" customHeight="1" x14ac:dyDescent="0.25">
      <c r="F1361" s="597" t="s">
        <v>242</v>
      </c>
      <c r="G1361" s="598" t="s">
        <v>243</v>
      </c>
      <c r="J1361" s="560">
        <f t="shared" si="49"/>
        <v>0</v>
      </c>
    </row>
    <row r="1362" spans="1:10" ht="13.5" hidden="1" customHeight="1" x14ac:dyDescent="0.25">
      <c r="F1362" s="597" t="s">
        <v>244</v>
      </c>
      <c r="G1362" s="598" t="s">
        <v>245</v>
      </c>
      <c r="J1362" s="560">
        <f t="shared" si="49"/>
        <v>0</v>
      </c>
    </row>
    <row r="1363" spans="1:10" ht="13.5" hidden="1" customHeight="1" x14ac:dyDescent="0.25">
      <c r="F1363" s="597" t="s">
        <v>246</v>
      </c>
      <c r="G1363" s="598" t="s">
        <v>4996</v>
      </c>
      <c r="J1363" s="560">
        <f t="shared" si="49"/>
        <v>0</v>
      </c>
    </row>
    <row r="1364" spans="1:10" ht="13.5" hidden="1" customHeight="1" x14ac:dyDescent="0.25">
      <c r="F1364" s="597" t="s">
        <v>247</v>
      </c>
      <c r="G1364" s="598" t="s">
        <v>4995</v>
      </c>
      <c r="J1364" s="560">
        <f t="shared" si="49"/>
        <v>0</v>
      </c>
    </row>
    <row r="1365" spans="1:10" ht="13.5" hidden="1" customHeight="1" x14ac:dyDescent="0.25">
      <c r="F1365" s="597" t="s">
        <v>248</v>
      </c>
      <c r="G1365" s="598" t="s">
        <v>57</v>
      </c>
      <c r="J1365" s="560">
        <f t="shared" si="49"/>
        <v>0</v>
      </c>
    </row>
    <row r="1366" spans="1:10" ht="13.5" hidden="1" customHeight="1" x14ac:dyDescent="0.25">
      <c r="F1366" s="597" t="s">
        <v>249</v>
      </c>
      <c r="G1366" s="598" t="s">
        <v>250</v>
      </c>
      <c r="J1366" s="560">
        <f t="shared" si="49"/>
        <v>0</v>
      </c>
    </row>
    <row r="1367" spans="1:10" ht="13.5" hidden="1" customHeight="1" x14ac:dyDescent="0.25">
      <c r="F1367" s="597" t="s">
        <v>251</v>
      </c>
      <c r="G1367" s="598" t="s">
        <v>252</v>
      </c>
      <c r="J1367" s="560">
        <f t="shared" si="49"/>
        <v>0</v>
      </c>
    </row>
    <row r="1368" spans="1:10" ht="13.5" hidden="1" customHeight="1" x14ac:dyDescent="0.25">
      <c r="F1368" s="597" t="s">
        <v>253</v>
      </c>
      <c r="G1368" s="598" t="s">
        <v>254</v>
      </c>
      <c r="J1368" s="560">
        <f t="shared" si="49"/>
        <v>0</v>
      </c>
    </row>
    <row r="1369" spans="1:10" ht="13.5" hidden="1" customHeight="1" x14ac:dyDescent="0.25">
      <c r="F1369" s="597" t="s">
        <v>255</v>
      </c>
      <c r="G1369" s="598" t="s">
        <v>256</v>
      </c>
      <c r="J1369" s="560">
        <f t="shared" si="49"/>
        <v>0</v>
      </c>
    </row>
    <row r="1370" spans="1:10" ht="13.5" hidden="1" customHeight="1" x14ac:dyDescent="0.25">
      <c r="F1370" s="597" t="s">
        <v>257</v>
      </c>
      <c r="G1370" s="598" t="s">
        <v>258</v>
      </c>
      <c r="J1370" s="560">
        <f t="shared" si="49"/>
        <v>0</v>
      </c>
    </row>
    <row r="1371" spans="1:10" ht="14.25" hidden="1" customHeight="1" x14ac:dyDescent="0.25">
      <c r="F1371" s="597" t="s">
        <v>259</v>
      </c>
      <c r="G1371" s="598" t="s">
        <v>260</v>
      </c>
      <c r="J1371" s="560">
        <f t="shared" si="49"/>
        <v>0</v>
      </c>
    </row>
    <row r="1372" spans="1:10" ht="15.75" hidden="1" thickBot="1" x14ac:dyDescent="0.3">
      <c r="F1372" s="597" t="s">
        <v>261</v>
      </c>
      <c r="G1372" s="598" t="s">
        <v>262</v>
      </c>
      <c r="H1372" s="559"/>
      <c r="I1372" s="560"/>
      <c r="J1372" s="560">
        <f t="shared" si="49"/>
        <v>0</v>
      </c>
    </row>
    <row r="1373" spans="1:10" ht="15.75" thickBot="1" x14ac:dyDescent="0.3">
      <c r="G1373" s="268" t="s">
        <v>5413</v>
      </c>
      <c r="H1373" s="561">
        <f>SUM(H1357:H1372)</f>
        <v>750000</v>
      </c>
      <c r="I1373" s="562">
        <f>SUM(I1358:I1372)</f>
        <v>0</v>
      </c>
      <c r="J1373" s="562">
        <f>SUM(J1357:J1372)</f>
        <v>750000</v>
      </c>
    </row>
    <row r="1374" spans="1:10" hidden="1" x14ac:dyDescent="0.25">
      <c r="A1374" s="84"/>
      <c r="B1374" s="84"/>
      <c r="C1374" s="84"/>
      <c r="D1374" s="84"/>
      <c r="E1374" s="84"/>
      <c r="F1374" s="84"/>
      <c r="G1374" s="84"/>
      <c r="H1374" s="84"/>
      <c r="I1374" s="84"/>
      <c r="J1374" s="84"/>
    </row>
    <row r="1375" spans="1:10" x14ac:dyDescent="0.25">
      <c r="C1375" s="267" t="s">
        <v>4098</v>
      </c>
      <c r="D1375" s="259"/>
      <c r="G1375" s="490" t="s">
        <v>5027</v>
      </c>
    </row>
    <row r="1376" spans="1:10" ht="30" x14ac:dyDescent="0.25">
      <c r="C1376" s="267"/>
      <c r="D1376" s="331">
        <v>160</v>
      </c>
      <c r="E1376" s="869"/>
      <c r="F1376" s="331"/>
      <c r="G1376" s="332" t="s">
        <v>118</v>
      </c>
    </row>
    <row r="1377" spans="6:10" hidden="1" x14ac:dyDescent="0.25">
      <c r="F1377" s="499">
        <v>411</v>
      </c>
      <c r="G1377" s="492" t="s">
        <v>4131</v>
      </c>
      <c r="J1377" s="556">
        <f>SUM(H1377:I1377)</f>
        <v>0</v>
      </c>
    </row>
    <row r="1378" spans="6:10" hidden="1" x14ac:dyDescent="0.25">
      <c r="F1378" s="499">
        <v>412</v>
      </c>
      <c r="G1378" s="488" t="s">
        <v>3766</v>
      </c>
      <c r="J1378" s="556">
        <f t="shared" ref="J1378:J1436" si="50">SUM(H1378:I1378)</f>
        <v>0</v>
      </c>
    </row>
    <row r="1379" spans="6:10" hidden="1" x14ac:dyDescent="0.25">
      <c r="F1379" s="499">
        <v>413</v>
      </c>
      <c r="G1379" s="492" t="s">
        <v>4132</v>
      </c>
      <c r="J1379" s="556">
        <f t="shared" si="50"/>
        <v>0</v>
      </c>
    </row>
    <row r="1380" spans="6:10" hidden="1" x14ac:dyDescent="0.25">
      <c r="F1380" s="499">
        <v>414</v>
      </c>
      <c r="G1380" s="492" t="s">
        <v>3769</v>
      </c>
      <c r="J1380" s="556">
        <f t="shared" si="50"/>
        <v>0</v>
      </c>
    </row>
    <row r="1381" spans="6:10" hidden="1" x14ac:dyDescent="0.25">
      <c r="F1381" s="499">
        <v>415</v>
      </c>
      <c r="G1381" s="492" t="s">
        <v>4141</v>
      </c>
      <c r="J1381" s="556">
        <f t="shared" si="50"/>
        <v>0</v>
      </c>
    </row>
    <row r="1382" spans="6:10" hidden="1" x14ac:dyDescent="0.25">
      <c r="F1382" s="499">
        <v>416</v>
      </c>
      <c r="G1382" s="492" t="s">
        <v>4142</v>
      </c>
      <c r="J1382" s="556">
        <f t="shared" si="50"/>
        <v>0</v>
      </c>
    </row>
    <row r="1383" spans="6:10" hidden="1" x14ac:dyDescent="0.25">
      <c r="F1383" s="499">
        <v>417</v>
      </c>
      <c r="G1383" s="492" t="s">
        <v>4143</v>
      </c>
      <c r="J1383" s="556">
        <f t="shared" si="50"/>
        <v>0</v>
      </c>
    </row>
    <row r="1384" spans="6:10" hidden="1" x14ac:dyDescent="0.25">
      <c r="F1384" s="499">
        <v>418</v>
      </c>
      <c r="G1384" s="492" t="s">
        <v>3775</v>
      </c>
      <c r="J1384" s="556">
        <f t="shared" si="50"/>
        <v>0</v>
      </c>
    </row>
    <row r="1385" spans="6:10" hidden="1" x14ac:dyDescent="0.25">
      <c r="F1385" s="499">
        <v>421</v>
      </c>
      <c r="G1385" s="492" t="s">
        <v>3779</v>
      </c>
      <c r="J1385" s="556">
        <f t="shared" si="50"/>
        <v>0</v>
      </c>
    </row>
    <row r="1386" spans="6:10" hidden="1" x14ac:dyDescent="0.25">
      <c r="F1386" s="499">
        <v>422</v>
      </c>
      <c r="G1386" s="492" t="s">
        <v>3780</v>
      </c>
      <c r="J1386" s="556">
        <f t="shared" si="50"/>
        <v>0</v>
      </c>
    </row>
    <row r="1387" spans="6:10" hidden="1" x14ac:dyDescent="0.25">
      <c r="F1387" s="499">
        <v>423</v>
      </c>
      <c r="G1387" s="492" t="s">
        <v>3781</v>
      </c>
      <c r="J1387" s="556">
        <f t="shared" si="50"/>
        <v>0</v>
      </c>
    </row>
    <row r="1388" spans="6:10" hidden="1" x14ac:dyDescent="0.25">
      <c r="F1388" s="499">
        <v>424</v>
      </c>
      <c r="G1388" s="492" t="s">
        <v>3783</v>
      </c>
      <c r="J1388" s="556">
        <f t="shared" si="50"/>
        <v>0</v>
      </c>
    </row>
    <row r="1389" spans="6:10" hidden="1" x14ac:dyDescent="0.25">
      <c r="F1389" s="499">
        <v>425</v>
      </c>
      <c r="G1389" s="492" t="s">
        <v>4144</v>
      </c>
      <c r="J1389" s="556">
        <f t="shared" si="50"/>
        <v>0</v>
      </c>
    </row>
    <row r="1390" spans="6:10" hidden="1" x14ac:dyDescent="0.25">
      <c r="F1390" s="499">
        <v>426</v>
      </c>
      <c r="G1390" s="492" t="s">
        <v>3787</v>
      </c>
      <c r="J1390" s="556">
        <f t="shared" si="50"/>
        <v>0</v>
      </c>
    </row>
    <row r="1391" spans="6:10" hidden="1" x14ac:dyDescent="0.25">
      <c r="F1391" s="499">
        <v>431</v>
      </c>
      <c r="G1391" s="492" t="s">
        <v>4145</v>
      </c>
      <c r="J1391" s="556">
        <f t="shared" si="50"/>
        <v>0</v>
      </c>
    </row>
    <row r="1392" spans="6:10" hidden="1" x14ac:dyDescent="0.25">
      <c r="F1392" s="499">
        <v>432</v>
      </c>
      <c r="G1392" s="492" t="s">
        <v>4146</v>
      </c>
      <c r="J1392" s="556">
        <f t="shared" si="50"/>
        <v>0</v>
      </c>
    </row>
    <row r="1393" spans="5:10" hidden="1" x14ac:dyDescent="0.25">
      <c r="F1393" s="499">
        <v>433</v>
      </c>
      <c r="G1393" s="492" t="s">
        <v>4147</v>
      </c>
      <c r="J1393" s="556">
        <f t="shared" si="50"/>
        <v>0</v>
      </c>
    </row>
    <row r="1394" spans="5:10" hidden="1" x14ac:dyDescent="0.25">
      <c r="F1394" s="499">
        <v>434</v>
      </c>
      <c r="G1394" s="492" t="s">
        <v>4148</v>
      </c>
      <c r="J1394" s="556">
        <f t="shared" si="50"/>
        <v>0</v>
      </c>
    </row>
    <row r="1395" spans="5:10" hidden="1" x14ac:dyDescent="0.25">
      <c r="F1395" s="499">
        <v>435</v>
      </c>
      <c r="G1395" s="492" t="s">
        <v>3794</v>
      </c>
      <c r="J1395" s="556">
        <f t="shared" si="50"/>
        <v>0</v>
      </c>
    </row>
    <row r="1396" spans="5:10" hidden="1" x14ac:dyDescent="0.25">
      <c r="F1396" s="499">
        <v>441</v>
      </c>
      <c r="G1396" s="492" t="s">
        <v>4149</v>
      </c>
      <c r="J1396" s="556">
        <f t="shared" si="50"/>
        <v>0</v>
      </c>
    </row>
    <row r="1397" spans="5:10" hidden="1" x14ac:dyDescent="0.25">
      <c r="F1397" s="499">
        <v>442</v>
      </c>
      <c r="G1397" s="492" t="s">
        <v>4150</v>
      </c>
      <c r="J1397" s="556">
        <f t="shared" si="50"/>
        <v>0</v>
      </c>
    </row>
    <row r="1398" spans="5:10" hidden="1" x14ac:dyDescent="0.25">
      <c r="F1398" s="499">
        <v>443</v>
      </c>
      <c r="G1398" s="492" t="s">
        <v>3799</v>
      </c>
      <c r="J1398" s="556">
        <f t="shared" si="50"/>
        <v>0</v>
      </c>
    </row>
    <row r="1399" spans="5:10" hidden="1" x14ac:dyDescent="0.25">
      <c r="F1399" s="499">
        <v>444</v>
      </c>
      <c r="G1399" s="492" t="s">
        <v>3800</v>
      </c>
      <c r="J1399" s="556">
        <f t="shared" si="50"/>
        <v>0</v>
      </c>
    </row>
    <row r="1400" spans="5:10" ht="30" hidden="1" x14ac:dyDescent="0.25">
      <c r="F1400" s="499">
        <v>4511</v>
      </c>
      <c r="G1400" s="756" t="s">
        <v>1690</v>
      </c>
      <c r="J1400" s="556">
        <f t="shared" si="50"/>
        <v>0</v>
      </c>
    </row>
    <row r="1401" spans="5:10" ht="30" hidden="1" x14ac:dyDescent="0.25">
      <c r="F1401" s="499">
        <v>4512</v>
      </c>
      <c r="G1401" s="756" t="s">
        <v>1699</v>
      </c>
      <c r="J1401" s="556">
        <f t="shared" si="50"/>
        <v>0</v>
      </c>
    </row>
    <row r="1402" spans="5:10" hidden="1" x14ac:dyDescent="0.25">
      <c r="F1402" s="499">
        <v>452</v>
      </c>
      <c r="G1402" s="492" t="s">
        <v>4151</v>
      </c>
      <c r="J1402" s="556">
        <f t="shared" si="50"/>
        <v>0</v>
      </c>
    </row>
    <row r="1403" spans="5:10" hidden="1" x14ac:dyDescent="0.25">
      <c r="F1403" s="499">
        <v>453</v>
      </c>
      <c r="G1403" s="492" t="s">
        <v>4152</v>
      </c>
      <c r="J1403" s="556">
        <f t="shared" si="50"/>
        <v>0</v>
      </c>
    </row>
    <row r="1404" spans="5:10" hidden="1" x14ac:dyDescent="0.25">
      <c r="F1404" s="499">
        <v>454</v>
      </c>
      <c r="G1404" s="492" t="s">
        <v>3805</v>
      </c>
      <c r="J1404" s="556">
        <f t="shared" si="50"/>
        <v>0</v>
      </c>
    </row>
    <row r="1405" spans="5:10" hidden="1" x14ac:dyDescent="0.25">
      <c r="F1405" s="499">
        <v>461</v>
      </c>
      <c r="G1405" s="492" t="s">
        <v>4133</v>
      </c>
      <c r="J1405" s="556">
        <f t="shared" si="50"/>
        <v>0</v>
      </c>
    </row>
    <row r="1406" spans="5:10" hidden="1" x14ac:dyDescent="0.25">
      <c r="F1406" s="499">
        <v>462</v>
      </c>
      <c r="G1406" s="492" t="s">
        <v>3808</v>
      </c>
      <c r="J1406" s="556">
        <f t="shared" si="50"/>
        <v>0</v>
      </c>
    </row>
    <row r="1407" spans="5:10" ht="15.75" thickBot="1" x14ac:dyDescent="0.3">
      <c r="E1407" s="679">
        <v>66</v>
      </c>
      <c r="F1407" s="499">
        <v>4631</v>
      </c>
      <c r="G1407" s="492" t="s">
        <v>3809</v>
      </c>
      <c r="H1407" s="555">
        <v>675000</v>
      </c>
      <c r="J1407" s="556">
        <f t="shared" si="50"/>
        <v>675000</v>
      </c>
    </row>
    <row r="1408" spans="5:10" hidden="1" x14ac:dyDescent="0.25">
      <c r="E1408" s="679">
        <v>78</v>
      </c>
      <c r="F1408" s="499">
        <v>4632</v>
      </c>
      <c r="G1408" s="492" t="s">
        <v>3810</v>
      </c>
      <c r="J1408" s="556">
        <f t="shared" si="50"/>
        <v>0</v>
      </c>
    </row>
    <row r="1409" spans="6:10" hidden="1" x14ac:dyDescent="0.25">
      <c r="F1409" s="499">
        <v>464</v>
      </c>
      <c r="G1409" s="492" t="s">
        <v>3811</v>
      </c>
      <c r="J1409" s="556">
        <f t="shared" si="50"/>
        <v>0</v>
      </c>
    </row>
    <row r="1410" spans="6:10" hidden="1" x14ac:dyDescent="0.25">
      <c r="F1410" s="499">
        <v>465</v>
      </c>
      <c r="G1410" s="492" t="s">
        <v>4134</v>
      </c>
      <c r="J1410" s="556">
        <f t="shared" si="50"/>
        <v>0</v>
      </c>
    </row>
    <row r="1411" spans="6:10" hidden="1" x14ac:dyDescent="0.25">
      <c r="F1411" s="499">
        <v>472</v>
      </c>
      <c r="G1411" s="492" t="s">
        <v>3815</v>
      </c>
      <c r="J1411" s="556">
        <f t="shared" si="50"/>
        <v>0</v>
      </c>
    </row>
    <row r="1412" spans="6:10" hidden="1" x14ac:dyDescent="0.25">
      <c r="F1412" s="499">
        <v>481</v>
      </c>
      <c r="G1412" s="492" t="s">
        <v>4153</v>
      </c>
      <c r="J1412" s="556">
        <f t="shared" si="50"/>
        <v>0</v>
      </c>
    </row>
    <row r="1413" spans="6:10" hidden="1" x14ac:dyDescent="0.25">
      <c r="F1413" s="499">
        <v>482</v>
      </c>
      <c r="G1413" s="492" t="s">
        <v>4154</v>
      </c>
      <c r="J1413" s="556">
        <f t="shared" si="50"/>
        <v>0</v>
      </c>
    </row>
    <row r="1414" spans="6:10" hidden="1" x14ac:dyDescent="0.25">
      <c r="F1414" s="499">
        <v>483</v>
      </c>
      <c r="G1414" s="496" t="s">
        <v>4155</v>
      </c>
      <c r="J1414" s="556">
        <f t="shared" si="50"/>
        <v>0</v>
      </c>
    </row>
    <row r="1415" spans="6:10" ht="30" hidden="1" x14ac:dyDescent="0.25">
      <c r="F1415" s="499">
        <v>484</v>
      </c>
      <c r="G1415" s="492" t="s">
        <v>4156</v>
      </c>
      <c r="J1415" s="556">
        <f t="shared" si="50"/>
        <v>0</v>
      </c>
    </row>
    <row r="1416" spans="6:10" ht="30" hidden="1" x14ac:dyDescent="0.25">
      <c r="F1416" s="499">
        <v>485</v>
      </c>
      <c r="G1416" s="492" t="s">
        <v>4157</v>
      </c>
      <c r="J1416" s="556">
        <f t="shared" si="50"/>
        <v>0</v>
      </c>
    </row>
    <row r="1417" spans="6:10" ht="30" hidden="1" x14ac:dyDescent="0.25">
      <c r="F1417" s="499">
        <v>489</v>
      </c>
      <c r="G1417" s="492" t="s">
        <v>3823</v>
      </c>
      <c r="J1417" s="556">
        <f t="shared" si="50"/>
        <v>0</v>
      </c>
    </row>
    <row r="1418" spans="6:10" hidden="1" x14ac:dyDescent="0.25">
      <c r="F1418" s="499">
        <v>494</v>
      </c>
      <c r="G1418" s="492" t="s">
        <v>4135</v>
      </c>
      <c r="J1418" s="556">
        <f t="shared" si="50"/>
        <v>0</v>
      </c>
    </row>
    <row r="1419" spans="6:10" ht="30" hidden="1" x14ac:dyDescent="0.25">
      <c r="F1419" s="499">
        <v>495</v>
      </c>
      <c r="G1419" s="492" t="s">
        <v>4136</v>
      </c>
      <c r="J1419" s="556">
        <f t="shared" si="50"/>
        <v>0</v>
      </c>
    </row>
    <row r="1420" spans="6:10" ht="30" hidden="1" x14ac:dyDescent="0.25">
      <c r="F1420" s="499">
        <v>496</v>
      </c>
      <c r="G1420" s="492" t="s">
        <v>4137</v>
      </c>
      <c r="J1420" s="556">
        <f t="shared" si="50"/>
        <v>0</v>
      </c>
    </row>
    <row r="1421" spans="6:10" ht="30" hidden="1" x14ac:dyDescent="0.25">
      <c r="F1421" s="499">
        <v>499</v>
      </c>
      <c r="G1421" s="492" t="s">
        <v>4138</v>
      </c>
      <c r="J1421" s="556">
        <f t="shared" si="50"/>
        <v>0</v>
      </c>
    </row>
    <row r="1422" spans="6:10" hidden="1" x14ac:dyDescent="0.25">
      <c r="F1422" s="499">
        <v>511</v>
      </c>
      <c r="G1422" s="496" t="s">
        <v>4158</v>
      </c>
      <c r="J1422" s="556">
        <f t="shared" si="50"/>
        <v>0</v>
      </c>
    </row>
    <row r="1423" spans="6:10" hidden="1" x14ac:dyDescent="0.25">
      <c r="F1423" s="499">
        <v>512</v>
      </c>
      <c r="G1423" s="496" t="s">
        <v>4159</v>
      </c>
      <c r="J1423" s="556">
        <f t="shared" si="50"/>
        <v>0</v>
      </c>
    </row>
    <row r="1424" spans="6:10" hidden="1" x14ac:dyDescent="0.25">
      <c r="F1424" s="499">
        <v>513</v>
      </c>
      <c r="G1424" s="496" t="s">
        <v>4160</v>
      </c>
      <c r="J1424" s="556">
        <f t="shared" si="50"/>
        <v>0</v>
      </c>
    </row>
    <row r="1425" spans="5:10" hidden="1" x14ac:dyDescent="0.25">
      <c r="F1425" s="499">
        <v>514</v>
      </c>
      <c r="G1425" s="492" t="s">
        <v>4161</v>
      </c>
      <c r="J1425" s="556">
        <f t="shared" si="50"/>
        <v>0</v>
      </c>
    </row>
    <row r="1426" spans="5:10" hidden="1" x14ac:dyDescent="0.25">
      <c r="F1426" s="499">
        <v>515</v>
      </c>
      <c r="G1426" s="492" t="s">
        <v>3834</v>
      </c>
      <c r="J1426" s="556">
        <f t="shared" si="50"/>
        <v>0</v>
      </c>
    </row>
    <row r="1427" spans="5:10" hidden="1" x14ac:dyDescent="0.25">
      <c r="F1427" s="499">
        <v>521</v>
      </c>
      <c r="G1427" s="492" t="s">
        <v>4162</v>
      </c>
      <c r="J1427" s="556">
        <f t="shared" si="50"/>
        <v>0</v>
      </c>
    </row>
    <row r="1428" spans="5:10" hidden="1" x14ac:dyDescent="0.25">
      <c r="F1428" s="499">
        <v>522</v>
      </c>
      <c r="G1428" s="492" t="s">
        <v>4163</v>
      </c>
      <c r="J1428" s="556">
        <f t="shared" si="50"/>
        <v>0</v>
      </c>
    </row>
    <row r="1429" spans="5:10" hidden="1" x14ac:dyDescent="0.25">
      <c r="F1429" s="499">
        <v>523</v>
      </c>
      <c r="G1429" s="492" t="s">
        <v>3839</v>
      </c>
      <c r="J1429" s="556">
        <f t="shared" si="50"/>
        <v>0</v>
      </c>
    </row>
    <row r="1430" spans="5:10" hidden="1" x14ac:dyDescent="0.25">
      <c r="F1430" s="499">
        <v>531</v>
      </c>
      <c r="G1430" s="488" t="s">
        <v>4139</v>
      </c>
      <c r="J1430" s="556">
        <f t="shared" si="50"/>
        <v>0</v>
      </c>
    </row>
    <row r="1431" spans="5:10" hidden="1" x14ac:dyDescent="0.25">
      <c r="F1431" s="499">
        <v>541</v>
      </c>
      <c r="G1431" s="492" t="s">
        <v>4164</v>
      </c>
      <c r="J1431" s="556">
        <f t="shared" si="50"/>
        <v>0</v>
      </c>
    </row>
    <row r="1432" spans="5:10" hidden="1" x14ac:dyDescent="0.25">
      <c r="F1432" s="499">
        <v>542</v>
      </c>
      <c r="G1432" s="492" t="s">
        <v>4165</v>
      </c>
      <c r="J1432" s="556">
        <f t="shared" si="50"/>
        <v>0</v>
      </c>
    </row>
    <row r="1433" spans="5:10" hidden="1" x14ac:dyDescent="0.25">
      <c r="F1433" s="499">
        <v>543</v>
      </c>
      <c r="G1433" s="492" t="s">
        <v>3844</v>
      </c>
      <c r="J1433" s="556">
        <f t="shared" si="50"/>
        <v>0</v>
      </c>
    </row>
    <row r="1434" spans="5:10" ht="30" hidden="1" x14ac:dyDescent="0.25">
      <c r="F1434" s="499">
        <v>551</v>
      </c>
      <c r="G1434" s="492" t="s">
        <v>4140</v>
      </c>
      <c r="J1434" s="556">
        <f t="shared" si="50"/>
        <v>0</v>
      </c>
    </row>
    <row r="1435" spans="5:10" hidden="1" x14ac:dyDescent="0.25">
      <c r="F1435" s="500">
        <v>611</v>
      </c>
      <c r="G1435" s="498" t="s">
        <v>3850</v>
      </c>
      <c r="J1435" s="556">
        <f t="shared" si="50"/>
        <v>0</v>
      </c>
    </row>
    <row r="1436" spans="5:10" hidden="1" x14ac:dyDescent="0.25">
      <c r="F1436" s="500">
        <v>620</v>
      </c>
      <c r="G1436" s="498" t="s">
        <v>88</v>
      </c>
      <c r="J1436" s="556">
        <f t="shared" si="50"/>
        <v>0</v>
      </c>
    </row>
    <row r="1437" spans="5:10" x14ac:dyDescent="0.25">
      <c r="E1437" s="489"/>
      <c r="F1437" s="500"/>
      <c r="G1437" s="343" t="s">
        <v>4324</v>
      </c>
      <c r="H1437" s="557"/>
      <c r="I1437" s="583"/>
      <c r="J1437" s="558"/>
    </row>
    <row r="1438" spans="5:10" ht="15.75" thickBot="1" x14ac:dyDescent="0.3">
      <c r="E1438" s="693"/>
      <c r="F1438" s="597" t="s">
        <v>234</v>
      </c>
      <c r="G1438" s="598" t="s">
        <v>235</v>
      </c>
      <c r="H1438" s="559">
        <f>SUM(H1407:H1408)</f>
        <v>675000</v>
      </c>
      <c r="I1438" s="560"/>
      <c r="J1438" s="560">
        <f t="shared" ref="J1438:J1453" si="51">SUM(H1438:I1438)</f>
        <v>675000</v>
      </c>
    </row>
    <row r="1439" spans="5:10" hidden="1" x14ac:dyDescent="0.25">
      <c r="F1439" s="597" t="s">
        <v>236</v>
      </c>
      <c r="G1439" s="598" t="s">
        <v>237</v>
      </c>
      <c r="J1439" s="560">
        <f t="shared" si="51"/>
        <v>0</v>
      </c>
    </row>
    <row r="1440" spans="5:10" hidden="1" x14ac:dyDescent="0.25">
      <c r="F1440" s="597" t="s">
        <v>238</v>
      </c>
      <c r="G1440" s="598" t="s">
        <v>239</v>
      </c>
      <c r="J1440" s="560">
        <f t="shared" si="51"/>
        <v>0</v>
      </c>
    </row>
    <row r="1441" spans="5:10" hidden="1" x14ac:dyDescent="0.25">
      <c r="F1441" s="597" t="s">
        <v>240</v>
      </c>
      <c r="G1441" s="598" t="s">
        <v>241</v>
      </c>
      <c r="J1441" s="560">
        <f t="shared" si="51"/>
        <v>0</v>
      </c>
    </row>
    <row r="1442" spans="5:10" hidden="1" x14ac:dyDescent="0.25">
      <c r="F1442" s="597" t="s">
        <v>242</v>
      </c>
      <c r="G1442" s="598" t="s">
        <v>243</v>
      </c>
      <c r="J1442" s="560">
        <f t="shared" si="51"/>
        <v>0</v>
      </c>
    </row>
    <row r="1443" spans="5:10" hidden="1" x14ac:dyDescent="0.25">
      <c r="F1443" s="597" t="s">
        <v>244</v>
      </c>
      <c r="G1443" s="598" t="s">
        <v>245</v>
      </c>
      <c r="J1443" s="560">
        <f t="shared" si="51"/>
        <v>0</v>
      </c>
    </row>
    <row r="1444" spans="5:10" hidden="1" x14ac:dyDescent="0.25">
      <c r="F1444" s="597" t="s">
        <v>246</v>
      </c>
      <c r="G1444" s="598" t="s">
        <v>4996</v>
      </c>
      <c r="J1444" s="560">
        <f t="shared" si="51"/>
        <v>0</v>
      </c>
    </row>
    <row r="1445" spans="5:10" hidden="1" x14ac:dyDescent="0.25">
      <c r="F1445" s="597" t="s">
        <v>247</v>
      </c>
      <c r="G1445" s="598" t="s">
        <v>4995</v>
      </c>
      <c r="J1445" s="560">
        <f t="shared" si="51"/>
        <v>0</v>
      </c>
    </row>
    <row r="1446" spans="5:10" hidden="1" x14ac:dyDescent="0.25">
      <c r="F1446" s="597" t="s">
        <v>248</v>
      </c>
      <c r="G1446" s="598" t="s">
        <v>57</v>
      </c>
      <c r="J1446" s="560">
        <f t="shared" si="51"/>
        <v>0</v>
      </c>
    </row>
    <row r="1447" spans="5:10" hidden="1" x14ac:dyDescent="0.25">
      <c r="F1447" s="597" t="s">
        <v>249</v>
      </c>
      <c r="G1447" s="598" t="s">
        <v>250</v>
      </c>
      <c r="J1447" s="560">
        <f t="shared" si="51"/>
        <v>0</v>
      </c>
    </row>
    <row r="1448" spans="5:10" hidden="1" x14ac:dyDescent="0.25">
      <c r="F1448" s="597" t="s">
        <v>251</v>
      </c>
      <c r="G1448" s="598" t="s">
        <v>252</v>
      </c>
      <c r="J1448" s="560">
        <f t="shared" si="51"/>
        <v>0</v>
      </c>
    </row>
    <row r="1449" spans="5:10" ht="30" hidden="1" x14ac:dyDescent="0.25">
      <c r="F1449" s="597" t="s">
        <v>253</v>
      </c>
      <c r="G1449" s="598" t="s">
        <v>254</v>
      </c>
      <c r="J1449" s="560">
        <f t="shared" si="51"/>
        <v>0</v>
      </c>
    </row>
    <row r="1450" spans="5:10" hidden="1" x14ac:dyDescent="0.25">
      <c r="F1450" s="597" t="s">
        <v>255</v>
      </c>
      <c r="G1450" s="598" t="s">
        <v>256</v>
      </c>
      <c r="J1450" s="560">
        <f t="shared" si="51"/>
        <v>0</v>
      </c>
    </row>
    <row r="1451" spans="5:10" ht="30" hidden="1" x14ac:dyDescent="0.25">
      <c r="F1451" s="597" t="s">
        <v>257</v>
      </c>
      <c r="G1451" s="598" t="s">
        <v>258</v>
      </c>
      <c r="J1451" s="560">
        <f t="shared" si="51"/>
        <v>0</v>
      </c>
    </row>
    <row r="1452" spans="5:10" hidden="1" x14ac:dyDescent="0.25">
      <c r="F1452" s="597" t="s">
        <v>259</v>
      </c>
      <c r="G1452" s="598" t="s">
        <v>260</v>
      </c>
      <c r="J1452" s="560">
        <f t="shared" si="51"/>
        <v>0</v>
      </c>
    </row>
    <row r="1453" spans="5:10" ht="15.75" hidden="1" thickBot="1" x14ac:dyDescent="0.3">
      <c r="F1453" s="597" t="s">
        <v>261</v>
      </c>
      <c r="G1453" s="598" t="s">
        <v>262</v>
      </c>
      <c r="H1453" s="559"/>
      <c r="I1453" s="560"/>
      <c r="J1453" s="560">
        <f t="shared" si="51"/>
        <v>0</v>
      </c>
    </row>
    <row r="1454" spans="5:10" ht="15.75" thickBot="1" x14ac:dyDescent="0.3">
      <c r="G1454" s="268" t="s">
        <v>4325</v>
      </c>
      <c r="H1454" s="561">
        <f>SUM(H1438)</f>
        <v>675000</v>
      </c>
      <c r="I1454" s="562">
        <f>SUM(I1439:I1453)</f>
        <v>0</v>
      </c>
      <c r="J1454" s="562">
        <f>SUM(J1438:J1453)</f>
        <v>675000</v>
      </c>
    </row>
    <row r="1455" spans="5:10" ht="28.5" x14ac:dyDescent="0.25">
      <c r="E1455" s="489"/>
      <c r="F1455" s="500"/>
      <c r="G1455" s="270" t="s">
        <v>4233</v>
      </c>
      <c r="H1455" s="563"/>
      <c r="I1455" s="584"/>
      <c r="J1455" s="564"/>
    </row>
    <row r="1456" spans="5:10" ht="15.75" thickBot="1" x14ac:dyDescent="0.3">
      <c r="E1456" s="693"/>
      <c r="F1456" s="597" t="s">
        <v>234</v>
      </c>
      <c r="G1456" s="729" t="s">
        <v>235</v>
      </c>
      <c r="H1456" s="559">
        <f>SUM(H1377:H1436)</f>
        <v>675000</v>
      </c>
      <c r="I1456" s="560"/>
      <c r="J1456" s="560">
        <f>SUM(H1456:I1456)</f>
        <v>675000</v>
      </c>
    </row>
    <row r="1457" spans="6:10" hidden="1" x14ac:dyDescent="0.25">
      <c r="F1457" s="597" t="s">
        <v>236</v>
      </c>
      <c r="G1457" s="598" t="s">
        <v>237</v>
      </c>
      <c r="J1457" s="560">
        <f t="shared" ref="J1457:J1471" si="52">SUM(H1457:I1457)</f>
        <v>0</v>
      </c>
    </row>
    <row r="1458" spans="6:10" hidden="1" x14ac:dyDescent="0.25">
      <c r="F1458" s="597" t="s">
        <v>238</v>
      </c>
      <c r="G1458" s="598" t="s">
        <v>239</v>
      </c>
      <c r="J1458" s="560">
        <f t="shared" si="52"/>
        <v>0</v>
      </c>
    </row>
    <row r="1459" spans="6:10" hidden="1" x14ac:dyDescent="0.25">
      <c r="F1459" s="597" t="s">
        <v>240</v>
      </c>
      <c r="G1459" s="598" t="s">
        <v>241</v>
      </c>
      <c r="J1459" s="560">
        <f t="shared" si="52"/>
        <v>0</v>
      </c>
    </row>
    <row r="1460" spans="6:10" hidden="1" x14ac:dyDescent="0.25">
      <c r="F1460" s="597" t="s">
        <v>242</v>
      </c>
      <c r="G1460" s="598" t="s">
        <v>243</v>
      </c>
      <c r="J1460" s="560">
        <f t="shared" si="52"/>
        <v>0</v>
      </c>
    </row>
    <row r="1461" spans="6:10" hidden="1" x14ac:dyDescent="0.25">
      <c r="F1461" s="597" t="s">
        <v>244</v>
      </c>
      <c r="G1461" s="598" t="s">
        <v>245</v>
      </c>
      <c r="J1461" s="560">
        <f t="shared" si="52"/>
        <v>0</v>
      </c>
    </row>
    <row r="1462" spans="6:10" hidden="1" x14ac:dyDescent="0.25">
      <c r="F1462" s="597" t="s">
        <v>246</v>
      </c>
      <c r="G1462" s="598" t="s">
        <v>4996</v>
      </c>
      <c r="J1462" s="560">
        <f t="shared" si="52"/>
        <v>0</v>
      </c>
    </row>
    <row r="1463" spans="6:10" hidden="1" x14ac:dyDescent="0.25">
      <c r="F1463" s="597" t="s">
        <v>247</v>
      </c>
      <c r="G1463" s="598" t="s">
        <v>4995</v>
      </c>
      <c r="J1463" s="560">
        <f t="shared" si="52"/>
        <v>0</v>
      </c>
    </row>
    <row r="1464" spans="6:10" hidden="1" x14ac:dyDescent="0.25">
      <c r="F1464" s="597" t="s">
        <v>248</v>
      </c>
      <c r="G1464" s="598" t="s">
        <v>57</v>
      </c>
      <c r="J1464" s="560">
        <f t="shared" si="52"/>
        <v>0</v>
      </c>
    </row>
    <row r="1465" spans="6:10" hidden="1" x14ac:dyDescent="0.25">
      <c r="F1465" s="597" t="s">
        <v>249</v>
      </c>
      <c r="G1465" s="598" t="s">
        <v>250</v>
      </c>
      <c r="J1465" s="560">
        <f t="shared" si="52"/>
        <v>0</v>
      </c>
    </row>
    <row r="1466" spans="6:10" hidden="1" x14ac:dyDescent="0.25">
      <c r="F1466" s="597" t="s">
        <v>251</v>
      </c>
      <c r="G1466" s="598" t="s">
        <v>252</v>
      </c>
      <c r="J1466" s="560">
        <f t="shared" si="52"/>
        <v>0</v>
      </c>
    </row>
    <row r="1467" spans="6:10" ht="30" hidden="1" x14ac:dyDescent="0.25">
      <c r="F1467" s="597" t="s">
        <v>253</v>
      </c>
      <c r="G1467" s="598" t="s">
        <v>254</v>
      </c>
      <c r="J1467" s="560">
        <f t="shared" si="52"/>
        <v>0</v>
      </c>
    </row>
    <row r="1468" spans="6:10" hidden="1" x14ac:dyDescent="0.25">
      <c r="F1468" s="597" t="s">
        <v>255</v>
      </c>
      <c r="G1468" s="598" t="s">
        <v>256</v>
      </c>
      <c r="J1468" s="560">
        <f t="shared" si="52"/>
        <v>0</v>
      </c>
    </row>
    <row r="1469" spans="6:10" ht="30" hidden="1" x14ac:dyDescent="0.25">
      <c r="F1469" s="597" t="s">
        <v>257</v>
      </c>
      <c r="G1469" s="598" t="s">
        <v>258</v>
      </c>
      <c r="J1469" s="560">
        <f t="shared" si="52"/>
        <v>0</v>
      </c>
    </row>
    <row r="1470" spans="6:10" hidden="1" x14ac:dyDescent="0.25">
      <c r="F1470" s="597" t="s">
        <v>259</v>
      </c>
      <c r="G1470" s="598" t="s">
        <v>260</v>
      </c>
      <c r="J1470" s="560">
        <f t="shared" si="52"/>
        <v>0</v>
      </c>
    </row>
    <row r="1471" spans="6:10" ht="15.75" hidden="1" thickBot="1" x14ac:dyDescent="0.3">
      <c r="F1471" s="597" t="s">
        <v>261</v>
      </c>
      <c r="G1471" s="598" t="s">
        <v>262</v>
      </c>
      <c r="H1471" s="559"/>
      <c r="I1471" s="560"/>
      <c r="J1471" s="560">
        <f t="shared" si="52"/>
        <v>0</v>
      </c>
    </row>
    <row r="1472" spans="6:10" ht="15.75" thickBot="1" x14ac:dyDescent="0.3">
      <c r="G1472" s="268" t="s">
        <v>4232</v>
      </c>
      <c r="H1472" s="561">
        <f>SUM(H1456:H1471)</f>
        <v>675000</v>
      </c>
      <c r="I1472" s="562">
        <f>SUM(I1457:I1471)</f>
        <v>0</v>
      </c>
      <c r="J1472" s="562">
        <f>SUM(J1456:J1471)</f>
        <v>675000</v>
      </c>
    </row>
    <row r="1473" spans="3:10" x14ac:dyDescent="0.25">
      <c r="C1473" s="267" t="s">
        <v>4098</v>
      </c>
      <c r="D1473" s="259"/>
      <c r="G1473" s="490" t="s">
        <v>5027</v>
      </c>
    </row>
    <row r="1474" spans="3:10" x14ac:dyDescent="0.25">
      <c r="C1474" s="267"/>
      <c r="D1474" s="331">
        <v>980</v>
      </c>
      <c r="E1474" s="869"/>
      <c r="F1474" s="331"/>
      <c r="G1474" s="332" t="s">
        <v>232</v>
      </c>
    </row>
    <row r="1475" spans="3:10" hidden="1" x14ac:dyDescent="0.25">
      <c r="F1475" s="499">
        <v>411</v>
      </c>
      <c r="G1475" s="492" t="s">
        <v>4131</v>
      </c>
      <c r="J1475" s="556">
        <f>SUM(H1475:I1475)</f>
        <v>0</v>
      </c>
    </row>
    <row r="1476" spans="3:10" hidden="1" x14ac:dyDescent="0.25">
      <c r="F1476" s="499">
        <v>412</v>
      </c>
      <c r="G1476" s="488" t="s">
        <v>3766</v>
      </c>
      <c r="J1476" s="556">
        <f t="shared" ref="J1476:J1534" si="53">SUM(H1476:I1476)</f>
        <v>0</v>
      </c>
    </row>
    <row r="1477" spans="3:10" hidden="1" x14ac:dyDescent="0.25">
      <c r="F1477" s="499">
        <v>413</v>
      </c>
      <c r="G1477" s="492" t="s">
        <v>4132</v>
      </c>
      <c r="J1477" s="556">
        <f t="shared" si="53"/>
        <v>0</v>
      </c>
    </row>
    <row r="1478" spans="3:10" hidden="1" x14ac:dyDescent="0.25">
      <c r="F1478" s="499">
        <v>414</v>
      </c>
      <c r="G1478" s="492" t="s">
        <v>3769</v>
      </c>
      <c r="J1478" s="556">
        <f t="shared" si="53"/>
        <v>0</v>
      </c>
    </row>
    <row r="1479" spans="3:10" hidden="1" x14ac:dyDescent="0.25">
      <c r="F1479" s="499">
        <v>415</v>
      </c>
      <c r="G1479" s="492" t="s">
        <v>4141</v>
      </c>
      <c r="J1479" s="556">
        <f t="shared" si="53"/>
        <v>0</v>
      </c>
    </row>
    <row r="1480" spans="3:10" hidden="1" x14ac:dyDescent="0.25">
      <c r="F1480" s="499">
        <v>416</v>
      </c>
      <c r="G1480" s="492" t="s">
        <v>4142</v>
      </c>
      <c r="J1480" s="556">
        <f t="shared" si="53"/>
        <v>0</v>
      </c>
    </row>
    <row r="1481" spans="3:10" hidden="1" x14ac:dyDescent="0.25">
      <c r="F1481" s="499">
        <v>417</v>
      </c>
      <c r="G1481" s="492" t="s">
        <v>4143</v>
      </c>
      <c r="J1481" s="556">
        <f t="shared" si="53"/>
        <v>0</v>
      </c>
    </row>
    <row r="1482" spans="3:10" hidden="1" x14ac:dyDescent="0.25">
      <c r="F1482" s="499">
        <v>418</v>
      </c>
      <c r="G1482" s="492" t="s">
        <v>3775</v>
      </c>
      <c r="J1482" s="556">
        <f t="shared" si="53"/>
        <v>0</v>
      </c>
    </row>
    <row r="1483" spans="3:10" hidden="1" x14ac:dyDescent="0.25">
      <c r="F1483" s="499">
        <v>421</v>
      </c>
      <c r="G1483" s="492" t="s">
        <v>3779</v>
      </c>
      <c r="J1483" s="556">
        <f t="shared" si="53"/>
        <v>0</v>
      </c>
    </row>
    <row r="1484" spans="3:10" hidden="1" x14ac:dyDescent="0.25">
      <c r="F1484" s="499">
        <v>422</v>
      </c>
      <c r="G1484" s="492" t="s">
        <v>3780</v>
      </c>
      <c r="J1484" s="556">
        <f t="shared" si="53"/>
        <v>0</v>
      </c>
    </row>
    <row r="1485" spans="3:10" hidden="1" x14ac:dyDescent="0.25">
      <c r="F1485" s="499">
        <v>423</v>
      </c>
      <c r="G1485" s="492" t="s">
        <v>3781</v>
      </c>
      <c r="J1485" s="556">
        <f t="shared" si="53"/>
        <v>0</v>
      </c>
    </row>
    <row r="1486" spans="3:10" hidden="1" x14ac:dyDescent="0.25">
      <c r="F1486" s="499">
        <v>424</v>
      </c>
      <c r="G1486" s="492" t="s">
        <v>3783</v>
      </c>
      <c r="J1486" s="556">
        <f t="shared" si="53"/>
        <v>0</v>
      </c>
    </row>
    <row r="1487" spans="3:10" hidden="1" x14ac:dyDescent="0.25">
      <c r="F1487" s="499">
        <v>425</v>
      </c>
      <c r="G1487" s="492" t="s">
        <v>4144</v>
      </c>
      <c r="J1487" s="556">
        <f t="shared" si="53"/>
        <v>0</v>
      </c>
    </row>
    <row r="1488" spans="3:10" hidden="1" x14ac:dyDescent="0.25">
      <c r="F1488" s="499">
        <v>426</v>
      </c>
      <c r="G1488" s="492" t="s">
        <v>3787</v>
      </c>
      <c r="J1488" s="556">
        <f t="shared" si="53"/>
        <v>0</v>
      </c>
    </row>
    <row r="1489" spans="6:10" hidden="1" x14ac:dyDescent="0.25">
      <c r="F1489" s="499">
        <v>431</v>
      </c>
      <c r="G1489" s="492" t="s">
        <v>4145</v>
      </c>
      <c r="J1489" s="556">
        <f t="shared" si="53"/>
        <v>0</v>
      </c>
    </row>
    <row r="1490" spans="6:10" hidden="1" x14ac:dyDescent="0.25">
      <c r="F1490" s="499">
        <v>432</v>
      </c>
      <c r="G1490" s="492" t="s">
        <v>4146</v>
      </c>
      <c r="J1490" s="556">
        <f t="shared" si="53"/>
        <v>0</v>
      </c>
    </row>
    <row r="1491" spans="6:10" hidden="1" x14ac:dyDescent="0.25">
      <c r="F1491" s="499">
        <v>433</v>
      </c>
      <c r="G1491" s="492" t="s">
        <v>4147</v>
      </c>
      <c r="J1491" s="556">
        <f t="shared" si="53"/>
        <v>0</v>
      </c>
    </row>
    <row r="1492" spans="6:10" hidden="1" x14ac:dyDescent="0.25">
      <c r="F1492" s="499">
        <v>434</v>
      </c>
      <c r="G1492" s="492" t="s">
        <v>4148</v>
      </c>
      <c r="J1492" s="556">
        <f t="shared" si="53"/>
        <v>0</v>
      </c>
    </row>
    <row r="1493" spans="6:10" hidden="1" x14ac:dyDescent="0.25">
      <c r="F1493" s="499">
        <v>435</v>
      </c>
      <c r="G1493" s="492" t="s">
        <v>3794</v>
      </c>
      <c r="J1493" s="556">
        <f t="shared" si="53"/>
        <v>0</v>
      </c>
    </row>
    <row r="1494" spans="6:10" hidden="1" x14ac:dyDescent="0.25">
      <c r="F1494" s="499">
        <v>441</v>
      </c>
      <c r="G1494" s="492" t="s">
        <v>4149</v>
      </c>
      <c r="J1494" s="556">
        <f t="shared" si="53"/>
        <v>0</v>
      </c>
    </row>
    <row r="1495" spans="6:10" hidden="1" x14ac:dyDescent="0.25">
      <c r="F1495" s="499">
        <v>442</v>
      </c>
      <c r="G1495" s="492" t="s">
        <v>4150</v>
      </c>
      <c r="J1495" s="556">
        <f t="shared" si="53"/>
        <v>0</v>
      </c>
    </row>
    <row r="1496" spans="6:10" hidden="1" x14ac:dyDescent="0.25">
      <c r="F1496" s="499">
        <v>443</v>
      </c>
      <c r="G1496" s="492" t="s">
        <v>3799</v>
      </c>
      <c r="J1496" s="556">
        <f t="shared" si="53"/>
        <v>0</v>
      </c>
    </row>
    <row r="1497" spans="6:10" hidden="1" x14ac:dyDescent="0.25">
      <c r="F1497" s="499">
        <v>444</v>
      </c>
      <c r="G1497" s="492" t="s">
        <v>3800</v>
      </c>
      <c r="J1497" s="556">
        <f t="shared" si="53"/>
        <v>0</v>
      </c>
    </row>
    <row r="1498" spans="6:10" ht="30" hidden="1" x14ac:dyDescent="0.25">
      <c r="F1498" s="499">
        <v>4511</v>
      </c>
      <c r="G1498" s="756" t="s">
        <v>1690</v>
      </c>
      <c r="J1498" s="556">
        <f t="shared" si="53"/>
        <v>0</v>
      </c>
    </row>
    <row r="1499" spans="6:10" ht="30" hidden="1" x14ac:dyDescent="0.25">
      <c r="F1499" s="499">
        <v>4512</v>
      </c>
      <c r="G1499" s="756" t="s">
        <v>1699</v>
      </c>
      <c r="J1499" s="556">
        <f t="shared" si="53"/>
        <v>0</v>
      </c>
    </row>
    <row r="1500" spans="6:10" hidden="1" x14ac:dyDescent="0.25">
      <c r="F1500" s="499">
        <v>452</v>
      </c>
      <c r="G1500" s="492" t="s">
        <v>4151</v>
      </c>
      <c r="J1500" s="556">
        <f t="shared" si="53"/>
        <v>0</v>
      </c>
    </row>
    <row r="1501" spans="6:10" hidden="1" x14ac:dyDescent="0.25">
      <c r="F1501" s="499">
        <v>453</v>
      </c>
      <c r="G1501" s="492" t="s">
        <v>4152</v>
      </c>
      <c r="J1501" s="556">
        <f t="shared" si="53"/>
        <v>0</v>
      </c>
    </row>
    <row r="1502" spans="6:10" hidden="1" x14ac:dyDescent="0.25">
      <c r="F1502" s="499">
        <v>454</v>
      </c>
      <c r="G1502" s="492" t="s">
        <v>3805</v>
      </c>
      <c r="J1502" s="556">
        <f t="shared" si="53"/>
        <v>0</v>
      </c>
    </row>
    <row r="1503" spans="6:10" hidden="1" x14ac:dyDescent="0.25">
      <c r="F1503" s="499">
        <v>461</v>
      </c>
      <c r="G1503" s="492" t="s">
        <v>4133</v>
      </c>
      <c r="J1503" s="556">
        <f t="shared" si="53"/>
        <v>0</v>
      </c>
    </row>
    <row r="1504" spans="6:10" hidden="1" x14ac:dyDescent="0.25">
      <c r="F1504" s="499">
        <v>462</v>
      </c>
      <c r="G1504" s="492" t="s">
        <v>3808</v>
      </c>
      <c r="J1504" s="556">
        <f t="shared" si="53"/>
        <v>0</v>
      </c>
    </row>
    <row r="1505" spans="5:10" ht="15.75" thickBot="1" x14ac:dyDescent="0.3">
      <c r="E1505" s="679">
        <v>67</v>
      </c>
      <c r="F1505" s="499">
        <v>4631</v>
      </c>
      <c r="G1505" s="492" t="s">
        <v>3809</v>
      </c>
      <c r="H1505" s="555">
        <v>615000</v>
      </c>
      <c r="J1505" s="556">
        <f t="shared" si="53"/>
        <v>615000</v>
      </c>
    </row>
    <row r="1506" spans="5:10" hidden="1" x14ac:dyDescent="0.25">
      <c r="E1506" s="679">
        <v>78</v>
      </c>
      <c r="F1506" s="499">
        <v>4632</v>
      </c>
      <c r="G1506" s="492" t="s">
        <v>3810</v>
      </c>
      <c r="J1506" s="556">
        <f t="shared" si="53"/>
        <v>0</v>
      </c>
    </row>
    <row r="1507" spans="5:10" hidden="1" x14ac:dyDescent="0.25">
      <c r="F1507" s="499">
        <v>464</v>
      </c>
      <c r="G1507" s="492" t="s">
        <v>3811</v>
      </c>
      <c r="J1507" s="556">
        <f t="shared" si="53"/>
        <v>0</v>
      </c>
    </row>
    <row r="1508" spans="5:10" hidden="1" x14ac:dyDescent="0.25">
      <c r="F1508" s="499">
        <v>465</v>
      </c>
      <c r="G1508" s="492" t="s">
        <v>4134</v>
      </c>
      <c r="J1508" s="556">
        <f t="shared" si="53"/>
        <v>0</v>
      </c>
    </row>
    <row r="1509" spans="5:10" hidden="1" x14ac:dyDescent="0.25">
      <c r="F1509" s="499">
        <v>472</v>
      </c>
      <c r="G1509" s="492" t="s">
        <v>3815</v>
      </c>
      <c r="J1509" s="556">
        <f t="shared" si="53"/>
        <v>0</v>
      </c>
    </row>
    <row r="1510" spans="5:10" hidden="1" x14ac:dyDescent="0.25">
      <c r="F1510" s="499">
        <v>481</v>
      </c>
      <c r="G1510" s="492" t="s">
        <v>4153</v>
      </c>
      <c r="J1510" s="556">
        <f t="shared" si="53"/>
        <v>0</v>
      </c>
    </row>
    <row r="1511" spans="5:10" hidden="1" x14ac:dyDescent="0.25">
      <c r="F1511" s="499">
        <v>482</v>
      </c>
      <c r="G1511" s="492" t="s">
        <v>4154</v>
      </c>
      <c r="J1511" s="556">
        <f t="shared" si="53"/>
        <v>0</v>
      </c>
    </row>
    <row r="1512" spans="5:10" hidden="1" x14ac:dyDescent="0.25">
      <c r="F1512" s="499">
        <v>483</v>
      </c>
      <c r="G1512" s="496" t="s">
        <v>4155</v>
      </c>
      <c r="J1512" s="556">
        <f t="shared" si="53"/>
        <v>0</v>
      </c>
    </row>
    <row r="1513" spans="5:10" ht="30" hidden="1" x14ac:dyDescent="0.25">
      <c r="F1513" s="499">
        <v>484</v>
      </c>
      <c r="G1513" s="492" t="s">
        <v>4156</v>
      </c>
      <c r="J1513" s="556">
        <f t="shared" si="53"/>
        <v>0</v>
      </c>
    </row>
    <row r="1514" spans="5:10" ht="30" hidden="1" x14ac:dyDescent="0.25">
      <c r="F1514" s="499">
        <v>485</v>
      </c>
      <c r="G1514" s="492" t="s">
        <v>4157</v>
      </c>
      <c r="J1514" s="556">
        <f t="shared" si="53"/>
        <v>0</v>
      </c>
    </row>
    <row r="1515" spans="5:10" ht="30" hidden="1" x14ac:dyDescent="0.25">
      <c r="F1515" s="499">
        <v>489</v>
      </c>
      <c r="G1515" s="492" t="s">
        <v>3823</v>
      </c>
      <c r="J1515" s="556">
        <f t="shared" si="53"/>
        <v>0</v>
      </c>
    </row>
    <row r="1516" spans="5:10" hidden="1" x14ac:dyDescent="0.25">
      <c r="F1516" s="499">
        <v>494</v>
      </c>
      <c r="G1516" s="492" t="s">
        <v>4135</v>
      </c>
      <c r="J1516" s="556">
        <f t="shared" si="53"/>
        <v>0</v>
      </c>
    </row>
    <row r="1517" spans="5:10" ht="30" hidden="1" x14ac:dyDescent="0.25">
      <c r="F1517" s="499">
        <v>495</v>
      </c>
      <c r="G1517" s="492" t="s">
        <v>4136</v>
      </c>
      <c r="J1517" s="556">
        <f t="shared" si="53"/>
        <v>0</v>
      </c>
    </row>
    <row r="1518" spans="5:10" ht="30" hidden="1" x14ac:dyDescent="0.25">
      <c r="F1518" s="499">
        <v>496</v>
      </c>
      <c r="G1518" s="492" t="s">
        <v>4137</v>
      </c>
      <c r="J1518" s="556">
        <f t="shared" si="53"/>
        <v>0</v>
      </c>
    </row>
    <row r="1519" spans="5:10" ht="30" hidden="1" x14ac:dyDescent="0.25">
      <c r="F1519" s="499">
        <v>499</v>
      </c>
      <c r="G1519" s="492" t="s">
        <v>4138</v>
      </c>
      <c r="J1519" s="556">
        <f t="shared" si="53"/>
        <v>0</v>
      </c>
    </row>
    <row r="1520" spans="5:10" hidden="1" x14ac:dyDescent="0.25">
      <c r="F1520" s="499">
        <v>511</v>
      </c>
      <c r="G1520" s="496" t="s">
        <v>4158</v>
      </c>
      <c r="J1520" s="556">
        <f t="shared" si="53"/>
        <v>0</v>
      </c>
    </row>
    <row r="1521" spans="5:10" hidden="1" x14ac:dyDescent="0.25">
      <c r="F1521" s="499">
        <v>512</v>
      </c>
      <c r="G1521" s="496" t="s">
        <v>4159</v>
      </c>
      <c r="J1521" s="556">
        <f t="shared" si="53"/>
        <v>0</v>
      </c>
    </row>
    <row r="1522" spans="5:10" hidden="1" x14ac:dyDescent="0.25">
      <c r="F1522" s="499">
        <v>513</v>
      </c>
      <c r="G1522" s="496" t="s">
        <v>4160</v>
      </c>
      <c r="J1522" s="556">
        <f t="shared" si="53"/>
        <v>0</v>
      </c>
    </row>
    <row r="1523" spans="5:10" hidden="1" x14ac:dyDescent="0.25">
      <c r="F1523" s="499">
        <v>514</v>
      </c>
      <c r="G1523" s="492" t="s">
        <v>4161</v>
      </c>
      <c r="J1523" s="556">
        <f t="shared" si="53"/>
        <v>0</v>
      </c>
    </row>
    <row r="1524" spans="5:10" hidden="1" x14ac:dyDescent="0.25">
      <c r="F1524" s="499">
        <v>515</v>
      </c>
      <c r="G1524" s="492" t="s">
        <v>3834</v>
      </c>
      <c r="J1524" s="556">
        <f t="shared" si="53"/>
        <v>0</v>
      </c>
    </row>
    <row r="1525" spans="5:10" hidden="1" x14ac:dyDescent="0.25">
      <c r="F1525" s="499">
        <v>521</v>
      </c>
      <c r="G1525" s="492" t="s">
        <v>4162</v>
      </c>
      <c r="J1525" s="556">
        <f t="shared" si="53"/>
        <v>0</v>
      </c>
    </row>
    <row r="1526" spans="5:10" hidden="1" x14ac:dyDescent="0.25">
      <c r="F1526" s="499">
        <v>522</v>
      </c>
      <c r="G1526" s="492" t="s">
        <v>4163</v>
      </c>
      <c r="J1526" s="556">
        <f t="shared" si="53"/>
        <v>0</v>
      </c>
    </row>
    <row r="1527" spans="5:10" hidden="1" x14ac:dyDescent="0.25">
      <c r="F1527" s="499">
        <v>523</v>
      </c>
      <c r="G1527" s="492" t="s">
        <v>3839</v>
      </c>
      <c r="J1527" s="556">
        <f t="shared" si="53"/>
        <v>0</v>
      </c>
    </row>
    <row r="1528" spans="5:10" hidden="1" x14ac:dyDescent="0.25">
      <c r="F1528" s="499">
        <v>531</v>
      </c>
      <c r="G1528" s="488" t="s">
        <v>4139</v>
      </c>
      <c r="J1528" s="556">
        <f t="shared" si="53"/>
        <v>0</v>
      </c>
    </row>
    <row r="1529" spans="5:10" hidden="1" x14ac:dyDescent="0.25">
      <c r="F1529" s="499">
        <v>541</v>
      </c>
      <c r="G1529" s="492" t="s">
        <v>4164</v>
      </c>
      <c r="J1529" s="556">
        <f t="shared" si="53"/>
        <v>0</v>
      </c>
    </row>
    <row r="1530" spans="5:10" hidden="1" x14ac:dyDescent="0.25">
      <c r="F1530" s="499">
        <v>542</v>
      </c>
      <c r="G1530" s="492" t="s">
        <v>4165</v>
      </c>
      <c r="J1530" s="556">
        <f t="shared" si="53"/>
        <v>0</v>
      </c>
    </row>
    <row r="1531" spans="5:10" hidden="1" x14ac:dyDescent="0.25">
      <c r="F1531" s="499">
        <v>543</v>
      </c>
      <c r="G1531" s="492" t="s">
        <v>3844</v>
      </c>
      <c r="J1531" s="556">
        <f t="shared" si="53"/>
        <v>0</v>
      </c>
    </row>
    <row r="1532" spans="5:10" ht="30" hidden="1" x14ac:dyDescent="0.25">
      <c r="F1532" s="499">
        <v>551</v>
      </c>
      <c r="G1532" s="492" t="s">
        <v>4140</v>
      </c>
      <c r="J1532" s="556">
        <f t="shared" si="53"/>
        <v>0</v>
      </c>
    </row>
    <row r="1533" spans="5:10" hidden="1" x14ac:dyDescent="0.25">
      <c r="F1533" s="500">
        <v>611</v>
      </c>
      <c r="G1533" s="498" t="s">
        <v>3850</v>
      </c>
      <c r="J1533" s="556">
        <f t="shared" si="53"/>
        <v>0</v>
      </c>
    </row>
    <row r="1534" spans="5:10" ht="15.75" hidden="1" thickBot="1" x14ac:dyDescent="0.3">
      <c r="F1534" s="500">
        <v>620</v>
      </c>
      <c r="G1534" s="498" t="s">
        <v>88</v>
      </c>
      <c r="J1534" s="556">
        <f t="shared" si="53"/>
        <v>0</v>
      </c>
    </row>
    <row r="1535" spans="5:10" x14ac:dyDescent="0.25">
      <c r="E1535" s="489"/>
      <c r="F1535" s="500"/>
      <c r="G1535" s="343" t="s">
        <v>5238</v>
      </c>
      <c r="H1535" s="557"/>
      <c r="I1535" s="583"/>
      <c r="J1535" s="558"/>
    </row>
    <row r="1536" spans="5:10" ht="15.75" thickBot="1" x14ac:dyDescent="0.3">
      <c r="E1536" s="693"/>
      <c r="F1536" s="597" t="s">
        <v>234</v>
      </c>
      <c r="G1536" s="598" t="s">
        <v>235</v>
      </c>
      <c r="H1536" s="559">
        <f>SUM(H1505:H1506)</f>
        <v>615000</v>
      </c>
      <c r="I1536" s="560"/>
      <c r="J1536" s="560">
        <f t="shared" ref="J1536:J1551" si="54">SUM(H1536:I1536)</f>
        <v>615000</v>
      </c>
    </row>
    <row r="1537" spans="6:10" hidden="1" x14ac:dyDescent="0.25">
      <c r="F1537" s="597" t="s">
        <v>236</v>
      </c>
      <c r="G1537" s="598" t="s">
        <v>237</v>
      </c>
      <c r="J1537" s="560">
        <f t="shared" si="54"/>
        <v>0</v>
      </c>
    </row>
    <row r="1538" spans="6:10" hidden="1" x14ac:dyDescent="0.25">
      <c r="F1538" s="597" t="s">
        <v>238</v>
      </c>
      <c r="G1538" s="598" t="s">
        <v>239</v>
      </c>
      <c r="J1538" s="560">
        <f t="shared" si="54"/>
        <v>0</v>
      </c>
    </row>
    <row r="1539" spans="6:10" hidden="1" x14ac:dyDescent="0.25">
      <c r="F1539" s="597" t="s">
        <v>240</v>
      </c>
      <c r="G1539" s="598" t="s">
        <v>241</v>
      </c>
      <c r="J1539" s="560">
        <f t="shared" si="54"/>
        <v>0</v>
      </c>
    </row>
    <row r="1540" spans="6:10" hidden="1" x14ac:dyDescent="0.25">
      <c r="F1540" s="597" t="s">
        <v>242</v>
      </c>
      <c r="G1540" s="598" t="s">
        <v>243</v>
      </c>
      <c r="J1540" s="560">
        <f t="shared" si="54"/>
        <v>0</v>
      </c>
    </row>
    <row r="1541" spans="6:10" hidden="1" x14ac:dyDescent="0.25">
      <c r="F1541" s="597" t="s">
        <v>244</v>
      </c>
      <c r="G1541" s="598" t="s">
        <v>245</v>
      </c>
      <c r="J1541" s="560">
        <f t="shared" si="54"/>
        <v>0</v>
      </c>
    </row>
    <row r="1542" spans="6:10" hidden="1" x14ac:dyDescent="0.25">
      <c r="F1542" s="597" t="s">
        <v>246</v>
      </c>
      <c r="G1542" s="598" t="s">
        <v>4996</v>
      </c>
      <c r="J1542" s="560">
        <f t="shared" si="54"/>
        <v>0</v>
      </c>
    </row>
    <row r="1543" spans="6:10" hidden="1" x14ac:dyDescent="0.25">
      <c r="F1543" s="597" t="s">
        <v>247</v>
      </c>
      <c r="G1543" s="598" t="s">
        <v>4995</v>
      </c>
      <c r="J1543" s="560">
        <f t="shared" si="54"/>
        <v>0</v>
      </c>
    </row>
    <row r="1544" spans="6:10" hidden="1" x14ac:dyDescent="0.25">
      <c r="F1544" s="597" t="s">
        <v>248</v>
      </c>
      <c r="G1544" s="598" t="s">
        <v>57</v>
      </c>
      <c r="J1544" s="560">
        <f t="shared" si="54"/>
        <v>0</v>
      </c>
    </row>
    <row r="1545" spans="6:10" hidden="1" x14ac:dyDescent="0.25">
      <c r="F1545" s="597" t="s">
        <v>249</v>
      </c>
      <c r="G1545" s="598" t="s">
        <v>250</v>
      </c>
      <c r="J1545" s="560">
        <f t="shared" si="54"/>
        <v>0</v>
      </c>
    </row>
    <row r="1546" spans="6:10" hidden="1" x14ac:dyDescent="0.25">
      <c r="F1546" s="597" t="s">
        <v>251</v>
      </c>
      <c r="G1546" s="598" t="s">
        <v>252</v>
      </c>
      <c r="J1546" s="560">
        <f t="shared" si="54"/>
        <v>0</v>
      </c>
    </row>
    <row r="1547" spans="6:10" ht="30" hidden="1" x14ac:dyDescent="0.25">
      <c r="F1547" s="597" t="s">
        <v>253</v>
      </c>
      <c r="G1547" s="598" t="s">
        <v>254</v>
      </c>
      <c r="J1547" s="560">
        <f t="shared" si="54"/>
        <v>0</v>
      </c>
    </row>
    <row r="1548" spans="6:10" hidden="1" x14ac:dyDescent="0.25">
      <c r="F1548" s="597" t="s">
        <v>255</v>
      </c>
      <c r="G1548" s="598" t="s">
        <v>256</v>
      </c>
      <c r="J1548" s="560">
        <f t="shared" si="54"/>
        <v>0</v>
      </c>
    </row>
    <row r="1549" spans="6:10" ht="30" hidden="1" x14ac:dyDescent="0.25">
      <c r="F1549" s="597" t="s">
        <v>257</v>
      </c>
      <c r="G1549" s="598" t="s">
        <v>258</v>
      </c>
      <c r="J1549" s="560">
        <f t="shared" si="54"/>
        <v>0</v>
      </c>
    </row>
    <row r="1550" spans="6:10" hidden="1" x14ac:dyDescent="0.25">
      <c r="F1550" s="597" t="s">
        <v>259</v>
      </c>
      <c r="G1550" s="598" t="s">
        <v>260</v>
      </c>
      <c r="J1550" s="560">
        <f t="shared" si="54"/>
        <v>0</v>
      </c>
    </row>
    <row r="1551" spans="6:10" ht="15.75" hidden="1" thickBot="1" x14ac:dyDescent="0.3">
      <c r="F1551" s="597" t="s">
        <v>261</v>
      </c>
      <c r="G1551" s="598" t="s">
        <v>262</v>
      </c>
      <c r="H1551" s="559"/>
      <c r="I1551" s="560"/>
      <c r="J1551" s="560">
        <f t="shared" si="54"/>
        <v>0</v>
      </c>
    </row>
    <row r="1552" spans="6:10" ht="15.75" thickBot="1" x14ac:dyDescent="0.3">
      <c r="G1552" s="268" t="s">
        <v>5239</v>
      </c>
      <c r="H1552" s="561">
        <f>SUM(H1536)</f>
        <v>615000</v>
      </c>
      <c r="I1552" s="562">
        <f>SUM(I1537:I1551)</f>
        <v>0</v>
      </c>
      <c r="J1552" s="562">
        <f>SUM(J1536:J1551)</f>
        <v>615000</v>
      </c>
    </row>
    <row r="1553" spans="5:10" ht="28.5" x14ac:dyDescent="0.25">
      <c r="E1553" s="489"/>
      <c r="F1553" s="500"/>
      <c r="G1553" s="270" t="s">
        <v>4233</v>
      </c>
      <c r="H1553" s="563"/>
      <c r="I1553" s="584"/>
      <c r="J1553" s="564"/>
    </row>
    <row r="1554" spans="5:10" ht="15.75" thickBot="1" x14ac:dyDescent="0.3">
      <c r="E1554" s="693"/>
      <c r="F1554" s="597" t="s">
        <v>234</v>
      </c>
      <c r="G1554" s="729" t="s">
        <v>235</v>
      </c>
      <c r="H1554" s="559">
        <f>SUM(H1475:H1534)</f>
        <v>615000</v>
      </c>
      <c r="I1554" s="560"/>
      <c r="J1554" s="560">
        <f>SUM(H1554:I1554)</f>
        <v>615000</v>
      </c>
    </row>
    <row r="1555" spans="5:10" hidden="1" x14ac:dyDescent="0.25">
      <c r="F1555" s="597" t="s">
        <v>236</v>
      </c>
      <c r="G1555" s="598" t="s">
        <v>237</v>
      </c>
      <c r="J1555" s="560">
        <f t="shared" ref="J1555:J1569" si="55">SUM(H1555:I1555)</f>
        <v>0</v>
      </c>
    </row>
    <row r="1556" spans="5:10" hidden="1" x14ac:dyDescent="0.25">
      <c r="F1556" s="597" t="s">
        <v>238</v>
      </c>
      <c r="G1556" s="598" t="s">
        <v>239</v>
      </c>
      <c r="J1556" s="560">
        <f t="shared" si="55"/>
        <v>0</v>
      </c>
    </row>
    <row r="1557" spans="5:10" hidden="1" x14ac:dyDescent="0.25">
      <c r="F1557" s="597" t="s">
        <v>240</v>
      </c>
      <c r="G1557" s="598" t="s">
        <v>241</v>
      </c>
      <c r="J1557" s="560">
        <f t="shared" si="55"/>
        <v>0</v>
      </c>
    </row>
    <row r="1558" spans="5:10" hidden="1" x14ac:dyDescent="0.25">
      <c r="F1558" s="597" t="s">
        <v>242</v>
      </c>
      <c r="G1558" s="598" t="s">
        <v>243</v>
      </c>
      <c r="J1558" s="560">
        <f t="shared" si="55"/>
        <v>0</v>
      </c>
    </row>
    <row r="1559" spans="5:10" hidden="1" x14ac:dyDescent="0.25">
      <c r="F1559" s="597" t="s">
        <v>244</v>
      </c>
      <c r="G1559" s="598" t="s">
        <v>245</v>
      </c>
      <c r="J1559" s="560">
        <f t="shared" si="55"/>
        <v>0</v>
      </c>
    </row>
    <row r="1560" spans="5:10" hidden="1" x14ac:dyDescent="0.25">
      <c r="F1560" s="597" t="s">
        <v>246</v>
      </c>
      <c r="G1560" s="598" t="s">
        <v>4996</v>
      </c>
      <c r="J1560" s="560">
        <f t="shared" si="55"/>
        <v>0</v>
      </c>
    </row>
    <row r="1561" spans="5:10" hidden="1" x14ac:dyDescent="0.25">
      <c r="F1561" s="597" t="s">
        <v>247</v>
      </c>
      <c r="G1561" s="598" t="s">
        <v>4995</v>
      </c>
      <c r="J1561" s="560">
        <f t="shared" si="55"/>
        <v>0</v>
      </c>
    </row>
    <row r="1562" spans="5:10" hidden="1" x14ac:dyDescent="0.25">
      <c r="F1562" s="597" t="s">
        <v>248</v>
      </c>
      <c r="G1562" s="598" t="s">
        <v>57</v>
      </c>
      <c r="J1562" s="560">
        <f t="shared" si="55"/>
        <v>0</v>
      </c>
    </row>
    <row r="1563" spans="5:10" hidden="1" x14ac:dyDescent="0.25">
      <c r="F1563" s="597" t="s">
        <v>249</v>
      </c>
      <c r="G1563" s="598" t="s">
        <v>250</v>
      </c>
      <c r="J1563" s="560">
        <f t="shared" si="55"/>
        <v>0</v>
      </c>
    </row>
    <row r="1564" spans="5:10" hidden="1" x14ac:dyDescent="0.25">
      <c r="F1564" s="597" t="s">
        <v>251</v>
      </c>
      <c r="G1564" s="598" t="s">
        <v>252</v>
      </c>
      <c r="J1564" s="560">
        <f t="shared" si="55"/>
        <v>0</v>
      </c>
    </row>
    <row r="1565" spans="5:10" ht="30" hidden="1" x14ac:dyDescent="0.25">
      <c r="F1565" s="597" t="s">
        <v>253</v>
      </c>
      <c r="G1565" s="598" t="s">
        <v>254</v>
      </c>
      <c r="J1565" s="560">
        <f t="shared" si="55"/>
        <v>0</v>
      </c>
    </row>
    <row r="1566" spans="5:10" hidden="1" x14ac:dyDescent="0.25">
      <c r="F1566" s="597" t="s">
        <v>255</v>
      </c>
      <c r="G1566" s="598" t="s">
        <v>256</v>
      </c>
      <c r="J1566" s="560">
        <f t="shared" si="55"/>
        <v>0</v>
      </c>
    </row>
    <row r="1567" spans="5:10" ht="30" hidden="1" x14ac:dyDescent="0.25">
      <c r="F1567" s="597" t="s">
        <v>257</v>
      </c>
      <c r="G1567" s="598" t="s">
        <v>258</v>
      </c>
      <c r="J1567" s="560">
        <f t="shared" si="55"/>
        <v>0</v>
      </c>
    </row>
    <row r="1568" spans="5:10" hidden="1" x14ac:dyDescent="0.25">
      <c r="F1568" s="597" t="s">
        <v>259</v>
      </c>
      <c r="G1568" s="598" t="s">
        <v>260</v>
      </c>
      <c r="J1568" s="560">
        <f t="shared" si="55"/>
        <v>0</v>
      </c>
    </row>
    <row r="1569" spans="3:10" ht="15.75" hidden="1" thickBot="1" x14ac:dyDescent="0.3">
      <c r="F1569" s="597" t="s">
        <v>261</v>
      </c>
      <c r="G1569" s="598" t="s">
        <v>262</v>
      </c>
      <c r="H1569" s="559"/>
      <c r="I1569" s="560"/>
      <c r="J1569" s="560">
        <f t="shared" si="55"/>
        <v>0</v>
      </c>
    </row>
    <row r="1570" spans="3:10" ht="15.75" thickBot="1" x14ac:dyDescent="0.3">
      <c r="G1570" s="268" t="s">
        <v>4232</v>
      </c>
      <c r="H1570" s="561">
        <f>SUM(H1554:H1569)</f>
        <v>615000</v>
      </c>
      <c r="I1570" s="562">
        <f>SUM(I1555:I1569)</f>
        <v>0</v>
      </c>
      <c r="J1570" s="562">
        <f>SUM(J1554:J1569)</f>
        <v>615000</v>
      </c>
    </row>
    <row r="1571" spans="3:10" x14ac:dyDescent="0.25">
      <c r="C1571" s="267" t="s">
        <v>4098</v>
      </c>
      <c r="D1571" s="259"/>
      <c r="G1571" s="490" t="s">
        <v>5027</v>
      </c>
    </row>
    <row r="1572" spans="3:10" x14ac:dyDescent="0.25">
      <c r="C1572" s="267"/>
      <c r="D1572" s="331">
        <v>620</v>
      </c>
      <c r="E1572" s="869"/>
      <c r="F1572" s="331"/>
      <c r="G1572" s="764" t="s">
        <v>182</v>
      </c>
    </row>
    <row r="1573" spans="3:10" hidden="1" x14ac:dyDescent="0.25">
      <c r="F1573" s="499">
        <v>411</v>
      </c>
      <c r="G1573" s="492" t="s">
        <v>4131</v>
      </c>
      <c r="J1573" s="556">
        <f>SUM(H1573:I1573)</f>
        <v>0</v>
      </c>
    </row>
    <row r="1574" spans="3:10" hidden="1" x14ac:dyDescent="0.25">
      <c r="F1574" s="499">
        <v>412</v>
      </c>
      <c r="G1574" s="488" t="s">
        <v>3766</v>
      </c>
      <c r="J1574" s="556">
        <f t="shared" ref="J1574:J1632" si="56">SUM(H1574:I1574)</f>
        <v>0</v>
      </c>
    </row>
    <row r="1575" spans="3:10" hidden="1" x14ac:dyDescent="0.25">
      <c r="F1575" s="499">
        <v>413</v>
      </c>
      <c r="G1575" s="492" t="s">
        <v>4132</v>
      </c>
      <c r="J1575" s="556">
        <f t="shared" si="56"/>
        <v>0</v>
      </c>
    </row>
    <row r="1576" spans="3:10" hidden="1" x14ac:dyDescent="0.25">
      <c r="F1576" s="499">
        <v>414</v>
      </c>
      <c r="G1576" s="492" t="s">
        <v>3769</v>
      </c>
      <c r="J1576" s="556">
        <f t="shared" si="56"/>
        <v>0</v>
      </c>
    </row>
    <row r="1577" spans="3:10" hidden="1" x14ac:dyDescent="0.25">
      <c r="F1577" s="499">
        <v>415</v>
      </c>
      <c r="G1577" s="492" t="s">
        <v>4141</v>
      </c>
      <c r="J1577" s="556">
        <f t="shared" si="56"/>
        <v>0</v>
      </c>
    </row>
    <row r="1578" spans="3:10" hidden="1" x14ac:dyDescent="0.25">
      <c r="F1578" s="499">
        <v>416</v>
      </c>
      <c r="G1578" s="492" t="s">
        <v>4142</v>
      </c>
      <c r="J1578" s="556">
        <f t="shared" si="56"/>
        <v>0</v>
      </c>
    </row>
    <row r="1579" spans="3:10" hidden="1" x14ac:dyDescent="0.25">
      <c r="F1579" s="499">
        <v>417</v>
      </c>
      <c r="G1579" s="492" t="s">
        <v>4143</v>
      </c>
      <c r="J1579" s="556">
        <f t="shared" si="56"/>
        <v>0</v>
      </c>
    </row>
    <row r="1580" spans="3:10" hidden="1" x14ac:dyDescent="0.25">
      <c r="F1580" s="499">
        <v>418</v>
      </c>
      <c r="G1580" s="492" t="s">
        <v>3775</v>
      </c>
      <c r="J1580" s="556">
        <f t="shared" si="56"/>
        <v>0</v>
      </c>
    </row>
    <row r="1581" spans="3:10" hidden="1" x14ac:dyDescent="0.25">
      <c r="F1581" s="499">
        <v>421</v>
      </c>
      <c r="G1581" s="492" t="s">
        <v>3779</v>
      </c>
      <c r="J1581" s="556">
        <f t="shared" si="56"/>
        <v>0</v>
      </c>
    </row>
    <row r="1582" spans="3:10" hidden="1" x14ac:dyDescent="0.25">
      <c r="F1582" s="499">
        <v>422</v>
      </c>
      <c r="G1582" s="492" t="s">
        <v>3780</v>
      </c>
      <c r="J1582" s="556">
        <f t="shared" si="56"/>
        <v>0</v>
      </c>
    </row>
    <row r="1583" spans="3:10" x14ac:dyDescent="0.25">
      <c r="E1583" s="679">
        <v>68</v>
      </c>
      <c r="F1583" s="499">
        <v>423</v>
      </c>
      <c r="G1583" s="492" t="s">
        <v>3781</v>
      </c>
      <c r="H1583" s="555">
        <v>0</v>
      </c>
      <c r="J1583" s="556">
        <f t="shared" si="56"/>
        <v>0</v>
      </c>
    </row>
    <row r="1584" spans="3:10" hidden="1" x14ac:dyDescent="0.25">
      <c r="F1584" s="499">
        <v>424</v>
      </c>
      <c r="G1584" s="492" t="s">
        <v>3783</v>
      </c>
      <c r="J1584" s="556">
        <f t="shared" si="56"/>
        <v>0</v>
      </c>
    </row>
    <row r="1585" spans="5:10" hidden="1" x14ac:dyDescent="0.25">
      <c r="F1585" s="499">
        <v>425</v>
      </c>
      <c r="G1585" s="492" t="s">
        <v>4144</v>
      </c>
      <c r="J1585" s="556">
        <f t="shared" si="56"/>
        <v>0</v>
      </c>
    </row>
    <row r="1586" spans="5:10" ht="15.75" thickBot="1" x14ac:dyDescent="0.3">
      <c r="E1586" s="679">
        <v>69</v>
      </c>
      <c r="F1586" s="499">
        <v>426</v>
      </c>
      <c r="G1586" s="492" t="s">
        <v>3787</v>
      </c>
      <c r="H1586" s="555">
        <v>0</v>
      </c>
      <c r="J1586" s="556">
        <f t="shared" si="56"/>
        <v>0</v>
      </c>
    </row>
    <row r="1587" spans="5:10" hidden="1" x14ac:dyDescent="0.25">
      <c r="F1587" s="499">
        <v>431</v>
      </c>
      <c r="G1587" s="492" t="s">
        <v>4145</v>
      </c>
      <c r="J1587" s="556">
        <f t="shared" si="56"/>
        <v>0</v>
      </c>
    </row>
    <row r="1588" spans="5:10" hidden="1" x14ac:dyDescent="0.25">
      <c r="F1588" s="499">
        <v>432</v>
      </c>
      <c r="G1588" s="492" t="s">
        <v>4146</v>
      </c>
      <c r="J1588" s="556">
        <f t="shared" si="56"/>
        <v>0</v>
      </c>
    </row>
    <row r="1589" spans="5:10" hidden="1" x14ac:dyDescent="0.25">
      <c r="F1589" s="499">
        <v>433</v>
      </c>
      <c r="G1589" s="492" t="s">
        <v>4147</v>
      </c>
      <c r="J1589" s="556">
        <f t="shared" si="56"/>
        <v>0</v>
      </c>
    </row>
    <row r="1590" spans="5:10" hidden="1" x14ac:dyDescent="0.25">
      <c r="F1590" s="499">
        <v>434</v>
      </c>
      <c r="G1590" s="492" t="s">
        <v>4148</v>
      </c>
      <c r="J1590" s="556">
        <f t="shared" si="56"/>
        <v>0</v>
      </c>
    </row>
    <row r="1591" spans="5:10" hidden="1" x14ac:dyDescent="0.25">
      <c r="F1591" s="499">
        <v>435</v>
      </c>
      <c r="G1591" s="492" t="s">
        <v>3794</v>
      </c>
      <c r="J1591" s="556">
        <f t="shared" si="56"/>
        <v>0</v>
      </c>
    </row>
    <row r="1592" spans="5:10" hidden="1" x14ac:dyDescent="0.25">
      <c r="F1592" s="499">
        <v>441</v>
      </c>
      <c r="G1592" s="492" t="s">
        <v>4149</v>
      </c>
      <c r="J1592" s="556">
        <f t="shared" si="56"/>
        <v>0</v>
      </c>
    </row>
    <row r="1593" spans="5:10" hidden="1" x14ac:dyDescent="0.25">
      <c r="F1593" s="499">
        <v>442</v>
      </c>
      <c r="G1593" s="492" t="s">
        <v>4150</v>
      </c>
      <c r="J1593" s="556">
        <f t="shared" si="56"/>
        <v>0</v>
      </c>
    </row>
    <row r="1594" spans="5:10" hidden="1" x14ac:dyDescent="0.25">
      <c r="F1594" s="499">
        <v>443</v>
      </c>
      <c r="G1594" s="492" t="s">
        <v>3799</v>
      </c>
      <c r="J1594" s="556">
        <f t="shared" si="56"/>
        <v>0</v>
      </c>
    </row>
    <row r="1595" spans="5:10" hidden="1" x14ac:dyDescent="0.25">
      <c r="F1595" s="499">
        <v>444</v>
      </c>
      <c r="G1595" s="492" t="s">
        <v>3800</v>
      </c>
      <c r="J1595" s="556">
        <f t="shared" si="56"/>
        <v>0</v>
      </c>
    </row>
    <row r="1596" spans="5:10" ht="30" hidden="1" x14ac:dyDescent="0.25">
      <c r="F1596" s="499">
        <v>4511</v>
      </c>
      <c r="G1596" s="756" t="s">
        <v>1690</v>
      </c>
      <c r="J1596" s="556">
        <f t="shared" si="56"/>
        <v>0</v>
      </c>
    </row>
    <row r="1597" spans="5:10" ht="30" hidden="1" x14ac:dyDescent="0.25">
      <c r="F1597" s="499">
        <v>4512</v>
      </c>
      <c r="G1597" s="756" t="s">
        <v>1699</v>
      </c>
      <c r="J1597" s="556">
        <f t="shared" si="56"/>
        <v>0</v>
      </c>
    </row>
    <row r="1598" spans="5:10" hidden="1" x14ac:dyDescent="0.25">
      <c r="F1598" s="499">
        <v>452</v>
      </c>
      <c r="G1598" s="492" t="s">
        <v>4151</v>
      </c>
      <c r="J1598" s="556">
        <f t="shared" si="56"/>
        <v>0</v>
      </c>
    </row>
    <row r="1599" spans="5:10" hidden="1" x14ac:dyDescent="0.25">
      <c r="F1599" s="499">
        <v>453</v>
      </c>
      <c r="G1599" s="492" t="s">
        <v>4152</v>
      </c>
      <c r="J1599" s="556">
        <f t="shared" si="56"/>
        <v>0</v>
      </c>
    </row>
    <row r="1600" spans="5:10" hidden="1" x14ac:dyDescent="0.25">
      <c r="F1600" s="499">
        <v>454</v>
      </c>
      <c r="G1600" s="492" t="s">
        <v>3805</v>
      </c>
      <c r="J1600" s="556">
        <f t="shared" si="56"/>
        <v>0</v>
      </c>
    </row>
    <row r="1601" spans="5:10" hidden="1" x14ac:dyDescent="0.25">
      <c r="F1601" s="499">
        <v>461</v>
      </c>
      <c r="G1601" s="492" t="s">
        <v>4133</v>
      </c>
      <c r="J1601" s="556">
        <f t="shared" si="56"/>
        <v>0</v>
      </c>
    </row>
    <row r="1602" spans="5:10" hidden="1" x14ac:dyDescent="0.25">
      <c r="F1602" s="499">
        <v>462</v>
      </c>
      <c r="G1602" s="492" t="s">
        <v>3808</v>
      </c>
      <c r="J1602" s="556">
        <f t="shared" si="56"/>
        <v>0</v>
      </c>
    </row>
    <row r="1603" spans="5:10" hidden="1" x14ac:dyDescent="0.25">
      <c r="E1603" s="679">
        <v>77</v>
      </c>
      <c r="F1603" s="499">
        <v>4631</v>
      </c>
      <c r="G1603" s="492" t="s">
        <v>3809</v>
      </c>
      <c r="J1603" s="556">
        <f t="shared" si="56"/>
        <v>0</v>
      </c>
    </row>
    <row r="1604" spans="5:10" hidden="1" x14ac:dyDescent="0.25">
      <c r="E1604" s="679">
        <v>78</v>
      </c>
      <c r="F1604" s="499">
        <v>4632</v>
      </c>
      <c r="G1604" s="492" t="s">
        <v>3810</v>
      </c>
      <c r="J1604" s="556">
        <f t="shared" si="56"/>
        <v>0</v>
      </c>
    </row>
    <row r="1605" spans="5:10" hidden="1" x14ac:dyDescent="0.25">
      <c r="F1605" s="499">
        <v>464</v>
      </c>
      <c r="G1605" s="492" t="s">
        <v>3811</v>
      </c>
      <c r="J1605" s="556">
        <f t="shared" si="56"/>
        <v>0</v>
      </c>
    </row>
    <row r="1606" spans="5:10" hidden="1" x14ac:dyDescent="0.25">
      <c r="F1606" s="499">
        <v>465</v>
      </c>
      <c r="G1606" s="492" t="s">
        <v>4134</v>
      </c>
      <c r="J1606" s="556">
        <f t="shared" si="56"/>
        <v>0</v>
      </c>
    </row>
    <row r="1607" spans="5:10" hidden="1" x14ac:dyDescent="0.25">
      <c r="F1607" s="499">
        <v>472</v>
      </c>
      <c r="G1607" s="492" t="s">
        <v>3815</v>
      </c>
      <c r="J1607" s="556">
        <f t="shared" si="56"/>
        <v>0</v>
      </c>
    </row>
    <row r="1608" spans="5:10" hidden="1" x14ac:dyDescent="0.25">
      <c r="F1608" s="499">
        <v>481</v>
      </c>
      <c r="G1608" s="492" t="s">
        <v>4153</v>
      </c>
      <c r="J1608" s="556">
        <f t="shared" si="56"/>
        <v>0</v>
      </c>
    </row>
    <row r="1609" spans="5:10" hidden="1" x14ac:dyDescent="0.25">
      <c r="F1609" s="499">
        <v>482</v>
      </c>
      <c r="G1609" s="492" t="s">
        <v>4154</v>
      </c>
      <c r="J1609" s="556">
        <f t="shared" si="56"/>
        <v>0</v>
      </c>
    </row>
    <row r="1610" spans="5:10" hidden="1" x14ac:dyDescent="0.25">
      <c r="F1610" s="499">
        <v>483</v>
      </c>
      <c r="G1610" s="496" t="s">
        <v>4155</v>
      </c>
      <c r="J1610" s="556">
        <f t="shared" si="56"/>
        <v>0</v>
      </c>
    </row>
    <row r="1611" spans="5:10" ht="30" hidden="1" x14ac:dyDescent="0.25">
      <c r="F1611" s="499">
        <v>484</v>
      </c>
      <c r="G1611" s="492" t="s">
        <v>4156</v>
      </c>
      <c r="J1611" s="556">
        <f t="shared" si="56"/>
        <v>0</v>
      </c>
    </row>
    <row r="1612" spans="5:10" ht="30" hidden="1" x14ac:dyDescent="0.25">
      <c r="F1612" s="499">
        <v>485</v>
      </c>
      <c r="G1612" s="492" t="s">
        <v>4157</v>
      </c>
      <c r="J1612" s="556">
        <f t="shared" si="56"/>
        <v>0</v>
      </c>
    </row>
    <row r="1613" spans="5:10" ht="30" hidden="1" x14ac:dyDescent="0.25">
      <c r="F1613" s="499">
        <v>489</v>
      </c>
      <c r="G1613" s="492" t="s">
        <v>3823</v>
      </c>
      <c r="J1613" s="556">
        <f t="shared" si="56"/>
        <v>0</v>
      </c>
    </row>
    <row r="1614" spans="5:10" hidden="1" x14ac:dyDescent="0.25">
      <c r="F1614" s="499">
        <v>494</v>
      </c>
      <c r="G1614" s="492" t="s">
        <v>4135</v>
      </c>
      <c r="J1614" s="556">
        <f t="shared" si="56"/>
        <v>0</v>
      </c>
    </row>
    <row r="1615" spans="5:10" ht="30" hidden="1" x14ac:dyDescent="0.25">
      <c r="F1615" s="499">
        <v>495</v>
      </c>
      <c r="G1615" s="492" t="s">
        <v>4136</v>
      </c>
      <c r="J1615" s="556">
        <f t="shared" si="56"/>
        <v>0</v>
      </c>
    </row>
    <row r="1616" spans="5:10" ht="30" hidden="1" x14ac:dyDescent="0.25">
      <c r="F1616" s="499">
        <v>496</v>
      </c>
      <c r="G1616" s="492" t="s">
        <v>4137</v>
      </c>
      <c r="J1616" s="556">
        <f t="shared" si="56"/>
        <v>0</v>
      </c>
    </row>
    <row r="1617" spans="6:10" ht="30" hidden="1" x14ac:dyDescent="0.25">
      <c r="F1617" s="499">
        <v>499</v>
      </c>
      <c r="G1617" s="492" t="s">
        <v>4138</v>
      </c>
      <c r="J1617" s="556">
        <f t="shared" si="56"/>
        <v>0</v>
      </c>
    </row>
    <row r="1618" spans="6:10" hidden="1" x14ac:dyDescent="0.25">
      <c r="F1618" s="499">
        <v>511</v>
      </c>
      <c r="G1618" s="496" t="s">
        <v>4158</v>
      </c>
      <c r="J1618" s="556">
        <f t="shared" si="56"/>
        <v>0</v>
      </c>
    </row>
    <row r="1619" spans="6:10" hidden="1" x14ac:dyDescent="0.25">
      <c r="F1619" s="499">
        <v>512</v>
      </c>
      <c r="G1619" s="496" t="s">
        <v>4159</v>
      </c>
      <c r="J1619" s="556">
        <f t="shared" si="56"/>
        <v>0</v>
      </c>
    </row>
    <row r="1620" spans="6:10" hidden="1" x14ac:dyDescent="0.25">
      <c r="F1620" s="499">
        <v>513</v>
      </c>
      <c r="G1620" s="496" t="s">
        <v>4160</v>
      </c>
      <c r="J1620" s="556">
        <f t="shared" si="56"/>
        <v>0</v>
      </c>
    </row>
    <row r="1621" spans="6:10" hidden="1" x14ac:dyDescent="0.25">
      <c r="F1621" s="499">
        <v>514</v>
      </c>
      <c r="G1621" s="492" t="s">
        <v>4161</v>
      </c>
      <c r="J1621" s="556">
        <f t="shared" si="56"/>
        <v>0</v>
      </c>
    </row>
    <row r="1622" spans="6:10" hidden="1" x14ac:dyDescent="0.25">
      <c r="F1622" s="499">
        <v>515</v>
      </c>
      <c r="G1622" s="492" t="s">
        <v>3834</v>
      </c>
      <c r="J1622" s="556">
        <f t="shared" si="56"/>
        <v>0</v>
      </c>
    </row>
    <row r="1623" spans="6:10" hidden="1" x14ac:dyDescent="0.25">
      <c r="F1623" s="499">
        <v>521</v>
      </c>
      <c r="G1623" s="492" t="s">
        <v>4162</v>
      </c>
      <c r="J1623" s="556">
        <f t="shared" si="56"/>
        <v>0</v>
      </c>
    </row>
    <row r="1624" spans="6:10" hidden="1" x14ac:dyDescent="0.25">
      <c r="F1624" s="499">
        <v>522</v>
      </c>
      <c r="G1624" s="492" t="s">
        <v>4163</v>
      </c>
      <c r="J1624" s="556">
        <f t="shared" si="56"/>
        <v>0</v>
      </c>
    </row>
    <row r="1625" spans="6:10" hidden="1" x14ac:dyDescent="0.25">
      <c r="F1625" s="499">
        <v>523</v>
      </c>
      <c r="G1625" s="492" t="s">
        <v>3839</v>
      </c>
      <c r="J1625" s="556">
        <f t="shared" si="56"/>
        <v>0</v>
      </c>
    </row>
    <row r="1626" spans="6:10" hidden="1" x14ac:dyDescent="0.25">
      <c r="F1626" s="499">
        <v>531</v>
      </c>
      <c r="G1626" s="488" t="s">
        <v>4139</v>
      </c>
      <c r="J1626" s="556">
        <f t="shared" si="56"/>
        <v>0</v>
      </c>
    </row>
    <row r="1627" spans="6:10" hidden="1" x14ac:dyDescent="0.25">
      <c r="F1627" s="499">
        <v>541</v>
      </c>
      <c r="G1627" s="492" t="s">
        <v>4164</v>
      </c>
      <c r="J1627" s="556">
        <f t="shared" si="56"/>
        <v>0</v>
      </c>
    </row>
    <row r="1628" spans="6:10" hidden="1" x14ac:dyDescent="0.25">
      <c r="F1628" s="499">
        <v>542</v>
      </c>
      <c r="G1628" s="492" t="s">
        <v>4165</v>
      </c>
      <c r="J1628" s="556">
        <f t="shared" si="56"/>
        <v>0</v>
      </c>
    </row>
    <row r="1629" spans="6:10" hidden="1" x14ac:dyDescent="0.25">
      <c r="F1629" s="499">
        <v>543</v>
      </c>
      <c r="G1629" s="492" t="s">
        <v>3844</v>
      </c>
      <c r="J1629" s="556">
        <f t="shared" si="56"/>
        <v>0</v>
      </c>
    </row>
    <row r="1630" spans="6:10" ht="30" hidden="1" x14ac:dyDescent="0.25">
      <c r="F1630" s="499">
        <v>551</v>
      </c>
      <c r="G1630" s="492" t="s">
        <v>4140</v>
      </c>
      <c r="J1630" s="556">
        <f t="shared" si="56"/>
        <v>0</v>
      </c>
    </row>
    <row r="1631" spans="6:10" hidden="1" x14ac:dyDescent="0.25">
      <c r="F1631" s="500">
        <v>611</v>
      </c>
      <c r="G1631" s="498" t="s">
        <v>3850</v>
      </c>
      <c r="J1631" s="556">
        <f t="shared" si="56"/>
        <v>0</v>
      </c>
    </row>
    <row r="1632" spans="6:10" ht="15.75" hidden="1" thickBot="1" x14ac:dyDescent="0.3">
      <c r="F1632" s="500">
        <v>620</v>
      </c>
      <c r="G1632" s="498" t="s">
        <v>88</v>
      </c>
      <c r="J1632" s="556">
        <f t="shared" si="56"/>
        <v>0</v>
      </c>
    </row>
    <row r="1633" spans="5:10" x14ac:dyDescent="0.25">
      <c r="E1633" s="489"/>
      <c r="F1633" s="500"/>
      <c r="G1633" s="343" t="s">
        <v>4289</v>
      </c>
      <c r="H1633" s="557"/>
      <c r="I1633" s="583"/>
      <c r="J1633" s="558"/>
    </row>
    <row r="1634" spans="5:10" ht="15.75" thickBot="1" x14ac:dyDescent="0.3">
      <c r="E1634" s="693"/>
      <c r="F1634" s="597" t="s">
        <v>234</v>
      </c>
      <c r="G1634" s="598" t="s">
        <v>235</v>
      </c>
      <c r="H1634" s="559">
        <f>SUM(H1583:H1604)</f>
        <v>0</v>
      </c>
      <c r="I1634" s="560"/>
      <c r="J1634" s="560">
        <f t="shared" ref="J1634:J1649" si="57">SUM(H1634:I1634)</f>
        <v>0</v>
      </c>
    </row>
    <row r="1635" spans="5:10" hidden="1" x14ac:dyDescent="0.25">
      <c r="F1635" s="597" t="s">
        <v>236</v>
      </c>
      <c r="G1635" s="598" t="s">
        <v>237</v>
      </c>
      <c r="J1635" s="560">
        <f t="shared" si="57"/>
        <v>0</v>
      </c>
    </row>
    <row r="1636" spans="5:10" hidden="1" x14ac:dyDescent="0.25">
      <c r="F1636" s="597" t="s">
        <v>238</v>
      </c>
      <c r="G1636" s="598" t="s">
        <v>239</v>
      </c>
      <c r="J1636" s="560">
        <f t="shared" si="57"/>
        <v>0</v>
      </c>
    </row>
    <row r="1637" spans="5:10" hidden="1" x14ac:dyDescent="0.25">
      <c r="F1637" s="597" t="s">
        <v>240</v>
      </c>
      <c r="G1637" s="598" t="s">
        <v>241</v>
      </c>
      <c r="J1637" s="560">
        <f t="shared" si="57"/>
        <v>0</v>
      </c>
    </row>
    <row r="1638" spans="5:10" hidden="1" x14ac:dyDescent="0.25">
      <c r="F1638" s="597" t="s">
        <v>242</v>
      </c>
      <c r="G1638" s="598" t="s">
        <v>243</v>
      </c>
      <c r="J1638" s="560">
        <f t="shared" si="57"/>
        <v>0</v>
      </c>
    </row>
    <row r="1639" spans="5:10" hidden="1" x14ac:dyDescent="0.25">
      <c r="F1639" s="597" t="s">
        <v>244</v>
      </c>
      <c r="G1639" s="598" t="s">
        <v>245</v>
      </c>
      <c r="J1639" s="560">
        <f t="shared" si="57"/>
        <v>0</v>
      </c>
    </row>
    <row r="1640" spans="5:10" hidden="1" x14ac:dyDescent="0.25">
      <c r="F1640" s="597" t="s">
        <v>246</v>
      </c>
      <c r="G1640" s="598" t="s">
        <v>4996</v>
      </c>
      <c r="J1640" s="560">
        <f t="shared" si="57"/>
        <v>0</v>
      </c>
    </row>
    <row r="1641" spans="5:10" hidden="1" x14ac:dyDescent="0.25">
      <c r="F1641" s="597" t="s">
        <v>247</v>
      </c>
      <c r="G1641" s="598" t="s">
        <v>4995</v>
      </c>
      <c r="J1641" s="560">
        <f t="shared" si="57"/>
        <v>0</v>
      </c>
    </row>
    <row r="1642" spans="5:10" hidden="1" x14ac:dyDescent="0.25">
      <c r="F1642" s="597" t="s">
        <v>248</v>
      </c>
      <c r="G1642" s="598" t="s">
        <v>57</v>
      </c>
      <c r="J1642" s="560">
        <f t="shared" si="57"/>
        <v>0</v>
      </c>
    </row>
    <row r="1643" spans="5:10" hidden="1" x14ac:dyDescent="0.25">
      <c r="F1643" s="597" t="s">
        <v>249</v>
      </c>
      <c r="G1643" s="598" t="s">
        <v>250</v>
      </c>
      <c r="J1643" s="560">
        <f t="shared" si="57"/>
        <v>0</v>
      </c>
    </row>
    <row r="1644" spans="5:10" hidden="1" x14ac:dyDescent="0.25">
      <c r="F1644" s="597" t="s">
        <v>251</v>
      </c>
      <c r="G1644" s="598" t="s">
        <v>252</v>
      </c>
      <c r="J1644" s="560">
        <f t="shared" si="57"/>
        <v>0</v>
      </c>
    </row>
    <row r="1645" spans="5:10" ht="30" hidden="1" x14ac:dyDescent="0.25">
      <c r="F1645" s="597" t="s">
        <v>253</v>
      </c>
      <c r="G1645" s="598" t="s">
        <v>254</v>
      </c>
      <c r="J1645" s="560">
        <f t="shared" si="57"/>
        <v>0</v>
      </c>
    </row>
    <row r="1646" spans="5:10" hidden="1" x14ac:dyDescent="0.25">
      <c r="F1646" s="597" t="s">
        <v>255</v>
      </c>
      <c r="G1646" s="598" t="s">
        <v>256</v>
      </c>
      <c r="J1646" s="560">
        <f t="shared" si="57"/>
        <v>0</v>
      </c>
    </row>
    <row r="1647" spans="5:10" ht="30" hidden="1" x14ac:dyDescent="0.25">
      <c r="F1647" s="597" t="s">
        <v>257</v>
      </c>
      <c r="G1647" s="598" t="s">
        <v>258</v>
      </c>
      <c r="J1647" s="560">
        <f t="shared" si="57"/>
        <v>0</v>
      </c>
    </row>
    <row r="1648" spans="5:10" hidden="1" x14ac:dyDescent="0.25">
      <c r="F1648" s="597" t="s">
        <v>259</v>
      </c>
      <c r="G1648" s="598" t="s">
        <v>260</v>
      </c>
      <c r="J1648" s="560">
        <f t="shared" si="57"/>
        <v>0</v>
      </c>
    </row>
    <row r="1649" spans="5:10" ht="15.75" hidden="1" thickBot="1" x14ac:dyDescent="0.3">
      <c r="F1649" s="597" t="s">
        <v>261</v>
      </c>
      <c r="G1649" s="598" t="s">
        <v>262</v>
      </c>
      <c r="H1649" s="559"/>
      <c r="I1649" s="560"/>
      <c r="J1649" s="560">
        <f t="shared" si="57"/>
        <v>0</v>
      </c>
    </row>
    <row r="1650" spans="5:10" ht="15.75" thickBot="1" x14ac:dyDescent="0.3">
      <c r="G1650" s="268" t="s">
        <v>4290</v>
      </c>
      <c r="H1650" s="561">
        <f>SUM(H1634)</f>
        <v>0</v>
      </c>
      <c r="I1650" s="562">
        <f>SUM(I1635:I1649)</f>
        <v>0</v>
      </c>
      <c r="J1650" s="562">
        <f>SUM(J1634:J1649)</f>
        <v>0</v>
      </c>
    </row>
    <row r="1651" spans="5:10" ht="28.5" x14ac:dyDescent="0.25">
      <c r="E1651" s="489"/>
      <c r="F1651" s="500"/>
      <c r="G1651" s="270" t="s">
        <v>4233</v>
      </c>
      <c r="H1651" s="563"/>
      <c r="I1651" s="584"/>
      <c r="J1651" s="564"/>
    </row>
    <row r="1652" spans="5:10" ht="15.75" thickBot="1" x14ac:dyDescent="0.3">
      <c r="E1652" s="693"/>
      <c r="F1652" s="597" t="s">
        <v>234</v>
      </c>
      <c r="G1652" s="729" t="s">
        <v>235</v>
      </c>
      <c r="H1652" s="559">
        <f>SUM(H1573:H1632)</f>
        <v>0</v>
      </c>
      <c r="I1652" s="560"/>
      <c r="J1652" s="560">
        <f>SUM(H1652:I1652)</f>
        <v>0</v>
      </c>
    </row>
    <row r="1653" spans="5:10" hidden="1" x14ac:dyDescent="0.25">
      <c r="F1653" s="597" t="s">
        <v>236</v>
      </c>
      <c r="G1653" s="598" t="s">
        <v>237</v>
      </c>
      <c r="J1653" s="560">
        <f t="shared" ref="J1653:J1667" si="58">SUM(H1653:I1653)</f>
        <v>0</v>
      </c>
    </row>
    <row r="1654" spans="5:10" hidden="1" x14ac:dyDescent="0.25">
      <c r="F1654" s="597" t="s">
        <v>238</v>
      </c>
      <c r="G1654" s="598" t="s">
        <v>239</v>
      </c>
      <c r="J1654" s="560">
        <f t="shared" si="58"/>
        <v>0</v>
      </c>
    </row>
    <row r="1655" spans="5:10" hidden="1" x14ac:dyDescent="0.25">
      <c r="F1655" s="597" t="s">
        <v>240</v>
      </c>
      <c r="G1655" s="598" t="s">
        <v>241</v>
      </c>
      <c r="J1655" s="560">
        <f t="shared" si="58"/>
        <v>0</v>
      </c>
    </row>
    <row r="1656" spans="5:10" hidden="1" x14ac:dyDescent="0.25">
      <c r="F1656" s="597" t="s">
        <v>242</v>
      </c>
      <c r="G1656" s="598" t="s">
        <v>243</v>
      </c>
      <c r="J1656" s="560">
        <f t="shared" si="58"/>
        <v>0</v>
      </c>
    </row>
    <row r="1657" spans="5:10" hidden="1" x14ac:dyDescent="0.25">
      <c r="F1657" s="597" t="s">
        <v>244</v>
      </c>
      <c r="G1657" s="598" t="s">
        <v>245</v>
      </c>
      <c r="J1657" s="560">
        <f t="shared" si="58"/>
        <v>0</v>
      </c>
    </row>
    <row r="1658" spans="5:10" hidden="1" x14ac:dyDescent="0.25">
      <c r="F1658" s="597" t="s">
        <v>246</v>
      </c>
      <c r="G1658" s="598" t="s">
        <v>4996</v>
      </c>
      <c r="J1658" s="560">
        <f t="shared" si="58"/>
        <v>0</v>
      </c>
    </row>
    <row r="1659" spans="5:10" hidden="1" x14ac:dyDescent="0.25">
      <c r="F1659" s="597" t="s">
        <v>247</v>
      </c>
      <c r="G1659" s="598" t="s">
        <v>4995</v>
      </c>
      <c r="J1659" s="560">
        <f t="shared" si="58"/>
        <v>0</v>
      </c>
    </row>
    <row r="1660" spans="5:10" hidden="1" x14ac:dyDescent="0.25">
      <c r="F1660" s="597" t="s">
        <v>248</v>
      </c>
      <c r="G1660" s="598" t="s">
        <v>57</v>
      </c>
      <c r="J1660" s="560">
        <f t="shared" si="58"/>
        <v>0</v>
      </c>
    </row>
    <row r="1661" spans="5:10" hidden="1" x14ac:dyDescent="0.25">
      <c r="F1661" s="597" t="s">
        <v>249</v>
      </c>
      <c r="G1661" s="598" t="s">
        <v>250</v>
      </c>
      <c r="J1661" s="560">
        <f t="shared" si="58"/>
        <v>0</v>
      </c>
    </row>
    <row r="1662" spans="5:10" hidden="1" x14ac:dyDescent="0.25">
      <c r="F1662" s="597" t="s">
        <v>251</v>
      </c>
      <c r="G1662" s="598" t="s">
        <v>252</v>
      </c>
      <c r="J1662" s="560">
        <f t="shared" si="58"/>
        <v>0</v>
      </c>
    </row>
    <row r="1663" spans="5:10" ht="30" hidden="1" x14ac:dyDescent="0.25">
      <c r="F1663" s="597" t="s">
        <v>253</v>
      </c>
      <c r="G1663" s="598" t="s">
        <v>254</v>
      </c>
      <c r="J1663" s="560">
        <f t="shared" si="58"/>
        <v>0</v>
      </c>
    </row>
    <row r="1664" spans="5:10" hidden="1" x14ac:dyDescent="0.25">
      <c r="F1664" s="597" t="s">
        <v>255</v>
      </c>
      <c r="G1664" s="598" t="s">
        <v>256</v>
      </c>
      <c r="J1664" s="560">
        <f t="shared" si="58"/>
        <v>0</v>
      </c>
    </row>
    <row r="1665" spans="3:10" ht="30" hidden="1" x14ac:dyDescent="0.25">
      <c r="F1665" s="597" t="s">
        <v>257</v>
      </c>
      <c r="G1665" s="598" t="s">
        <v>258</v>
      </c>
      <c r="J1665" s="560">
        <f t="shared" si="58"/>
        <v>0</v>
      </c>
    </row>
    <row r="1666" spans="3:10" hidden="1" x14ac:dyDescent="0.25">
      <c r="F1666" s="597" t="s">
        <v>259</v>
      </c>
      <c r="G1666" s="598" t="s">
        <v>260</v>
      </c>
      <c r="J1666" s="560">
        <f t="shared" si="58"/>
        <v>0</v>
      </c>
    </row>
    <row r="1667" spans="3:10" ht="15.75" hidden="1" thickBot="1" x14ac:dyDescent="0.3">
      <c r="F1667" s="597" t="s">
        <v>261</v>
      </c>
      <c r="G1667" s="598" t="s">
        <v>262</v>
      </c>
      <c r="H1667" s="559"/>
      <c r="I1667" s="560"/>
      <c r="J1667" s="560">
        <f t="shared" si="58"/>
        <v>0</v>
      </c>
    </row>
    <row r="1668" spans="3:10" ht="15.75" thickBot="1" x14ac:dyDescent="0.3">
      <c r="G1668" s="268" t="s">
        <v>4232</v>
      </c>
      <c r="H1668" s="561">
        <f>SUM(H1652:H1667)</f>
        <v>0</v>
      </c>
      <c r="I1668" s="562">
        <f>SUM(I1653:I1667)</f>
        <v>0</v>
      </c>
      <c r="J1668" s="562">
        <f>SUM(J1652:J1667)</f>
        <v>0</v>
      </c>
    </row>
    <row r="1669" spans="3:10" x14ac:dyDescent="0.25">
      <c r="C1669" s="267" t="s">
        <v>4098</v>
      </c>
      <c r="D1669" s="259"/>
      <c r="G1669" s="490" t="s">
        <v>5027</v>
      </c>
    </row>
    <row r="1670" spans="3:10" x14ac:dyDescent="0.25">
      <c r="C1670" s="267"/>
      <c r="D1670" s="331">
        <v>960</v>
      </c>
      <c r="F1670" s="331"/>
      <c r="G1670" s="332" t="s">
        <v>230</v>
      </c>
    </row>
    <row r="1671" spans="3:10" hidden="1" x14ac:dyDescent="0.25">
      <c r="F1671" s="499">
        <v>411</v>
      </c>
      <c r="G1671" s="492" t="s">
        <v>4131</v>
      </c>
      <c r="J1671" s="556">
        <f>SUM(H1671:I1671)</f>
        <v>0</v>
      </c>
    </row>
    <row r="1672" spans="3:10" hidden="1" x14ac:dyDescent="0.25">
      <c r="F1672" s="499">
        <v>412</v>
      </c>
      <c r="G1672" s="488" t="s">
        <v>3766</v>
      </c>
      <c r="J1672" s="556">
        <f t="shared" ref="J1672:J1730" si="59">SUM(H1672:I1672)</f>
        <v>0</v>
      </c>
    </row>
    <row r="1673" spans="3:10" hidden="1" x14ac:dyDescent="0.25">
      <c r="F1673" s="499">
        <v>413</v>
      </c>
      <c r="G1673" s="492" t="s">
        <v>4132</v>
      </c>
      <c r="J1673" s="556">
        <f t="shared" si="59"/>
        <v>0</v>
      </c>
    </row>
    <row r="1674" spans="3:10" hidden="1" x14ac:dyDescent="0.25">
      <c r="F1674" s="499">
        <v>414</v>
      </c>
      <c r="G1674" s="492" t="s">
        <v>3769</v>
      </c>
      <c r="J1674" s="556">
        <f t="shared" si="59"/>
        <v>0</v>
      </c>
    </row>
    <row r="1675" spans="3:10" hidden="1" x14ac:dyDescent="0.25">
      <c r="F1675" s="499">
        <v>415</v>
      </c>
      <c r="G1675" s="492" t="s">
        <v>4141</v>
      </c>
      <c r="J1675" s="556">
        <f t="shared" si="59"/>
        <v>0</v>
      </c>
    </row>
    <row r="1676" spans="3:10" hidden="1" x14ac:dyDescent="0.25">
      <c r="F1676" s="499">
        <v>416</v>
      </c>
      <c r="G1676" s="492" t="s">
        <v>4142</v>
      </c>
      <c r="J1676" s="556">
        <f t="shared" si="59"/>
        <v>0</v>
      </c>
    </row>
    <row r="1677" spans="3:10" hidden="1" x14ac:dyDescent="0.25">
      <c r="F1677" s="499">
        <v>417</v>
      </c>
      <c r="G1677" s="492" t="s">
        <v>4143</v>
      </c>
      <c r="J1677" s="556">
        <f t="shared" si="59"/>
        <v>0</v>
      </c>
    </row>
    <row r="1678" spans="3:10" hidden="1" x14ac:dyDescent="0.25">
      <c r="F1678" s="499">
        <v>418</v>
      </c>
      <c r="G1678" s="492" t="s">
        <v>3775</v>
      </c>
      <c r="J1678" s="556">
        <f t="shared" si="59"/>
        <v>0</v>
      </c>
    </row>
    <row r="1679" spans="3:10" hidden="1" x14ac:dyDescent="0.25">
      <c r="F1679" s="499">
        <v>421</v>
      </c>
      <c r="G1679" s="492" t="s">
        <v>3779</v>
      </c>
      <c r="J1679" s="556">
        <f t="shared" si="59"/>
        <v>0</v>
      </c>
    </row>
    <row r="1680" spans="3:10" hidden="1" x14ac:dyDescent="0.25">
      <c r="F1680" s="499">
        <v>422</v>
      </c>
      <c r="G1680" s="492" t="s">
        <v>3780</v>
      </c>
      <c r="J1680" s="556">
        <f t="shared" si="59"/>
        <v>0</v>
      </c>
    </row>
    <row r="1681" spans="5:10" ht="15.75" thickBot="1" x14ac:dyDescent="0.3">
      <c r="E1681" s="869">
        <v>70</v>
      </c>
      <c r="F1681" s="499">
        <v>423</v>
      </c>
      <c r="G1681" s="492" t="s">
        <v>3781</v>
      </c>
      <c r="H1681" s="555">
        <v>185000</v>
      </c>
      <c r="J1681" s="556">
        <f t="shared" si="59"/>
        <v>185000</v>
      </c>
    </row>
    <row r="1682" spans="5:10" hidden="1" x14ac:dyDescent="0.25">
      <c r="F1682" s="499">
        <v>424</v>
      </c>
      <c r="G1682" s="492" t="s">
        <v>3783</v>
      </c>
      <c r="J1682" s="556">
        <f t="shared" si="59"/>
        <v>0</v>
      </c>
    </row>
    <row r="1683" spans="5:10" hidden="1" x14ac:dyDescent="0.25">
      <c r="F1683" s="499">
        <v>425</v>
      </c>
      <c r="G1683" s="492" t="s">
        <v>4144</v>
      </c>
      <c r="J1683" s="556">
        <f t="shared" si="59"/>
        <v>0</v>
      </c>
    </row>
    <row r="1684" spans="5:10" hidden="1" x14ac:dyDescent="0.25">
      <c r="F1684" s="499">
        <v>426</v>
      </c>
      <c r="G1684" s="492" t="s">
        <v>3787</v>
      </c>
      <c r="J1684" s="556">
        <f t="shared" si="59"/>
        <v>0</v>
      </c>
    </row>
    <row r="1685" spans="5:10" hidden="1" x14ac:dyDescent="0.25">
      <c r="F1685" s="499">
        <v>431</v>
      </c>
      <c r="G1685" s="492" t="s">
        <v>4145</v>
      </c>
      <c r="J1685" s="556">
        <f t="shared" si="59"/>
        <v>0</v>
      </c>
    </row>
    <row r="1686" spans="5:10" hidden="1" x14ac:dyDescent="0.25">
      <c r="F1686" s="499">
        <v>432</v>
      </c>
      <c r="G1686" s="492" t="s">
        <v>4146</v>
      </c>
      <c r="J1686" s="556">
        <f t="shared" si="59"/>
        <v>0</v>
      </c>
    </row>
    <row r="1687" spans="5:10" hidden="1" x14ac:dyDescent="0.25">
      <c r="F1687" s="499">
        <v>433</v>
      </c>
      <c r="G1687" s="492" t="s">
        <v>4147</v>
      </c>
      <c r="J1687" s="556">
        <f t="shared" si="59"/>
        <v>0</v>
      </c>
    </row>
    <row r="1688" spans="5:10" hidden="1" x14ac:dyDescent="0.25">
      <c r="F1688" s="499">
        <v>434</v>
      </c>
      <c r="G1688" s="492" t="s">
        <v>4148</v>
      </c>
      <c r="J1688" s="556">
        <f t="shared" si="59"/>
        <v>0</v>
      </c>
    </row>
    <row r="1689" spans="5:10" hidden="1" x14ac:dyDescent="0.25">
      <c r="F1689" s="499">
        <v>435</v>
      </c>
      <c r="G1689" s="492" t="s">
        <v>3794</v>
      </c>
      <c r="J1689" s="556">
        <f t="shared" si="59"/>
        <v>0</v>
      </c>
    </row>
    <row r="1690" spans="5:10" hidden="1" x14ac:dyDescent="0.25">
      <c r="F1690" s="499">
        <v>441</v>
      </c>
      <c r="G1690" s="492" t="s">
        <v>4149</v>
      </c>
      <c r="J1690" s="556">
        <f t="shared" si="59"/>
        <v>0</v>
      </c>
    </row>
    <row r="1691" spans="5:10" hidden="1" x14ac:dyDescent="0.25">
      <c r="F1691" s="499">
        <v>442</v>
      </c>
      <c r="G1691" s="492" t="s">
        <v>4150</v>
      </c>
      <c r="J1691" s="556">
        <f t="shared" si="59"/>
        <v>0</v>
      </c>
    </row>
    <row r="1692" spans="5:10" hidden="1" x14ac:dyDescent="0.25">
      <c r="F1692" s="499">
        <v>443</v>
      </c>
      <c r="G1692" s="492" t="s">
        <v>3799</v>
      </c>
      <c r="J1692" s="556">
        <f t="shared" si="59"/>
        <v>0</v>
      </c>
    </row>
    <row r="1693" spans="5:10" hidden="1" x14ac:dyDescent="0.25">
      <c r="F1693" s="499">
        <v>444</v>
      </c>
      <c r="G1693" s="492" t="s">
        <v>3800</v>
      </c>
      <c r="J1693" s="556">
        <f t="shared" si="59"/>
        <v>0</v>
      </c>
    </row>
    <row r="1694" spans="5:10" ht="30" hidden="1" x14ac:dyDescent="0.25">
      <c r="F1694" s="499">
        <v>4511</v>
      </c>
      <c r="G1694" s="756" t="s">
        <v>1690</v>
      </c>
      <c r="J1694" s="556">
        <f t="shared" si="59"/>
        <v>0</v>
      </c>
    </row>
    <row r="1695" spans="5:10" ht="30" hidden="1" x14ac:dyDescent="0.25">
      <c r="F1695" s="499">
        <v>4512</v>
      </c>
      <c r="G1695" s="756" t="s">
        <v>1699</v>
      </c>
      <c r="J1695" s="556">
        <f t="shared" si="59"/>
        <v>0</v>
      </c>
    </row>
    <row r="1696" spans="5:10" hidden="1" x14ac:dyDescent="0.25">
      <c r="F1696" s="499">
        <v>452</v>
      </c>
      <c r="G1696" s="492" t="s">
        <v>4151</v>
      </c>
      <c r="J1696" s="556">
        <f t="shared" si="59"/>
        <v>0</v>
      </c>
    </row>
    <row r="1697" spans="5:10" hidden="1" x14ac:dyDescent="0.25">
      <c r="F1697" s="499">
        <v>453</v>
      </c>
      <c r="G1697" s="492" t="s">
        <v>4152</v>
      </c>
      <c r="J1697" s="556">
        <f t="shared" si="59"/>
        <v>0</v>
      </c>
    </row>
    <row r="1698" spans="5:10" hidden="1" x14ac:dyDescent="0.25">
      <c r="F1698" s="499">
        <v>454</v>
      </c>
      <c r="G1698" s="492" t="s">
        <v>3805</v>
      </c>
      <c r="J1698" s="556">
        <f t="shared" si="59"/>
        <v>0</v>
      </c>
    </row>
    <row r="1699" spans="5:10" hidden="1" x14ac:dyDescent="0.25">
      <c r="F1699" s="499">
        <v>461</v>
      </c>
      <c r="G1699" s="492" t="s">
        <v>4133</v>
      </c>
      <c r="J1699" s="556">
        <f t="shared" si="59"/>
        <v>0</v>
      </c>
    </row>
    <row r="1700" spans="5:10" hidden="1" x14ac:dyDescent="0.25">
      <c r="F1700" s="499">
        <v>462</v>
      </c>
      <c r="G1700" s="492" t="s">
        <v>3808</v>
      </c>
      <c r="J1700" s="556">
        <f t="shared" si="59"/>
        <v>0</v>
      </c>
    </row>
    <row r="1701" spans="5:10" hidden="1" x14ac:dyDescent="0.25">
      <c r="E1701" s="679">
        <v>77</v>
      </c>
      <c r="F1701" s="499">
        <v>4631</v>
      </c>
      <c r="G1701" s="492" t="s">
        <v>3809</v>
      </c>
      <c r="H1701" s="555">
        <v>0</v>
      </c>
      <c r="J1701" s="556">
        <f t="shared" si="59"/>
        <v>0</v>
      </c>
    </row>
    <row r="1702" spans="5:10" hidden="1" x14ac:dyDescent="0.25">
      <c r="E1702" s="679">
        <v>78</v>
      </c>
      <c r="F1702" s="499">
        <v>4632</v>
      </c>
      <c r="G1702" s="492" t="s">
        <v>3810</v>
      </c>
      <c r="J1702" s="556">
        <f t="shared" si="59"/>
        <v>0</v>
      </c>
    </row>
    <row r="1703" spans="5:10" hidden="1" x14ac:dyDescent="0.25">
      <c r="F1703" s="499">
        <v>464</v>
      </c>
      <c r="G1703" s="492" t="s">
        <v>3811</v>
      </c>
      <c r="J1703" s="556">
        <f t="shared" si="59"/>
        <v>0</v>
      </c>
    </row>
    <row r="1704" spans="5:10" hidden="1" x14ac:dyDescent="0.25">
      <c r="F1704" s="499">
        <v>465</v>
      </c>
      <c r="G1704" s="492" t="s">
        <v>4134</v>
      </c>
      <c r="J1704" s="556">
        <f t="shared" si="59"/>
        <v>0</v>
      </c>
    </row>
    <row r="1705" spans="5:10" hidden="1" x14ac:dyDescent="0.25">
      <c r="F1705" s="499">
        <v>472</v>
      </c>
      <c r="G1705" s="492" t="s">
        <v>3815</v>
      </c>
      <c r="J1705" s="556">
        <f t="shared" si="59"/>
        <v>0</v>
      </c>
    </row>
    <row r="1706" spans="5:10" hidden="1" x14ac:dyDescent="0.25">
      <c r="F1706" s="499">
        <v>481</v>
      </c>
      <c r="G1706" s="492" t="s">
        <v>4153</v>
      </c>
      <c r="J1706" s="556">
        <f t="shared" si="59"/>
        <v>0</v>
      </c>
    </row>
    <row r="1707" spans="5:10" hidden="1" x14ac:dyDescent="0.25">
      <c r="F1707" s="499">
        <v>482</v>
      </c>
      <c r="G1707" s="492" t="s">
        <v>4154</v>
      </c>
      <c r="J1707" s="556">
        <f t="shared" si="59"/>
        <v>0</v>
      </c>
    </row>
    <row r="1708" spans="5:10" hidden="1" x14ac:dyDescent="0.25">
      <c r="F1708" s="499">
        <v>483</v>
      </c>
      <c r="G1708" s="496" t="s">
        <v>4155</v>
      </c>
      <c r="J1708" s="556">
        <f t="shared" si="59"/>
        <v>0</v>
      </c>
    </row>
    <row r="1709" spans="5:10" ht="30" hidden="1" x14ac:dyDescent="0.25">
      <c r="F1709" s="499">
        <v>484</v>
      </c>
      <c r="G1709" s="492" t="s">
        <v>4156</v>
      </c>
      <c r="J1709" s="556">
        <f t="shared" si="59"/>
        <v>0</v>
      </c>
    </row>
    <row r="1710" spans="5:10" ht="30" hidden="1" x14ac:dyDescent="0.25">
      <c r="F1710" s="499">
        <v>485</v>
      </c>
      <c r="G1710" s="492" t="s">
        <v>4157</v>
      </c>
      <c r="J1710" s="556">
        <f t="shared" si="59"/>
        <v>0</v>
      </c>
    </row>
    <row r="1711" spans="5:10" ht="30" hidden="1" x14ac:dyDescent="0.25">
      <c r="F1711" s="499">
        <v>489</v>
      </c>
      <c r="G1711" s="492" t="s">
        <v>3823</v>
      </c>
      <c r="J1711" s="556">
        <f t="shared" si="59"/>
        <v>0</v>
      </c>
    </row>
    <row r="1712" spans="5:10" hidden="1" x14ac:dyDescent="0.25">
      <c r="F1712" s="499">
        <v>494</v>
      </c>
      <c r="G1712" s="492" t="s">
        <v>4135</v>
      </c>
      <c r="J1712" s="556">
        <f t="shared" si="59"/>
        <v>0</v>
      </c>
    </row>
    <row r="1713" spans="6:10" ht="30" hidden="1" x14ac:dyDescent="0.25">
      <c r="F1713" s="499">
        <v>495</v>
      </c>
      <c r="G1713" s="492" t="s">
        <v>4136</v>
      </c>
      <c r="J1713" s="556">
        <f t="shared" si="59"/>
        <v>0</v>
      </c>
    </row>
    <row r="1714" spans="6:10" ht="30" hidden="1" x14ac:dyDescent="0.25">
      <c r="F1714" s="499">
        <v>496</v>
      </c>
      <c r="G1714" s="492" t="s">
        <v>4137</v>
      </c>
      <c r="J1714" s="556">
        <f t="shared" si="59"/>
        <v>0</v>
      </c>
    </row>
    <row r="1715" spans="6:10" ht="30" hidden="1" x14ac:dyDescent="0.25">
      <c r="F1715" s="499">
        <v>499</v>
      </c>
      <c r="G1715" s="492" t="s">
        <v>4138</v>
      </c>
      <c r="J1715" s="556">
        <f t="shared" si="59"/>
        <v>0</v>
      </c>
    </row>
    <row r="1716" spans="6:10" hidden="1" x14ac:dyDescent="0.25">
      <c r="F1716" s="499">
        <v>511</v>
      </c>
      <c r="G1716" s="496" t="s">
        <v>4158</v>
      </c>
      <c r="J1716" s="556">
        <f t="shared" si="59"/>
        <v>0</v>
      </c>
    </row>
    <row r="1717" spans="6:10" hidden="1" x14ac:dyDescent="0.25">
      <c r="F1717" s="499">
        <v>512</v>
      </c>
      <c r="G1717" s="496" t="s">
        <v>4159</v>
      </c>
      <c r="J1717" s="556">
        <f t="shared" si="59"/>
        <v>0</v>
      </c>
    </row>
    <row r="1718" spans="6:10" hidden="1" x14ac:dyDescent="0.25">
      <c r="F1718" s="499">
        <v>513</v>
      </c>
      <c r="G1718" s="496" t="s">
        <v>4160</v>
      </c>
      <c r="J1718" s="556">
        <f t="shared" si="59"/>
        <v>0</v>
      </c>
    </row>
    <row r="1719" spans="6:10" hidden="1" x14ac:dyDescent="0.25">
      <c r="F1719" s="499">
        <v>514</v>
      </c>
      <c r="G1719" s="492" t="s">
        <v>4161</v>
      </c>
      <c r="J1719" s="556">
        <f t="shared" si="59"/>
        <v>0</v>
      </c>
    </row>
    <row r="1720" spans="6:10" hidden="1" x14ac:dyDescent="0.25">
      <c r="F1720" s="499">
        <v>515</v>
      </c>
      <c r="G1720" s="492" t="s">
        <v>3834</v>
      </c>
      <c r="J1720" s="556">
        <f t="shared" si="59"/>
        <v>0</v>
      </c>
    </row>
    <row r="1721" spans="6:10" hidden="1" x14ac:dyDescent="0.25">
      <c r="F1721" s="499">
        <v>521</v>
      </c>
      <c r="G1721" s="492" t="s">
        <v>4162</v>
      </c>
      <c r="J1721" s="556">
        <f t="shared" si="59"/>
        <v>0</v>
      </c>
    </row>
    <row r="1722" spans="6:10" hidden="1" x14ac:dyDescent="0.25">
      <c r="F1722" s="499">
        <v>522</v>
      </c>
      <c r="G1722" s="492" t="s">
        <v>4163</v>
      </c>
      <c r="J1722" s="556">
        <f t="shared" si="59"/>
        <v>0</v>
      </c>
    </row>
    <row r="1723" spans="6:10" hidden="1" x14ac:dyDescent="0.25">
      <c r="F1723" s="499">
        <v>523</v>
      </c>
      <c r="G1723" s="492" t="s">
        <v>3839</v>
      </c>
      <c r="J1723" s="556">
        <f t="shared" si="59"/>
        <v>0</v>
      </c>
    </row>
    <row r="1724" spans="6:10" hidden="1" x14ac:dyDescent="0.25">
      <c r="F1724" s="499">
        <v>531</v>
      </c>
      <c r="G1724" s="488" t="s">
        <v>4139</v>
      </c>
      <c r="J1724" s="556">
        <f t="shared" si="59"/>
        <v>0</v>
      </c>
    </row>
    <row r="1725" spans="6:10" hidden="1" x14ac:dyDescent="0.25">
      <c r="F1725" s="499">
        <v>541</v>
      </c>
      <c r="G1725" s="492" t="s">
        <v>4164</v>
      </c>
      <c r="J1725" s="556">
        <f t="shared" si="59"/>
        <v>0</v>
      </c>
    </row>
    <row r="1726" spans="6:10" hidden="1" x14ac:dyDescent="0.25">
      <c r="F1726" s="499">
        <v>542</v>
      </c>
      <c r="G1726" s="492" t="s">
        <v>4165</v>
      </c>
      <c r="J1726" s="556">
        <f t="shared" si="59"/>
        <v>0</v>
      </c>
    </row>
    <row r="1727" spans="6:10" hidden="1" x14ac:dyDescent="0.25">
      <c r="F1727" s="499">
        <v>543</v>
      </c>
      <c r="G1727" s="492" t="s">
        <v>3844</v>
      </c>
      <c r="J1727" s="556">
        <f t="shared" si="59"/>
        <v>0</v>
      </c>
    </row>
    <row r="1728" spans="6:10" ht="30" hidden="1" x14ac:dyDescent="0.25">
      <c r="F1728" s="499">
        <v>551</v>
      </c>
      <c r="G1728" s="492" t="s">
        <v>4140</v>
      </c>
      <c r="J1728" s="556">
        <f t="shared" si="59"/>
        <v>0</v>
      </c>
    </row>
    <row r="1729" spans="5:10" hidden="1" x14ac:dyDescent="0.25">
      <c r="F1729" s="500">
        <v>611</v>
      </c>
      <c r="G1729" s="498" t="s">
        <v>3850</v>
      </c>
      <c r="J1729" s="556">
        <f t="shared" si="59"/>
        <v>0</v>
      </c>
    </row>
    <row r="1730" spans="5:10" ht="15.75" hidden="1" thickBot="1" x14ac:dyDescent="0.3">
      <c r="F1730" s="500">
        <v>620</v>
      </c>
      <c r="G1730" s="498" t="s">
        <v>88</v>
      </c>
      <c r="J1730" s="556">
        <f t="shared" si="59"/>
        <v>0</v>
      </c>
    </row>
    <row r="1731" spans="5:10" x14ac:dyDescent="0.25">
      <c r="E1731" s="489"/>
      <c r="F1731" s="500"/>
      <c r="G1731" s="343" t="s">
        <v>5240</v>
      </c>
      <c r="H1731" s="557"/>
      <c r="I1731" s="583"/>
      <c r="J1731" s="558"/>
    </row>
    <row r="1732" spans="5:10" ht="15.75" thickBot="1" x14ac:dyDescent="0.3">
      <c r="E1732" s="693"/>
      <c r="F1732" s="597" t="s">
        <v>234</v>
      </c>
      <c r="G1732" s="598" t="s">
        <v>235</v>
      </c>
      <c r="H1732" s="559">
        <f>SUM(H1681:H1702)</f>
        <v>185000</v>
      </c>
      <c r="I1732" s="560"/>
      <c r="J1732" s="560">
        <f t="shared" ref="J1732:J1747" si="60">SUM(H1732:I1732)</f>
        <v>185000</v>
      </c>
    </row>
    <row r="1733" spans="5:10" hidden="1" x14ac:dyDescent="0.25">
      <c r="F1733" s="597" t="s">
        <v>236</v>
      </c>
      <c r="G1733" s="598" t="s">
        <v>237</v>
      </c>
      <c r="J1733" s="560">
        <f t="shared" si="60"/>
        <v>0</v>
      </c>
    </row>
    <row r="1734" spans="5:10" hidden="1" x14ac:dyDescent="0.25">
      <c r="F1734" s="597" t="s">
        <v>238</v>
      </c>
      <c r="G1734" s="598" t="s">
        <v>239</v>
      </c>
      <c r="J1734" s="560">
        <f t="shared" si="60"/>
        <v>0</v>
      </c>
    </row>
    <row r="1735" spans="5:10" hidden="1" x14ac:dyDescent="0.25">
      <c r="F1735" s="597" t="s">
        <v>240</v>
      </c>
      <c r="G1735" s="598" t="s">
        <v>241</v>
      </c>
      <c r="J1735" s="560">
        <f t="shared" si="60"/>
        <v>0</v>
      </c>
    </row>
    <row r="1736" spans="5:10" hidden="1" x14ac:dyDescent="0.25">
      <c r="F1736" s="597" t="s">
        <v>242</v>
      </c>
      <c r="G1736" s="598" t="s">
        <v>243</v>
      </c>
      <c r="J1736" s="560">
        <f t="shared" si="60"/>
        <v>0</v>
      </c>
    </row>
    <row r="1737" spans="5:10" hidden="1" x14ac:dyDescent="0.25">
      <c r="F1737" s="597" t="s">
        <v>244</v>
      </c>
      <c r="G1737" s="598" t="s">
        <v>245</v>
      </c>
      <c r="J1737" s="560">
        <f t="shared" si="60"/>
        <v>0</v>
      </c>
    </row>
    <row r="1738" spans="5:10" hidden="1" x14ac:dyDescent="0.25">
      <c r="F1738" s="597" t="s">
        <v>246</v>
      </c>
      <c r="G1738" s="598" t="s">
        <v>4996</v>
      </c>
      <c r="J1738" s="560">
        <f t="shared" si="60"/>
        <v>0</v>
      </c>
    </row>
    <row r="1739" spans="5:10" hidden="1" x14ac:dyDescent="0.25">
      <c r="F1739" s="597" t="s">
        <v>247</v>
      </c>
      <c r="G1739" s="598" t="s">
        <v>4995</v>
      </c>
      <c r="J1739" s="560">
        <f t="shared" si="60"/>
        <v>0</v>
      </c>
    </row>
    <row r="1740" spans="5:10" hidden="1" x14ac:dyDescent="0.25">
      <c r="F1740" s="597" t="s">
        <v>248</v>
      </c>
      <c r="G1740" s="598" t="s">
        <v>57</v>
      </c>
      <c r="J1740" s="560">
        <f t="shared" si="60"/>
        <v>0</v>
      </c>
    </row>
    <row r="1741" spans="5:10" hidden="1" x14ac:dyDescent="0.25">
      <c r="F1741" s="597" t="s">
        <v>249</v>
      </c>
      <c r="G1741" s="598" t="s">
        <v>250</v>
      </c>
      <c r="J1741" s="560">
        <f t="shared" si="60"/>
        <v>0</v>
      </c>
    </row>
    <row r="1742" spans="5:10" hidden="1" x14ac:dyDescent="0.25">
      <c r="F1742" s="597" t="s">
        <v>251</v>
      </c>
      <c r="G1742" s="598" t="s">
        <v>252</v>
      </c>
      <c r="J1742" s="560">
        <f t="shared" si="60"/>
        <v>0</v>
      </c>
    </row>
    <row r="1743" spans="5:10" ht="30" hidden="1" x14ac:dyDescent="0.25">
      <c r="F1743" s="597" t="s">
        <v>253</v>
      </c>
      <c r="G1743" s="598" t="s">
        <v>254</v>
      </c>
      <c r="J1743" s="560">
        <f t="shared" si="60"/>
        <v>0</v>
      </c>
    </row>
    <row r="1744" spans="5:10" hidden="1" x14ac:dyDescent="0.25">
      <c r="F1744" s="597" t="s">
        <v>255</v>
      </c>
      <c r="G1744" s="598" t="s">
        <v>256</v>
      </c>
      <c r="J1744" s="560">
        <f t="shared" si="60"/>
        <v>0</v>
      </c>
    </row>
    <row r="1745" spans="5:10" ht="30" hidden="1" x14ac:dyDescent="0.25">
      <c r="F1745" s="597" t="s">
        <v>257</v>
      </c>
      <c r="G1745" s="598" t="s">
        <v>258</v>
      </c>
      <c r="J1745" s="560">
        <f t="shared" si="60"/>
        <v>0</v>
      </c>
    </row>
    <row r="1746" spans="5:10" hidden="1" x14ac:dyDescent="0.25">
      <c r="F1746" s="597" t="s">
        <v>259</v>
      </c>
      <c r="G1746" s="598" t="s">
        <v>260</v>
      </c>
      <c r="J1746" s="560">
        <f t="shared" si="60"/>
        <v>0</v>
      </c>
    </row>
    <row r="1747" spans="5:10" ht="15.75" hidden="1" thickBot="1" x14ac:dyDescent="0.3">
      <c r="F1747" s="597" t="s">
        <v>261</v>
      </c>
      <c r="G1747" s="598" t="s">
        <v>262</v>
      </c>
      <c r="H1747" s="559"/>
      <c r="I1747" s="560"/>
      <c r="J1747" s="560">
        <f t="shared" si="60"/>
        <v>0</v>
      </c>
    </row>
    <row r="1748" spans="5:10" ht="15.75" thickBot="1" x14ac:dyDescent="0.3">
      <c r="G1748" s="268" t="s">
        <v>5241</v>
      </c>
      <c r="H1748" s="561">
        <f>SUM(H1732)</f>
        <v>185000</v>
      </c>
      <c r="I1748" s="562">
        <f>SUM(I1733:I1747)</f>
        <v>0</v>
      </c>
      <c r="J1748" s="562">
        <f>SUM(J1732:J1747)</f>
        <v>185000</v>
      </c>
    </row>
    <row r="1749" spans="5:10" ht="28.5" x14ac:dyDescent="0.25">
      <c r="E1749" s="489"/>
      <c r="F1749" s="500"/>
      <c r="G1749" s="270" t="s">
        <v>4233</v>
      </c>
      <c r="H1749" s="563"/>
      <c r="I1749" s="584"/>
      <c r="J1749" s="564"/>
    </row>
    <row r="1750" spans="5:10" ht="15.75" thickBot="1" x14ac:dyDescent="0.3">
      <c r="E1750" s="693"/>
      <c r="F1750" s="597" t="s">
        <v>234</v>
      </c>
      <c r="G1750" s="729" t="s">
        <v>235</v>
      </c>
      <c r="H1750" s="559">
        <f>SUM(H1671:H1730)</f>
        <v>185000</v>
      </c>
      <c r="I1750" s="560"/>
      <c r="J1750" s="560">
        <f>SUM(H1750:I1750)</f>
        <v>185000</v>
      </c>
    </row>
    <row r="1751" spans="5:10" hidden="1" x14ac:dyDescent="0.25">
      <c r="F1751" s="597" t="s">
        <v>236</v>
      </c>
      <c r="G1751" s="598" t="s">
        <v>237</v>
      </c>
      <c r="J1751" s="560">
        <f t="shared" ref="J1751:J1765" si="61">SUM(H1751:I1751)</f>
        <v>0</v>
      </c>
    </row>
    <row r="1752" spans="5:10" hidden="1" x14ac:dyDescent="0.25">
      <c r="F1752" s="597" t="s">
        <v>238</v>
      </c>
      <c r="G1752" s="598" t="s">
        <v>239</v>
      </c>
      <c r="J1752" s="560">
        <f t="shared" si="61"/>
        <v>0</v>
      </c>
    </row>
    <row r="1753" spans="5:10" hidden="1" x14ac:dyDescent="0.25">
      <c r="F1753" s="597" t="s">
        <v>240</v>
      </c>
      <c r="G1753" s="598" t="s">
        <v>241</v>
      </c>
      <c r="J1753" s="560">
        <f t="shared" si="61"/>
        <v>0</v>
      </c>
    </row>
    <row r="1754" spans="5:10" hidden="1" x14ac:dyDescent="0.25">
      <c r="F1754" s="597" t="s">
        <v>242</v>
      </c>
      <c r="G1754" s="598" t="s">
        <v>243</v>
      </c>
      <c r="J1754" s="560">
        <f t="shared" si="61"/>
        <v>0</v>
      </c>
    </row>
    <row r="1755" spans="5:10" hidden="1" x14ac:dyDescent="0.25">
      <c r="F1755" s="597" t="s">
        <v>244</v>
      </c>
      <c r="G1755" s="598" t="s">
        <v>245</v>
      </c>
      <c r="J1755" s="560">
        <f t="shared" si="61"/>
        <v>0</v>
      </c>
    </row>
    <row r="1756" spans="5:10" hidden="1" x14ac:dyDescent="0.25">
      <c r="F1756" s="597" t="s">
        <v>246</v>
      </c>
      <c r="G1756" s="598" t="s">
        <v>4996</v>
      </c>
      <c r="J1756" s="560">
        <f t="shared" si="61"/>
        <v>0</v>
      </c>
    </row>
    <row r="1757" spans="5:10" hidden="1" x14ac:dyDescent="0.25">
      <c r="F1757" s="597" t="s">
        <v>247</v>
      </c>
      <c r="G1757" s="598" t="s">
        <v>4995</v>
      </c>
      <c r="J1757" s="560">
        <f t="shared" si="61"/>
        <v>0</v>
      </c>
    </row>
    <row r="1758" spans="5:10" hidden="1" x14ac:dyDescent="0.25">
      <c r="F1758" s="597" t="s">
        <v>248</v>
      </c>
      <c r="G1758" s="598" t="s">
        <v>57</v>
      </c>
      <c r="J1758" s="560">
        <f t="shared" si="61"/>
        <v>0</v>
      </c>
    </row>
    <row r="1759" spans="5:10" hidden="1" x14ac:dyDescent="0.25">
      <c r="F1759" s="597" t="s">
        <v>249</v>
      </c>
      <c r="G1759" s="598" t="s">
        <v>250</v>
      </c>
      <c r="J1759" s="560">
        <f t="shared" si="61"/>
        <v>0</v>
      </c>
    </row>
    <row r="1760" spans="5:10" hidden="1" x14ac:dyDescent="0.25">
      <c r="F1760" s="597" t="s">
        <v>251</v>
      </c>
      <c r="G1760" s="598" t="s">
        <v>252</v>
      </c>
      <c r="J1760" s="560">
        <f t="shared" si="61"/>
        <v>0</v>
      </c>
    </row>
    <row r="1761" spans="3:10" ht="30" hidden="1" x14ac:dyDescent="0.25">
      <c r="F1761" s="597" t="s">
        <v>253</v>
      </c>
      <c r="G1761" s="598" t="s">
        <v>254</v>
      </c>
      <c r="J1761" s="560">
        <f t="shared" si="61"/>
        <v>0</v>
      </c>
    </row>
    <row r="1762" spans="3:10" hidden="1" x14ac:dyDescent="0.25">
      <c r="F1762" s="597" t="s">
        <v>255</v>
      </c>
      <c r="G1762" s="598" t="s">
        <v>256</v>
      </c>
      <c r="J1762" s="560">
        <f t="shared" si="61"/>
        <v>0</v>
      </c>
    </row>
    <row r="1763" spans="3:10" ht="30" hidden="1" x14ac:dyDescent="0.25">
      <c r="F1763" s="597" t="s">
        <v>257</v>
      </c>
      <c r="G1763" s="598" t="s">
        <v>258</v>
      </c>
      <c r="J1763" s="560">
        <f t="shared" si="61"/>
        <v>0</v>
      </c>
    </row>
    <row r="1764" spans="3:10" hidden="1" x14ac:dyDescent="0.25">
      <c r="F1764" s="597" t="s">
        <v>259</v>
      </c>
      <c r="G1764" s="598" t="s">
        <v>260</v>
      </c>
      <c r="J1764" s="560">
        <f t="shared" si="61"/>
        <v>0</v>
      </c>
    </row>
    <row r="1765" spans="3:10" ht="15.75" hidden="1" thickBot="1" x14ac:dyDescent="0.3">
      <c r="F1765" s="597" t="s">
        <v>261</v>
      </c>
      <c r="G1765" s="598" t="s">
        <v>262</v>
      </c>
      <c r="H1765" s="559"/>
      <c r="I1765" s="560"/>
      <c r="J1765" s="560">
        <f t="shared" si="61"/>
        <v>0</v>
      </c>
    </row>
    <row r="1766" spans="3:10" ht="15.75" thickBot="1" x14ac:dyDescent="0.3">
      <c r="G1766" s="268" t="s">
        <v>4232</v>
      </c>
      <c r="H1766" s="561">
        <f>SUM(H1750:H1765)</f>
        <v>185000</v>
      </c>
      <c r="I1766" s="562">
        <f>SUM(I1751:I1765)</f>
        <v>0</v>
      </c>
      <c r="J1766" s="562">
        <f>SUM(J1750:J1765)</f>
        <v>185000</v>
      </c>
    </row>
    <row r="1767" spans="3:10" x14ac:dyDescent="0.25">
      <c r="C1767" s="267" t="s">
        <v>4109</v>
      </c>
      <c r="D1767" s="259"/>
      <c r="G1767" s="490" t="s">
        <v>5246</v>
      </c>
    </row>
    <row r="1768" spans="3:10" x14ac:dyDescent="0.25">
      <c r="C1768" s="267"/>
      <c r="D1768" s="331">
        <v>620</v>
      </c>
      <c r="E1768" s="869"/>
      <c r="F1768" s="331"/>
      <c r="G1768" s="332" t="s">
        <v>182</v>
      </c>
    </row>
    <row r="1769" spans="3:10" hidden="1" x14ac:dyDescent="0.25">
      <c r="F1769" s="499">
        <v>411</v>
      </c>
      <c r="G1769" s="492" t="s">
        <v>4131</v>
      </c>
      <c r="J1769" s="556">
        <f>SUM(H1769:I1769)</f>
        <v>0</v>
      </c>
    </row>
    <row r="1770" spans="3:10" hidden="1" x14ac:dyDescent="0.25">
      <c r="F1770" s="499">
        <v>412</v>
      </c>
      <c r="G1770" s="488" t="s">
        <v>3766</v>
      </c>
      <c r="J1770" s="556">
        <f t="shared" ref="J1770:J1828" si="62">SUM(H1770:I1770)</f>
        <v>0</v>
      </c>
    </row>
    <row r="1771" spans="3:10" hidden="1" x14ac:dyDescent="0.25">
      <c r="F1771" s="499">
        <v>413</v>
      </c>
      <c r="G1771" s="492" t="s">
        <v>4132</v>
      </c>
      <c r="J1771" s="556">
        <f t="shared" si="62"/>
        <v>0</v>
      </c>
    </row>
    <row r="1772" spans="3:10" hidden="1" x14ac:dyDescent="0.25">
      <c r="F1772" s="499">
        <v>414</v>
      </c>
      <c r="G1772" s="492" t="s">
        <v>3769</v>
      </c>
      <c r="J1772" s="556">
        <f t="shared" si="62"/>
        <v>0</v>
      </c>
    </row>
    <row r="1773" spans="3:10" hidden="1" x14ac:dyDescent="0.25">
      <c r="F1773" s="499">
        <v>415</v>
      </c>
      <c r="G1773" s="492" t="s">
        <v>4141</v>
      </c>
      <c r="J1773" s="556">
        <f t="shared" si="62"/>
        <v>0</v>
      </c>
    </row>
    <row r="1774" spans="3:10" hidden="1" x14ac:dyDescent="0.25">
      <c r="F1774" s="499">
        <v>416</v>
      </c>
      <c r="G1774" s="492" t="s">
        <v>4142</v>
      </c>
      <c r="J1774" s="556">
        <f t="shared" si="62"/>
        <v>0</v>
      </c>
    </row>
    <row r="1775" spans="3:10" hidden="1" x14ac:dyDescent="0.25">
      <c r="F1775" s="499">
        <v>417</v>
      </c>
      <c r="G1775" s="492" t="s">
        <v>4143</v>
      </c>
      <c r="J1775" s="556">
        <f t="shared" si="62"/>
        <v>0</v>
      </c>
    </row>
    <row r="1776" spans="3:10" hidden="1" x14ac:dyDescent="0.25">
      <c r="F1776" s="499">
        <v>418</v>
      </c>
      <c r="G1776" s="492" t="s">
        <v>3775</v>
      </c>
      <c r="J1776" s="556">
        <f t="shared" si="62"/>
        <v>0</v>
      </c>
    </row>
    <row r="1777" spans="6:10" hidden="1" x14ac:dyDescent="0.25">
      <c r="F1777" s="499">
        <v>421</v>
      </c>
      <c r="G1777" s="492" t="s">
        <v>3779</v>
      </c>
      <c r="J1777" s="556">
        <f t="shared" si="62"/>
        <v>0</v>
      </c>
    </row>
    <row r="1778" spans="6:10" hidden="1" x14ac:dyDescent="0.25">
      <c r="F1778" s="499">
        <v>422</v>
      </c>
      <c r="G1778" s="492" t="s">
        <v>3780</v>
      </c>
      <c r="J1778" s="556">
        <f t="shared" si="62"/>
        <v>0</v>
      </c>
    </row>
    <row r="1779" spans="6:10" hidden="1" x14ac:dyDescent="0.25">
      <c r="F1779" s="499">
        <v>423</v>
      </c>
      <c r="G1779" s="492" t="s">
        <v>3781</v>
      </c>
      <c r="H1779" s="555">
        <v>0</v>
      </c>
      <c r="J1779" s="556">
        <f t="shared" si="62"/>
        <v>0</v>
      </c>
    </row>
    <row r="1780" spans="6:10" hidden="1" x14ac:dyDescent="0.25">
      <c r="F1780" s="499">
        <v>424</v>
      </c>
      <c r="G1780" s="492" t="s">
        <v>3783</v>
      </c>
      <c r="J1780" s="556">
        <f t="shared" si="62"/>
        <v>0</v>
      </c>
    </row>
    <row r="1781" spans="6:10" hidden="1" x14ac:dyDescent="0.25">
      <c r="F1781" s="499">
        <v>425</v>
      </c>
      <c r="G1781" s="492" t="s">
        <v>4144</v>
      </c>
      <c r="J1781" s="556">
        <f t="shared" si="62"/>
        <v>0</v>
      </c>
    </row>
    <row r="1782" spans="6:10" hidden="1" x14ac:dyDescent="0.25">
      <c r="F1782" s="499">
        <v>426</v>
      </c>
      <c r="G1782" s="492" t="s">
        <v>3787</v>
      </c>
      <c r="J1782" s="556">
        <f t="shared" si="62"/>
        <v>0</v>
      </c>
    </row>
    <row r="1783" spans="6:10" hidden="1" x14ac:dyDescent="0.25">
      <c r="F1783" s="499">
        <v>431</v>
      </c>
      <c r="G1783" s="492" t="s">
        <v>4145</v>
      </c>
      <c r="J1783" s="556">
        <f t="shared" si="62"/>
        <v>0</v>
      </c>
    </row>
    <row r="1784" spans="6:10" hidden="1" x14ac:dyDescent="0.25">
      <c r="F1784" s="499">
        <v>432</v>
      </c>
      <c r="G1784" s="492" t="s">
        <v>4146</v>
      </c>
      <c r="J1784" s="556">
        <f t="shared" si="62"/>
        <v>0</v>
      </c>
    </row>
    <row r="1785" spans="6:10" hidden="1" x14ac:dyDescent="0.25">
      <c r="F1785" s="499">
        <v>433</v>
      </c>
      <c r="G1785" s="492" t="s">
        <v>4147</v>
      </c>
      <c r="J1785" s="556">
        <f t="shared" si="62"/>
        <v>0</v>
      </c>
    </row>
    <row r="1786" spans="6:10" hidden="1" x14ac:dyDescent="0.25">
      <c r="F1786" s="499">
        <v>434</v>
      </c>
      <c r="G1786" s="492" t="s">
        <v>4148</v>
      </c>
      <c r="J1786" s="556">
        <f t="shared" si="62"/>
        <v>0</v>
      </c>
    </row>
    <row r="1787" spans="6:10" hidden="1" x14ac:dyDescent="0.25">
      <c r="F1787" s="499">
        <v>435</v>
      </c>
      <c r="G1787" s="492" t="s">
        <v>3794</v>
      </c>
      <c r="J1787" s="556">
        <f t="shared" si="62"/>
        <v>0</v>
      </c>
    </row>
    <row r="1788" spans="6:10" hidden="1" x14ac:dyDescent="0.25">
      <c r="F1788" s="499">
        <v>441</v>
      </c>
      <c r="G1788" s="492" t="s">
        <v>4149</v>
      </c>
      <c r="J1788" s="556">
        <f t="shared" si="62"/>
        <v>0</v>
      </c>
    </row>
    <row r="1789" spans="6:10" hidden="1" x14ac:dyDescent="0.25">
      <c r="F1789" s="499">
        <v>442</v>
      </c>
      <c r="G1789" s="492" t="s">
        <v>4150</v>
      </c>
      <c r="J1789" s="556">
        <f t="shared" si="62"/>
        <v>0</v>
      </c>
    </row>
    <row r="1790" spans="6:10" hidden="1" x14ac:dyDescent="0.25">
      <c r="F1790" s="499">
        <v>443</v>
      </c>
      <c r="G1790" s="492" t="s">
        <v>3799</v>
      </c>
      <c r="J1790" s="556">
        <f t="shared" si="62"/>
        <v>0</v>
      </c>
    </row>
    <row r="1791" spans="6:10" hidden="1" x14ac:dyDescent="0.25">
      <c r="F1791" s="499">
        <v>444</v>
      </c>
      <c r="G1791" s="492" t="s">
        <v>3800</v>
      </c>
      <c r="J1791" s="556">
        <f t="shared" si="62"/>
        <v>0</v>
      </c>
    </row>
    <row r="1792" spans="6:10" ht="30" hidden="1" x14ac:dyDescent="0.25">
      <c r="F1792" s="499">
        <v>4511</v>
      </c>
      <c r="G1792" s="756" t="s">
        <v>1690</v>
      </c>
      <c r="J1792" s="556">
        <f t="shared" si="62"/>
        <v>0</v>
      </c>
    </row>
    <row r="1793" spans="5:10" ht="30" hidden="1" x14ac:dyDescent="0.25">
      <c r="F1793" s="499">
        <v>4512</v>
      </c>
      <c r="G1793" s="756" t="s">
        <v>1699</v>
      </c>
      <c r="J1793" s="556">
        <f t="shared" si="62"/>
        <v>0</v>
      </c>
    </row>
    <row r="1794" spans="5:10" hidden="1" x14ac:dyDescent="0.25">
      <c r="F1794" s="499">
        <v>452</v>
      </c>
      <c r="G1794" s="492" t="s">
        <v>4151</v>
      </c>
      <c r="J1794" s="556">
        <f t="shared" si="62"/>
        <v>0</v>
      </c>
    </row>
    <row r="1795" spans="5:10" hidden="1" x14ac:dyDescent="0.25">
      <c r="F1795" s="499">
        <v>453</v>
      </c>
      <c r="G1795" s="492" t="s">
        <v>4152</v>
      </c>
      <c r="J1795" s="556">
        <f t="shared" si="62"/>
        <v>0</v>
      </c>
    </row>
    <row r="1796" spans="5:10" hidden="1" x14ac:dyDescent="0.25">
      <c r="F1796" s="499">
        <v>454</v>
      </c>
      <c r="G1796" s="492" t="s">
        <v>3805</v>
      </c>
      <c r="J1796" s="556">
        <f t="shared" si="62"/>
        <v>0</v>
      </c>
    </row>
    <row r="1797" spans="5:10" hidden="1" x14ac:dyDescent="0.25">
      <c r="F1797" s="499">
        <v>461</v>
      </c>
      <c r="G1797" s="492" t="s">
        <v>4133</v>
      </c>
      <c r="J1797" s="556">
        <f t="shared" si="62"/>
        <v>0</v>
      </c>
    </row>
    <row r="1798" spans="5:10" hidden="1" x14ac:dyDescent="0.25">
      <c r="F1798" s="499">
        <v>462</v>
      </c>
      <c r="G1798" s="492" t="s">
        <v>3808</v>
      </c>
      <c r="J1798" s="556">
        <f t="shared" si="62"/>
        <v>0</v>
      </c>
    </row>
    <row r="1799" spans="5:10" hidden="1" x14ac:dyDescent="0.25">
      <c r="E1799" s="679">
        <v>77</v>
      </c>
      <c r="F1799" s="499">
        <v>4631</v>
      </c>
      <c r="G1799" s="492" t="s">
        <v>3809</v>
      </c>
      <c r="H1799" s="555">
        <v>0</v>
      </c>
      <c r="J1799" s="556">
        <f t="shared" si="62"/>
        <v>0</v>
      </c>
    </row>
    <row r="1800" spans="5:10" hidden="1" x14ac:dyDescent="0.25">
      <c r="E1800" s="679">
        <v>78</v>
      </c>
      <c r="F1800" s="499">
        <v>4632</v>
      </c>
      <c r="G1800" s="492" t="s">
        <v>3810</v>
      </c>
      <c r="J1800" s="556">
        <f t="shared" si="62"/>
        <v>0</v>
      </c>
    </row>
    <row r="1801" spans="5:10" hidden="1" x14ac:dyDescent="0.25">
      <c r="F1801" s="499">
        <v>464</v>
      </c>
      <c r="G1801" s="492" t="s">
        <v>3811</v>
      </c>
      <c r="J1801" s="556">
        <f t="shared" si="62"/>
        <v>0</v>
      </c>
    </row>
    <row r="1802" spans="5:10" hidden="1" x14ac:dyDescent="0.25">
      <c r="F1802" s="499">
        <v>465</v>
      </c>
      <c r="G1802" s="492" t="s">
        <v>4134</v>
      </c>
      <c r="J1802" s="556">
        <f t="shared" si="62"/>
        <v>0</v>
      </c>
    </row>
    <row r="1803" spans="5:10" hidden="1" x14ac:dyDescent="0.25">
      <c r="F1803" s="499">
        <v>472</v>
      </c>
      <c r="G1803" s="492" t="s">
        <v>3815</v>
      </c>
      <c r="J1803" s="556">
        <f t="shared" si="62"/>
        <v>0</v>
      </c>
    </row>
    <row r="1804" spans="5:10" ht="15.75" thickBot="1" x14ac:dyDescent="0.3">
      <c r="E1804" s="679">
        <v>71</v>
      </c>
      <c r="F1804" s="499">
        <v>481</v>
      </c>
      <c r="G1804" s="492" t="s">
        <v>4153</v>
      </c>
      <c r="H1804" s="555">
        <v>100000</v>
      </c>
      <c r="J1804" s="556">
        <f t="shared" si="62"/>
        <v>100000</v>
      </c>
    </row>
    <row r="1805" spans="5:10" hidden="1" x14ac:dyDescent="0.25">
      <c r="F1805" s="499">
        <v>482</v>
      </c>
      <c r="G1805" s="492" t="s">
        <v>4154</v>
      </c>
      <c r="J1805" s="556">
        <f t="shared" si="62"/>
        <v>0</v>
      </c>
    </row>
    <row r="1806" spans="5:10" hidden="1" x14ac:dyDescent="0.25">
      <c r="F1806" s="499">
        <v>483</v>
      </c>
      <c r="G1806" s="496" t="s">
        <v>4155</v>
      </c>
      <c r="J1806" s="556">
        <f t="shared" si="62"/>
        <v>0</v>
      </c>
    </row>
    <row r="1807" spans="5:10" ht="30" hidden="1" x14ac:dyDescent="0.25">
      <c r="F1807" s="499">
        <v>484</v>
      </c>
      <c r="G1807" s="492" t="s">
        <v>4156</v>
      </c>
      <c r="J1807" s="556">
        <f t="shared" si="62"/>
        <v>0</v>
      </c>
    </row>
    <row r="1808" spans="5:10" ht="30" hidden="1" x14ac:dyDescent="0.25">
      <c r="F1808" s="499">
        <v>485</v>
      </c>
      <c r="G1808" s="492" t="s">
        <v>4157</v>
      </c>
      <c r="J1808" s="556">
        <f t="shared" si="62"/>
        <v>0</v>
      </c>
    </row>
    <row r="1809" spans="6:10" ht="30" hidden="1" x14ac:dyDescent="0.25">
      <c r="F1809" s="499">
        <v>489</v>
      </c>
      <c r="G1809" s="492" t="s">
        <v>3823</v>
      </c>
      <c r="J1809" s="556">
        <f t="shared" si="62"/>
        <v>0</v>
      </c>
    </row>
    <row r="1810" spans="6:10" hidden="1" x14ac:dyDescent="0.25">
      <c r="F1810" s="499">
        <v>494</v>
      </c>
      <c r="G1810" s="492" t="s">
        <v>4135</v>
      </c>
      <c r="J1810" s="556">
        <f t="shared" si="62"/>
        <v>0</v>
      </c>
    </row>
    <row r="1811" spans="6:10" ht="30" hidden="1" x14ac:dyDescent="0.25">
      <c r="F1811" s="499">
        <v>495</v>
      </c>
      <c r="G1811" s="492" t="s">
        <v>4136</v>
      </c>
      <c r="J1811" s="556">
        <f t="shared" si="62"/>
        <v>0</v>
      </c>
    </row>
    <row r="1812" spans="6:10" ht="30" hidden="1" x14ac:dyDescent="0.25">
      <c r="F1812" s="499">
        <v>496</v>
      </c>
      <c r="G1812" s="492" t="s">
        <v>4137</v>
      </c>
      <c r="J1812" s="556">
        <f t="shared" si="62"/>
        <v>0</v>
      </c>
    </row>
    <row r="1813" spans="6:10" ht="30" hidden="1" x14ac:dyDescent="0.25">
      <c r="F1813" s="499">
        <v>499</v>
      </c>
      <c r="G1813" s="492" t="s">
        <v>4138</v>
      </c>
      <c r="J1813" s="556">
        <f t="shared" si="62"/>
        <v>0</v>
      </c>
    </row>
    <row r="1814" spans="6:10" hidden="1" x14ac:dyDescent="0.25">
      <c r="F1814" s="499">
        <v>511</v>
      </c>
      <c r="G1814" s="496" t="s">
        <v>4158</v>
      </c>
      <c r="J1814" s="556">
        <f t="shared" si="62"/>
        <v>0</v>
      </c>
    </row>
    <row r="1815" spans="6:10" hidden="1" x14ac:dyDescent="0.25">
      <c r="F1815" s="499">
        <v>512</v>
      </c>
      <c r="G1815" s="496" t="s">
        <v>4159</v>
      </c>
      <c r="J1815" s="556">
        <f t="shared" si="62"/>
        <v>0</v>
      </c>
    </row>
    <row r="1816" spans="6:10" hidden="1" x14ac:dyDescent="0.25">
      <c r="F1816" s="499">
        <v>513</v>
      </c>
      <c r="G1816" s="496" t="s">
        <v>4160</v>
      </c>
      <c r="J1816" s="556">
        <f t="shared" si="62"/>
        <v>0</v>
      </c>
    </row>
    <row r="1817" spans="6:10" hidden="1" x14ac:dyDescent="0.25">
      <c r="F1817" s="499">
        <v>514</v>
      </c>
      <c r="G1817" s="492" t="s">
        <v>4161</v>
      </c>
      <c r="J1817" s="556">
        <f t="shared" si="62"/>
        <v>0</v>
      </c>
    </row>
    <row r="1818" spans="6:10" hidden="1" x14ac:dyDescent="0.25">
      <c r="F1818" s="499">
        <v>515</v>
      </c>
      <c r="G1818" s="492" t="s">
        <v>3834</v>
      </c>
      <c r="J1818" s="556">
        <f t="shared" si="62"/>
        <v>0</v>
      </c>
    </row>
    <row r="1819" spans="6:10" hidden="1" x14ac:dyDescent="0.25">
      <c r="F1819" s="499">
        <v>521</v>
      </c>
      <c r="G1819" s="492" t="s">
        <v>4162</v>
      </c>
      <c r="J1819" s="556">
        <f t="shared" si="62"/>
        <v>0</v>
      </c>
    </row>
    <row r="1820" spans="6:10" hidden="1" x14ac:dyDescent="0.25">
      <c r="F1820" s="499">
        <v>522</v>
      </c>
      <c r="G1820" s="492" t="s">
        <v>4163</v>
      </c>
      <c r="J1820" s="556">
        <f t="shared" si="62"/>
        <v>0</v>
      </c>
    </row>
    <row r="1821" spans="6:10" hidden="1" x14ac:dyDescent="0.25">
      <c r="F1821" s="499">
        <v>523</v>
      </c>
      <c r="G1821" s="492" t="s">
        <v>3839</v>
      </c>
      <c r="J1821" s="556">
        <f t="shared" si="62"/>
        <v>0</v>
      </c>
    </row>
    <row r="1822" spans="6:10" hidden="1" x14ac:dyDescent="0.25">
      <c r="F1822" s="499">
        <v>531</v>
      </c>
      <c r="G1822" s="488" t="s">
        <v>4139</v>
      </c>
      <c r="J1822" s="556">
        <f t="shared" si="62"/>
        <v>0</v>
      </c>
    </row>
    <row r="1823" spans="6:10" hidden="1" x14ac:dyDescent="0.25">
      <c r="F1823" s="499">
        <v>541</v>
      </c>
      <c r="G1823" s="492" t="s">
        <v>4164</v>
      </c>
      <c r="J1823" s="556">
        <f t="shared" si="62"/>
        <v>0</v>
      </c>
    </row>
    <row r="1824" spans="6:10" hidden="1" x14ac:dyDescent="0.25">
      <c r="F1824" s="499">
        <v>542</v>
      </c>
      <c r="G1824" s="492" t="s">
        <v>4165</v>
      </c>
      <c r="J1824" s="556">
        <f t="shared" si="62"/>
        <v>0</v>
      </c>
    </row>
    <row r="1825" spans="5:10" hidden="1" x14ac:dyDescent="0.25">
      <c r="F1825" s="499">
        <v>543</v>
      </c>
      <c r="G1825" s="492" t="s">
        <v>3844</v>
      </c>
      <c r="J1825" s="556">
        <f t="shared" si="62"/>
        <v>0</v>
      </c>
    </row>
    <row r="1826" spans="5:10" ht="30" hidden="1" x14ac:dyDescent="0.25">
      <c r="F1826" s="499">
        <v>551</v>
      </c>
      <c r="G1826" s="492" t="s">
        <v>4140</v>
      </c>
      <c r="J1826" s="556">
        <f t="shared" si="62"/>
        <v>0</v>
      </c>
    </row>
    <row r="1827" spans="5:10" hidden="1" x14ac:dyDescent="0.25">
      <c r="F1827" s="500">
        <v>611</v>
      </c>
      <c r="G1827" s="498" t="s">
        <v>3850</v>
      </c>
      <c r="J1827" s="556">
        <f t="shared" si="62"/>
        <v>0</v>
      </c>
    </row>
    <row r="1828" spans="5:10" ht="15.75" hidden="1" thickBot="1" x14ac:dyDescent="0.3">
      <c r="F1828" s="500">
        <v>620</v>
      </c>
      <c r="G1828" s="498" t="s">
        <v>88</v>
      </c>
      <c r="J1828" s="556">
        <f t="shared" si="62"/>
        <v>0</v>
      </c>
    </row>
    <row r="1829" spans="5:10" x14ac:dyDescent="0.25">
      <c r="E1829" s="489"/>
      <c r="F1829" s="500"/>
      <c r="G1829" s="343" t="s">
        <v>4289</v>
      </c>
      <c r="H1829" s="557"/>
      <c r="I1829" s="583"/>
      <c r="J1829" s="558"/>
    </row>
    <row r="1830" spans="5:10" ht="15.75" thickBot="1" x14ac:dyDescent="0.3">
      <c r="E1830" s="693"/>
      <c r="F1830" s="597" t="s">
        <v>234</v>
      </c>
      <c r="G1830" s="598" t="s">
        <v>235</v>
      </c>
      <c r="H1830" s="559">
        <f>SUM(H1779:H1828)</f>
        <v>100000</v>
      </c>
      <c r="I1830" s="560"/>
      <c r="J1830" s="560">
        <f t="shared" ref="J1830:J1845" si="63">SUM(H1830:I1830)</f>
        <v>100000</v>
      </c>
    </row>
    <row r="1831" spans="5:10" hidden="1" x14ac:dyDescent="0.25">
      <c r="F1831" s="597" t="s">
        <v>236</v>
      </c>
      <c r="G1831" s="598" t="s">
        <v>237</v>
      </c>
      <c r="J1831" s="560">
        <f t="shared" si="63"/>
        <v>0</v>
      </c>
    </row>
    <row r="1832" spans="5:10" hidden="1" x14ac:dyDescent="0.25">
      <c r="F1832" s="597" t="s">
        <v>238</v>
      </c>
      <c r="G1832" s="598" t="s">
        <v>239</v>
      </c>
      <c r="J1832" s="560">
        <f t="shared" si="63"/>
        <v>0</v>
      </c>
    </row>
    <row r="1833" spans="5:10" hidden="1" x14ac:dyDescent="0.25">
      <c r="F1833" s="597" t="s">
        <v>240</v>
      </c>
      <c r="G1833" s="598" t="s">
        <v>241</v>
      </c>
      <c r="J1833" s="560">
        <f t="shared" si="63"/>
        <v>0</v>
      </c>
    </row>
    <row r="1834" spans="5:10" hidden="1" x14ac:dyDescent="0.25">
      <c r="F1834" s="597" t="s">
        <v>242</v>
      </c>
      <c r="G1834" s="598" t="s">
        <v>243</v>
      </c>
      <c r="J1834" s="560">
        <f t="shared" si="63"/>
        <v>0</v>
      </c>
    </row>
    <row r="1835" spans="5:10" hidden="1" x14ac:dyDescent="0.25">
      <c r="F1835" s="597" t="s">
        <v>244</v>
      </c>
      <c r="G1835" s="598" t="s">
        <v>245</v>
      </c>
      <c r="J1835" s="560">
        <f t="shared" si="63"/>
        <v>0</v>
      </c>
    </row>
    <row r="1836" spans="5:10" hidden="1" x14ac:dyDescent="0.25">
      <c r="F1836" s="597" t="s">
        <v>246</v>
      </c>
      <c r="G1836" s="598" t="s">
        <v>4996</v>
      </c>
      <c r="J1836" s="560">
        <f t="shared" si="63"/>
        <v>0</v>
      </c>
    </row>
    <row r="1837" spans="5:10" hidden="1" x14ac:dyDescent="0.25">
      <c r="F1837" s="597" t="s">
        <v>247</v>
      </c>
      <c r="G1837" s="598" t="s">
        <v>4995</v>
      </c>
      <c r="J1837" s="560">
        <f t="shared" si="63"/>
        <v>0</v>
      </c>
    </row>
    <row r="1838" spans="5:10" hidden="1" x14ac:dyDescent="0.25">
      <c r="F1838" s="597" t="s">
        <v>248</v>
      </c>
      <c r="G1838" s="598" t="s">
        <v>57</v>
      </c>
      <c r="J1838" s="560">
        <f t="shared" si="63"/>
        <v>0</v>
      </c>
    </row>
    <row r="1839" spans="5:10" hidden="1" x14ac:dyDescent="0.25">
      <c r="F1839" s="597" t="s">
        <v>249</v>
      </c>
      <c r="G1839" s="598" t="s">
        <v>250</v>
      </c>
      <c r="J1839" s="560">
        <f t="shared" si="63"/>
        <v>0</v>
      </c>
    </row>
    <row r="1840" spans="5:10" hidden="1" x14ac:dyDescent="0.25">
      <c r="F1840" s="597" t="s">
        <v>251</v>
      </c>
      <c r="G1840" s="598" t="s">
        <v>252</v>
      </c>
      <c r="J1840" s="560">
        <f t="shared" si="63"/>
        <v>0</v>
      </c>
    </row>
    <row r="1841" spans="5:10" ht="30" hidden="1" x14ac:dyDescent="0.25">
      <c r="F1841" s="597" t="s">
        <v>253</v>
      </c>
      <c r="G1841" s="598" t="s">
        <v>254</v>
      </c>
      <c r="J1841" s="560">
        <f t="shared" si="63"/>
        <v>0</v>
      </c>
    </row>
    <row r="1842" spans="5:10" hidden="1" x14ac:dyDescent="0.25">
      <c r="F1842" s="597" t="s">
        <v>255</v>
      </c>
      <c r="G1842" s="598" t="s">
        <v>256</v>
      </c>
      <c r="J1842" s="560">
        <f t="shared" si="63"/>
        <v>0</v>
      </c>
    </row>
    <row r="1843" spans="5:10" ht="30" hidden="1" x14ac:dyDescent="0.25">
      <c r="F1843" s="597" t="s">
        <v>257</v>
      </c>
      <c r="G1843" s="598" t="s">
        <v>258</v>
      </c>
      <c r="J1843" s="560">
        <f t="shared" si="63"/>
        <v>0</v>
      </c>
    </row>
    <row r="1844" spans="5:10" hidden="1" x14ac:dyDescent="0.25">
      <c r="F1844" s="597" t="s">
        <v>259</v>
      </c>
      <c r="G1844" s="598" t="s">
        <v>260</v>
      </c>
      <c r="J1844" s="560">
        <f t="shared" si="63"/>
        <v>0</v>
      </c>
    </row>
    <row r="1845" spans="5:10" ht="15.75" hidden="1" thickBot="1" x14ac:dyDescent="0.3">
      <c r="F1845" s="597" t="s">
        <v>261</v>
      </c>
      <c r="G1845" s="598" t="s">
        <v>262</v>
      </c>
      <c r="H1845" s="559"/>
      <c r="I1845" s="560"/>
      <c r="J1845" s="560">
        <f t="shared" si="63"/>
        <v>0</v>
      </c>
    </row>
    <row r="1846" spans="5:10" ht="15.75" thickBot="1" x14ac:dyDescent="0.3">
      <c r="G1846" s="268" t="s">
        <v>4290</v>
      </c>
      <c r="H1846" s="561">
        <f>SUM(H1830)</f>
        <v>100000</v>
      </c>
      <c r="I1846" s="562">
        <f>SUM(I1831:I1845)</f>
        <v>0</v>
      </c>
      <c r="J1846" s="562">
        <f>SUM(J1830:J1845)</f>
        <v>100000</v>
      </c>
    </row>
    <row r="1847" spans="5:10" ht="28.5" x14ac:dyDescent="0.25">
      <c r="E1847" s="489"/>
      <c r="F1847" s="500"/>
      <c r="G1847" s="270" t="s">
        <v>5242</v>
      </c>
      <c r="H1847" s="563"/>
      <c r="I1847" s="584"/>
      <c r="J1847" s="564"/>
    </row>
    <row r="1848" spans="5:10" ht="15.75" thickBot="1" x14ac:dyDescent="0.3">
      <c r="E1848" s="693"/>
      <c r="F1848" s="597" t="s">
        <v>234</v>
      </c>
      <c r="G1848" s="729" t="s">
        <v>235</v>
      </c>
      <c r="H1848" s="559">
        <f>SUM(H1769:H1828)</f>
        <v>100000</v>
      </c>
      <c r="I1848" s="560"/>
      <c r="J1848" s="560">
        <f>SUM(H1848:I1848)</f>
        <v>100000</v>
      </c>
    </row>
    <row r="1849" spans="5:10" hidden="1" x14ac:dyDescent="0.25">
      <c r="F1849" s="597" t="s">
        <v>236</v>
      </c>
      <c r="G1849" s="598" t="s">
        <v>237</v>
      </c>
      <c r="J1849" s="560">
        <f t="shared" ref="J1849:J1863" si="64">SUM(H1849:I1849)</f>
        <v>0</v>
      </c>
    </row>
    <row r="1850" spans="5:10" hidden="1" x14ac:dyDescent="0.25">
      <c r="F1850" s="597" t="s">
        <v>238</v>
      </c>
      <c r="G1850" s="598" t="s">
        <v>239</v>
      </c>
      <c r="J1850" s="560">
        <f t="shared" si="64"/>
        <v>0</v>
      </c>
    </row>
    <row r="1851" spans="5:10" hidden="1" x14ac:dyDescent="0.25">
      <c r="F1851" s="597" t="s">
        <v>240</v>
      </c>
      <c r="G1851" s="598" t="s">
        <v>241</v>
      </c>
      <c r="J1851" s="560">
        <f t="shared" si="64"/>
        <v>0</v>
      </c>
    </row>
    <row r="1852" spans="5:10" hidden="1" x14ac:dyDescent="0.25">
      <c r="F1852" s="597" t="s">
        <v>242</v>
      </c>
      <c r="G1852" s="598" t="s">
        <v>243</v>
      </c>
      <c r="J1852" s="560">
        <f t="shared" si="64"/>
        <v>0</v>
      </c>
    </row>
    <row r="1853" spans="5:10" hidden="1" x14ac:dyDescent="0.25">
      <c r="F1853" s="597" t="s">
        <v>244</v>
      </c>
      <c r="G1853" s="598" t="s">
        <v>245</v>
      </c>
      <c r="J1853" s="560">
        <f t="shared" si="64"/>
        <v>0</v>
      </c>
    </row>
    <row r="1854" spans="5:10" hidden="1" x14ac:dyDescent="0.25">
      <c r="F1854" s="597" t="s">
        <v>246</v>
      </c>
      <c r="G1854" s="598" t="s">
        <v>4996</v>
      </c>
      <c r="J1854" s="560">
        <f t="shared" si="64"/>
        <v>0</v>
      </c>
    </row>
    <row r="1855" spans="5:10" hidden="1" x14ac:dyDescent="0.25">
      <c r="F1855" s="597" t="s">
        <v>247</v>
      </c>
      <c r="G1855" s="598" t="s">
        <v>4995</v>
      </c>
      <c r="J1855" s="560">
        <f t="shared" si="64"/>
        <v>0</v>
      </c>
    </row>
    <row r="1856" spans="5:10" hidden="1" x14ac:dyDescent="0.25">
      <c r="F1856" s="597" t="s">
        <v>248</v>
      </c>
      <c r="G1856" s="598" t="s">
        <v>57</v>
      </c>
      <c r="J1856" s="560">
        <f t="shared" si="64"/>
        <v>0</v>
      </c>
    </row>
    <row r="1857" spans="1:10" hidden="1" x14ac:dyDescent="0.25">
      <c r="F1857" s="597" t="s">
        <v>249</v>
      </c>
      <c r="G1857" s="598" t="s">
        <v>250</v>
      </c>
      <c r="J1857" s="560">
        <f t="shared" si="64"/>
        <v>0</v>
      </c>
    </row>
    <row r="1858" spans="1:10" hidden="1" x14ac:dyDescent="0.25">
      <c r="F1858" s="597" t="s">
        <v>251</v>
      </c>
      <c r="G1858" s="598" t="s">
        <v>252</v>
      </c>
      <c r="J1858" s="560">
        <f t="shared" si="64"/>
        <v>0</v>
      </c>
    </row>
    <row r="1859" spans="1:10" ht="30" hidden="1" x14ac:dyDescent="0.25">
      <c r="F1859" s="597" t="s">
        <v>253</v>
      </c>
      <c r="G1859" s="598" t="s">
        <v>254</v>
      </c>
      <c r="J1859" s="560">
        <f t="shared" si="64"/>
        <v>0</v>
      </c>
    </row>
    <row r="1860" spans="1:10" hidden="1" x14ac:dyDescent="0.25">
      <c r="F1860" s="597" t="s">
        <v>255</v>
      </c>
      <c r="G1860" s="598" t="s">
        <v>256</v>
      </c>
      <c r="J1860" s="560">
        <f t="shared" si="64"/>
        <v>0</v>
      </c>
    </row>
    <row r="1861" spans="1:10" ht="30" hidden="1" x14ac:dyDescent="0.25">
      <c r="F1861" s="597" t="s">
        <v>257</v>
      </c>
      <c r="G1861" s="598" t="s">
        <v>258</v>
      </c>
      <c r="J1861" s="560">
        <f t="shared" si="64"/>
        <v>0</v>
      </c>
    </row>
    <row r="1862" spans="1:10" hidden="1" x14ac:dyDescent="0.25">
      <c r="F1862" s="597" t="s">
        <v>259</v>
      </c>
      <c r="G1862" s="598" t="s">
        <v>260</v>
      </c>
      <c r="J1862" s="560">
        <f t="shared" si="64"/>
        <v>0</v>
      </c>
    </row>
    <row r="1863" spans="1:10" ht="15.75" hidden="1" thickBot="1" x14ac:dyDescent="0.3">
      <c r="F1863" s="597" t="s">
        <v>261</v>
      </c>
      <c r="G1863" s="598" t="s">
        <v>262</v>
      </c>
      <c r="H1863" s="559"/>
      <c r="I1863" s="560"/>
      <c r="J1863" s="560">
        <f t="shared" si="64"/>
        <v>0</v>
      </c>
    </row>
    <row r="1864" spans="1:10" ht="15.75" thickBot="1" x14ac:dyDescent="0.3">
      <c r="G1864" s="268" t="s">
        <v>5243</v>
      </c>
      <c r="H1864" s="561">
        <f>SUM(H1848:H1863)</f>
        <v>100000</v>
      </c>
      <c r="I1864" s="562">
        <f>SUM(I1849:I1863)</f>
        <v>0</v>
      </c>
      <c r="J1864" s="562">
        <f>SUM(J1848:J1863)</f>
        <v>100000</v>
      </c>
    </row>
    <row r="1865" spans="1:10" x14ac:dyDescent="0.25">
      <c r="A1865" s="290"/>
      <c r="B1865" s="288"/>
      <c r="C1865" s="334" t="s">
        <v>4110</v>
      </c>
      <c r="D1865" s="286"/>
      <c r="E1865" s="876"/>
      <c r="F1865" s="289"/>
      <c r="G1865" s="490" t="s">
        <v>5069</v>
      </c>
      <c r="H1865" s="588"/>
      <c r="I1865" s="571"/>
      <c r="J1865" s="589"/>
    </row>
    <row r="1866" spans="1:10" x14ac:dyDescent="0.25">
      <c r="A1866" s="321"/>
      <c r="B1866" s="288"/>
      <c r="C1866" s="294"/>
      <c r="D1866" s="331">
        <v>112</v>
      </c>
      <c r="E1866" s="869"/>
      <c r="F1866" s="331"/>
      <c r="G1866" s="341" t="s">
        <v>5070</v>
      </c>
      <c r="H1866" s="588"/>
      <c r="I1866" s="571"/>
      <c r="J1866" s="589"/>
    </row>
    <row r="1867" spans="1:10" ht="15.75" thickBot="1" x14ac:dyDescent="0.3">
      <c r="A1867" s="290"/>
      <c r="B1867" s="288"/>
      <c r="C1867" s="334"/>
      <c r="D1867" s="286"/>
      <c r="E1867" s="876">
        <v>72</v>
      </c>
      <c r="F1867" s="499">
        <v>49912</v>
      </c>
      <c r="G1867" s="492" t="s">
        <v>3827</v>
      </c>
      <c r="H1867" s="588">
        <v>5750000</v>
      </c>
      <c r="I1867" s="571"/>
      <c r="J1867" s="589"/>
    </row>
    <row r="1868" spans="1:10" hidden="1" x14ac:dyDescent="0.25">
      <c r="A1868" s="290"/>
      <c r="B1868" s="288"/>
      <c r="C1868" s="334"/>
      <c r="D1868" s="286"/>
      <c r="E1868" s="875">
        <v>45</v>
      </c>
      <c r="F1868" s="292">
        <v>423</v>
      </c>
      <c r="G1868" s="319" t="s">
        <v>3781</v>
      </c>
      <c r="H1868" s="588"/>
      <c r="I1868" s="571"/>
      <c r="J1868" s="589">
        <f>SUM(H1868:I1868)</f>
        <v>0</v>
      </c>
    </row>
    <row r="1869" spans="1:10" hidden="1" x14ac:dyDescent="0.25">
      <c r="A1869" s="290"/>
      <c r="B1869" s="288"/>
      <c r="C1869" s="334"/>
      <c r="D1869" s="286"/>
      <c r="E1869" s="875">
        <v>46</v>
      </c>
      <c r="F1869" s="292">
        <v>426</v>
      </c>
      <c r="G1869" s="319" t="s">
        <v>3783</v>
      </c>
      <c r="H1869" s="588"/>
      <c r="I1869" s="571"/>
      <c r="J1869" s="589">
        <f t="shared" ref="J1869:J1870" si="65">SUM(H1869:I1869)</f>
        <v>0</v>
      </c>
    </row>
    <row r="1870" spans="1:10" ht="15.75" hidden="1" thickBot="1" x14ac:dyDescent="0.3">
      <c r="A1870" s="290"/>
      <c r="B1870" s="288"/>
      <c r="C1870" s="334"/>
      <c r="D1870" s="286"/>
      <c r="E1870" s="875">
        <v>47</v>
      </c>
      <c r="F1870" s="289">
        <v>512</v>
      </c>
      <c r="G1870" s="492" t="s">
        <v>5040</v>
      </c>
      <c r="H1870" s="588"/>
      <c r="I1870" s="571"/>
      <c r="J1870" s="589">
        <f t="shared" si="65"/>
        <v>0</v>
      </c>
    </row>
    <row r="1871" spans="1:10" x14ac:dyDescent="0.25">
      <c r="E1871" s="489"/>
      <c r="F1871" s="324"/>
      <c r="G1871" s="342" t="s">
        <v>4322</v>
      </c>
      <c r="H1871" s="557"/>
      <c r="I1871" s="583"/>
      <c r="J1871" s="558"/>
    </row>
    <row r="1872" spans="1:10" ht="15.75" thickBot="1" x14ac:dyDescent="0.3">
      <c r="E1872" s="693"/>
      <c r="F1872" s="284" t="s">
        <v>234</v>
      </c>
      <c r="G1872" s="287" t="s">
        <v>235</v>
      </c>
      <c r="H1872" s="559">
        <f>SUM(H1867:H1870)</f>
        <v>5750000</v>
      </c>
      <c r="I1872" s="560"/>
      <c r="J1872" s="560">
        <f>SUM(H1872:I1872)</f>
        <v>5750000</v>
      </c>
    </row>
    <row r="1873" spans="6:10" hidden="1" x14ac:dyDescent="0.25">
      <c r="F1873" s="284" t="s">
        <v>236</v>
      </c>
      <c r="G1873" s="287" t="s">
        <v>237</v>
      </c>
      <c r="J1873" s="560">
        <f t="shared" ref="J1873:J1887" si="66">SUM(H1873:I1873)</f>
        <v>0</v>
      </c>
    </row>
    <row r="1874" spans="6:10" hidden="1" x14ac:dyDescent="0.25">
      <c r="F1874" s="284" t="s">
        <v>238</v>
      </c>
      <c r="G1874" s="287" t="s">
        <v>239</v>
      </c>
      <c r="J1874" s="560">
        <f t="shared" si="66"/>
        <v>0</v>
      </c>
    </row>
    <row r="1875" spans="6:10" hidden="1" x14ac:dyDescent="0.25">
      <c r="F1875" s="284" t="s">
        <v>240</v>
      </c>
      <c r="G1875" s="287" t="s">
        <v>241</v>
      </c>
      <c r="J1875" s="560">
        <f t="shared" si="66"/>
        <v>0</v>
      </c>
    </row>
    <row r="1876" spans="6:10" hidden="1" x14ac:dyDescent="0.25">
      <c r="F1876" s="284" t="s">
        <v>242</v>
      </c>
      <c r="G1876" s="287" t="s">
        <v>243</v>
      </c>
      <c r="J1876" s="560">
        <f t="shared" si="66"/>
        <v>0</v>
      </c>
    </row>
    <row r="1877" spans="6:10" hidden="1" x14ac:dyDescent="0.25">
      <c r="F1877" s="284" t="s">
        <v>244</v>
      </c>
      <c r="G1877" s="287" t="s">
        <v>245</v>
      </c>
      <c r="J1877" s="560">
        <f t="shared" si="66"/>
        <v>0</v>
      </c>
    </row>
    <row r="1878" spans="6:10" hidden="1" x14ac:dyDescent="0.25">
      <c r="F1878" s="284" t="s">
        <v>246</v>
      </c>
      <c r="G1878" s="598" t="s">
        <v>4996</v>
      </c>
      <c r="J1878" s="560">
        <f t="shared" si="66"/>
        <v>0</v>
      </c>
    </row>
    <row r="1879" spans="6:10" hidden="1" x14ac:dyDescent="0.25">
      <c r="F1879" s="284" t="s">
        <v>247</v>
      </c>
      <c r="G1879" s="598" t="s">
        <v>4995</v>
      </c>
      <c r="J1879" s="560">
        <f t="shared" si="66"/>
        <v>0</v>
      </c>
    </row>
    <row r="1880" spans="6:10" hidden="1" x14ac:dyDescent="0.25">
      <c r="F1880" s="284" t="s">
        <v>248</v>
      </c>
      <c r="G1880" s="287" t="s">
        <v>57</v>
      </c>
      <c r="J1880" s="560">
        <f t="shared" si="66"/>
        <v>0</v>
      </c>
    </row>
    <row r="1881" spans="6:10" hidden="1" x14ac:dyDescent="0.25">
      <c r="F1881" s="284" t="s">
        <v>249</v>
      </c>
      <c r="G1881" s="287" t="s">
        <v>250</v>
      </c>
      <c r="J1881" s="560">
        <f t="shared" si="66"/>
        <v>0</v>
      </c>
    </row>
    <row r="1882" spans="6:10" hidden="1" x14ac:dyDescent="0.25">
      <c r="F1882" s="284" t="s">
        <v>251</v>
      </c>
      <c r="G1882" s="287" t="s">
        <v>252</v>
      </c>
      <c r="J1882" s="560">
        <f t="shared" si="66"/>
        <v>0</v>
      </c>
    </row>
    <row r="1883" spans="6:10" ht="30" hidden="1" x14ac:dyDescent="0.25">
      <c r="F1883" s="284" t="s">
        <v>253</v>
      </c>
      <c r="G1883" s="287" t="s">
        <v>254</v>
      </c>
      <c r="J1883" s="560">
        <f t="shared" si="66"/>
        <v>0</v>
      </c>
    </row>
    <row r="1884" spans="6:10" hidden="1" x14ac:dyDescent="0.25">
      <c r="F1884" s="284" t="s">
        <v>255</v>
      </c>
      <c r="G1884" s="287" t="s">
        <v>256</v>
      </c>
      <c r="J1884" s="560">
        <f t="shared" si="66"/>
        <v>0</v>
      </c>
    </row>
    <row r="1885" spans="6:10" ht="30" hidden="1" x14ac:dyDescent="0.25">
      <c r="F1885" s="284" t="s">
        <v>257</v>
      </c>
      <c r="G1885" s="287" t="s">
        <v>258</v>
      </c>
      <c r="J1885" s="560">
        <f t="shared" si="66"/>
        <v>0</v>
      </c>
    </row>
    <row r="1886" spans="6:10" hidden="1" x14ac:dyDescent="0.25">
      <c r="F1886" s="284" t="s">
        <v>259</v>
      </c>
      <c r="G1886" s="287" t="s">
        <v>260</v>
      </c>
      <c r="J1886" s="560">
        <f t="shared" si="66"/>
        <v>0</v>
      </c>
    </row>
    <row r="1887" spans="6:10" ht="15.75" hidden="1" thickBot="1" x14ac:dyDescent="0.3">
      <c r="F1887" s="284" t="s">
        <v>261</v>
      </c>
      <c r="G1887" s="287" t="s">
        <v>262</v>
      </c>
      <c r="H1887" s="559"/>
      <c r="I1887" s="560"/>
      <c r="J1887" s="560">
        <f t="shared" si="66"/>
        <v>0</v>
      </c>
    </row>
    <row r="1888" spans="6:10" ht="15.75" thickBot="1" x14ac:dyDescent="0.3">
      <c r="G1888" s="268" t="s">
        <v>4323</v>
      </c>
      <c r="H1888" s="561">
        <f>SUM(H1872:H1887)</f>
        <v>5750000</v>
      </c>
      <c r="I1888" s="562">
        <f>SUM(I1873:I1887)</f>
        <v>0</v>
      </c>
      <c r="J1888" s="562">
        <f>SUM(J1872:J1887)</f>
        <v>5750000</v>
      </c>
    </row>
    <row r="1889" spans="5:10" ht="28.5" x14ac:dyDescent="0.25">
      <c r="E1889" s="489"/>
      <c r="F1889" s="324"/>
      <c r="G1889" s="270" t="s">
        <v>4188</v>
      </c>
      <c r="H1889" s="563"/>
      <c r="I1889" s="584"/>
      <c r="J1889" s="564"/>
    </row>
    <row r="1890" spans="5:10" ht="15.75" thickBot="1" x14ac:dyDescent="0.3">
      <c r="E1890" s="693"/>
      <c r="F1890" s="284" t="s">
        <v>234</v>
      </c>
      <c r="G1890" s="287" t="s">
        <v>235</v>
      </c>
      <c r="H1890" s="559">
        <f>SUM(H1867:H1870)</f>
        <v>5750000</v>
      </c>
      <c r="I1890" s="560"/>
      <c r="J1890" s="560">
        <f>SUM(H1890:I1890)</f>
        <v>5750000</v>
      </c>
    </row>
    <row r="1891" spans="5:10" hidden="1" x14ac:dyDescent="0.25">
      <c r="F1891" s="284" t="s">
        <v>236</v>
      </c>
      <c r="G1891" s="287" t="s">
        <v>237</v>
      </c>
      <c r="J1891" s="560">
        <f t="shared" ref="J1891:J1905" si="67">SUM(H1891:I1891)</f>
        <v>0</v>
      </c>
    </row>
    <row r="1892" spans="5:10" hidden="1" x14ac:dyDescent="0.25">
      <c r="F1892" s="284" t="s">
        <v>238</v>
      </c>
      <c r="G1892" s="287" t="s">
        <v>239</v>
      </c>
      <c r="J1892" s="560">
        <f t="shared" si="67"/>
        <v>0</v>
      </c>
    </row>
    <row r="1893" spans="5:10" hidden="1" x14ac:dyDescent="0.25">
      <c r="F1893" s="284" t="s">
        <v>240</v>
      </c>
      <c r="G1893" s="287" t="s">
        <v>241</v>
      </c>
      <c r="J1893" s="560">
        <f t="shared" si="67"/>
        <v>0</v>
      </c>
    </row>
    <row r="1894" spans="5:10" hidden="1" x14ac:dyDescent="0.25">
      <c r="F1894" s="284" t="s">
        <v>242</v>
      </c>
      <c r="G1894" s="287" t="s">
        <v>243</v>
      </c>
      <c r="J1894" s="560">
        <f t="shared" si="67"/>
        <v>0</v>
      </c>
    </row>
    <row r="1895" spans="5:10" hidden="1" x14ac:dyDescent="0.25">
      <c r="F1895" s="284" t="s">
        <v>244</v>
      </c>
      <c r="G1895" s="287" t="s">
        <v>245</v>
      </c>
      <c r="J1895" s="560">
        <f t="shared" si="67"/>
        <v>0</v>
      </c>
    </row>
    <row r="1896" spans="5:10" hidden="1" x14ac:dyDescent="0.25">
      <c r="F1896" s="284" t="s">
        <v>246</v>
      </c>
      <c r="G1896" s="598" t="s">
        <v>4996</v>
      </c>
      <c r="J1896" s="560">
        <f t="shared" si="67"/>
        <v>0</v>
      </c>
    </row>
    <row r="1897" spans="5:10" hidden="1" x14ac:dyDescent="0.25">
      <c r="F1897" s="284" t="s">
        <v>247</v>
      </c>
      <c r="G1897" s="598" t="s">
        <v>4995</v>
      </c>
      <c r="J1897" s="560">
        <f t="shared" si="67"/>
        <v>0</v>
      </c>
    </row>
    <row r="1898" spans="5:10" hidden="1" x14ac:dyDescent="0.25">
      <c r="F1898" s="284" t="s">
        <v>248</v>
      </c>
      <c r="G1898" s="287" t="s">
        <v>57</v>
      </c>
      <c r="J1898" s="560">
        <f t="shared" si="67"/>
        <v>0</v>
      </c>
    </row>
    <row r="1899" spans="5:10" hidden="1" x14ac:dyDescent="0.25">
      <c r="F1899" s="284" t="s">
        <v>249</v>
      </c>
      <c r="G1899" s="287" t="s">
        <v>250</v>
      </c>
      <c r="J1899" s="560">
        <f t="shared" si="67"/>
        <v>0</v>
      </c>
    </row>
    <row r="1900" spans="5:10" hidden="1" x14ac:dyDescent="0.25">
      <c r="F1900" s="284" t="s">
        <v>251</v>
      </c>
      <c r="G1900" s="287" t="s">
        <v>252</v>
      </c>
      <c r="J1900" s="560">
        <f t="shared" si="67"/>
        <v>0</v>
      </c>
    </row>
    <row r="1901" spans="5:10" ht="30" hidden="1" x14ac:dyDescent="0.25">
      <c r="F1901" s="284" t="s">
        <v>253</v>
      </c>
      <c r="G1901" s="287" t="s">
        <v>254</v>
      </c>
      <c r="J1901" s="560">
        <f t="shared" si="67"/>
        <v>0</v>
      </c>
    </row>
    <row r="1902" spans="5:10" hidden="1" x14ac:dyDescent="0.25">
      <c r="F1902" s="284" t="s">
        <v>255</v>
      </c>
      <c r="G1902" s="287" t="s">
        <v>256</v>
      </c>
      <c r="J1902" s="560">
        <f t="shared" si="67"/>
        <v>0</v>
      </c>
    </row>
    <row r="1903" spans="5:10" ht="30" hidden="1" x14ac:dyDescent="0.25">
      <c r="F1903" s="284" t="s">
        <v>257</v>
      </c>
      <c r="G1903" s="287" t="s">
        <v>258</v>
      </c>
      <c r="J1903" s="560">
        <f t="shared" si="67"/>
        <v>0</v>
      </c>
    </row>
    <row r="1904" spans="5:10" hidden="1" x14ac:dyDescent="0.25">
      <c r="F1904" s="284" t="s">
        <v>259</v>
      </c>
      <c r="G1904" s="287" t="s">
        <v>260</v>
      </c>
      <c r="J1904" s="560">
        <f t="shared" si="67"/>
        <v>0</v>
      </c>
    </row>
    <row r="1905" spans="1:10" ht="15.75" hidden="1" thickBot="1" x14ac:dyDescent="0.3">
      <c r="F1905" s="284" t="s">
        <v>261</v>
      </c>
      <c r="G1905" s="287" t="s">
        <v>262</v>
      </c>
      <c r="H1905" s="559"/>
      <c r="I1905" s="560"/>
      <c r="J1905" s="560">
        <f t="shared" si="67"/>
        <v>0</v>
      </c>
    </row>
    <row r="1906" spans="1:10" ht="15.75" thickBot="1" x14ac:dyDescent="0.3">
      <c r="G1906" s="268" t="s">
        <v>5071</v>
      </c>
      <c r="H1906" s="561">
        <f>SUM(H1890:H1905)</f>
        <v>5750000</v>
      </c>
      <c r="I1906" s="562">
        <f>SUM(I1891:I1905)</f>
        <v>0</v>
      </c>
      <c r="J1906" s="562">
        <f>SUM(J1890:J1905)</f>
        <v>5750000</v>
      </c>
    </row>
    <row r="1907" spans="1:10" x14ac:dyDescent="0.25">
      <c r="A1907" s="481"/>
      <c r="B1907" s="288"/>
      <c r="C1907" s="334" t="s">
        <v>4112</v>
      </c>
      <c r="D1907" s="286"/>
      <c r="E1907" s="876"/>
      <c r="F1907" s="289"/>
      <c r="G1907" s="490" t="s">
        <v>5072</v>
      </c>
      <c r="H1907" s="588"/>
      <c r="I1907" s="571"/>
      <c r="J1907" s="589"/>
    </row>
    <row r="1908" spans="1:10" x14ac:dyDescent="0.25">
      <c r="A1908" s="481"/>
      <c r="B1908" s="288"/>
      <c r="C1908" s="294"/>
      <c r="D1908" s="331">
        <v>112</v>
      </c>
      <c r="E1908" s="869"/>
      <c r="F1908" s="331"/>
      <c r="G1908" s="341" t="s">
        <v>107</v>
      </c>
      <c r="H1908" s="588"/>
      <c r="I1908" s="571"/>
      <c r="J1908" s="589"/>
    </row>
    <row r="1909" spans="1:10" ht="15.75" thickBot="1" x14ac:dyDescent="0.3">
      <c r="A1909" s="481"/>
      <c r="B1909" s="288"/>
      <c r="C1909" s="334"/>
      <c r="D1909" s="286"/>
      <c r="E1909" s="875">
        <v>73</v>
      </c>
      <c r="F1909" s="499">
        <v>49911</v>
      </c>
      <c r="G1909" s="492" t="s">
        <v>3825</v>
      </c>
      <c r="H1909" s="588">
        <v>1000000</v>
      </c>
      <c r="I1909" s="571"/>
      <c r="J1909" s="589">
        <f>SUM(H1909:I1909)</f>
        <v>1000000</v>
      </c>
    </row>
    <row r="1910" spans="1:10" hidden="1" x14ac:dyDescent="0.25">
      <c r="A1910" s="481"/>
      <c r="B1910" s="288"/>
      <c r="C1910" s="334"/>
      <c r="D1910" s="286"/>
      <c r="E1910" s="876"/>
      <c r="F1910" s="499">
        <v>424</v>
      </c>
      <c r="G1910" s="492" t="s">
        <v>3783</v>
      </c>
      <c r="H1910" s="588"/>
      <c r="I1910" s="571"/>
      <c r="J1910" s="589"/>
    </row>
    <row r="1911" spans="1:10" ht="15.75" hidden="1" thickBot="1" x14ac:dyDescent="0.3">
      <c r="A1911" s="481"/>
      <c r="B1911" s="288"/>
      <c r="C1911" s="334"/>
      <c r="D1911" s="286"/>
      <c r="E1911" s="876"/>
      <c r="F1911" s="289">
        <v>482</v>
      </c>
      <c r="G1911" s="492" t="s">
        <v>4154</v>
      </c>
      <c r="H1911" s="588"/>
      <c r="I1911" s="571"/>
      <c r="J1911" s="589"/>
    </row>
    <row r="1912" spans="1:10" x14ac:dyDescent="0.25">
      <c r="E1912" s="489"/>
      <c r="F1912" s="500"/>
      <c r="G1912" s="342" t="s">
        <v>4322</v>
      </c>
      <c r="H1912" s="557"/>
      <c r="I1912" s="583"/>
      <c r="J1912" s="558"/>
    </row>
    <row r="1913" spans="1:10" ht="15.75" thickBot="1" x14ac:dyDescent="0.3">
      <c r="E1913" s="693"/>
      <c r="F1913" s="597" t="s">
        <v>234</v>
      </c>
      <c r="G1913" s="598" t="s">
        <v>235</v>
      </c>
      <c r="H1913" s="559">
        <f>SUM(H1909:H1911)</f>
        <v>1000000</v>
      </c>
      <c r="I1913" s="560"/>
      <c r="J1913" s="560">
        <f>SUM(H1913:I1913)</f>
        <v>1000000</v>
      </c>
    </row>
    <row r="1914" spans="1:10" hidden="1" x14ac:dyDescent="0.25">
      <c r="F1914" s="597" t="s">
        <v>236</v>
      </c>
      <c r="G1914" s="598" t="s">
        <v>237</v>
      </c>
      <c r="J1914" s="560">
        <f t="shared" ref="J1914:J1928" si="68">SUM(H1914:I1914)</f>
        <v>0</v>
      </c>
    </row>
    <row r="1915" spans="1:10" hidden="1" x14ac:dyDescent="0.25">
      <c r="F1915" s="597" t="s">
        <v>238</v>
      </c>
      <c r="G1915" s="598" t="s">
        <v>239</v>
      </c>
      <c r="J1915" s="560">
        <f t="shared" si="68"/>
        <v>0</v>
      </c>
    </row>
    <row r="1916" spans="1:10" hidden="1" x14ac:dyDescent="0.25">
      <c r="F1916" s="597" t="s">
        <v>240</v>
      </c>
      <c r="G1916" s="598" t="s">
        <v>241</v>
      </c>
      <c r="J1916" s="560">
        <f t="shared" si="68"/>
        <v>0</v>
      </c>
    </row>
    <row r="1917" spans="1:10" hidden="1" x14ac:dyDescent="0.25">
      <c r="F1917" s="597" t="s">
        <v>242</v>
      </c>
      <c r="G1917" s="598" t="s">
        <v>243</v>
      </c>
      <c r="J1917" s="560">
        <f t="shared" si="68"/>
        <v>0</v>
      </c>
    </row>
    <row r="1918" spans="1:10" hidden="1" x14ac:dyDescent="0.25">
      <c r="F1918" s="597" t="s">
        <v>244</v>
      </c>
      <c r="G1918" s="598" t="s">
        <v>245</v>
      </c>
      <c r="J1918" s="560">
        <f t="shared" si="68"/>
        <v>0</v>
      </c>
    </row>
    <row r="1919" spans="1:10" hidden="1" x14ac:dyDescent="0.25">
      <c r="F1919" s="597" t="s">
        <v>246</v>
      </c>
      <c r="G1919" s="598" t="s">
        <v>4996</v>
      </c>
      <c r="J1919" s="560">
        <f t="shared" si="68"/>
        <v>0</v>
      </c>
    </row>
    <row r="1920" spans="1:10" hidden="1" x14ac:dyDescent="0.25">
      <c r="F1920" s="597" t="s">
        <v>247</v>
      </c>
      <c r="G1920" s="598" t="s">
        <v>4995</v>
      </c>
      <c r="J1920" s="560">
        <f t="shared" si="68"/>
        <v>0</v>
      </c>
    </row>
    <row r="1921" spans="5:10" hidden="1" x14ac:dyDescent="0.25">
      <c r="F1921" s="597" t="s">
        <v>248</v>
      </c>
      <c r="G1921" s="598" t="s">
        <v>57</v>
      </c>
      <c r="J1921" s="560">
        <f t="shared" si="68"/>
        <v>0</v>
      </c>
    </row>
    <row r="1922" spans="5:10" hidden="1" x14ac:dyDescent="0.25">
      <c r="F1922" s="597" t="s">
        <v>249</v>
      </c>
      <c r="G1922" s="598" t="s">
        <v>250</v>
      </c>
      <c r="J1922" s="560">
        <f t="shared" si="68"/>
        <v>0</v>
      </c>
    </row>
    <row r="1923" spans="5:10" hidden="1" x14ac:dyDescent="0.25">
      <c r="F1923" s="597" t="s">
        <v>251</v>
      </c>
      <c r="G1923" s="598" t="s">
        <v>252</v>
      </c>
      <c r="J1923" s="560">
        <f t="shared" si="68"/>
        <v>0</v>
      </c>
    </row>
    <row r="1924" spans="5:10" ht="30" hidden="1" x14ac:dyDescent="0.25">
      <c r="F1924" s="597" t="s">
        <v>253</v>
      </c>
      <c r="G1924" s="598" t="s">
        <v>254</v>
      </c>
      <c r="J1924" s="560">
        <f t="shared" si="68"/>
        <v>0</v>
      </c>
    </row>
    <row r="1925" spans="5:10" hidden="1" x14ac:dyDescent="0.25">
      <c r="F1925" s="597" t="s">
        <v>255</v>
      </c>
      <c r="G1925" s="598" t="s">
        <v>256</v>
      </c>
      <c r="J1925" s="560">
        <f t="shared" si="68"/>
        <v>0</v>
      </c>
    </row>
    <row r="1926" spans="5:10" ht="30" hidden="1" x14ac:dyDescent="0.25">
      <c r="F1926" s="597" t="s">
        <v>257</v>
      </c>
      <c r="G1926" s="598" t="s">
        <v>258</v>
      </c>
      <c r="J1926" s="560">
        <f t="shared" si="68"/>
        <v>0</v>
      </c>
    </row>
    <row r="1927" spans="5:10" hidden="1" x14ac:dyDescent="0.25">
      <c r="F1927" s="597" t="s">
        <v>259</v>
      </c>
      <c r="G1927" s="598" t="s">
        <v>260</v>
      </c>
      <c r="J1927" s="560">
        <f t="shared" si="68"/>
        <v>0</v>
      </c>
    </row>
    <row r="1928" spans="5:10" ht="15.75" hidden="1" thickBot="1" x14ac:dyDescent="0.3">
      <c r="F1928" s="597" t="s">
        <v>261</v>
      </c>
      <c r="G1928" s="598" t="s">
        <v>262</v>
      </c>
      <c r="H1928" s="559"/>
      <c r="I1928" s="560"/>
      <c r="J1928" s="560">
        <f t="shared" si="68"/>
        <v>0</v>
      </c>
    </row>
    <row r="1929" spans="5:10" ht="15.75" thickBot="1" x14ac:dyDescent="0.3">
      <c r="G1929" s="268" t="s">
        <v>4323</v>
      </c>
      <c r="H1929" s="561">
        <f>SUM(H1913:H1928)</f>
        <v>1000000</v>
      </c>
      <c r="I1929" s="562">
        <f>SUM(I1914:I1928)</f>
        <v>0</v>
      </c>
      <c r="J1929" s="562">
        <f>SUM(J1913:J1928)</f>
        <v>1000000</v>
      </c>
    </row>
    <row r="1930" spans="5:10" ht="28.5" x14ac:dyDescent="0.25">
      <c r="E1930" s="489"/>
      <c r="F1930" s="500"/>
      <c r="G1930" s="270" t="s">
        <v>4187</v>
      </c>
      <c r="H1930" s="563"/>
      <c r="I1930" s="584"/>
      <c r="J1930" s="564"/>
    </row>
    <row r="1931" spans="5:10" ht="15.75" thickBot="1" x14ac:dyDescent="0.3">
      <c r="E1931" s="693"/>
      <c r="F1931" s="597" t="s">
        <v>234</v>
      </c>
      <c r="G1931" s="598" t="s">
        <v>235</v>
      </c>
      <c r="H1931" s="559">
        <f>SUM(H1909:H1911)</f>
        <v>1000000</v>
      </c>
      <c r="I1931" s="560"/>
      <c r="J1931" s="560">
        <f>SUM(H1931:I1931)</f>
        <v>1000000</v>
      </c>
    </row>
    <row r="1932" spans="5:10" hidden="1" x14ac:dyDescent="0.25">
      <c r="F1932" s="597" t="s">
        <v>236</v>
      </c>
      <c r="G1932" s="598" t="s">
        <v>237</v>
      </c>
      <c r="J1932" s="560">
        <f t="shared" ref="J1932:J1946" si="69">SUM(H1932:I1932)</f>
        <v>0</v>
      </c>
    </row>
    <row r="1933" spans="5:10" hidden="1" x14ac:dyDescent="0.25">
      <c r="F1933" s="597" t="s">
        <v>238</v>
      </c>
      <c r="G1933" s="598" t="s">
        <v>239</v>
      </c>
      <c r="J1933" s="560">
        <f t="shared" si="69"/>
        <v>0</v>
      </c>
    </row>
    <row r="1934" spans="5:10" hidden="1" x14ac:dyDescent="0.25">
      <c r="F1934" s="597" t="s">
        <v>240</v>
      </c>
      <c r="G1934" s="598" t="s">
        <v>241</v>
      </c>
      <c r="J1934" s="560">
        <f t="shared" si="69"/>
        <v>0</v>
      </c>
    </row>
    <row r="1935" spans="5:10" hidden="1" x14ac:dyDescent="0.25">
      <c r="F1935" s="597" t="s">
        <v>242</v>
      </c>
      <c r="G1935" s="598" t="s">
        <v>243</v>
      </c>
      <c r="J1935" s="560">
        <f t="shared" si="69"/>
        <v>0</v>
      </c>
    </row>
    <row r="1936" spans="5:10" hidden="1" x14ac:dyDescent="0.25">
      <c r="F1936" s="597" t="s">
        <v>244</v>
      </c>
      <c r="G1936" s="598" t="s">
        <v>245</v>
      </c>
      <c r="J1936" s="560">
        <f t="shared" si="69"/>
        <v>0</v>
      </c>
    </row>
    <row r="1937" spans="3:10" hidden="1" x14ac:dyDescent="0.25">
      <c r="F1937" s="597" t="s">
        <v>246</v>
      </c>
      <c r="G1937" s="598" t="s">
        <v>4996</v>
      </c>
      <c r="J1937" s="560">
        <f t="shared" si="69"/>
        <v>0</v>
      </c>
    </row>
    <row r="1938" spans="3:10" hidden="1" x14ac:dyDescent="0.25">
      <c r="F1938" s="597" t="s">
        <v>247</v>
      </c>
      <c r="G1938" s="598" t="s">
        <v>4995</v>
      </c>
      <c r="J1938" s="560">
        <f t="shared" si="69"/>
        <v>0</v>
      </c>
    </row>
    <row r="1939" spans="3:10" hidden="1" x14ac:dyDescent="0.25">
      <c r="F1939" s="597" t="s">
        <v>248</v>
      </c>
      <c r="G1939" s="598" t="s">
        <v>57</v>
      </c>
      <c r="J1939" s="560">
        <f t="shared" si="69"/>
        <v>0</v>
      </c>
    </row>
    <row r="1940" spans="3:10" hidden="1" x14ac:dyDescent="0.25">
      <c r="F1940" s="597" t="s">
        <v>249</v>
      </c>
      <c r="G1940" s="598" t="s">
        <v>250</v>
      </c>
      <c r="J1940" s="560">
        <f t="shared" si="69"/>
        <v>0</v>
      </c>
    </row>
    <row r="1941" spans="3:10" hidden="1" x14ac:dyDescent="0.25">
      <c r="F1941" s="597" t="s">
        <v>251</v>
      </c>
      <c r="G1941" s="598" t="s">
        <v>252</v>
      </c>
      <c r="J1941" s="560">
        <f t="shared" si="69"/>
        <v>0</v>
      </c>
    </row>
    <row r="1942" spans="3:10" ht="30" hidden="1" x14ac:dyDescent="0.25">
      <c r="F1942" s="597" t="s">
        <v>253</v>
      </c>
      <c r="G1942" s="598" t="s">
        <v>254</v>
      </c>
      <c r="J1942" s="560">
        <f t="shared" si="69"/>
        <v>0</v>
      </c>
    </row>
    <row r="1943" spans="3:10" hidden="1" x14ac:dyDescent="0.25">
      <c r="F1943" s="597" t="s">
        <v>255</v>
      </c>
      <c r="G1943" s="598" t="s">
        <v>256</v>
      </c>
      <c r="J1943" s="560">
        <f t="shared" si="69"/>
        <v>0</v>
      </c>
    </row>
    <row r="1944" spans="3:10" ht="30" hidden="1" x14ac:dyDescent="0.25">
      <c r="F1944" s="597" t="s">
        <v>257</v>
      </c>
      <c r="G1944" s="598" t="s">
        <v>258</v>
      </c>
      <c r="J1944" s="560">
        <f t="shared" si="69"/>
        <v>0</v>
      </c>
    </row>
    <row r="1945" spans="3:10" hidden="1" x14ac:dyDescent="0.25">
      <c r="F1945" s="597" t="s">
        <v>259</v>
      </c>
      <c r="G1945" s="598" t="s">
        <v>260</v>
      </c>
      <c r="J1945" s="560">
        <f t="shared" si="69"/>
        <v>0</v>
      </c>
    </row>
    <row r="1946" spans="3:10" ht="15.75" hidden="1" thickBot="1" x14ac:dyDescent="0.3">
      <c r="F1946" s="597" t="s">
        <v>261</v>
      </c>
      <c r="G1946" s="598" t="s">
        <v>262</v>
      </c>
      <c r="H1946" s="559"/>
      <c r="I1946" s="560"/>
      <c r="J1946" s="560">
        <f t="shared" si="69"/>
        <v>0</v>
      </c>
    </row>
    <row r="1947" spans="3:10" ht="15.75" thickBot="1" x14ac:dyDescent="0.3">
      <c r="G1947" s="268" t="s">
        <v>5028</v>
      </c>
      <c r="H1947" s="561">
        <f>SUM(H1931:H1946)</f>
        <v>1000000</v>
      </c>
      <c r="I1947" s="562">
        <f>SUM(I1932:I1946)</f>
        <v>0</v>
      </c>
      <c r="J1947" s="562">
        <f>SUM(J1931:J1946)</f>
        <v>1000000</v>
      </c>
    </row>
    <row r="1948" spans="3:10" x14ac:dyDescent="0.25">
      <c r="C1948" s="267" t="s">
        <v>4098</v>
      </c>
      <c r="D1948" s="259"/>
      <c r="G1948" s="490" t="s">
        <v>5027</v>
      </c>
    </row>
    <row r="1949" spans="3:10" x14ac:dyDescent="0.25">
      <c r="C1949" s="267"/>
      <c r="D1949" s="331">
        <v>133</v>
      </c>
      <c r="E1949" s="869"/>
      <c r="F1949" s="331"/>
      <c r="G1949" s="332" t="s">
        <v>115</v>
      </c>
    </row>
    <row r="1950" spans="3:10" hidden="1" x14ac:dyDescent="0.25">
      <c r="F1950" s="499">
        <v>411</v>
      </c>
      <c r="G1950" s="492" t="s">
        <v>4131</v>
      </c>
      <c r="J1950" s="556">
        <f>SUM(H1950:I1950)</f>
        <v>0</v>
      </c>
    </row>
    <row r="1951" spans="3:10" hidden="1" x14ac:dyDescent="0.25">
      <c r="F1951" s="499">
        <v>412</v>
      </c>
      <c r="G1951" s="488" t="s">
        <v>3766</v>
      </c>
      <c r="J1951" s="556">
        <f t="shared" ref="J1951:J2009" si="70">SUM(H1951:I1951)</f>
        <v>0</v>
      </c>
    </row>
    <row r="1952" spans="3:10" hidden="1" x14ac:dyDescent="0.25">
      <c r="F1952" s="499">
        <v>413</v>
      </c>
      <c r="G1952" s="492" t="s">
        <v>4132</v>
      </c>
      <c r="J1952" s="556">
        <f t="shared" si="70"/>
        <v>0</v>
      </c>
    </row>
    <row r="1953" spans="6:10" hidden="1" x14ac:dyDescent="0.25">
      <c r="F1953" s="499">
        <v>414</v>
      </c>
      <c r="G1953" s="492" t="s">
        <v>3769</v>
      </c>
      <c r="J1953" s="556">
        <f t="shared" si="70"/>
        <v>0</v>
      </c>
    </row>
    <row r="1954" spans="6:10" hidden="1" x14ac:dyDescent="0.25">
      <c r="F1954" s="499">
        <v>415</v>
      </c>
      <c r="G1954" s="492" t="s">
        <v>4141</v>
      </c>
      <c r="J1954" s="556">
        <f t="shared" si="70"/>
        <v>0</v>
      </c>
    </row>
    <row r="1955" spans="6:10" hidden="1" x14ac:dyDescent="0.25">
      <c r="F1955" s="499">
        <v>416</v>
      </c>
      <c r="G1955" s="492" t="s">
        <v>4142</v>
      </c>
      <c r="J1955" s="556">
        <f t="shared" si="70"/>
        <v>0</v>
      </c>
    </row>
    <row r="1956" spans="6:10" hidden="1" x14ac:dyDescent="0.25">
      <c r="F1956" s="499">
        <v>417</v>
      </c>
      <c r="G1956" s="492" t="s">
        <v>4143</v>
      </c>
      <c r="J1956" s="556">
        <f t="shared" si="70"/>
        <v>0</v>
      </c>
    </row>
    <row r="1957" spans="6:10" hidden="1" x14ac:dyDescent="0.25">
      <c r="F1957" s="499">
        <v>418</v>
      </c>
      <c r="G1957" s="492" t="s">
        <v>3775</v>
      </c>
      <c r="J1957" s="556">
        <f t="shared" si="70"/>
        <v>0</v>
      </c>
    </row>
    <row r="1958" spans="6:10" hidden="1" x14ac:dyDescent="0.25">
      <c r="F1958" s="499">
        <v>421</v>
      </c>
      <c r="G1958" s="492" t="s">
        <v>3779</v>
      </c>
      <c r="J1958" s="556">
        <f t="shared" si="70"/>
        <v>0</v>
      </c>
    </row>
    <row r="1959" spans="6:10" hidden="1" x14ac:dyDescent="0.25">
      <c r="F1959" s="499">
        <v>422</v>
      </c>
      <c r="G1959" s="492" t="s">
        <v>3780</v>
      </c>
      <c r="J1959" s="556">
        <f t="shared" si="70"/>
        <v>0</v>
      </c>
    </row>
    <row r="1960" spans="6:10" hidden="1" x14ac:dyDescent="0.25">
      <c r="F1960" s="499">
        <v>423</v>
      </c>
      <c r="G1960" s="492" t="s">
        <v>3781</v>
      </c>
      <c r="H1960" s="555">
        <v>0</v>
      </c>
      <c r="J1960" s="556">
        <f t="shared" si="70"/>
        <v>0</v>
      </c>
    </row>
    <row r="1961" spans="6:10" hidden="1" x14ac:dyDescent="0.25">
      <c r="F1961" s="499">
        <v>424</v>
      </c>
      <c r="G1961" s="492" t="s">
        <v>3783</v>
      </c>
      <c r="J1961" s="556">
        <f t="shared" si="70"/>
        <v>0</v>
      </c>
    </row>
    <row r="1962" spans="6:10" hidden="1" x14ac:dyDescent="0.25">
      <c r="F1962" s="499">
        <v>425</v>
      </c>
      <c r="G1962" s="492" t="s">
        <v>4144</v>
      </c>
      <c r="J1962" s="556">
        <f t="shared" si="70"/>
        <v>0</v>
      </c>
    </row>
    <row r="1963" spans="6:10" hidden="1" x14ac:dyDescent="0.25">
      <c r="F1963" s="499">
        <v>426</v>
      </c>
      <c r="G1963" s="492" t="s">
        <v>3787</v>
      </c>
      <c r="J1963" s="556">
        <f t="shared" si="70"/>
        <v>0</v>
      </c>
    </row>
    <row r="1964" spans="6:10" hidden="1" x14ac:dyDescent="0.25">
      <c r="F1964" s="499">
        <v>431</v>
      </c>
      <c r="G1964" s="492" t="s">
        <v>4145</v>
      </c>
      <c r="J1964" s="556">
        <f t="shared" si="70"/>
        <v>0</v>
      </c>
    </row>
    <row r="1965" spans="6:10" hidden="1" x14ac:dyDescent="0.25">
      <c r="F1965" s="499">
        <v>432</v>
      </c>
      <c r="G1965" s="492" t="s">
        <v>4146</v>
      </c>
      <c r="J1965" s="556">
        <f t="shared" si="70"/>
        <v>0</v>
      </c>
    </row>
    <row r="1966" spans="6:10" hidden="1" x14ac:dyDescent="0.25">
      <c r="F1966" s="499">
        <v>433</v>
      </c>
      <c r="G1966" s="492" t="s">
        <v>4147</v>
      </c>
      <c r="J1966" s="556">
        <f t="shared" si="70"/>
        <v>0</v>
      </c>
    </row>
    <row r="1967" spans="6:10" hidden="1" x14ac:dyDescent="0.25">
      <c r="F1967" s="499">
        <v>434</v>
      </c>
      <c r="G1967" s="492" t="s">
        <v>4148</v>
      </c>
      <c r="J1967" s="556">
        <f t="shared" si="70"/>
        <v>0</v>
      </c>
    </row>
    <row r="1968" spans="6:10" hidden="1" x14ac:dyDescent="0.25">
      <c r="F1968" s="499">
        <v>435</v>
      </c>
      <c r="G1968" s="492" t="s">
        <v>3794</v>
      </c>
      <c r="J1968" s="556">
        <f t="shared" si="70"/>
        <v>0</v>
      </c>
    </row>
    <row r="1969" spans="5:10" hidden="1" x14ac:dyDescent="0.25">
      <c r="F1969" s="499">
        <v>441</v>
      </c>
      <c r="G1969" s="492" t="s">
        <v>4149</v>
      </c>
      <c r="J1969" s="556">
        <f t="shared" si="70"/>
        <v>0</v>
      </c>
    </row>
    <row r="1970" spans="5:10" hidden="1" x14ac:dyDescent="0.25">
      <c r="F1970" s="499">
        <v>442</v>
      </c>
      <c r="G1970" s="492" t="s">
        <v>4150</v>
      </c>
      <c r="J1970" s="556">
        <f t="shared" si="70"/>
        <v>0</v>
      </c>
    </row>
    <row r="1971" spans="5:10" hidden="1" x14ac:dyDescent="0.25">
      <c r="F1971" s="499">
        <v>443</v>
      </c>
      <c r="G1971" s="492" t="s">
        <v>3799</v>
      </c>
      <c r="J1971" s="556">
        <f t="shared" si="70"/>
        <v>0</v>
      </c>
    </row>
    <row r="1972" spans="5:10" hidden="1" x14ac:dyDescent="0.25">
      <c r="F1972" s="499">
        <v>444</v>
      </c>
      <c r="G1972" s="492" t="s">
        <v>3800</v>
      </c>
      <c r="J1972" s="556">
        <f t="shared" si="70"/>
        <v>0</v>
      </c>
    </row>
    <row r="1973" spans="5:10" ht="30" hidden="1" x14ac:dyDescent="0.25">
      <c r="F1973" s="499">
        <v>4511</v>
      </c>
      <c r="G1973" s="756" t="s">
        <v>1690</v>
      </c>
      <c r="J1973" s="556">
        <f t="shared" si="70"/>
        <v>0</v>
      </c>
    </row>
    <row r="1974" spans="5:10" ht="30" hidden="1" x14ac:dyDescent="0.25">
      <c r="F1974" s="499">
        <v>4512</v>
      </c>
      <c r="G1974" s="756" t="s">
        <v>1699</v>
      </c>
      <c r="J1974" s="556">
        <f t="shared" si="70"/>
        <v>0</v>
      </c>
    </row>
    <row r="1975" spans="5:10" hidden="1" x14ac:dyDescent="0.25">
      <c r="F1975" s="499">
        <v>452</v>
      </c>
      <c r="G1975" s="492" t="s">
        <v>4151</v>
      </c>
      <c r="J1975" s="556">
        <f t="shared" si="70"/>
        <v>0</v>
      </c>
    </row>
    <row r="1976" spans="5:10" hidden="1" x14ac:dyDescent="0.25">
      <c r="F1976" s="499">
        <v>453</v>
      </c>
      <c r="G1976" s="492" t="s">
        <v>4152</v>
      </c>
      <c r="J1976" s="556">
        <f t="shared" si="70"/>
        <v>0</v>
      </c>
    </row>
    <row r="1977" spans="5:10" hidden="1" x14ac:dyDescent="0.25">
      <c r="F1977" s="499">
        <v>454</v>
      </c>
      <c r="G1977" s="492" t="s">
        <v>3805</v>
      </c>
      <c r="J1977" s="556">
        <f t="shared" si="70"/>
        <v>0</v>
      </c>
    </row>
    <row r="1978" spans="5:10" hidden="1" x14ac:dyDescent="0.25">
      <c r="F1978" s="499">
        <v>461</v>
      </c>
      <c r="G1978" s="492" t="s">
        <v>4133</v>
      </c>
      <c r="J1978" s="556">
        <f t="shared" si="70"/>
        <v>0</v>
      </c>
    </row>
    <row r="1979" spans="5:10" hidden="1" x14ac:dyDescent="0.25">
      <c r="F1979" s="499">
        <v>462</v>
      </c>
      <c r="G1979" s="492" t="s">
        <v>3808</v>
      </c>
      <c r="J1979" s="556">
        <f t="shared" si="70"/>
        <v>0</v>
      </c>
    </row>
    <row r="1980" spans="5:10" hidden="1" x14ac:dyDescent="0.25">
      <c r="E1980" s="679">
        <v>77</v>
      </c>
      <c r="F1980" s="499">
        <v>4631</v>
      </c>
      <c r="G1980" s="492" t="s">
        <v>3809</v>
      </c>
      <c r="H1980" s="555">
        <v>0</v>
      </c>
      <c r="J1980" s="556">
        <f t="shared" si="70"/>
        <v>0</v>
      </c>
    </row>
    <row r="1981" spans="5:10" hidden="1" x14ac:dyDescent="0.25">
      <c r="E1981" s="679">
        <v>78</v>
      </c>
      <c r="F1981" s="499">
        <v>4632</v>
      </c>
      <c r="G1981" s="492" t="s">
        <v>3810</v>
      </c>
      <c r="J1981" s="556">
        <f t="shared" si="70"/>
        <v>0</v>
      </c>
    </row>
    <row r="1982" spans="5:10" hidden="1" x14ac:dyDescent="0.25">
      <c r="F1982" s="499">
        <v>464</v>
      </c>
      <c r="G1982" s="492" t="s">
        <v>3811</v>
      </c>
      <c r="J1982" s="556">
        <f t="shared" si="70"/>
        <v>0</v>
      </c>
    </row>
    <row r="1983" spans="5:10" hidden="1" x14ac:dyDescent="0.25">
      <c r="F1983" s="499">
        <v>465</v>
      </c>
      <c r="G1983" s="492" t="s">
        <v>4134</v>
      </c>
      <c r="J1983" s="556">
        <f t="shared" si="70"/>
        <v>0</v>
      </c>
    </row>
    <row r="1984" spans="5:10" hidden="1" x14ac:dyDescent="0.25">
      <c r="F1984" s="499">
        <v>472</v>
      </c>
      <c r="G1984" s="492" t="s">
        <v>3815</v>
      </c>
      <c r="J1984" s="556">
        <f t="shared" si="70"/>
        <v>0</v>
      </c>
    </row>
    <row r="1985" spans="5:10" ht="15.75" thickBot="1" x14ac:dyDescent="0.3">
      <c r="E1985" s="679">
        <v>74</v>
      </c>
      <c r="F1985" s="499">
        <v>481</v>
      </c>
      <c r="G1985" s="492" t="s">
        <v>4153</v>
      </c>
      <c r="H1985" s="555">
        <v>2425000</v>
      </c>
      <c r="J1985" s="556">
        <f t="shared" si="70"/>
        <v>2425000</v>
      </c>
    </row>
    <row r="1986" spans="5:10" hidden="1" x14ac:dyDescent="0.25">
      <c r="F1986" s="499">
        <v>482</v>
      </c>
      <c r="G1986" s="492" t="s">
        <v>4154</v>
      </c>
      <c r="J1986" s="556">
        <f t="shared" si="70"/>
        <v>0</v>
      </c>
    </row>
    <row r="1987" spans="5:10" hidden="1" x14ac:dyDescent="0.25">
      <c r="F1987" s="499">
        <v>483</v>
      </c>
      <c r="G1987" s="496" t="s">
        <v>4155</v>
      </c>
      <c r="J1987" s="556">
        <f t="shared" si="70"/>
        <v>0</v>
      </c>
    </row>
    <row r="1988" spans="5:10" ht="30" hidden="1" x14ac:dyDescent="0.25">
      <c r="F1988" s="499">
        <v>484</v>
      </c>
      <c r="G1988" s="492" t="s">
        <v>4156</v>
      </c>
      <c r="J1988" s="556">
        <f t="shared" si="70"/>
        <v>0</v>
      </c>
    </row>
    <row r="1989" spans="5:10" ht="30" hidden="1" x14ac:dyDescent="0.25">
      <c r="F1989" s="499">
        <v>485</v>
      </c>
      <c r="G1989" s="492" t="s">
        <v>4157</v>
      </c>
      <c r="J1989" s="556">
        <f t="shared" si="70"/>
        <v>0</v>
      </c>
    </row>
    <row r="1990" spans="5:10" ht="30" hidden="1" x14ac:dyDescent="0.25">
      <c r="F1990" s="499">
        <v>489</v>
      </c>
      <c r="G1990" s="492" t="s">
        <v>3823</v>
      </c>
      <c r="J1990" s="556">
        <f t="shared" si="70"/>
        <v>0</v>
      </c>
    </row>
    <row r="1991" spans="5:10" hidden="1" x14ac:dyDescent="0.25">
      <c r="F1991" s="499">
        <v>494</v>
      </c>
      <c r="G1991" s="492" t="s">
        <v>4135</v>
      </c>
      <c r="J1991" s="556">
        <f t="shared" si="70"/>
        <v>0</v>
      </c>
    </row>
    <row r="1992" spans="5:10" ht="30" hidden="1" x14ac:dyDescent="0.25">
      <c r="F1992" s="499">
        <v>495</v>
      </c>
      <c r="G1992" s="492" t="s">
        <v>4136</v>
      </c>
      <c r="J1992" s="556">
        <f t="shared" si="70"/>
        <v>0</v>
      </c>
    </row>
    <row r="1993" spans="5:10" ht="30" hidden="1" x14ac:dyDescent="0.25">
      <c r="F1993" s="499">
        <v>496</v>
      </c>
      <c r="G1993" s="492" t="s">
        <v>4137</v>
      </c>
      <c r="J1993" s="556">
        <f t="shared" si="70"/>
        <v>0</v>
      </c>
    </row>
    <row r="1994" spans="5:10" ht="30" hidden="1" x14ac:dyDescent="0.25">
      <c r="F1994" s="499">
        <v>499</v>
      </c>
      <c r="G1994" s="492" t="s">
        <v>4138</v>
      </c>
      <c r="J1994" s="556">
        <f t="shared" si="70"/>
        <v>0</v>
      </c>
    </row>
    <row r="1995" spans="5:10" hidden="1" x14ac:dyDescent="0.25">
      <c r="F1995" s="499">
        <v>511</v>
      </c>
      <c r="G1995" s="496" t="s">
        <v>4158</v>
      </c>
      <c r="J1995" s="556">
        <f t="shared" si="70"/>
        <v>0</v>
      </c>
    </row>
    <row r="1996" spans="5:10" hidden="1" x14ac:dyDescent="0.25">
      <c r="F1996" s="499">
        <v>512</v>
      </c>
      <c r="G1996" s="496" t="s">
        <v>4159</v>
      </c>
      <c r="J1996" s="556">
        <f t="shared" si="70"/>
        <v>0</v>
      </c>
    </row>
    <row r="1997" spans="5:10" hidden="1" x14ac:dyDescent="0.25">
      <c r="F1997" s="499">
        <v>513</v>
      </c>
      <c r="G1997" s="496" t="s">
        <v>4160</v>
      </c>
      <c r="J1997" s="556">
        <f t="shared" si="70"/>
        <v>0</v>
      </c>
    </row>
    <row r="1998" spans="5:10" hidden="1" x14ac:dyDescent="0.25">
      <c r="F1998" s="499">
        <v>514</v>
      </c>
      <c r="G1998" s="492" t="s">
        <v>4161</v>
      </c>
      <c r="J1998" s="556">
        <f t="shared" si="70"/>
        <v>0</v>
      </c>
    </row>
    <row r="1999" spans="5:10" hidden="1" x14ac:dyDescent="0.25">
      <c r="F1999" s="499">
        <v>515</v>
      </c>
      <c r="G1999" s="492" t="s">
        <v>3834</v>
      </c>
      <c r="J1999" s="556">
        <f t="shared" si="70"/>
        <v>0</v>
      </c>
    </row>
    <row r="2000" spans="5:10" hidden="1" x14ac:dyDescent="0.25">
      <c r="F2000" s="499">
        <v>521</v>
      </c>
      <c r="G2000" s="492" t="s">
        <v>4162</v>
      </c>
      <c r="J2000" s="556">
        <f t="shared" si="70"/>
        <v>0</v>
      </c>
    </row>
    <row r="2001" spans="5:10" hidden="1" x14ac:dyDescent="0.25">
      <c r="F2001" s="499">
        <v>522</v>
      </c>
      <c r="G2001" s="492" t="s">
        <v>4163</v>
      </c>
      <c r="J2001" s="556">
        <f t="shared" si="70"/>
        <v>0</v>
      </c>
    </row>
    <row r="2002" spans="5:10" hidden="1" x14ac:dyDescent="0.25">
      <c r="F2002" s="499">
        <v>523</v>
      </c>
      <c r="G2002" s="492" t="s">
        <v>3839</v>
      </c>
      <c r="J2002" s="556">
        <f t="shared" si="70"/>
        <v>0</v>
      </c>
    </row>
    <row r="2003" spans="5:10" hidden="1" x14ac:dyDescent="0.25">
      <c r="F2003" s="499">
        <v>531</v>
      </c>
      <c r="G2003" s="488" t="s">
        <v>4139</v>
      </c>
      <c r="J2003" s="556">
        <f t="shared" si="70"/>
        <v>0</v>
      </c>
    </row>
    <row r="2004" spans="5:10" hidden="1" x14ac:dyDescent="0.25">
      <c r="F2004" s="499">
        <v>541</v>
      </c>
      <c r="G2004" s="492" t="s">
        <v>4164</v>
      </c>
      <c r="J2004" s="556">
        <f t="shared" si="70"/>
        <v>0</v>
      </c>
    </row>
    <row r="2005" spans="5:10" hidden="1" x14ac:dyDescent="0.25">
      <c r="F2005" s="499">
        <v>542</v>
      </c>
      <c r="G2005" s="492" t="s">
        <v>4165</v>
      </c>
      <c r="J2005" s="556">
        <f t="shared" si="70"/>
        <v>0</v>
      </c>
    </row>
    <row r="2006" spans="5:10" hidden="1" x14ac:dyDescent="0.25">
      <c r="F2006" s="499">
        <v>543</v>
      </c>
      <c r="G2006" s="492" t="s">
        <v>3844</v>
      </c>
      <c r="J2006" s="556">
        <f t="shared" si="70"/>
        <v>0</v>
      </c>
    </row>
    <row r="2007" spans="5:10" ht="30" hidden="1" x14ac:dyDescent="0.25">
      <c r="F2007" s="499">
        <v>551</v>
      </c>
      <c r="G2007" s="492" t="s">
        <v>4140</v>
      </c>
      <c r="J2007" s="556">
        <f t="shared" si="70"/>
        <v>0</v>
      </c>
    </row>
    <row r="2008" spans="5:10" hidden="1" x14ac:dyDescent="0.25">
      <c r="F2008" s="500">
        <v>611</v>
      </c>
      <c r="G2008" s="498" t="s">
        <v>3850</v>
      </c>
      <c r="J2008" s="556">
        <f t="shared" si="70"/>
        <v>0</v>
      </c>
    </row>
    <row r="2009" spans="5:10" ht="15.75" hidden="1" thickBot="1" x14ac:dyDescent="0.3">
      <c r="F2009" s="500">
        <v>620</v>
      </c>
      <c r="G2009" s="498" t="s">
        <v>88</v>
      </c>
      <c r="J2009" s="556">
        <f t="shared" si="70"/>
        <v>0</v>
      </c>
    </row>
    <row r="2010" spans="5:10" x14ac:dyDescent="0.25">
      <c r="E2010" s="489"/>
      <c r="F2010" s="500"/>
      <c r="G2010" s="343" t="s">
        <v>5244</v>
      </c>
      <c r="H2010" s="557"/>
      <c r="I2010" s="583"/>
      <c r="J2010" s="558"/>
    </row>
    <row r="2011" spans="5:10" ht="15.75" thickBot="1" x14ac:dyDescent="0.3">
      <c r="E2011" s="693"/>
      <c r="F2011" s="597" t="s">
        <v>234</v>
      </c>
      <c r="G2011" s="598" t="s">
        <v>235</v>
      </c>
      <c r="H2011" s="559">
        <f>SUM(H1985)</f>
        <v>2425000</v>
      </c>
      <c r="I2011" s="560"/>
      <c r="J2011" s="560">
        <f t="shared" ref="J2011:J2026" si="71">SUM(H2011:I2011)</f>
        <v>2425000</v>
      </c>
    </row>
    <row r="2012" spans="5:10" hidden="1" x14ac:dyDescent="0.25">
      <c r="F2012" s="597" t="s">
        <v>236</v>
      </c>
      <c r="G2012" s="598" t="s">
        <v>237</v>
      </c>
      <c r="J2012" s="560">
        <f t="shared" si="71"/>
        <v>0</v>
      </c>
    </row>
    <row r="2013" spans="5:10" hidden="1" x14ac:dyDescent="0.25">
      <c r="F2013" s="597" t="s">
        <v>238</v>
      </c>
      <c r="G2013" s="598" t="s">
        <v>239</v>
      </c>
      <c r="J2013" s="560">
        <f t="shared" si="71"/>
        <v>0</v>
      </c>
    </row>
    <row r="2014" spans="5:10" hidden="1" x14ac:dyDescent="0.25">
      <c r="F2014" s="597" t="s">
        <v>240</v>
      </c>
      <c r="G2014" s="598" t="s">
        <v>241</v>
      </c>
      <c r="J2014" s="560">
        <f t="shared" si="71"/>
        <v>0</v>
      </c>
    </row>
    <row r="2015" spans="5:10" hidden="1" x14ac:dyDescent="0.25">
      <c r="F2015" s="597" t="s">
        <v>242</v>
      </c>
      <c r="G2015" s="598" t="s">
        <v>243</v>
      </c>
      <c r="J2015" s="560">
        <f t="shared" si="71"/>
        <v>0</v>
      </c>
    </row>
    <row r="2016" spans="5:10" hidden="1" x14ac:dyDescent="0.25">
      <c r="F2016" s="597" t="s">
        <v>244</v>
      </c>
      <c r="G2016" s="598" t="s">
        <v>245</v>
      </c>
      <c r="J2016" s="560">
        <f t="shared" si="71"/>
        <v>0</v>
      </c>
    </row>
    <row r="2017" spans="5:10" hidden="1" x14ac:dyDescent="0.25">
      <c r="F2017" s="597" t="s">
        <v>246</v>
      </c>
      <c r="G2017" s="598" t="s">
        <v>4996</v>
      </c>
      <c r="J2017" s="560">
        <f t="shared" si="71"/>
        <v>0</v>
      </c>
    </row>
    <row r="2018" spans="5:10" hidden="1" x14ac:dyDescent="0.25">
      <c r="F2018" s="597" t="s">
        <v>247</v>
      </c>
      <c r="G2018" s="598" t="s">
        <v>4995</v>
      </c>
      <c r="J2018" s="560">
        <f t="shared" si="71"/>
        <v>0</v>
      </c>
    </row>
    <row r="2019" spans="5:10" hidden="1" x14ac:dyDescent="0.25">
      <c r="F2019" s="597" t="s">
        <v>248</v>
      </c>
      <c r="G2019" s="598" t="s">
        <v>57</v>
      </c>
      <c r="J2019" s="560">
        <f t="shared" si="71"/>
        <v>0</v>
      </c>
    </row>
    <row r="2020" spans="5:10" hidden="1" x14ac:dyDescent="0.25">
      <c r="F2020" s="597" t="s">
        <v>249</v>
      </c>
      <c r="G2020" s="598" t="s">
        <v>250</v>
      </c>
      <c r="J2020" s="560">
        <f t="shared" si="71"/>
        <v>0</v>
      </c>
    </row>
    <row r="2021" spans="5:10" hidden="1" x14ac:dyDescent="0.25">
      <c r="F2021" s="597" t="s">
        <v>251</v>
      </c>
      <c r="G2021" s="598" t="s">
        <v>252</v>
      </c>
      <c r="J2021" s="560">
        <f t="shared" si="71"/>
        <v>0</v>
      </c>
    </row>
    <row r="2022" spans="5:10" ht="30" hidden="1" x14ac:dyDescent="0.25">
      <c r="F2022" s="597" t="s">
        <v>253</v>
      </c>
      <c r="G2022" s="598" t="s">
        <v>254</v>
      </c>
      <c r="J2022" s="560">
        <f t="shared" si="71"/>
        <v>0</v>
      </c>
    </row>
    <row r="2023" spans="5:10" hidden="1" x14ac:dyDescent="0.25">
      <c r="F2023" s="597" t="s">
        <v>255</v>
      </c>
      <c r="G2023" s="598" t="s">
        <v>256</v>
      </c>
      <c r="J2023" s="560">
        <f t="shared" si="71"/>
        <v>0</v>
      </c>
    </row>
    <row r="2024" spans="5:10" ht="30" hidden="1" x14ac:dyDescent="0.25">
      <c r="F2024" s="597" t="s">
        <v>257</v>
      </c>
      <c r="G2024" s="598" t="s">
        <v>258</v>
      </c>
      <c r="J2024" s="560">
        <f t="shared" si="71"/>
        <v>0</v>
      </c>
    </row>
    <row r="2025" spans="5:10" hidden="1" x14ac:dyDescent="0.25">
      <c r="F2025" s="597" t="s">
        <v>259</v>
      </c>
      <c r="G2025" s="598" t="s">
        <v>260</v>
      </c>
      <c r="J2025" s="560">
        <f t="shared" si="71"/>
        <v>0</v>
      </c>
    </row>
    <row r="2026" spans="5:10" ht="15.75" hidden="1" thickBot="1" x14ac:dyDescent="0.3">
      <c r="F2026" s="597" t="s">
        <v>261</v>
      </c>
      <c r="G2026" s="598" t="s">
        <v>262</v>
      </c>
      <c r="H2026" s="559"/>
      <c r="I2026" s="560"/>
      <c r="J2026" s="560">
        <f t="shared" si="71"/>
        <v>0</v>
      </c>
    </row>
    <row r="2027" spans="5:10" ht="15.75" thickBot="1" x14ac:dyDescent="0.3">
      <c r="G2027" s="268" t="s">
        <v>5245</v>
      </c>
      <c r="H2027" s="561">
        <f>SUM(H2011)</f>
        <v>2425000</v>
      </c>
      <c r="I2027" s="562">
        <f>SUM(I2012:I2026)</f>
        <v>0</v>
      </c>
      <c r="J2027" s="562">
        <f>SUM(J2011:J2026)</f>
        <v>2425000</v>
      </c>
    </row>
    <row r="2028" spans="5:10" ht="28.5" x14ac:dyDescent="0.25">
      <c r="E2028" s="489"/>
      <c r="F2028" s="500"/>
      <c r="G2028" s="270" t="s">
        <v>4233</v>
      </c>
      <c r="H2028" s="563"/>
      <c r="I2028" s="584"/>
      <c r="J2028" s="564"/>
    </row>
    <row r="2029" spans="5:10" ht="15.75" thickBot="1" x14ac:dyDescent="0.3">
      <c r="E2029" s="693"/>
      <c r="F2029" s="597" t="s">
        <v>234</v>
      </c>
      <c r="G2029" s="729" t="s">
        <v>235</v>
      </c>
      <c r="H2029" s="559">
        <f>SUM(H1950:H2009)</f>
        <v>2425000</v>
      </c>
      <c r="I2029" s="560"/>
      <c r="J2029" s="560">
        <f>SUM(H2029:I2029)</f>
        <v>2425000</v>
      </c>
    </row>
    <row r="2030" spans="5:10" hidden="1" x14ac:dyDescent="0.25">
      <c r="F2030" s="597" t="s">
        <v>236</v>
      </c>
      <c r="G2030" s="598" t="s">
        <v>237</v>
      </c>
      <c r="J2030" s="560">
        <f t="shared" ref="J2030:J2044" si="72">SUM(H2030:I2030)</f>
        <v>0</v>
      </c>
    </row>
    <row r="2031" spans="5:10" hidden="1" x14ac:dyDescent="0.25">
      <c r="F2031" s="597" t="s">
        <v>238</v>
      </c>
      <c r="G2031" s="598" t="s">
        <v>239</v>
      </c>
      <c r="J2031" s="560">
        <f t="shared" si="72"/>
        <v>0</v>
      </c>
    </row>
    <row r="2032" spans="5:10" hidden="1" x14ac:dyDescent="0.25">
      <c r="F2032" s="597" t="s">
        <v>240</v>
      </c>
      <c r="G2032" s="598" t="s">
        <v>241</v>
      </c>
      <c r="J2032" s="560">
        <f t="shared" si="72"/>
        <v>0</v>
      </c>
    </row>
    <row r="2033" spans="3:10" hidden="1" x14ac:dyDescent="0.25">
      <c r="F2033" s="597" t="s">
        <v>242</v>
      </c>
      <c r="G2033" s="598" t="s">
        <v>243</v>
      </c>
      <c r="J2033" s="560">
        <f t="shared" si="72"/>
        <v>0</v>
      </c>
    </row>
    <row r="2034" spans="3:10" hidden="1" x14ac:dyDescent="0.25">
      <c r="F2034" s="597" t="s">
        <v>244</v>
      </c>
      <c r="G2034" s="598" t="s">
        <v>245</v>
      </c>
      <c r="J2034" s="560">
        <f t="shared" si="72"/>
        <v>0</v>
      </c>
    </row>
    <row r="2035" spans="3:10" hidden="1" x14ac:dyDescent="0.25">
      <c r="F2035" s="597" t="s">
        <v>246</v>
      </c>
      <c r="G2035" s="598" t="s">
        <v>4996</v>
      </c>
      <c r="J2035" s="560">
        <f t="shared" si="72"/>
        <v>0</v>
      </c>
    </row>
    <row r="2036" spans="3:10" hidden="1" x14ac:dyDescent="0.25">
      <c r="F2036" s="597" t="s">
        <v>247</v>
      </c>
      <c r="G2036" s="598" t="s">
        <v>4995</v>
      </c>
      <c r="J2036" s="560">
        <f t="shared" si="72"/>
        <v>0</v>
      </c>
    </row>
    <row r="2037" spans="3:10" hidden="1" x14ac:dyDescent="0.25">
      <c r="F2037" s="597" t="s">
        <v>248</v>
      </c>
      <c r="G2037" s="598" t="s">
        <v>57</v>
      </c>
      <c r="J2037" s="560">
        <f t="shared" si="72"/>
        <v>0</v>
      </c>
    </row>
    <row r="2038" spans="3:10" hidden="1" x14ac:dyDescent="0.25">
      <c r="F2038" s="597" t="s">
        <v>249</v>
      </c>
      <c r="G2038" s="598" t="s">
        <v>250</v>
      </c>
      <c r="J2038" s="560">
        <f t="shared" si="72"/>
        <v>0</v>
      </c>
    </row>
    <row r="2039" spans="3:10" hidden="1" x14ac:dyDescent="0.25">
      <c r="F2039" s="597" t="s">
        <v>251</v>
      </c>
      <c r="G2039" s="598" t="s">
        <v>252</v>
      </c>
      <c r="J2039" s="560">
        <f t="shared" si="72"/>
        <v>0</v>
      </c>
    </row>
    <row r="2040" spans="3:10" ht="30" hidden="1" x14ac:dyDescent="0.25">
      <c r="F2040" s="597" t="s">
        <v>253</v>
      </c>
      <c r="G2040" s="598" t="s">
        <v>254</v>
      </c>
      <c r="J2040" s="560">
        <f t="shared" si="72"/>
        <v>0</v>
      </c>
    </row>
    <row r="2041" spans="3:10" hidden="1" x14ac:dyDescent="0.25">
      <c r="F2041" s="597" t="s">
        <v>255</v>
      </c>
      <c r="G2041" s="598" t="s">
        <v>256</v>
      </c>
      <c r="J2041" s="560">
        <f t="shared" si="72"/>
        <v>0</v>
      </c>
    </row>
    <row r="2042" spans="3:10" ht="30" hidden="1" x14ac:dyDescent="0.25">
      <c r="F2042" s="597" t="s">
        <v>257</v>
      </c>
      <c r="G2042" s="598" t="s">
        <v>258</v>
      </c>
      <c r="J2042" s="560">
        <f t="shared" si="72"/>
        <v>0</v>
      </c>
    </row>
    <row r="2043" spans="3:10" hidden="1" x14ac:dyDescent="0.25">
      <c r="F2043" s="597" t="s">
        <v>259</v>
      </c>
      <c r="G2043" s="598" t="s">
        <v>260</v>
      </c>
      <c r="J2043" s="560">
        <f t="shared" si="72"/>
        <v>0</v>
      </c>
    </row>
    <row r="2044" spans="3:10" ht="15.75" hidden="1" thickBot="1" x14ac:dyDescent="0.3">
      <c r="F2044" s="597" t="s">
        <v>261</v>
      </c>
      <c r="G2044" s="598" t="s">
        <v>262</v>
      </c>
      <c r="H2044" s="559"/>
      <c r="I2044" s="560"/>
      <c r="J2044" s="560">
        <f t="shared" si="72"/>
        <v>0</v>
      </c>
    </row>
    <row r="2045" spans="3:10" ht="15.75" thickBot="1" x14ac:dyDescent="0.3">
      <c r="G2045" s="268" t="s">
        <v>4232</v>
      </c>
      <c r="H2045" s="561">
        <f>SUM(H2029:H2044)</f>
        <v>2425000</v>
      </c>
      <c r="I2045" s="562">
        <f>SUM(I2030:I2044)</f>
        <v>0</v>
      </c>
      <c r="J2045" s="562">
        <f>SUM(J2029:J2044)</f>
        <v>2425000</v>
      </c>
    </row>
    <row r="2046" spans="3:10" x14ac:dyDescent="0.25">
      <c r="C2046" s="267" t="s">
        <v>5149</v>
      </c>
      <c r="D2046" s="259"/>
      <c r="G2046" s="490" t="s">
        <v>5150</v>
      </c>
    </row>
    <row r="2047" spans="3:10" x14ac:dyDescent="0.25">
      <c r="C2047" s="267"/>
      <c r="D2047" s="331">
        <v>130</v>
      </c>
      <c r="E2047" s="869"/>
      <c r="F2047" s="331"/>
      <c r="G2047" s="332" t="s">
        <v>112</v>
      </c>
    </row>
    <row r="2048" spans="3:10" hidden="1" x14ac:dyDescent="0.25">
      <c r="F2048" s="499">
        <v>411</v>
      </c>
      <c r="G2048" s="492" t="s">
        <v>4131</v>
      </c>
      <c r="J2048" s="556">
        <f>SUM(H2048:I2048)</f>
        <v>0</v>
      </c>
    </row>
    <row r="2049" spans="5:10" hidden="1" x14ac:dyDescent="0.25">
      <c r="F2049" s="499">
        <v>412</v>
      </c>
      <c r="G2049" s="488" t="s">
        <v>3766</v>
      </c>
      <c r="J2049" s="556">
        <f t="shared" ref="J2049:J2107" si="73">SUM(H2049:I2049)</f>
        <v>0</v>
      </c>
    </row>
    <row r="2050" spans="5:10" hidden="1" x14ac:dyDescent="0.25">
      <c r="F2050" s="499">
        <v>413</v>
      </c>
      <c r="G2050" s="492" t="s">
        <v>4132</v>
      </c>
      <c r="J2050" s="556">
        <f t="shared" si="73"/>
        <v>0</v>
      </c>
    </row>
    <row r="2051" spans="5:10" hidden="1" x14ac:dyDescent="0.25">
      <c r="F2051" s="499">
        <v>414</v>
      </c>
      <c r="G2051" s="492" t="s">
        <v>3769</v>
      </c>
      <c r="J2051" s="556">
        <f t="shared" si="73"/>
        <v>0</v>
      </c>
    </row>
    <row r="2052" spans="5:10" hidden="1" x14ac:dyDescent="0.25">
      <c r="F2052" s="499">
        <v>415</v>
      </c>
      <c r="G2052" s="492" t="s">
        <v>4141</v>
      </c>
      <c r="J2052" s="556">
        <f t="shared" si="73"/>
        <v>0</v>
      </c>
    </row>
    <row r="2053" spans="5:10" hidden="1" x14ac:dyDescent="0.25">
      <c r="F2053" s="499">
        <v>416</v>
      </c>
      <c r="G2053" s="492" t="s">
        <v>4142</v>
      </c>
      <c r="J2053" s="556">
        <f t="shared" si="73"/>
        <v>0</v>
      </c>
    </row>
    <row r="2054" spans="5:10" hidden="1" x14ac:dyDescent="0.25">
      <c r="F2054" s="499">
        <v>417</v>
      </c>
      <c r="G2054" s="492" t="s">
        <v>4143</v>
      </c>
      <c r="J2054" s="556">
        <f t="shared" si="73"/>
        <v>0</v>
      </c>
    </row>
    <row r="2055" spans="5:10" hidden="1" x14ac:dyDescent="0.25">
      <c r="F2055" s="499">
        <v>418</v>
      </c>
      <c r="G2055" s="492" t="s">
        <v>3775</v>
      </c>
      <c r="J2055" s="556">
        <f t="shared" si="73"/>
        <v>0</v>
      </c>
    </row>
    <row r="2056" spans="5:10" hidden="1" x14ac:dyDescent="0.25">
      <c r="F2056" s="499">
        <v>421</v>
      </c>
      <c r="G2056" s="492" t="s">
        <v>3779</v>
      </c>
      <c r="J2056" s="556">
        <f t="shared" si="73"/>
        <v>0</v>
      </c>
    </row>
    <row r="2057" spans="5:10" ht="10.5" hidden="1" customHeight="1" x14ac:dyDescent="0.25">
      <c r="F2057" s="499">
        <v>422</v>
      </c>
      <c r="G2057" s="492" t="s">
        <v>3780</v>
      </c>
      <c r="J2057" s="556">
        <f t="shared" si="73"/>
        <v>0</v>
      </c>
    </row>
    <row r="2058" spans="5:10" ht="18.75" customHeight="1" x14ac:dyDescent="0.25">
      <c r="E2058" s="679">
        <v>75</v>
      </c>
      <c r="F2058" s="499">
        <v>423</v>
      </c>
      <c r="G2058" s="492" t="s">
        <v>3781</v>
      </c>
      <c r="H2058" s="555">
        <v>1000000</v>
      </c>
      <c r="J2058" s="556">
        <f t="shared" si="73"/>
        <v>1000000</v>
      </c>
    </row>
    <row r="2059" spans="5:10" hidden="1" x14ac:dyDescent="0.25">
      <c r="F2059" s="499">
        <v>424</v>
      </c>
      <c r="G2059" s="492" t="s">
        <v>3783</v>
      </c>
      <c r="J2059" s="556">
        <f t="shared" si="73"/>
        <v>0</v>
      </c>
    </row>
    <row r="2060" spans="5:10" ht="75" x14ac:dyDescent="0.25">
      <c r="E2060" s="679" t="s">
        <v>5419</v>
      </c>
      <c r="F2060" s="499">
        <v>425</v>
      </c>
      <c r="G2060" s="686" t="s">
        <v>5249</v>
      </c>
      <c r="H2060" s="555">
        <v>4000000</v>
      </c>
      <c r="J2060" s="556">
        <f t="shared" si="73"/>
        <v>4000000</v>
      </c>
    </row>
    <row r="2061" spans="5:10" x14ac:dyDescent="0.25">
      <c r="E2061" s="679">
        <v>78</v>
      </c>
      <c r="F2061" s="499">
        <v>426</v>
      </c>
      <c r="G2061" s="492" t="s">
        <v>3787</v>
      </c>
      <c r="H2061" s="555">
        <v>100000</v>
      </c>
      <c r="J2061" s="556">
        <f t="shared" si="73"/>
        <v>100000</v>
      </c>
    </row>
    <row r="2062" spans="5:10" hidden="1" x14ac:dyDescent="0.25">
      <c r="F2062" s="499">
        <v>431</v>
      </c>
      <c r="G2062" s="492" t="s">
        <v>4145</v>
      </c>
      <c r="J2062" s="556">
        <f t="shared" si="73"/>
        <v>0</v>
      </c>
    </row>
    <row r="2063" spans="5:10" hidden="1" x14ac:dyDescent="0.25">
      <c r="F2063" s="499">
        <v>432</v>
      </c>
      <c r="G2063" s="492" t="s">
        <v>4146</v>
      </c>
      <c r="J2063" s="556">
        <f t="shared" si="73"/>
        <v>0</v>
      </c>
    </row>
    <row r="2064" spans="5:10" hidden="1" x14ac:dyDescent="0.25">
      <c r="F2064" s="499">
        <v>433</v>
      </c>
      <c r="G2064" s="492" t="s">
        <v>4147</v>
      </c>
      <c r="J2064" s="556">
        <f t="shared" si="73"/>
        <v>0</v>
      </c>
    </row>
    <row r="2065" spans="5:10" hidden="1" x14ac:dyDescent="0.25">
      <c r="F2065" s="499">
        <v>434</v>
      </c>
      <c r="G2065" s="492" t="s">
        <v>4148</v>
      </c>
      <c r="J2065" s="556">
        <f t="shared" si="73"/>
        <v>0</v>
      </c>
    </row>
    <row r="2066" spans="5:10" hidden="1" x14ac:dyDescent="0.25">
      <c r="F2066" s="499">
        <v>435</v>
      </c>
      <c r="G2066" s="492" t="s">
        <v>3794</v>
      </c>
      <c r="J2066" s="556">
        <f t="shared" si="73"/>
        <v>0</v>
      </c>
    </row>
    <row r="2067" spans="5:10" hidden="1" x14ac:dyDescent="0.25">
      <c r="F2067" s="499">
        <v>441</v>
      </c>
      <c r="G2067" s="492" t="s">
        <v>4149</v>
      </c>
      <c r="J2067" s="556">
        <f t="shared" si="73"/>
        <v>0</v>
      </c>
    </row>
    <row r="2068" spans="5:10" hidden="1" x14ac:dyDescent="0.25">
      <c r="F2068" s="499">
        <v>442</v>
      </c>
      <c r="G2068" s="492" t="s">
        <v>4150</v>
      </c>
      <c r="J2068" s="556">
        <f t="shared" si="73"/>
        <v>0</v>
      </c>
    </row>
    <row r="2069" spans="5:10" hidden="1" x14ac:dyDescent="0.25">
      <c r="F2069" s="499">
        <v>443</v>
      </c>
      <c r="G2069" s="492" t="s">
        <v>3799</v>
      </c>
      <c r="J2069" s="556">
        <f t="shared" si="73"/>
        <v>0</v>
      </c>
    </row>
    <row r="2070" spans="5:10" hidden="1" x14ac:dyDescent="0.25">
      <c r="F2070" s="499">
        <v>444</v>
      </c>
      <c r="G2070" s="492" t="s">
        <v>3800</v>
      </c>
      <c r="J2070" s="556">
        <f t="shared" si="73"/>
        <v>0</v>
      </c>
    </row>
    <row r="2071" spans="5:10" ht="30" hidden="1" x14ac:dyDescent="0.25">
      <c r="F2071" s="499">
        <v>4511</v>
      </c>
      <c r="G2071" s="756" t="s">
        <v>1690</v>
      </c>
      <c r="J2071" s="556">
        <f t="shared" si="73"/>
        <v>0</v>
      </c>
    </row>
    <row r="2072" spans="5:10" ht="30" hidden="1" x14ac:dyDescent="0.25">
      <c r="F2072" s="499">
        <v>4512</v>
      </c>
      <c r="G2072" s="756" t="s">
        <v>1699</v>
      </c>
      <c r="J2072" s="556">
        <f t="shared" si="73"/>
        <v>0</v>
      </c>
    </row>
    <row r="2073" spans="5:10" hidden="1" x14ac:dyDescent="0.25">
      <c r="F2073" s="499">
        <v>452</v>
      </c>
      <c r="G2073" s="492" t="s">
        <v>4151</v>
      </c>
      <c r="J2073" s="556">
        <f t="shared" si="73"/>
        <v>0</v>
      </c>
    </row>
    <row r="2074" spans="5:10" hidden="1" x14ac:dyDescent="0.25">
      <c r="F2074" s="499">
        <v>453</v>
      </c>
      <c r="G2074" s="492" t="s">
        <v>4152</v>
      </c>
      <c r="J2074" s="556">
        <f t="shared" si="73"/>
        <v>0</v>
      </c>
    </row>
    <row r="2075" spans="5:10" hidden="1" x14ac:dyDescent="0.25">
      <c r="F2075" s="499">
        <v>454</v>
      </c>
      <c r="G2075" s="492" t="s">
        <v>3805</v>
      </c>
      <c r="J2075" s="556">
        <f t="shared" si="73"/>
        <v>0</v>
      </c>
    </row>
    <row r="2076" spans="5:10" hidden="1" x14ac:dyDescent="0.25">
      <c r="F2076" s="499">
        <v>461</v>
      </c>
      <c r="G2076" s="492" t="s">
        <v>4133</v>
      </c>
      <c r="J2076" s="556">
        <f t="shared" si="73"/>
        <v>0</v>
      </c>
    </row>
    <row r="2077" spans="5:10" hidden="1" x14ac:dyDescent="0.25">
      <c r="F2077" s="499">
        <v>462</v>
      </c>
      <c r="G2077" s="492" t="s">
        <v>3808</v>
      </c>
      <c r="J2077" s="556">
        <f t="shared" si="73"/>
        <v>0</v>
      </c>
    </row>
    <row r="2078" spans="5:10" hidden="1" x14ac:dyDescent="0.25">
      <c r="E2078" s="679">
        <v>77</v>
      </c>
      <c r="F2078" s="499">
        <v>4631</v>
      </c>
      <c r="G2078" s="492" t="s">
        <v>3809</v>
      </c>
      <c r="H2078" s="555">
        <v>0</v>
      </c>
      <c r="J2078" s="556">
        <f t="shared" si="73"/>
        <v>0</v>
      </c>
    </row>
    <row r="2079" spans="5:10" hidden="1" x14ac:dyDescent="0.25">
      <c r="E2079" s="679">
        <v>78</v>
      </c>
      <c r="F2079" s="499">
        <v>4632</v>
      </c>
      <c r="G2079" s="492" t="s">
        <v>3810</v>
      </c>
      <c r="J2079" s="556">
        <f t="shared" si="73"/>
        <v>0</v>
      </c>
    </row>
    <row r="2080" spans="5:10" hidden="1" x14ac:dyDescent="0.25">
      <c r="F2080" s="499">
        <v>464</v>
      </c>
      <c r="G2080" s="492" t="s">
        <v>3811</v>
      </c>
      <c r="J2080" s="556">
        <f t="shared" si="73"/>
        <v>0</v>
      </c>
    </row>
    <row r="2081" spans="5:10" hidden="1" x14ac:dyDescent="0.25">
      <c r="F2081" s="499">
        <v>465</v>
      </c>
      <c r="G2081" s="492" t="s">
        <v>4134</v>
      </c>
      <c r="J2081" s="556">
        <f t="shared" si="73"/>
        <v>0</v>
      </c>
    </row>
    <row r="2082" spans="5:10" hidden="1" x14ac:dyDescent="0.25">
      <c r="F2082" s="499">
        <v>472</v>
      </c>
      <c r="G2082" s="492" t="s">
        <v>3815</v>
      </c>
      <c r="J2082" s="556">
        <f t="shared" si="73"/>
        <v>0</v>
      </c>
    </row>
    <row r="2083" spans="5:10" hidden="1" x14ac:dyDescent="0.25">
      <c r="F2083" s="499">
        <v>481</v>
      </c>
      <c r="G2083" s="492" t="s">
        <v>4153</v>
      </c>
      <c r="J2083" s="556">
        <f t="shared" si="73"/>
        <v>0</v>
      </c>
    </row>
    <row r="2084" spans="5:10" hidden="1" x14ac:dyDescent="0.25">
      <c r="F2084" s="499">
        <v>482</v>
      </c>
      <c r="G2084" s="492" t="s">
        <v>4154</v>
      </c>
      <c r="J2084" s="556">
        <f t="shared" si="73"/>
        <v>0</v>
      </c>
    </row>
    <row r="2085" spans="5:10" hidden="1" x14ac:dyDescent="0.25">
      <c r="F2085" s="499">
        <v>483</v>
      </c>
      <c r="G2085" s="496" t="s">
        <v>4155</v>
      </c>
      <c r="J2085" s="556">
        <f t="shared" si="73"/>
        <v>0</v>
      </c>
    </row>
    <row r="2086" spans="5:10" ht="30" hidden="1" x14ac:dyDescent="0.25">
      <c r="F2086" s="499">
        <v>484</v>
      </c>
      <c r="G2086" s="492" t="s">
        <v>4156</v>
      </c>
      <c r="J2086" s="556">
        <f t="shared" si="73"/>
        <v>0</v>
      </c>
    </row>
    <row r="2087" spans="5:10" ht="30" hidden="1" x14ac:dyDescent="0.25">
      <c r="F2087" s="499">
        <v>485</v>
      </c>
      <c r="G2087" s="492" t="s">
        <v>4157</v>
      </c>
      <c r="J2087" s="556">
        <f t="shared" si="73"/>
        <v>0</v>
      </c>
    </row>
    <row r="2088" spans="5:10" ht="30" hidden="1" x14ac:dyDescent="0.25">
      <c r="F2088" s="499">
        <v>489</v>
      </c>
      <c r="G2088" s="492" t="s">
        <v>3823</v>
      </c>
      <c r="J2088" s="556">
        <f t="shared" si="73"/>
        <v>0</v>
      </c>
    </row>
    <row r="2089" spans="5:10" hidden="1" x14ac:dyDescent="0.25">
      <c r="F2089" s="499">
        <v>494</v>
      </c>
      <c r="G2089" s="492" t="s">
        <v>4135</v>
      </c>
      <c r="J2089" s="556">
        <f t="shared" si="73"/>
        <v>0</v>
      </c>
    </row>
    <row r="2090" spans="5:10" ht="30" hidden="1" x14ac:dyDescent="0.25">
      <c r="F2090" s="499">
        <v>495</v>
      </c>
      <c r="G2090" s="492" t="s">
        <v>4136</v>
      </c>
      <c r="J2090" s="556">
        <f t="shared" si="73"/>
        <v>0</v>
      </c>
    </row>
    <row r="2091" spans="5:10" ht="30" hidden="1" x14ac:dyDescent="0.25">
      <c r="F2091" s="499">
        <v>496</v>
      </c>
      <c r="G2091" s="492" t="s">
        <v>4137</v>
      </c>
      <c r="J2091" s="556">
        <f t="shared" si="73"/>
        <v>0</v>
      </c>
    </row>
    <row r="2092" spans="5:10" ht="30" hidden="1" x14ac:dyDescent="0.25">
      <c r="F2092" s="499">
        <v>499</v>
      </c>
      <c r="G2092" s="492" t="s">
        <v>4138</v>
      </c>
      <c r="J2092" s="556">
        <f t="shared" si="73"/>
        <v>0</v>
      </c>
    </row>
    <row r="2093" spans="5:10" x14ac:dyDescent="0.25">
      <c r="E2093" s="679">
        <v>79</v>
      </c>
      <c r="F2093" s="499">
        <v>511</v>
      </c>
      <c r="G2093" s="496" t="s">
        <v>4158</v>
      </c>
      <c r="H2093" s="555">
        <v>0</v>
      </c>
      <c r="J2093" s="556">
        <f t="shared" si="73"/>
        <v>0</v>
      </c>
    </row>
    <row r="2094" spans="5:10" ht="15.75" thickBot="1" x14ac:dyDescent="0.3">
      <c r="E2094" s="679">
        <v>80</v>
      </c>
      <c r="F2094" s="499">
        <v>512</v>
      </c>
      <c r="G2094" s="496" t="s">
        <v>4159</v>
      </c>
      <c r="H2094" s="555">
        <v>100000</v>
      </c>
      <c r="J2094" s="556">
        <f t="shared" si="73"/>
        <v>100000</v>
      </c>
    </row>
    <row r="2095" spans="5:10" hidden="1" x14ac:dyDescent="0.25">
      <c r="F2095" s="499">
        <v>513</v>
      </c>
      <c r="G2095" s="496" t="s">
        <v>4160</v>
      </c>
      <c r="J2095" s="556">
        <f t="shared" si="73"/>
        <v>0</v>
      </c>
    </row>
    <row r="2096" spans="5:10" hidden="1" x14ac:dyDescent="0.25">
      <c r="F2096" s="499">
        <v>514</v>
      </c>
      <c r="G2096" s="492" t="s">
        <v>4161</v>
      </c>
      <c r="J2096" s="556">
        <f t="shared" si="73"/>
        <v>0</v>
      </c>
    </row>
    <row r="2097" spans="5:10" hidden="1" x14ac:dyDescent="0.25">
      <c r="F2097" s="499">
        <v>515</v>
      </c>
      <c r="G2097" s="492" t="s">
        <v>3834</v>
      </c>
      <c r="J2097" s="556">
        <f t="shared" si="73"/>
        <v>0</v>
      </c>
    </row>
    <row r="2098" spans="5:10" hidden="1" x14ac:dyDescent="0.25">
      <c r="F2098" s="499">
        <v>521</v>
      </c>
      <c r="G2098" s="492" t="s">
        <v>4162</v>
      </c>
      <c r="J2098" s="556">
        <f t="shared" si="73"/>
        <v>0</v>
      </c>
    </row>
    <row r="2099" spans="5:10" hidden="1" x14ac:dyDescent="0.25">
      <c r="F2099" s="499">
        <v>522</v>
      </c>
      <c r="G2099" s="492" t="s">
        <v>4163</v>
      </c>
      <c r="J2099" s="556">
        <f t="shared" si="73"/>
        <v>0</v>
      </c>
    </row>
    <row r="2100" spans="5:10" hidden="1" x14ac:dyDescent="0.25">
      <c r="F2100" s="499">
        <v>523</v>
      </c>
      <c r="G2100" s="492" t="s">
        <v>3839</v>
      </c>
      <c r="J2100" s="556">
        <f t="shared" si="73"/>
        <v>0</v>
      </c>
    </row>
    <row r="2101" spans="5:10" hidden="1" x14ac:dyDescent="0.25">
      <c r="F2101" s="499">
        <v>531</v>
      </c>
      <c r="G2101" s="488" t="s">
        <v>4139</v>
      </c>
      <c r="J2101" s="556">
        <f t="shared" si="73"/>
        <v>0</v>
      </c>
    </row>
    <row r="2102" spans="5:10" hidden="1" x14ac:dyDescent="0.25">
      <c r="F2102" s="499">
        <v>541</v>
      </c>
      <c r="G2102" s="492" t="s">
        <v>4164</v>
      </c>
      <c r="J2102" s="556">
        <f t="shared" si="73"/>
        <v>0</v>
      </c>
    </row>
    <row r="2103" spans="5:10" hidden="1" x14ac:dyDescent="0.25">
      <c r="F2103" s="499">
        <v>542</v>
      </c>
      <c r="G2103" s="492" t="s">
        <v>4165</v>
      </c>
      <c r="J2103" s="556">
        <f t="shared" si="73"/>
        <v>0</v>
      </c>
    </row>
    <row r="2104" spans="5:10" hidden="1" x14ac:dyDescent="0.25">
      <c r="F2104" s="499">
        <v>543</v>
      </c>
      <c r="G2104" s="492" t="s">
        <v>3844</v>
      </c>
      <c r="J2104" s="556">
        <f t="shared" si="73"/>
        <v>0</v>
      </c>
    </row>
    <row r="2105" spans="5:10" ht="30" hidden="1" x14ac:dyDescent="0.25">
      <c r="F2105" s="499">
        <v>551</v>
      </c>
      <c r="G2105" s="492" t="s">
        <v>4140</v>
      </c>
      <c r="J2105" s="556">
        <f t="shared" si="73"/>
        <v>0</v>
      </c>
    </row>
    <row r="2106" spans="5:10" hidden="1" x14ac:dyDescent="0.25">
      <c r="F2106" s="500">
        <v>611</v>
      </c>
      <c r="G2106" s="498" t="s">
        <v>3850</v>
      </c>
      <c r="J2106" s="556">
        <f t="shared" si="73"/>
        <v>0</v>
      </c>
    </row>
    <row r="2107" spans="5:10" ht="15.75" hidden="1" thickBot="1" x14ac:dyDescent="0.3">
      <c r="F2107" s="500">
        <v>620</v>
      </c>
      <c r="G2107" s="498" t="s">
        <v>88</v>
      </c>
      <c r="J2107" s="556">
        <f t="shared" si="73"/>
        <v>0</v>
      </c>
    </row>
    <row r="2108" spans="5:10" x14ac:dyDescent="0.25">
      <c r="E2108" s="489"/>
      <c r="F2108" s="500"/>
      <c r="G2108" s="343" t="s">
        <v>4315</v>
      </c>
      <c r="H2108" s="557"/>
      <c r="I2108" s="583"/>
      <c r="J2108" s="558"/>
    </row>
    <row r="2109" spans="5:10" ht="15.75" thickBot="1" x14ac:dyDescent="0.3">
      <c r="E2109" s="693"/>
      <c r="F2109" s="597" t="s">
        <v>234</v>
      </c>
      <c r="G2109" s="598" t="s">
        <v>235</v>
      </c>
      <c r="H2109" s="559">
        <f>SUM(H2058:H2094)</f>
        <v>5200000</v>
      </c>
      <c r="I2109" s="560"/>
      <c r="J2109" s="560">
        <f t="shared" ref="J2109:J2124" si="74">SUM(H2109:I2109)</f>
        <v>5200000</v>
      </c>
    </row>
    <row r="2110" spans="5:10" hidden="1" x14ac:dyDescent="0.25">
      <c r="F2110" s="597" t="s">
        <v>236</v>
      </c>
      <c r="G2110" s="598" t="s">
        <v>237</v>
      </c>
      <c r="J2110" s="560">
        <f t="shared" si="74"/>
        <v>0</v>
      </c>
    </row>
    <row r="2111" spans="5:10" hidden="1" x14ac:dyDescent="0.25">
      <c r="F2111" s="597" t="s">
        <v>238</v>
      </c>
      <c r="G2111" s="598" t="s">
        <v>239</v>
      </c>
      <c r="J2111" s="560">
        <f t="shared" si="74"/>
        <v>0</v>
      </c>
    </row>
    <row r="2112" spans="5:10" hidden="1" x14ac:dyDescent="0.25">
      <c r="F2112" s="597" t="s">
        <v>240</v>
      </c>
      <c r="G2112" s="598" t="s">
        <v>241</v>
      </c>
      <c r="J2112" s="560">
        <f t="shared" si="74"/>
        <v>0</v>
      </c>
    </row>
    <row r="2113" spans="5:10" hidden="1" x14ac:dyDescent="0.25">
      <c r="F2113" s="597" t="s">
        <v>242</v>
      </c>
      <c r="G2113" s="598" t="s">
        <v>243</v>
      </c>
      <c r="J2113" s="560">
        <f t="shared" si="74"/>
        <v>0</v>
      </c>
    </row>
    <row r="2114" spans="5:10" hidden="1" x14ac:dyDescent="0.25">
      <c r="F2114" s="597" t="s">
        <v>244</v>
      </c>
      <c r="G2114" s="598" t="s">
        <v>245</v>
      </c>
      <c r="J2114" s="560">
        <f t="shared" si="74"/>
        <v>0</v>
      </c>
    </row>
    <row r="2115" spans="5:10" hidden="1" x14ac:dyDescent="0.25">
      <c r="F2115" s="597" t="s">
        <v>246</v>
      </c>
      <c r="G2115" s="598" t="s">
        <v>4996</v>
      </c>
      <c r="J2115" s="560">
        <f t="shared" si="74"/>
        <v>0</v>
      </c>
    </row>
    <row r="2116" spans="5:10" hidden="1" x14ac:dyDescent="0.25">
      <c r="F2116" s="597" t="s">
        <v>247</v>
      </c>
      <c r="G2116" s="598" t="s">
        <v>4995</v>
      </c>
      <c r="J2116" s="560">
        <f t="shared" si="74"/>
        <v>0</v>
      </c>
    </row>
    <row r="2117" spans="5:10" hidden="1" x14ac:dyDescent="0.25">
      <c r="F2117" s="597" t="s">
        <v>248</v>
      </c>
      <c r="G2117" s="598" t="s">
        <v>57</v>
      </c>
      <c r="J2117" s="560">
        <f t="shared" si="74"/>
        <v>0</v>
      </c>
    </row>
    <row r="2118" spans="5:10" hidden="1" x14ac:dyDescent="0.25">
      <c r="F2118" s="597" t="s">
        <v>249</v>
      </c>
      <c r="G2118" s="598" t="s">
        <v>250</v>
      </c>
      <c r="J2118" s="560">
        <f t="shared" si="74"/>
        <v>0</v>
      </c>
    </row>
    <row r="2119" spans="5:10" hidden="1" x14ac:dyDescent="0.25">
      <c r="F2119" s="597" t="s">
        <v>251</v>
      </c>
      <c r="G2119" s="598" t="s">
        <v>252</v>
      </c>
      <c r="J2119" s="560">
        <f t="shared" si="74"/>
        <v>0</v>
      </c>
    </row>
    <row r="2120" spans="5:10" ht="30" hidden="1" x14ac:dyDescent="0.25">
      <c r="F2120" s="597" t="s">
        <v>253</v>
      </c>
      <c r="G2120" s="598" t="s">
        <v>254</v>
      </c>
      <c r="J2120" s="560">
        <f t="shared" si="74"/>
        <v>0</v>
      </c>
    </row>
    <row r="2121" spans="5:10" hidden="1" x14ac:dyDescent="0.25">
      <c r="F2121" s="597" t="s">
        <v>255</v>
      </c>
      <c r="G2121" s="598" t="s">
        <v>256</v>
      </c>
      <c r="J2121" s="560">
        <f t="shared" si="74"/>
        <v>0</v>
      </c>
    </row>
    <row r="2122" spans="5:10" ht="30" hidden="1" x14ac:dyDescent="0.25">
      <c r="F2122" s="597" t="s">
        <v>257</v>
      </c>
      <c r="G2122" s="598" t="s">
        <v>258</v>
      </c>
      <c r="J2122" s="560">
        <f t="shared" si="74"/>
        <v>0</v>
      </c>
    </row>
    <row r="2123" spans="5:10" hidden="1" x14ac:dyDescent="0.25">
      <c r="F2123" s="597" t="s">
        <v>259</v>
      </c>
      <c r="G2123" s="598" t="s">
        <v>260</v>
      </c>
      <c r="J2123" s="560">
        <f t="shared" si="74"/>
        <v>0</v>
      </c>
    </row>
    <row r="2124" spans="5:10" ht="15.75" hidden="1" thickBot="1" x14ac:dyDescent="0.3">
      <c r="F2124" s="597" t="s">
        <v>261</v>
      </c>
      <c r="G2124" s="598" t="s">
        <v>262</v>
      </c>
      <c r="H2124" s="559"/>
      <c r="I2124" s="560"/>
      <c r="J2124" s="560">
        <f t="shared" si="74"/>
        <v>0</v>
      </c>
    </row>
    <row r="2125" spans="5:10" ht="15.75" thickBot="1" x14ac:dyDescent="0.3">
      <c r="G2125" s="268" t="s">
        <v>4240</v>
      </c>
      <c r="H2125" s="561">
        <f>SUM(H2109)</f>
        <v>5200000</v>
      </c>
      <c r="I2125" s="562">
        <f>SUM(I2110:I2124)</f>
        <v>0</v>
      </c>
      <c r="J2125" s="562">
        <f>SUM(J2109:J2124)</f>
        <v>5200000</v>
      </c>
    </row>
    <row r="2126" spans="5:10" ht="28.5" x14ac:dyDescent="0.25">
      <c r="E2126" s="489"/>
      <c r="F2126" s="500"/>
      <c r="G2126" s="270" t="s">
        <v>5247</v>
      </c>
      <c r="H2126" s="563"/>
      <c r="I2126" s="584"/>
      <c r="J2126" s="564"/>
    </row>
    <row r="2127" spans="5:10" ht="15.75" thickBot="1" x14ac:dyDescent="0.3">
      <c r="E2127" s="693"/>
      <c r="F2127" s="597" t="s">
        <v>234</v>
      </c>
      <c r="G2127" s="729" t="s">
        <v>235</v>
      </c>
      <c r="H2127" s="559">
        <f>SUM(H2048:H2107)</f>
        <v>5200000</v>
      </c>
      <c r="I2127" s="560"/>
      <c r="J2127" s="560">
        <f>SUM(H2127:I2127)</f>
        <v>5200000</v>
      </c>
    </row>
    <row r="2128" spans="5:10" hidden="1" x14ac:dyDescent="0.25">
      <c r="F2128" s="597" t="s">
        <v>236</v>
      </c>
      <c r="G2128" s="598" t="s">
        <v>237</v>
      </c>
      <c r="J2128" s="560">
        <f t="shared" ref="J2128:J2142" si="75">SUM(H2128:I2128)</f>
        <v>0</v>
      </c>
    </row>
    <row r="2129" spans="6:10" hidden="1" x14ac:dyDescent="0.25">
      <c r="F2129" s="597" t="s">
        <v>238</v>
      </c>
      <c r="G2129" s="598" t="s">
        <v>239</v>
      </c>
      <c r="J2129" s="560">
        <f t="shared" si="75"/>
        <v>0</v>
      </c>
    </row>
    <row r="2130" spans="6:10" hidden="1" x14ac:dyDescent="0.25">
      <c r="F2130" s="597" t="s">
        <v>240</v>
      </c>
      <c r="G2130" s="598" t="s">
        <v>241</v>
      </c>
      <c r="J2130" s="560">
        <f t="shared" si="75"/>
        <v>0</v>
      </c>
    </row>
    <row r="2131" spans="6:10" hidden="1" x14ac:dyDescent="0.25">
      <c r="F2131" s="597" t="s">
        <v>242</v>
      </c>
      <c r="G2131" s="598" t="s">
        <v>243</v>
      </c>
      <c r="J2131" s="560">
        <f t="shared" si="75"/>
        <v>0</v>
      </c>
    </row>
    <row r="2132" spans="6:10" hidden="1" x14ac:dyDescent="0.25">
      <c r="F2132" s="597" t="s">
        <v>244</v>
      </c>
      <c r="G2132" s="598" t="s">
        <v>245</v>
      </c>
      <c r="J2132" s="560">
        <f t="shared" si="75"/>
        <v>0</v>
      </c>
    </row>
    <row r="2133" spans="6:10" hidden="1" x14ac:dyDescent="0.25">
      <c r="F2133" s="597" t="s">
        <v>246</v>
      </c>
      <c r="G2133" s="598" t="s">
        <v>4996</v>
      </c>
      <c r="J2133" s="560">
        <f t="shared" si="75"/>
        <v>0</v>
      </c>
    </row>
    <row r="2134" spans="6:10" hidden="1" x14ac:dyDescent="0.25">
      <c r="F2134" s="597" t="s">
        <v>247</v>
      </c>
      <c r="G2134" s="598" t="s">
        <v>4995</v>
      </c>
      <c r="J2134" s="560">
        <f t="shared" si="75"/>
        <v>0</v>
      </c>
    </row>
    <row r="2135" spans="6:10" hidden="1" x14ac:dyDescent="0.25">
      <c r="F2135" s="597" t="s">
        <v>248</v>
      </c>
      <c r="G2135" s="598" t="s">
        <v>57</v>
      </c>
      <c r="J2135" s="560">
        <f t="shared" si="75"/>
        <v>0</v>
      </c>
    </row>
    <row r="2136" spans="6:10" hidden="1" x14ac:dyDescent="0.25">
      <c r="F2136" s="597" t="s">
        <v>249</v>
      </c>
      <c r="G2136" s="598" t="s">
        <v>250</v>
      </c>
      <c r="J2136" s="560">
        <f t="shared" si="75"/>
        <v>0</v>
      </c>
    </row>
    <row r="2137" spans="6:10" hidden="1" x14ac:dyDescent="0.25">
      <c r="F2137" s="597" t="s">
        <v>251</v>
      </c>
      <c r="G2137" s="598" t="s">
        <v>252</v>
      </c>
      <c r="J2137" s="560">
        <f t="shared" si="75"/>
        <v>0</v>
      </c>
    </row>
    <row r="2138" spans="6:10" ht="30" hidden="1" x14ac:dyDescent="0.25">
      <c r="F2138" s="597" t="s">
        <v>253</v>
      </c>
      <c r="G2138" s="598" t="s">
        <v>254</v>
      </c>
      <c r="J2138" s="560">
        <f t="shared" si="75"/>
        <v>0</v>
      </c>
    </row>
    <row r="2139" spans="6:10" hidden="1" x14ac:dyDescent="0.25">
      <c r="F2139" s="597" t="s">
        <v>255</v>
      </c>
      <c r="G2139" s="598" t="s">
        <v>256</v>
      </c>
      <c r="J2139" s="560">
        <f t="shared" si="75"/>
        <v>0</v>
      </c>
    </row>
    <row r="2140" spans="6:10" ht="30" hidden="1" x14ac:dyDescent="0.25">
      <c r="F2140" s="597" t="s">
        <v>257</v>
      </c>
      <c r="G2140" s="598" t="s">
        <v>258</v>
      </c>
      <c r="J2140" s="560">
        <f t="shared" si="75"/>
        <v>0</v>
      </c>
    </row>
    <row r="2141" spans="6:10" hidden="1" x14ac:dyDescent="0.25">
      <c r="F2141" s="597" t="s">
        <v>259</v>
      </c>
      <c r="G2141" s="598" t="s">
        <v>260</v>
      </c>
      <c r="J2141" s="560">
        <f t="shared" si="75"/>
        <v>0</v>
      </c>
    </row>
    <row r="2142" spans="6:10" ht="15.75" hidden="1" thickBot="1" x14ac:dyDescent="0.3">
      <c r="F2142" s="597" t="s">
        <v>261</v>
      </c>
      <c r="G2142" s="598" t="s">
        <v>262</v>
      </c>
      <c r="H2142" s="559"/>
      <c r="I2142" s="560"/>
      <c r="J2142" s="560">
        <f t="shared" si="75"/>
        <v>0</v>
      </c>
    </row>
    <row r="2143" spans="6:10" ht="15.75" thickBot="1" x14ac:dyDescent="0.3">
      <c r="G2143" s="268" t="s">
        <v>5248</v>
      </c>
      <c r="H2143" s="561">
        <f>SUM(H2127:H2142)</f>
        <v>5200000</v>
      </c>
      <c r="I2143" s="562">
        <f>SUM(I2128:I2142)</f>
        <v>0</v>
      </c>
      <c r="J2143" s="562">
        <f>SUM(J2127:J2142)</f>
        <v>5200000</v>
      </c>
    </row>
    <row r="2144" spans="6:10" hidden="1" x14ac:dyDescent="0.25">
      <c r="G2144" s="312"/>
      <c r="H2144" s="565"/>
      <c r="I2144" s="566"/>
      <c r="J2144" s="566"/>
    </row>
    <row r="2145" spans="7:10" hidden="1" x14ac:dyDescent="0.25">
      <c r="G2145" s="312"/>
      <c r="H2145" s="565"/>
      <c r="I2145" s="566"/>
      <c r="J2145" s="566"/>
    </row>
    <row r="2146" spans="7:10" hidden="1" x14ac:dyDescent="0.25">
      <c r="G2146" s="312"/>
      <c r="H2146" s="565"/>
      <c r="I2146" s="566"/>
      <c r="J2146" s="566"/>
    </row>
    <row r="2147" spans="7:10" hidden="1" x14ac:dyDescent="0.25">
      <c r="G2147" s="312"/>
      <c r="H2147" s="565"/>
      <c r="I2147" s="566"/>
      <c r="J2147" s="566"/>
    </row>
    <row r="2148" spans="7:10" hidden="1" x14ac:dyDescent="0.25">
      <c r="G2148" s="312"/>
      <c r="H2148" s="565"/>
      <c r="I2148" s="566"/>
      <c r="J2148" s="566"/>
    </row>
    <row r="2149" spans="7:10" hidden="1" x14ac:dyDescent="0.25">
      <c r="G2149" s="312"/>
      <c r="H2149" s="565"/>
      <c r="I2149" s="566"/>
      <c r="J2149" s="566"/>
    </row>
    <row r="2150" spans="7:10" hidden="1" x14ac:dyDescent="0.25">
      <c r="G2150" s="312"/>
      <c r="H2150" s="565"/>
      <c r="I2150" s="566"/>
      <c r="J2150" s="566"/>
    </row>
    <row r="2151" spans="7:10" hidden="1" x14ac:dyDescent="0.25">
      <c r="G2151" s="312"/>
      <c r="H2151" s="565"/>
      <c r="I2151" s="566"/>
      <c r="J2151" s="566"/>
    </row>
    <row r="2152" spans="7:10" hidden="1" x14ac:dyDescent="0.25">
      <c r="G2152" s="312"/>
      <c r="H2152" s="565"/>
      <c r="I2152" s="566"/>
      <c r="J2152" s="566"/>
    </row>
    <row r="2153" spans="7:10" hidden="1" x14ac:dyDescent="0.25">
      <c r="G2153" s="312"/>
      <c r="H2153" s="565"/>
      <c r="I2153" s="566"/>
      <c r="J2153" s="566"/>
    </row>
    <row r="2154" spans="7:10" hidden="1" x14ac:dyDescent="0.25">
      <c r="G2154" s="312"/>
      <c r="H2154" s="565"/>
      <c r="I2154" s="566"/>
      <c r="J2154" s="566"/>
    </row>
    <row r="2155" spans="7:10" hidden="1" x14ac:dyDescent="0.25">
      <c r="G2155" s="312"/>
      <c r="H2155" s="565"/>
      <c r="I2155" s="566"/>
      <c r="J2155" s="566"/>
    </row>
    <row r="2156" spans="7:10" hidden="1" x14ac:dyDescent="0.25">
      <c r="G2156" s="312"/>
      <c r="H2156" s="565"/>
      <c r="I2156" s="566"/>
      <c r="J2156" s="566"/>
    </row>
    <row r="2157" spans="7:10" hidden="1" x14ac:dyDescent="0.25">
      <c r="G2157" s="312"/>
      <c r="H2157" s="565"/>
      <c r="I2157" s="566"/>
      <c r="J2157" s="566"/>
    </row>
    <row r="2158" spans="7:10" hidden="1" x14ac:dyDescent="0.25">
      <c r="G2158" s="312"/>
      <c r="H2158" s="565"/>
      <c r="I2158" s="566"/>
      <c r="J2158" s="566"/>
    </row>
    <row r="2159" spans="7:10" hidden="1" x14ac:dyDescent="0.25">
      <c r="G2159" s="312"/>
      <c r="H2159" s="565"/>
      <c r="I2159" s="566"/>
      <c r="J2159" s="566"/>
    </row>
    <row r="2160" spans="7:10" hidden="1" x14ac:dyDescent="0.25">
      <c r="G2160" s="312"/>
      <c r="H2160" s="565"/>
      <c r="I2160" s="566"/>
      <c r="J2160" s="566"/>
    </row>
    <row r="2161" spans="7:10" hidden="1" x14ac:dyDescent="0.25">
      <c r="G2161" s="312"/>
      <c r="H2161" s="565"/>
      <c r="I2161" s="566"/>
      <c r="J2161" s="566"/>
    </row>
    <row r="2162" spans="7:10" hidden="1" x14ac:dyDescent="0.25">
      <c r="G2162" s="312"/>
      <c r="H2162" s="565"/>
      <c r="I2162" s="566"/>
      <c r="J2162" s="566"/>
    </row>
    <row r="2163" spans="7:10" hidden="1" x14ac:dyDescent="0.25">
      <c r="G2163" s="312"/>
      <c r="H2163" s="565"/>
      <c r="I2163" s="566"/>
      <c r="J2163" s="566"/>
    </row>
    <row r="2164" spans="7:10" hidden="1" x14ac:dyDescent="0.25">
      <c r="G2164" s="312"/>
      <c r="H2164" s="565"/>
      <c r="I2164" s="566"/>
      <c r="J2164" s="566"/>
    </row>
    <row r="2165" spans="7:10" hidden="1" x14ac:dyDescent="0.25">
      <c r="G2165" s="312"/>
      <c r="H2165" s="565"/>
      <c r="I2165" s="566"/>
      <c r="J2165" s="566"/>
    </row>
    <row r="2166" spans="7:10" hidden="1" x14ac:dyDescent="0.25">
      <c r="G2166" s="312"/>
      <c r="H2166" s="565"/>
      <c r="I2166" s="566"/>
      <c r="J2166" s="566"/>
    </row>
    <row r="2167" spans="7:10" hidden="1" x14ac:dyDescent="0.25">
      <c r="G2167" s="312"/>
      <c r="H2167" s="565"/>
      <c r="I2167" s="566"/>
      <c r="J2167" s="566"/>
    </row>
    <row r="2168" spans="7:10" hidden="1" x14ac:dyDescent="0.25">
      <c r="G2168" s="312"/>
      <c r="H2168" s="565"/>
      <c r="I2168" s="566"/>
      <c r="J2168" s="566"/>
    </row>
    <row r="2169" spans="7:10" hidden="1" x14ac:dyDescent="0.25">
      <c r="G2169" s="312"/>
      <c r="H2169" s="565"/>
      <c r="I2169" s="566"/>
      <c r="J2169" s="566"/>
    </row>
    <row r="2170" spans="7:10" hidden="1" x14ac:dyDescent="0.25">
      <c r="G2170" s="312"/>
      <c r="H2170" s="565"/>
      <c r="I2170" s="566"/>
      <c r="J2170" s="566"/>
    </row>
    <row r="2171" spans="7:10" hidden="1" x14ac:dyDescent="0.25">
      <c r="G2171" s="312"/>
      <c r="H2171" s="565"/>
      <c r="I2171" s="566"/>
      <c r="J2171" s="566"/>
    </row>
    <row r="2172" spans="7:10" hidden="1" x14ac:dyDescent="0.25">
      <c r="G2172" s="312"/>
      <c r="H2172" s="565"/>
      <c r="I2172" s="566"/>
      <c r="J2172" s="566"/>
    </row>
    <row r="2173" spans="7:10" hidden="1" x14ac:dyDescent="0.25">
      <c r="G2173" s="312"/>
      <c r="H2173" s="565"/>
      <c r="I2173" s="566"/>
      <c r="J2173" s="566"/>
    </row>
    <row r="2174" spans="7:10" hidden="1" x14ac:dyDescent="0.25">
      <c r="G2174" s="312"/>
      <c r="H2174" s="565"/>
      <c r="I2174" s="566"/>
      <c r="J2174" s="566"/>
    </row>
    <row r="2175" spans="7:10" hidden="1" x14ac:dyDescent="0.25">
      <c r="G2175" s="312"/>
      <c r="H2175" s="565"/>
      <c r="I2175" s="566"/>
      <c r="J2175" s="566"/>
    </row>
    <row r="2176" spans="7:10" hidden="1" x14ac:dyDescent="0.25">
      <c r="G2176" s="312"/>
      <c r="H2176" s="565"/>
      <c r="I2176" s="566"/>
      <c r="J2176" s="566"/>
    </row>
    <row r="2177" spans="7:10" hidden="1" x14ac:dyDescent="0.25">
      <c r="G2177" s="312"/>
      <c r="H2177" s="565"/>
      <c r="I2177" s="566"/>
      <c r="J2177" s="566"/>
    </row>
    <row r="2178" spans="7:10" hidden="1" x14ac:dyDescent="0.25">
      <c r="G2178" s="312"/>
      <c r="H2178" s="565"/>
      <c r="I2178" s="566"/>
      <c r="J2178" s="566"/>
    </row>
    <row r="2179" spans="7:10" hidden="1" x14ac:dyDescent="0.25">
      <c r="G2179" s="312"/>
      <c r="H2179" s="565"/>
      <c r="I2179" s="566"/>
      <c r="J2179" s="566"/>
    </row>
    <row r="2180" spans="7:10" hidden="1" x14ac:dyDescent="0.25">
      <c r="G2180" s="312"/>
      <c r="H2180" s="565"/>
      <c r="I2180" s="566"/>
      <c r="J2180" s="566"/>
    </row>
    <row r="2181" spans="7:10" hidden="1" x14ac:dyDescent="0.25">
      <c r="G2181" s="312"/>
      <c r="H2181" s="565"/>
      <c r="I2181" s="566"/>
      <c r="J2181" s="566"/>
    </row>
    <row r="2182" spans="7:10" hidden="1" x14ac:dyDescent="0.25">
      <c r="G2182" s="312"/>
      <c r="H2182" s="565"/>
      <c r="I2182" s="566"/>
      <c r="J2182" s="566"/>
    </row>
    <row r="2183" spans="7:10" hidden="1" x14ac:dyDescent="0.25">
      <c r="G2183" s="312"/>
      <c r="H2183" s="565"/>
      <c r="I2183" s="566"/>
      <c r="J2183" s="566"/>
    </row>
    <row r="2184" spans="7:10" hidden="1" x14ac:dyDescent="0.25">
      <c r="G2184" s="312"/>
      <c r="H2184" s="565"/>
      <c r="I2184" s="566"/>
      <c r="J2184" s="566"/>
    </row>
    <row r="2185" spans="7:10" hidden="1" x14ac:dyDescent="0.25">
      <c r="G2185" s="312"/>
      <c r="H2185" s="565"/>
      <c r="I2185" s="566"/>
      <c r="J2185" s="566"/>
    </row>
    <row r="2186" spans="7:10" hidden="1" x14ac:dyDescent="0.25">
      <c r="G2186" s="312"/>
      <c r="H2186" s="565"/>
      <c r="I2186" s="566"/>
      <c r="J2186" s="566"/>
    </row>
    <row r="2187" spans="7:10" hidden="1" x14ac:dyDescent="0.25">
      <c r="G2187" s="312"/>
      <c r="H2187" s="565"/>
      <c r="I2187" s="566"/>
      <c r="J2187" s="566"/>
    </row>
    <row r="2188" spans="7:10" hidden="1" x14ac:dyDescent="0.25">
      <c r="G2188" s="312"/>
      <c r="H2188" s="565"/>
      <c r="I2188" s="566"/>
      <c r="J2188" s="566"/>
    </row>
    <row r="2189" spans="7:10" hidden="1" x14ac:dyDescent="0.25">
      <c r="G2189" s="312"/>
      <c r="H2189" s="565"/>
      <c r="I2189" s="566"/>
      <c r="J2189" s="566"/>
    </row>
    <row r="2190" spans="7:10" hidden="1" x14ac:dyDescent="0.25">
      <c r="G2190" s="312"/>
      <c r="H2190" s="565"/>
      <c r="I2190" s="566"/>
      <c r="J2190" s="566"/>
    </row>
    <row r="2191" spans="7:10" hidden="1" x14ac:dyDescent="0.25">
      <c r="G2191" s="312"/>
      <c r="H2191" s="565"/>
      <c r="I2191" s="566"/>
      <c r="J2191" s="566"/>
    </row>
    <row r="2192" spans="7:10" hidden="1" x14ac:dyDescent="0.25">
      <c r="G2192" s="312"/>
      <c r="H2192" s="565"/>
      <c r="I2192" s="566"/>
      <c r="J2192" s="566"/>
    </row>
    <row r="2193" spans="1:25" hidden="1" x14ac:dyDescent="0.25">
      <c r="G2193" s="312"/>
      <c r="H2193" s="565"/>
      <c r="I2193" s="566"/>
      <c r="J2193" s="566"/>
    </row>
    <row r="2194" spans="1:25" hidden="1" x14ac:dyDescent="0.25">
      <c r="G2194" s="312"/>
      <c r="H2194" s="565"/>
      <c r="I2194" s="566"/>
      <c r="J2194" s="566"/>
    </row>
    <row r="2195" spans="1:25" hidden="1" x14ac:dyDescent="0.25">
      <c r="G2195" s="312"/>
      <c r="H2195" s="565"/>
      <c r="I2195" s="566"/>
      <c r="J2195" s="566"/>
    </row>
    <row r="2196" spans="1:25" hidden="1" x14ac:dyDescent="0.25">
      <c r="G2196" s="312"/>
      <c r="H2196" s="565"/>
      <c r="I2196" s="566"/>
      <c r="J2196" s="566"/>
    </row>
    <row r="2197" spans="1:25" hidden="1" x14ac:dyDescent="0.25">
      <c r="G2197" s="312"/>
      <c r="H2197" s="565"/>
      <c r="I2197" s="566"/>
      <c r="J2197" s="566"/>
    </row>
    <row r="2198" spans="1:25" hidden="1" x14ac:dyDescent="0.25">
      <c r="G2198" s="312"/>
      <c r="H2198" s="565"/>
      <c r="I2198" s="566"/>
      <c r="J2198" s="566"/>
    </row>
    <row r="2199" spans="1:25" hidden="1" x14ac:dyDescent="0.25">
      <c r="G2199" s="312"/>
      <c r="H2199" s="565"/>
      <c r="I2199" s="566"/>
      <c r="J2199" s="566"/>
    </row>
    <row r="2200" spans="1:25" hidden="1" x14ac:dyDescent="0.25">
      <c r="G2200" s="312"/>
      <c r="H2200" s="565"/>
      <c r="I2200" s="566"/>
      <c r="J2200" s="566"/>
    </row>
    <row r="2201" spans="1:25" hidden="1" x14ac:dyDescent="0.25">
      <c r="G2201" s="312"/>
      <c r="H2201" s="565"/>
      <c r="I2201" s="566"/>
      <c r="J2201" s="566"/>
    </row>
    <row r="2202" spans="1:25" s="88" customFormat="1" hidden="1" x14ac:dyDescent="0.25">
      <c r="A2202" s="481"/>
      <c r="B2202" s="288"/>
      <c r="C2202" s="302" t="s">
        <v>4974</v>
      </c>
      <c r="D2202" s="259"/>
      <c r="E2202" s="702"/>
      <c r="F2202" s="303"/>
      <c r="G2202" s="330" t="s">
        <v>4975</v>
      </c>
      <c r="H2202" s="588"/>
      <c r="I2202" s="571"/>
      <c r="J2202" s="589"/>
      <c r="K2202" s="505"/>
      <c r="L2202" s="505"/>
      <c r="M2202" s="505"/>
      <c r="N2202" s="505"/>
      <c r="O2202" s="505"/>
      <c r="P2202" s="505"/>
      <c r="Q2202" s="505"/>
      <c r="R2202" s="505"/>
      <c r="S2202" s="505"/>
      <c r="T2202" s="505"/>
      <c r="U2202" s="505"/>
      <c r="V2202" s="505"/>
      <c r="W2202" s="505"/>
      <c r="X2202" s="505"/>
      <c r="Y2202" s="505"/>
    </row>
    <row r="2203" spans="1:25" s="88" customFormat="1" hidden="1" x14ac:dyDescent="0.25">
      <c r="A2203" s="481"/>
      <c r="B2203" s="288"/>
      <c r="C2203" s="294"/>
      <c r="D2203" s="331">
        <v>620</v>
      </c>
      <c r="E2203" s="869"/>
      <c r="F2203" s="331"/>
      <c r="G2203" s="341" t="s">
        <v>182</v>
      </c>
      <c r="H2203" s="588"/>
      <c r="I2203" s="571"/>
      <c r="J2203" s="589"/>
      <c r="K2203" s="505"/>
      <c r="L2203" s="505"/>
      <c r="M2203" s="505"/>
      <c r="N2203" s="505"/>
      <c r="O2203" s="505"/>
      <c r="P2203" s="505"/>
      <c r="Q2203" s="505"/>
      <c r="R2203" s="505"/>
      <c r="S2203" s="505"/>
      <c r="T2203" s="505"/>
      <c r="U2203" s="505"/>
      <c r="V2203" s="505"/>
      <c r="W2203" s="505"/>
      <c r="X2203" s="505"/>
      <c r="Y2203" s="505"/>
    </row>
    <row r="2204" spans="1:25" s="88" customFormat="1" hidden="1" x14ac:dyDescent="0.25">
      <c r="A2204" s="481"/>
      <c r="B2204" s="288"/>
      <c r="C2204" s="294"/>
      <c r="D2204" s="331"/>
      <c r="E2204" s="869"/>
      <c r="F2204" s="258">
        <v>411</v>
      </c>
      <c r="G2204" s="492" t="s">
        <v>4131</v>
      </c>
      <c r="H2204" s="588"/>
      <c r="I2204" s="571"/>
      <c r="J2204" s="589"/>
      <c r="K2204" s="505"/>
      <c r="L2204" s="505"/>
      <c r="M2204" s="505"/>
      <c r="N2204" s="505"/>
      <c r="O2204" s="505"/>
      <c r="P2204" s="505"/>
      <c r="Q2204" s="505"/>
      <c r="R2204" s="505"/>
      <c r="S2204" s="505"/>
      <c r="T2204" s="505"/>
      <c r="U2204" s="505"/>
      <c r="V2204" s="505"/>
      <c r="W2204" s="505"/>
      <c r="X2204" s="505"/>
      <c r="Y2204" s="505"/>
    </row>
    <row r="2205" spans="1:25" s="88" customFormat="1" hidden="1" x14ac:dyDescent="0.25">
      <c r="A2205" s="481"/>
      <c r="B2205" s="288"/>
      <c r="C2205" s="294"/>
      <c r="D2205" s="331"/>
      <c r="E2205" s="869"/>
      <c r="F2205" s="258">
        <v>412</v>
      </c>
      <c r="G2205" s="488" t="s">
        <v>3766</v>
      </c>
      <c r="H2205" s="588"/>
      <c r="I2205" s="571"/>
      <c r="J2205" s="589"/>
      <c r="K2205" s="505"/>
      <c r="L2205" s="505"/>
      <c r="M2205" s="505"/>
      <c r="N2205" s="505"/>
      <c r="O2205" s="505"/>
      <c r="P2205" s="505"/>
      <c r="Q2205" s="505"/>
      <c r="R2205" s="505"/>
      <c r="S2205" s="505"/>
      <c r="T2205" s="505"/>
      <c r="U2205" s="505"/>
      <c r="V2205" s="505"/>
      <c r="W2205" s="505"/>
      <c r="X2205" s="505"/>
      <c r="Y2205" s="505"/>
    </row>
    <row r="2206" spans="1:25" s="88" customFormat="1" hidden="1" x14ac:dyDescent="0.25">
      <c r="A2206" s="481"/>
      <c r="B2206" s="288"/>
      <c r="C2206" s="334"/>
      <c r="D2206" s="286"/>
      <c r="E2206" s="876"/>
      <c r="F2206" s="499">
        <v>422</v>
      </c>
      <c r="G2206" s="492" t="s">
        <v>3780</v>
      </c>
      <c r="H2206" s="588"/>
      <c r="I2206" s="571"/>
      <c r="J2206" s="589"/>
      <c r="K2206" s="505"/>
      <c r="L2206" s="505"/>
      <c r="M2206" s="505"/>
      <c r="N2206" s="505"/>
      <c r="O2206" s="505"/>
      <c r="P2206" s="505"/>
      <c r="Q2206" s="505"/>
      <c r="R2206" s="505"/>
      <c r="S2206" s="505"/>
      <c r="T2206" s="505"/>
      <c r="U2206" s="505"/>
      <c r="V2206" s="505"/>
      <c r="W2206" s="505"/>
      <c r="X2206" s="505"/>
      <c r="Y2206" s="505"/>
    </row>
    <row r="2207" spans="1:25" s="88" customFormat="1" hidden="1" x14ac:dyDescent="0.25">
      <c r="A2207" s="481"/>
      <c r="B2207" s="288"/>
      <c r="C2207" s="334"/>
      <c r="D2207" s="286"/>
      <c r="E2207" s="876"/>
      <c r="F2207" s="499">
        <v>423</v>
      </c>
      <c r="G2207" s="492" t="s">
        <v>3781</v>
      </c>
      <c r="H2207" s="588"/>
      <c r="I2207" s="571"/>
      <c r="J2207" s="589"/>
      <c r="K2207" s="505"/>
      <c r="L2207" s="505"/>
      <c r="M2207" s="505"/>
      <c r="N2207" s="505"/>
      <c r="O2207" s="505"/>
      <c r="P2207" s="505"/>
      <c r="Q2207" s="505"/>
      <c r="R2207" s="505"/>
      <c r="S2207" s="505"/>
      <c r="T2207" s="505"/>
      <c r="U2207" s="505"/>
      <c r="V2207" s="505"/>
      <c r="W2207" s="505"/>
      <c r="X2207" s="505"/>
      <c r="Y2207" s="505"/>
    </row>
    <row r="2208" spans="1:25" s="88" customFormat="1" hidden="1" x14ac:dyDescent="0.25">
      <c r="A2208" s="481"/>
      <c r="B2208" s="288"/>
      <c r="C2208" s="334"/>
      <c r="D2208" s="286"/>
      <c r="E2208" s="876"/>
      <c r="F2208" s="499">
        <v>424</v>
      </c>
      <c r="G2208" s="492" t="s">
        <v>3783</v>
      </c>
      <c r="H2208" s="588"/>
      <c r="I2208" s="571"/>
      <c r="J2208" s="589"/>
      <c r="K2208" s="505"/>
      <c r="L2208" s="505"/>
      <c r="M2208" s="505"/>
      <c r="N2208" s="505"/>
      <c r="O2208" s="505"/>
      <c r="P2208" s="505"/>
      <c r="Q2208" s="505"/>
      <c r="R2208" s="505"/>
      <c r="S2208" s="505"/>
      <c r="T2208" s="505"/>
      <c r="U2208" s="505"/>
      <c r="V2208" s="505"/>
      <c r="W2208" s="505"/>
      <c r="X2208" s="505"/>
      <c r="Y2208" s="505"/>
    </row>
    <row r="2209" spans="1:25" s="88" customFormat="1" hidden="1" x14ac:dyDescent="0.25">
      <c r="A2209" s="481"/>
      <c r="B2209" s="288"/>
      <c r="C2209" s="334"/>
      <c r="D2209" s="286"/>
      <c r="E2209" s="876"/>
      <c r="F2209" s="499">
        <v>425</v>
      </c>
      <c r="G2209" s="492" t="s">
        <v>4144</v>
      </c>
      <c r="H2209" s="588"/>
      <c r="I2209" s="571"/>
      <c r="J2209" s="589"/>
      <c r="K2209" s="505"/>
      <c r="L2209" s="505"/>
      <c r="M2209" s="505"/>
      <c r="N2209" s="505"/>
      <c r="O2209" s="505"/>
      <c r="P2209" s="505"/>
      <c r="Q2209" s="505"/>
      <c r="R2209" s="505"/>
      <c r="S2209" s="505"/>
      <c r="T2209" s="505"/>
      <c r="U2209" s="505"/>
      <c r="V2209" s="505"/>
      <c r="W2209" s="505"/>
      <c r="X2209" s="505"/>
      <c r="Y2209" s="505"/>
    </row>
    <row r="2210" spans="1:25" s="88" customFormat="1" hidden="1" x14ac:dyDescent="0.25">
      <c r="A2210" s="481"/>
      <c r="B2210" s="288"/>
      <c r="C2210" s="334"/>
      <c r="D2210" s="286"/>
      <c r="E2210" s="876"/>
      <c r="F2210" s="499">
        <v>426</v>
      </c>
      <c r="G2210" s="492" t="s">
        <v>3787</v>
      </c>
      <c r="H2210" s="588"/>
      <c r="I2210" s="571"/>
      <c r="J2210" s="589"/>
      <c r="K2210" s="505"/>
      <c r="L2210" s="505"/>
      <c r="M2210" s="505"/>
      <c r="N2210" s="505"/>
      <c r="O2210" s="505"/>
      <c r="P2210" s="505"/>
      <c r="Q2210" s="505"/>
      <c r="R2210" s="505"/>
      <c r="S2210" s="505"/>
      <c r="T2210" s="505"/>
      <c r="U2210" s="505"/>
      <c r="V2210" s="505"/>
      <c r="W2210" s="505"/>
      <c r="X2210" s="505"/>
      <c r="Y2210" s="505"/>
    </row>
    <row r="2211" spans="1:25" s="88" customFormat="1" hidden="1" x14ac:dyDescent="0.25">
      <c r="A2211" s="481"/>
      <c r="B2211" s="288"/>
      <c r="C2211" s="334"/>
      <c r="D2211" s="286"/>
      <c r="E2211" s="876"/>
      <c r="F2211" s="499">
        <v>482</v>
      </c>
      <c r="G2211" s="492" t="s">
        <v>4154</v>
      </c>
      <c r="H2211" s="588"/>
      <c r="I2211" s="571"/>
      <c r="J2211" s="589"/>
      <c r="K2211" s="505"/>
      <c r="L2211" s="505"/>
      <c r="M2211" s="505"/>
      <c r="N2211" s="505"/>
      <c r="O2211" s="505"/>
      <c r="P2211" s="505"/>
      <c r="Q2211" s="505"/>
      <c r="R2211" s="505"/>
      <c r="S2211" s="505"/>
      <c r="T2211" s="505"/>
      <c r="U2211" s="505"/>
      <c r="V2211" s="505"/>
      <c r="W2211" s="505"/>
      <c r="X2211" s="505"/>
      <c r="Y2211" s="505"/>
    </row>
    <row r="2212" spans="1:25" s="88" customFormat="1" hidden="1" x14ac:dyDescent="0.25">
      <c r="A2212" s="481"/>
      <c r="B2212" s="288"/>
      <c r="C2212" s="334"/>
      <c r="D2212" s="286"/>
      <c r="E2212" s="876"/>
      <c r="F2212" s="499">
        <v>511</v>
      </c>
      <c r="G2212" s="496" t="s">
        <v>4158</v>
      </c>
      <c r="H2212" s="588"/>
      <c r="I2212" s="571"/>
      <c r="J2212" s="589"/>
      <c r="K2212" s="505"/>
      <c r="L2212" s="505"/>
      <c r="M2212" s="505"/>
      <c r="N2212" s="505"/>
      <c r="O2212" s="505"/>
      <c r="P2212" s="505"/>
      <c r="Q2212" s="505"/>
      <c r="R2212" s="505"/>
      <c r="S2212" s="505"/>
      <c r="T2212" s="505"/>
      <c r="U2212" s="505"/>
      <c r="V2212" s="505"/>
      <c r="W2212" s="505"/>
      <c r="X2212" s="505"/>
      <c r="Y2212" s="505"/>
    </row>
    <row r="2213" spans="1:25" s="88" customFormat="1" ht="15.75" hidden="1" thickBot="1" x14ac:dyDescent="0.3">
      <c r="A2213" s="481"/>
      <c r="B2213" s="288"/>
      <c r="C2213" s="334"/>
      <c r="D2213" s="286"/>
      <c r="E2213" s="876"/>
      <c r="F2213" s="499">
        <v>541</v>
      </c>
      <c r="G2213" s="496" t="s">
        <v>4164</v>
      </c>
      <c r="H2213" s="588"/>
      <c r="I2213" s="571"/>
      <c r="J2213" s="589"/>
      <c r="K2213" s="505"/>
      <c r="L2213" s="505"/>
      <c r="M2213" s="505"/>
      <c r="N2213" s="505"/>
      <c r="O2213" s="505"/>
      <c r="P2213" s="505"/>
      <c r="Q2213" s="505"/>
      <c r="R2213" s="505"/>
      <c r="S2213" s="505"/>
      <c r="T2213" s="505"/>
      <c r="U2213" s="505"/>
      <c r="V2213" s="505"/>
      <c r="W2213" s="505"/>
      <c r="X2213" s="505"/>
      <c r="Y2213" s="505"/>
    </row>
    <row r="2214" spans="1:25" hidden="1" x14ac:dyDescent="0.25">
      <c r="E2214" s="489"/>
      <c r="F2214" s="500"/>
      <c r="G2214" s="343" t="s">
        <v>4289</v>
      </c>
      <c r="H2214" s="557"/>
      <c r="I2214" s="583"/>
      <c r="J2214" s="558"/>
    </row>
    <row r="2215" spans="1:25" hidden="1" x14ac:dyDescent="0.25">
      <c r="E2215" s="693"/>
      <c r="F2215" s="284" t="s">
        <v>234</v>
      </c>
      <c r="G2215" s="287" t="s">
        <v>235</v>
      </c>
      <c r="H2215" s="559">
        <f>SUM(H2204:H2213)</f>
        <v>0</v>
      </c>
      <c r="I2215" s="560"/>
      <c r="J2215" s="560">
        <f t="shared" ref="J2215:J2230" si="76">SUM(H2215:I2215)</f>
        <v>0</v>
      </c>
    </row>
    <row r="2216" spans="1:25" hidden="1" x14ac:dyDescent="0.25">
      <c r="F2216" s="284" t="s">
        <v>236</v>
      </c>
      <c r="G2216" s="287" t="s">
        <v>237</v>
      </c>
      <c r="J2216" s="560">
        <f t="shared" si="76"/>
        <v>0</v>
      </c>
    </row>
    <row r="2217" spans="1:25" hidden="1" x14ac:dyDescent="0.25">
      <c r="F2217" s="284" t="s">
        <v>238</v>
      </c>
      <c r="G2217" s="287" t="s">
        <v>239</v>
      </c>
      <c r="J2217" s="560">
        <f t="shared" si="76"/>
        <v>0</v>
      </c>
    </row>
    <row r="2218" spans="1:25" hidden="1" x14ac:dyDescent="0.25">
      <c r="F2218" s="284" t="s">
        <v>240</v>
      </c>
      <c r="G2218" s="287" t="s">
        <v>241</v>
      </c>
      <c r="J2218" s="560">
        <f t="shared" si="76"/>
        <v>0</v>
      </c>
    </row>
    <row r="2219" spans="1:25" hidden="1" x14ac:dyDescent="0.25">
      <c r="F2219" s="284" t="s">
        <v>242</v>
      </c>
      <c r="G2219" s="287" t="s">
        <v>243</v>
      </c>
      <c r="J2219" s="560">
        <f t="shared" si="76"/>
        <v>0</v>
      </c>
    </row>
    <row r="2220" spans="1:25" hidden="1" x14ac:dyDescent="0.25">
      <c r="F2220" s="284" t="s">
        <v>244</v>
      </c>
      <c r="G2220" s="287" t="s">
        <v>245</v>
      </c>
      <c r="J2220" s="560">
        <f t="shared" si="76"/>
        <v>0</v>
      </c>
    </row>
    <row r="2221" spans="1:25" hidden="1" x14ac:dyDescent="0.25">
      <c r="F2221" s="284" t="s">
        <v>246</v>
      </c>
      <c r="G2221" s="598" t="s">
        <v>4996</v>
      </c>
      <c r="J2221" s="560">
        <f t="shared" si="76"/>
        <v>0</v>
      </c>
    </row>
    <row r="2222" spans="1:25" hidden="1" x14ac:dyDescent="0.25">
      <c r="F2222" s="284" t="s">
        <v>247</v>
      </c>
      <c r="G2222" s="598" t="s">
        <v>4995</v>
      </c>
      <c r="J2222" s="560">
        <f t="shared" si="76"/>
        <v>0</v>
      </c>
    </row>
    <row r="2223" spans="1:25" hidden="1" x14ac:dyDescent="0.25">
      <c r="F2223" s="284" t="s">
        <v>248</v>
      </c>
      <c r="G2223" s="287" t="s">
        <v>57</v>
      </c>
      <c r="J2223" s="560">
        <f t="shared" si="76"/>
        <v>0</v>
      </c>
    </row>
    <row r="2224" spans="1:25" hidden="1" x14ac:dyDescent="0.25">
      <c r="F2224" s="284" t="s">
        <v>249</v>
      </c>
      <c r="G2224" s="287" t="s">
        <v>250</v>
      </c>
      <c r="J2224" s="560">
        <f t="shared" si="76"/>
        <v>0</v>
      </c>
    </row>
    <row r="2225" spans="5:10" hidden="1" x14ac:dyDescent="0.25">
      <c r="F2225" s="284" t="s">
        <v>251</v>
      </c>
      <c r="G2225" s="287" t="s">
        <v>252</v>
      </c>
      <c r="J2225" s="560">
        <f t="shared" si="76"/>
        <v>0</v>
      </c>
    </row>
    <row r="2226" spans="5:10" ht="30" hidden="1" x14ac:dyDescent="0.25">
      <c r="F2226" s="284" t="s">
        <v>253</v>
      </c>
      <c r="G2226" s="287" t="s">
        <v>254</v>
      </c>
      <c r="J2226" s="560">
        <f t="shared" si="76"/>
        <v>0</v>
      </c>
    </row>
    <row r="2227" spans="5:10" hidden="1" x14ac:dyDescent="0.25">
      <c r="F2227" s="284" t="s">
        <v>255</v>
      </c>
      <c r="G2227" s="287" t="s">
        <v>256</v>
      </c>
      <c r="J2227" s="560">
        <f t="shared" si="76"/>
        <v>0</v>
      </c>
    </row>
    <row r="2228" spans="5:10" ht="30" hidden="1" x14ac:dyDescent="0.25">
      <c r="F2228" s="284" t="s">
        <v>257</v>
      </c>
      <c r="G2228" s="287" t="s">
        <v>258</v>
      </c>
      <c r="J2228" s="560">
        <f t="shared" si="76"/>
        <v>0</v>
      </c>
    </row>
    <row r="2229" spans="5:10" hidden="1" x14ac:dyDescent="0.25">
      <c r="F2229" s="284" t="s">
        <v>259</v>
      </c>
      <c r="G2229" s="287" t="s">
        <v>260</v>
      </c>
      <c r="J2229" s="560">
        <f t="shared" si="76"/>
        <v>0</v>
      </c>
    </row>
    <row r="2230" spans="5:10" ht="15.75" hidden="1" thickBot="1" x14ac:dyDescent="0.3">
      <c r="F2230" s="284" t="s">
        <v>261</v>
      </c>
      <c r="G2230" s="287" t="s">
        <v>262</v>
      </c>
      <c r="H2230" s="559"/>
      <c r="I2230" s="560"/>
      <c r="J2230" s="560">
        <f t="shared" si="76"/>
        <v>0</v>
      </c>
    </row>
    <row r="2231" spans="5:10" ht="15.75" hidden="1" thickBot="1" x14ac:dyDescent="0.3">
      <c r="G2231" s="268" t="s">
        <v>4290</v>
      </c>
      <c r="H2231" s="561">
        <f>SUM(H2215:H2230)</f>
        <v>0</v>
      </c>
      <c r="I2231" s="562">
        <f>SUM(I2216:I2230)</f>
        <v>0</v>
      </c>
      <c r="J2231" s="562">
        <f>SUM(J2215:J2230)</f>
        <v>0</v>
      </c>
    </row>
    <row r="2232" spans="5:10" ht="28.5" hidden="1" collapsed="1" x14ac:dyDescent="0.25">
      <c r="E2232" s="489"/>
      <c r="F2232" s="500"/>
      <c r="G2232" s="270" t="s">
        <v>4333</v>
      </c>
      <c r="H2232" s="563"/>
      <c r="I2232" s="584"/>
      <c r="J2232" s="564"/>
    </row>
    <row r="2233" spans="5:10" hidden="1" x14ac:dyDescent="0.25">
      <c r="E2233" s="693"/>
      <c r="F2233" s="284" t="s">
        <v>234</v>
      </c>
      <c r="G2233" s="287" t="s">
        <v>235</v>
      </c>
      <c r="H2233" s="559">
        <f>SUM(H2204:H2213)</f>
        <v>0</v>
      </c>
      <c r="I2233" s="560"/>
      <c r="J2233" s="560">
        <f>SUM(H2233:I2233)</f>
        <v>0</v>
      </c>
    </row>
    <row r="2234" spans="5:10" hidden="1" x14ac:dyDescent="0.25">
      <c r="F2234" s="284" t="s">
        <v>236</v>
      </c>
      <c r="G2234" s="287" t="s">
        <v>237</v>
      </c>
      <c r="J2234" s="560">
        <f t="shared" ref="J2234:J2248" si="77">SUM(H2234:I2234)</f>
        <v>0</v>
      </c>
    </row>
    <row r="2235" spans="5:10" hidden="1" x14ac:dyDescent="0.25">
      <c r="F2235" s="284" t="s">
        <v>238</v>
      </c>
      <c r="G2235" s="287" t="s">
        <v>239</v>
      </c>
      <c r="J2235" s="560">
        <f t="shared" si="77"/>
        <v>0</v>
      </c>
    </row>
    <row r="2236" spans="5:10" hidden="1" x14ac:dyDescent="0.25">
      <c r="F2236" s="284" t="s">
        <v>240</v>
      </c>
      <c r="G2236" s="287" t="s">
        <v>241</v>
      </c>
      <c r="J2236" s="560">
        <f t="shared" si="77"/>
        <v>0</v>
      </c>
    </row>
    <row r="2237" spans="5:10" hidden="1" x14ac:dyDescent="0.25">
      <c r="F2237" s="284" t="s">
        <v>242</v>
      </c>
      <c r="G2237" s="287" t="s">
        <v>243</v>
      </c>
      <c r="J2237" s="560">
        <f t="shared" si="77"/>
        <v>0</v>
      </c>
    </row>
    <row r="2238" spans="5:10" hidden="1" x14ac:dyDescent="0.25">
      <c r="F2238" s="284" t="s">
        <v>244</v>
      </c>
      <c r="G2238" s="287" t="s">
        <v>245</v>
      </c>
      <c r="J2238" s="560">
        <f t="shared" si="77"/>
        <v>0</v>
      </c>
    </row>
    <row r="2239" spans="5:10" hidden="1" x14ac:dyDescent="0.25">
      <c r="F2239" s="284" t="s">
        <v>246</v>
      </c>
      <c r="G2239" s="598" t="s">
        <v>4996</v>
      </c>
      <c r="J2239" s="560">
        <f t="shared" si="77"/>
        <v>0</v>
      </c>
    </row>
    <row r="2240" spans="5:10" hidden="1" x14ac:dyDescent="0.25">
      <c r="F2240" s="284" t="s">
        <v>247</v>
      </c>
      <c r="G2240" s="598" t="s">
        <v>4995</v>
      </c>
      <c r="J2240" s="560">
        <f t="shared" si="77"/>
        <v>0</v>
      </c>
    </row>
    <row r="2241" spans="5:25" hidden="1" x14ac:dyDescent="0.25">
      <c r="F2241" s="284" t="s">
        <v>248</v>
      </c>
      <c r="G2241" s="287" t="s">
        <v>57</v>
      </c>
      <c r="J2241" s="560">
        <f t="shared" si="77"/>
        <v>0</v>
      </c>
    </row>
    <row r="2242" spans="5:25" hidden="1" x14ac:dyDescent="0.25">
      <c r="F2242" s="284" t="s">
        <v>249</v>
      </c>
      <c r="G2242" s="287" t="s">
        <v>250</v>
      </c>
      <c r="J2242" s="560">
        <f t="shared" si="77"/>
        <v>0</v>
      </c>
    </row>
    <row r="2243" spans="5:25" hidden="1" x14ac:dyDescent="0.25">
      <c r="F2243" s="284" t="s">
        <v>251</v>
      </c>
      <c r="G2243" s="287" t="s">
        <v>252</v>
      </c>
      <c r="J2243" s="560">
        <f t="shared" si="77"/>
        <v>0</v>
      </c>
    </row>
    <row r="2244" spans="5:25" ht="30" hidden="1" x14ac:dyDescent="0.25">
      <c r="F2244" s="284" t="s">
        <v>253</v>
      </c>
      <c r="G2244" s="287" t="s">
        <v>254</v>
      </c>
      <c r="J2244" s="560">
        <f t="shared" si="77"/>
        <v>0</v>
      </c>
    </row>
    <row r="2245" spans="5:25" hidden="1" x14ac:dyDescent="0.25">
      <c r="F2245" s="284" t="s">
        <v>255</v>
      </c>
      <c r="G2245" s="287" t="s">
        <v>256</v>
      </c>
      <c r="J2245" s="560">
        <f t="shared" si="77"/>
        <v>0</v>
      </c>
    </row>
    <row r="2246" spans="5:25" ht="30" hidden="1" x14ac:dyDescent="0.25">
      <c r="F2246" s="284" t="s">
        <v>257</v>
      </c>
      <c r="G2246" s="287" t="s">
        <v>258</v>
      </c>
      <c r="J2246" s="560">
        <f t="shared" si="77"/>
        <v>0</v>
      </c>
    </row>
    <row r="2247" spans="5:25" hidden="1" x14ac:dyDescent="0.25">
      <c r="F2247" s="284" t="s">
        <v>259</v>
      </c>
      <c r="G2247" s="287" t="s">
        <v>260</v>
      </c>
      <c r="J2247" s="560">
        <f t="shared" si="77"/>
        <v>0</v>
      </c>
    </row>
    <row r="2248" spans="5:25" ht="15.75" hidden="1" thickBot="1" x14ac:dyDescent="0.3">
      <c r="F2248" s="284" t="s">
        <v>261</v>
      </c>
      <c r="G2248" s="287" t="s">
        <v>262</v>
      </c>
      <c r="H2248" s="559"/>
      <c r="I2248" s="560"/>
      <c r="J2248" s="560">
        <f t="shared" si="77"/>
        <v>0</v>
      </c>
    </row>
    <row r="2249" spans="5:25" ht="15.75" hidden="1" collapsed="1" thickBot="1" x14ac:dyDescent="0.3">
      <c r="G2249" s="268" t="s">
        <v>4334</v>
      </c>
      <c r="H2249" s="561">
        <f>SUM(H2233:H2248)</f>
        <v>0</v>
      </c>
      <c r="I2249" s="562">
        <f>SUM(I2234:I2248)</f>
        <v>0</v>
      </c>
      <c r="J2249" s="562">
        <f>SUM(J2233:J2248)</f>
        <v>0</v>
      </c>
    </row>
    <row r="2250" spans="5:25" hidden="1" x14ac:dyDescent="0.25">
      <c r="G2250" s="312"/>
      <c r="H2250" s="565"/>
      <c r="I2250" s="566"/>
      <c r="J2250" s="566"/>
    </row>
    <row r="2251" spans="5:25" s="88" customFormat="1" hidden="1" x14ac:dyDescent="0.25">
      <c r="E2251" s="877"/>
      <c r="K2251" s="505"/>
      <c r="L2251" s="505"/>
      <c r="M2251" s="505"/>
      <c r="N2251" s="505"/>
      <c r="O2251" s="505"/>
      <c r="P2251" s="505"/>
      <c r="Q2251" s="505"/>
      <c r="R2251" s="505"/>
      <c r="S2251" s="505"/>
      <c r="T2251" s="505"/>
      <c r="U2251" s="505"/>
      <c r="V2251" s="505"/>
      <c r="W2251" s="505"/>
      <c r="X2251" s="505"/>
      <c r="Y2251" s="505"/>
    </row>
    <row r="2252" spans="5:25" s="88" customFormat="1" hidden="1" x14ac:dyDescent="0.25">
      <c r="E2252" s="877"/>
      <c r="K2252" s="505"/>
      <c r="L2252" s="505"/>
      <c r="M2252" s="505"/>
      <c r="N2252" s="505"/>
      <c r="O2252" s="505"/>
      <c r="P2252" s="505"/>
      <c r="Q2252" s="505"/>
      <c r="R2252" s="505"/>
      <c r="S2252" s="505"/>
      <c r="T2252" s="505"/>
      <c r="U2252" s="505"/>
      <c r="V2252" s="505"/>
      <c r="W2252" s="505"/>
      <c r="X2252" s="505"/>
      <c r="Y2252" s="505"/>
    </row>
    <row r="2253" spans="5:25" s="88" customFormat="1" hidden="1" x14ac:dyDescent="0.25">
      <c r="E2253" s="877"/>
      <c r="K2253" s="505"/>
      <c r="L2253" s="505"/>
      <c r="M2253" s="505"/>
      <c r="N2253" s="505"/>
      <c r="O2253" s="505"/>
      <c r="P2253" s="505"/>
      <c r="Q2253" s="505"/>
      <c r="R2253" s="505"/>
      <c r="S2253" s="505"/>
      <c r="T2253" s="505"/>
      <c r="U2253" s="505"/>
      <c r="V2253" s="505"/>
      <c r="W2253" s="505"/>
      <c r="X2253" s="505"/>
      <c r="Y2253" s="505"/>
    </row>
    <row r="2254" spans="5:25" s="88" customFormat="1" hidden="1" x14ac:dyDescent="0.25">
      <c r="E2254" s="877"/>
      <c r="K2254" s="505"/>
      <c r="L2254" s="505"/>
      <c r="M2254" s="505"/>
      <c r="N2254" s="505"/>
      <c r="O2254" s="505"/>
      <c r="P2254" s="505"/>
      <c r="Q2254" s="505"/>
      <c r="R2254" s="505"/>
      <c r="S2254" s="505"/>
      <c r="T2254" s="505"/>
      <c r="U2254" s="505"/>
      <c r="V2254" s="505"/>
      <c r="W2254" s="505"/>
      <c r="X2254" s="505"/>
      <c r="Y2254" s="505"/>
    </row>
    <row r="2255" spans="5:25" s="88" customFormat="1" hidden="1" x14ac:dyDescent="0.25">
      <c r="E2255" s="877"/>
      <c r="K2255" s="505"/>
      <c r="L2255" s="505"/>
      <c r="M2255" s="505"/>
      <c r="N2255" s="505"/>
      <c r="O2255" s="505"/>
      <c r="P2255" s="505"/>
      <c r="Q2255" s="505"/>
      <c r="R2255" s="505"/>
      <c r="S2255" s="505"/>
      <c r="T2255" s="505"/>
      <c r="U2255" s="505"/>
      <c r="V2255" s="505"/>
      <c r="W2255" s="505"/>
      <c r="X2255" s="505"/>
      <c r="Y2255" s="505"/>
    </row>
    <row r="2256" spans="5:25" s="88" customFormat="1" hidden="1" x14ac:dyDescent="0.25">
      <c r="E2256" s="877"/>
      <c r="K2256" s="505"/>
      <c r="L2256" s="505"/>
      <c r="M2256" s="505"/>
      <c r="N2256" s="505"/>
      <c r="O2256" s="505"/>
      <c r="P2256" s="505"/>
      <c r="Q2256" s="505"/>
      <c r="R2256" s="505"/>
      <c r="S2256" s="505"/>
      <c r="T2256" s="505"/>
      <c r="U2256" s="505"/>
      <c r="V2256" s="505"/>
      <c r="W2256" s="505"/>
      <c r="X2256" s="505"/>
      <c r="Y2256" s="505"/>
    </row>
    <row r="2257" spans="1:10" hidden="1" x14ac:dyDescent="0.25">
      <c r="A2257" s="84"/>
      <c r="B2257" s="84"/>
      <c r="C2257" s="84"/>
      <c r="D2257" s="84"/>
      <c r="E2257" s="878"/>
      <c r="F2257" s="84"/>
      <c r="G2257" s="84"/>
      <c r="H2257" s="84"/>
      <c r="I2257" s="84"/>
      <c r="J2257" s="84"/>
    </row>
    <row r="2258" spans="1:10" hidden="1" x14ac:dyDescent="0.25">
      <c r="A2258" s="84"/>
      <c r="B2258" s="84"/>
      <c r="C2258" s="84"/>
      <c r="D2258" s="84"/>
      <c r="E2258" s="878"/>
      <c r="F2258" s="84"/>
      <c r="G2258" s="84"/>
      <c r="H2258" s="84"/>
      <c r="I2258" s="84"/>
      <c r="J2258" s="84"/>
    </row>
    <row r="2259" spans="1:10" hidden="1" x14ac:dyDescent="0.25">
      <c r="A2259" s="84"/>
      <c r="B2259" s="84"/>
      <c r="C2259" s="84"/>
      <c r="D2259" s="84"/>
      <c r="E2259" s="878"/>
      <c r="F2259" s="84"/>
      <c r="G2259" s="84"/>
      <c r="H2259" s="84"/>
      <c r="I2259" s="84"/>
      <c r="J2259" s="84"/>
    </row>
    <row r="2260" spans="1:10" hidden="1" x14ac:dyDescent="0.25">
      <c r="A2260" s="84"/>
      <c r="B2260" s="84"/>
      <c r="C2260" s="84"/>
      <c r="D2260" s="84"/>
      <c r="E2260" s="878"/>
      <c r="F2260" s="84"/>
      <c r="G2260" s="84"/>
      <c r="H2260" s="84"/>
      <c r="I2260" s="84"/>
      <c r="J2260" s="84"/>
    </row>
    <row r="2261" spans="1:10" hidden="1" x14ac:dyDescent="0.25">
      <c r="A2261" s="84"/>
      <c r="B2261" s="84"/>
      <c r="C2261" s="84"/>
      <c r="D2261" s="84"/>
      <c r="E2261" s="878"/>
      <c r="F2261" s="84"/>
      <c r="G2261" s="84"/>
      <c r="H2261" s="84"/>
      <c r="I2261" s="84"/>
      <c r="J2261" s="84"/>
    </row>
    <row r="2262" spans="1:10" hidden="1" x14ac:dyDescent="0.25">
      <c r="A2262" s="84"/>
      <c r="B2262" s="84"/>
      <c r="C2262" s="84"/>
      <c r="D2262" s="84"/>
      <c r="E2262" s="878"/>
      <c r="F2262" s="84"/>
      <c r="G2262" s="84"/>
      <c r="H2262" s="84"/>
      <c r="I2262" s="84"/>
      <c r="J2262" s="84"/>
    </row>
    <row r="2263" spans="1:10" hidden="1" x14ac:dyDescent="0.25">
      <c r="A2263" s="84"/>
      <c r="B2263" s="84"/>
      <c r="C2263" s="84"/>
      <c r="D2263" s="84"/>
      <c r="E2263" s="878"/>
      <c r="F2263" s="84"/>
      <c r="G2263" s="84"/>
      <c r="H2263" s="84"/>
      <c r="I2263" s="84"/>
      <c r="J2263" s="84"/>
    </row>
    <row r="2264" spans="1:10" hidden="1" x14ac:dyDescent="0.25">
      <c r="A2264" s="84"/>
      <c r="B2264" s="84"/>
      <c r="C2264" s="84"/>
      <c r="D2264" s="84"/>
      <c r="E2264" s="878"/>
      <c r="F2264" s="84"/>
      <c r="G2264" s="84"/>
      <c r="H2264" s="84"/>
      <c r="I2264" s="84"/>
      <c r="J2264" s="84"/>
    </row>
    <row r="2265" spans="1:10" hidden="1" x14ac:dyDescent="0.25">
      <c r="A2265" s="84"/>
      <c r="B2265" s="84"/>
      <c r="C2265" s="84"/>
      <c r="D2265" s="84"/>
      <c r="E2265" s="878"/>
      <c r="F2265" s="84"/>
      <c r="G2265" s="84"/>
      <c r="H2265" s="84"/>
      <c r="I2265" s="84"/>
      <c r="J2265" s="84"/>
    </row>
    <row r="2266" spans="1:10" hidden="1" x14ac:dyDescent="0.25">
      <c r="A2266" s="84"/>
      <c r="B2266" s="84"/>
      <c r="C2266" s="84"/>
      <c r="D2266" s="84"/>
      <c r="E2266" s="878"/>
      <c r="F2266" s="84"/>
      <c r="G2266" s="84"/>
      <c r="H2266" s="84"/>
      <c r="I2266" s="84"/>
      <c r="J2266" s="84"/>
    </row>
    <row r="2267" spans="1:10" hidden="1" x14ac:dyDescent="0.25">
      <c r="A2267" s="84"/>
      <c r="B2267" s="84"/>
      <c r="C2267" s="84"/>
      <c r="D2267" s="84"/>
      <c r="E2267" s="878"/>
      <c r="F2267" s="84"/>
      <c r="G2267" s="84"/>
      <c r="H2267" s="84"/>
      <c r="I2267" s="84"/>
      <c r="J2267" s="84"/>
    </row>
    <row r="2268" spans="1:10" hidden="1" x14ac:dyDescent="0.25">
      <c r="A2268" s="84"/>
      <c r="B2268" s="84"/>
      <c r="C2268" s="84"/>
      <c r="D2268" s="84"/>
      <c r="E2268" s="878"/>
      <c r="F2268" s="84"/>
      <c r="G2268" s="84"/>
      <c r="H2268" s="84"/>
      <c r="I2268" s="84"/>
      <c r="J2268" s="84"/>
    </row>
    <row r="2269" spans="1:10" hidden="1" x14ac:dyDescent="0.25">
      <c r="A2269" s="84"/>
      <c r="B2269" s="84"/>
      <c r="C2269" s="84"/>
      <c r="D2269" s="84"/>
      <c r="E2269" s="878"/>
      <c r="F2269" s="84"/>
      <c r="G2269" s="84"/>
      <c r="H2269" s="84"/>
      <c r="I2269" s="84"/>
      <c r="J2269" s="84"/>
    </row>
    <row r="2270" spans="1:10" hidden="1" x14ac:dyDescent="0.25">
      <c r="A2270" s="84"/>
      <c r="B2270" s="84"/>
      <c r="C2270" s="84"/>
      <c r="D2270" s="84"/>
      <c r="E2270" s="878"/>
      <c r="F2270" s="84"/>
      <c r="G2270" s="84"/>
      <c r="H2270" s="84"/>
      <c r="I2270" s="84"/>
      <c r="J2270" s="84"/>
    </row>
    <row r="2271" spans="1:10" hidden="1" x14ac:dyDescent="0.25">
      <c r="A2271" s="84"/>
      <c r="B2271" s="84"/>
      <c r="C2271" s="84"/>
      <c r="D2271" s="84"/>
      <c r="E2271" s="878"/>
      <c r="F2271" s="84"/>
      <c r="G2271" s="84"/>
      <c r="H2271" s="84"/>
      <c r="I2271" s="84"/>
      <c r="J2271" s="84"/>
    </row>
    <row r="2272" spans="1:10" hidden="1" x14ac:dyDescent="0.25">
      <c r="A2272" s="84"/>
      <c r="B2272" s="84"/>
      <c r="C2272" s="84"/>
      <c r="D2272" s="84"/>
      <c r="E2272" s="878"/>
      <c r="F2272" s="84"/>
      <c r="G2272" s="84"/>
      <c r="H2272" s="84"/>
      <c r="I2272" s="84"/>
      <c r="J2272" s="84"/>
    </row>
    <row r="2273" spans="1:10" hidden="1" x14ac:dyDescent="0.25">
      <c r="A2273" s="84"/>
      <c r="B2273" s="84"/>
      <c r="C2273" s="84"/>
      <c r="D2273" s="84"/>
      <c r="E2273" s="878"/>
      <c r="F2273" s="84"/>
      <c r="G2273" s="84"/>
      <c r="H2273" s="84"/>
      <c r="I2273" s="84"/>
      <c r="J2273" s="84"/>
    </row>
    <row r="2274" spans="1:10" hidden="1" x14ac:dyDescent="0.25">
      <c r="A2274" s="84"/>
      <c r="B2274" s="84"/>
      <c r="C2274" s="84"/>
      <c r="D2274" s="84"/>
      <c r="E2274" s="878"/>
      <c r="F2274" s="84"/>
      <c r="G2274" s="84"/>
      <c r="H2274" s="84"/>
      <c r="I2274" s="84"/>
      <c r="J2274" s="84"/>
    </row>
    <row r="2275" spans="1:10" hidden="1" collapsed="1" x14ac:dyDescent="0.25">
      <c r="A2275" s="84"/>
      <c r="B2275" s="84"/>
      <c r="C2275" s="84"/>
      <c r="D2275" s="84"/>
      <c r="E2275" s="878"/>
      <c r="F2275" s="84"/>
      <c r="G2275" s="84"/>
      <c r="H2275" s="84"/>
      <c r="I2275" s="84"/>
      <c r="J2275" s="84"/>
    </row>
    <row r="2276" spans="1:10" hidden="1" x14ac:dyDescent="0.25">
      <c r="A2276" s="84"/>
      <c r="B2276" s="84"/>
      <c r="C2276" s="84"/>
      <c r="D2276" s="84"/>
      <c r="E2276" s="878"/>
      <c r="F2276" s="84"/>
      <c r="G2276" s="84"/>
      <c r="H2276" s="84"/>
      <c r="I2276" s="84"/>
      <c r="J2276" s="84"/>
    </row>
    <row r="2277" spans="1:10" hidden="1" x14ac:dyDescent="0.25">
      <c r="A2277" s="84"/>
      <c r="B2277" s="84"/>
      <c r="C2277" s="84"/>
      <c r="D2277" s="84"/>
      <c r="E2277" s="878"/>
      <c r="F2277" s="84"/>
      <c r="G2277" s="84"/>
      <c r="H2277" s="84"/>
      <c r="I2277" s="84"/>
      <c r="J2277" s="84"/>
    </row>
    <row r="2278" spans="1:10" hidden="1" x14ac:dyDescent="0.25">
      <c r="A2278" s="84"/>
      <c r="B2278" s="84"/>
      <c r="C2278" s="84"/>
      <c r="D2278" s="84"/>
      <c r="E2278" s="878"/>
      <c r="F2278" s="84"/>
      <c r="G2278" s="84"/>
      <c r="H2278" s="84"/>
      <c r="I2278" s="84"/>
      <c r="J2278" s="84"/>
    </row>
    <row r="2279" spans="1:10" hidden="1" x14ac:dyDescent="0.25">
      <c r="A2279" s="84"/>
      <c r="B2279" s="84"/>
      <c r="C2279" s="84"/>
      <c r="D2279" s="84"/>
      <c r="E2279" s="878"/>
      <c r="F2279" s="84"/>
      <c r="G2279" s="84"/>
      <c r="H2279" s="84"/>
      <c r="I2279" s="84"/>
      <c r="J2279" s="84"/>
    </row>
    <row r="2280" spans="1:10" hidden="1" x14ac:dyDescent="0.25">
      <c r="A2280" s="84"/>
      <c r="B2280" s="84"/>
      <c r="C2280" s="84"/>
      <c r="D2280" s="84"/>
      <c r="E2280" s="878"/>
      <c r="F2280" s="84"/>
      <c r="G2280" s="84"/>
      <c r="H2280" s="84"/>
      <c r="I2280" s="84"/>
      <c r="J2280" s="84"/>
    </row>
    <row r="2281" spans="1:10" hidden="1" x14ac:dyDescent="0.25">
      <c r="A2281" s="84"/>
      <c r="B2281" s="84"/>
      <c r="C2281" s="84"/>
      <c r="D2281" s="84"/>
      <c r="E2281" s="878"/>
      <c r="F2281" s="84"/>
      <c r="G2281" s="84"/>
      <c r="H2281" s="84"/>
      <c r="I2281" s="84"/>
      <c r="J2281" s="84"/>
    </row>
    <row r="2282" spans="1:10" hidden="1" x14ac:dyDescent="0.25">
      <c r="A2282" s="84"/>
      <c r="B2282" s="84"/>
      <c r="C2282" s="84"/>
      <c r="D2282" s="84"/>
      <c r="E2282" s="878"/>
      <c r="F2282" s="84"/>
      <c r="G2282" s="84"/>
      <c r="H2282" s="84"/>
      <c r="I2282" s="84"/>
      <c r="J2282" s="84"/>
    </row>
    <row r="2283" spans="1:10" hidden="1" x14ac:dyDescent="0.25">
      <c r="A2283" s="84"/>
      <c r="B2283" s="84"/>
      <c r="C2283" s="84"/>
      <c r="D2283" s="84"/>
      <c r="E2283" s="878"/>
      <c r="F2283" s="84"/>
      <c r="G2283" s="84"/>
      <c r="H2283" s="84"/>
      <c r="I2283" s="84"/>
      <c r="J2283" s="84"/>
    </row>
    <row r="2284" spans="1:10" hidden="1" x14ac:dyDescent="0.25">
      <c r="A2284" s="84"/>
      <c r="B2284" s="84"/>
      <c r="C2284" s="84"/>
      <c r="D2284" s="84"/>
      <c r="E2284" s="878"/>
      <c r="F2284" s="84"/>
      <c r="G2284" s="84"/>
      <c r="H2284" s="84"/>
      <c r="I2284" s="84"/>
      <c r="J2284" s="84"/>
    </row>
    <row r="2285" spans="1:10" hidden="1" x14ac:dyDescent="0.25">
      <c r="A2285" s="84"/>
      <c r="B2285" s="84"/>
      <c r="C2285" s="84"/>
      <c r="D2285" s="84"/>
      <c r="E2285" s="878"/>
      <c r="F2285" s="84"/>
      <c r="G2285" s="84"/>
      <c r="H2285" s="84"/>
      <c r="I2285" s="84"/>
      <c r="J2285" s="84"/>
    </row>
    <row r="2286" spans="1:10" hidden="1" x14ac:dyDescent="0.25">
      <c r="A2286" s="84"/>
      <c r="B2286" s="84"/>
      <c r="C2286" s="84"/>
      <c r="D2286" s="84"/>
      <c r="E2286" s="878"/>
      <c r="F2286" s="84"/>
      <c r="G2286" s="84"/>
      <c r="H2286" s="84"/>
      <c r="I2286" s="84"/>
      <c r="J2286" s="84"/>
    </row>
    <row r="2287" spans="1:10" hidden="1" x14ac:dyDescent="0.25">
      <c r="A2287" s="84"/>
      <c r="B2287" s="84"/>
      <c r="C2287" s="84"/>
      <c r="D2287" s="84"/>
      <c r="E2287" s="878"/>
      <c r="F2287" s="84"/>
      <c r="G2287" s="84"/>
      <c r="H2287" s="84"/>
      <c r="I2287" s="84"/>
      <c r="J2287" s="84"/>
    </row>
    <row r="2288" spans="1:10" hidden="1" x14ac:dyDescent="0.25">
      <c r="A2288" s="84"/>
      <c r="B2288" s="84"/>
      <c r="C2288" s="84"/>
      <c r="D2288" s="84"/>
      <c r="E2288" s="878"/>
      <c r="F2288" s="84"/>
      <c r="G2288" s="84"/>
      <c r="H2288" s="84"/>
      <c r="I2288" s="84"/>
      <c r="J2288" s="84"/>
    </row>
    <row r="2289" spans="1:25" hidden="1" x14ac:dyDescent="0.25">
      <c r="A2289" s="84"/>
      <c r="B2289" s="84"/>
      <c r="C2289" s="84"/>
      <c r="D2289" s="84"/>
      <c r="E2289" s="878"/>
      <c r="F2289" s="84"/>
      <c r="G2289" s="84"/>
      <c r="H2289" s="84"/>
      <c r="I2289" s="84"/>
      <c r="J2289" s="84"/>
    </row>
    <row r="2290" spans="1:25" hidden="1" x14ac:dyDescent="0.25">
      <c r="A2290" s="84"/>
      <c r="B2290" s="84"/>
      <c r="C2290" s="84"/>
      <c r="D2290" s="84"/>
      <c r="E2290" s="878"/>
      <c r="F2290" s="84"/>
      <c r="G2290" s="84"/>
      <c r="H2290" s="84"/>
      <c r="I2290" s="84"/>
      <c r="J2290" s="84"/>
    </row>
    <row r="2291" spans="1:25" hidden="1" x14ac:dyDescent="0.25">
      <c r="A2291" s="84"/>
      <c r="B2291" s="84"/>
      <c r="C2291" s="84"/>
      <c r="D2291" s="84"/>
      <c r="E2291" s="878"/>
      <c r="F2291" s="84"/>
      <c r="G2291" s="84"/>
      <c r="H2291" s="84"/>
      <c r="I2291" s="84"/>
      <c r="J2291" s="84"/>
    </row>
    <row r="2292" spans="1:25" hidden="1" x14ac:dyDescent="0.25">
      <c r="A2292" s="84"/>
      <c r="B2292" s="84"/>
      <c r="C2292" s="84"/>
      <c r="D2292" s="84"/>
      <c r="E2292" s="878"/>
      <c r="F2292" s="84"/>
      <c r="G2292" s="84"/>
      <c r="H2292" s="84"/>
      <c r="I2292" s="84"/>
      <c r="J2292" s="84"/>
    </row>
    <row r="2293" spans="1:25" s="88" customFormat="1" ht="0.75" customHeight="1" x14ac:dyDescent="0.25">
      <c r="A2293" s="290"/>
      <c r="B2293" s="288"/>
      <c r="C2293" s="334"/>
      <c r="D2293" s="286"/>
      <c r="E2293" s="876"/>
      <c r="F2293" s="289"/>
      <c r="G2293" s="318"/>
      <c r="H2293" s="588"/>
      <c r="I2293" s="571"/>
      <c r="J2293" s="589"/>
      <c r="K2293" s="505"/>
      <c r="L2293" s="505"/>
      <c r="M2293" s="505"/>
      <c r="N2293" s="505"/>
      <c r="O2293" s="505"/>
      <c r="P2293" s="505"/>
      <c r="Q2293" s="505"/>
      <c r="R2293" s="505"/>
      <c r="S2293" s="505"/>
      <c r="T2293" s="505"/>
      <c r="U2293" s="505"/>
      <c r="V2293" s="505"/>
      <c r="W2293" s="505"/>
      <c r="X2293" s="505"/>
      <c r="Y2293" s="505"/>
    </row>
    <row r="2294" spans="1:25" customFormat="1" ht="0.75" customHeight="1" x14ac:dyDescent="0.25">
      <c r="E2294" s="872"/>
    </row>
    <row r="2295" spans="1:25" customFormat="1" ht="0.75" customHeight="1" x14ac:dyDescent="0.25">
      <c r="E2295" s="872"/>
    </row>
    <row r="2296" spans="1:25" s="88" customFormat="1" x14ac:dyDescent="0.25">
      <c r="A2296" s="290"/>
      <c r="B2296" s="288"/>
      <c r="C2296" s="334"/>
      <c r="D2296" s="286"/>
      <c r="E2296" s="876"/>
      <c r="F2296" s="293"/>
      <c r="G2296" s="285" t="s">
        <v>4167</v>
      </c>
      <c r="H2296" s="567"/>
      <c r="I2296" s="585"/>
      <c r="J2296" s="568"/>
      <c r="K2296" s="505"/>
      <c r="L2296" s="505"/>
      <c r="M2296" s="505"/>
      <c r="N2296" s="505"/>
      <c r="O2296" s="505"/>
      <c r="P2296" s="505"/>
      <c r="Q2296" s="505"/>
      <c r="R2296" s="505"/>
      <c r="S2296" s="505"/>
      <c r="T2296" s="505"/>
      <c r="U2296" s="505"/>
      <c r="V2296" s="505"/>
      <c r="W2296" s="505"/>
      <c r="X2296" s="505"/>
      <c r="Y2296" s="505"/>
    </row>
    <row r="2297" spans="1:25" s="88" customFormat="1" x14ac:dyDescent="0.25">
      <c r="A2297" s="290"/>
      <c r="B2297" s="288"/>
      <c r="C2297" s="334"/>
      <c r="D2297" s="286"/>
      <c r="E2297" s="876"/>
      <c r="F2297" s="284" t="s">
        <v>234</v>
      </c>
      <c r="G2297" s="287" t="s">
        <v>235</v>
      </c>
      <c r="H2297" s="559">
        <f>SUM(H1357,H1161,H2127,H2029,H1848,H1750,H1652,H1554,H1456,H1931,H1890,H1061)</f>
        <v>89476000</v>
      </c>
      <c r="I2297" s="560"/>
      <c r="J2297" s="560">
        <f>SUM(H2297:I2297)</f>
        <v>89476000</v>
      </c>
      <c r="K2297" s="505"/>
      <c r="L2297" s="505"/>
      <c r="M2297" s="505"/>
      <c r="N2297" s="505"/>
      <c r="O2297" s="505"/>
      <c r="P2297" s="505"/>
      <c r="Q2297" s="505"/>
      <c r="R2297" s="505"/>
      <c r="S2297" s="505"/>
      <c r="T2297" s="505"/>
      <c r="U2297" s="505"/>
      <c r="V2297" s="505"/>
      <c r="W2297" s="505"/>
      <c r="X2297" s="505"/>
      <c r="Y2297" s="505"/>
    </row>
    <row r="2298" spans="1:25" s="88" customFormat="1" hidden="1" x14ac:dyDescent="0.25">
      <c r="A2298" s="290"/>
      <c r="B2298" s="288"/>
      <c r="C2298" s="334"/>
      <c r="D2298" s="286"/>
      <c r="E2298" s="876"/>
      <c r="F2298" s="284" t="s">
        <v>236</v>
      </c>
      <c r="G2298" s="287" t="s">
        <v>237</v>
      </c>
      <c r="H2298" s="555"/>
      <c r="I2298" s="556"/>
      <c r="J2298" s="560">
        <f t="shared" ref="J2298:J2312" si="78">SUM(H2298:I2298)</f>
        <v>0</v>
      </c>
      <c r="K2298" s="505"/>
      <c r="L2298" s="505"/>
      <c r="M2298" s="505"/>
      <c r="N2298" s="505"/>
      <c r="O2298" s="505"/>
      <c r="P2298" s="505"/>
      <c r="Q2298" s="505"/>
      <c r="R2298" s="505"/>
      <c r="S2298" s="505"/>
      <c r="T2298" s="505"/>
      <c r="U2298" s="505"/>
      <c r="V2298" s="505"/>
      <c r="W2298" s="505"/>
      <c r="X2298" s="505"/>
      <c r="Y2298" s="505"/>
    </row>
    <row r="2299" spans="1:25" s="88" customFormat="1" hidden="1" x14ac:dyDescent="0.25">
      <c r="A2299" s="290"/>
      <c r="B2299" s="288"/>
      <c r="C2299" s="334"/>
      <c r="D2299" s="286"/>
      <c r="E2299" s="876"/>
      <c r="F2299" s="284" t="s">
        <v>238</v>
      </c>
      <c r="G2299" s="287" t="s">
        <v>239</v>
      </c>
      <c r="H2299" s="555"/>
      <c r="I2299" s="556"/>
      <c r="J2299" s="560">
        <f t="shared" si="78"/>
        <v>0</v>
      </c>
      <c r="K2299" s="505"/>
      <c r="L2299" s="505"/>
      <c r="M2299" s="505"/>
      <c r="N2299" s="505"/>
      <c r="O2299" s="505"/>
      <c r="P2299" s="505"/>
      <c r="Q2299" s="505"/>
      <c r="R2299" s="505"/>
      <c r="S2299" s="505"/>
      <c r="T2299" s="505"/>
      <c r="U2299" s="505"/>
      <c r="V2299" s="505"/>
      <c r="W2299" s="505"/>
      <c r="X2299" s="505"/>
      <c r="Y2299" s="505"/>
    </row>
    <row r="2300" spans="1:25" s="88" customFormat="1" hidden="1" x14ac:dyDescent="0.25">
      <c r="A2300" s="290"/>
      <c r="B2300" s="288"/>
      <c r="C2300" s="334"/>
      <c r="D2300" s="286"/>
      <c r="E2300" s="876"/>
      <c r="F2300" s="284" t="s">
        <v>240</v>
      </c>
      <c r="G2300" s="287" t="s">
        <v>241</v>
      </c>
      <c r="H2300" s="555"/>
      <c r="I2300" s="556"/>
      <c r="J2300" s="560">
        <f t="shared" si="78"/>
        <v>0</v>
      </c>
      <c r="K2300" s="505"/>
      <c r="L2300" s="505"/>
      <c r="M2300" s="505"/>
      <c r="N2300" s="505"/>
      <c r="O2300" s="505"/>
      <c r="P2300" s="505"/>
      <c r="Q2300" s="505"/>
      <c r="R2300" s="505"/>
      <c r="S2300" s="505"/>
      <c r="T2300" s="505"/>
      <c r="U2300" s="505"/>
      <c r="V2300" s="505"/>
      <c r="W2300" s="505"/>
      <c r="X2300" s="505"/>
      <c r="Y2300" s="505"/>
    </row>
    <row r="2301" spans="1:25" s="88" customFormat="1" hidden="1" x14ac:dyDescent="0.25">
      <c r="A2301" s="290"/>
      <c r="B2301" s="288"/>
      <c r="C2301" s="334"/>
      <c r="D2301" s="286"/>
      <c r="E2301" s="876"/>
      <c r="F2301" s="284" t="s">
        <v>242</v>
      </c>
      <c r="G2301" s="287" t="s">
        <v>243</v>
      </c>
      <c r="H2301" s="555"/>
      <c r="I2301" s="556"/>
      <c r="J2301" s="560">
        <f t="shared" si="78"/>
        <v>0</v>
      </c>
      <c r="K2301" s="505"/>
      <c r="L2301" s="505"/>
      <c r="M2301" s="505"/>
      <c r="N2301" s="505"/>
      <c r="O2301" s="505"/>
      <c r="P2301" s="505"/>
      <c r="Q2301" s="505"/>
      <c r="R2301" s="505"/>
      <c r="S2301" s="505"/>
      <c r="T2301" s="505"/>
      <c r="U2301" s="505"/>
      <c r="V2301" s="505"/>
      <c r="W2301" s="505"/>
      <c r="X2301" s="505"/>
      <c r="Y2301" s="505"/>
    </row>
    <row r="2302" spans="1:25" s="88" customFormat="1" hidden="1" x14ac:dyDescent="0.25">
      <c r="A2302" s="290"/>
      <c r="B2302" s="288"/>
      <c r="C2302" s="334"/>
      <c r="D2302" s="286"/>
      <c r="E2302" s="876"/>
      <c r="F2302" s="284" t="s">
        <v>244</v>
      </c>
      <c r="G2302" s="287" t="s">
        <v>245</v>
      </c>
      <c r="H2302" s="555"/>
      <c r="I2302" s="556"/>
      <c r="J2302" s="560">
        <f t="shared" si="78"/>
        <v>0</v>
      </c>
      <c r="K2302" s="505"/>
      <c r="L2302" s="505"/>
      <c r="M2302" s="505"/>
      <c r="N2302" s="505"/>
      <c r="O2302" s="505"/>
      <c r="P2302" s="505"/>
      <c r="Q2302" s="505"/>
      <c r="R2302" s="505"/>
      <c r="S2302" s="505"/>
      <c r="T2302" s="505"/>
      <c r="U2302" s="505"/>
      <c r="V2302" s="505"/>
      <c r="W2302" s="505"/>
      <c r="X2302" s="505"/>
      <c r="Y2302" s="505"/>
    </row>
    <row r="2303" spans="1:25" s="88" customFormat="1" x14ac:dyDescent="0.25">
      <c r="A2303" s="290"/>
      <c r="B2303" s="288"/>
      <c r="C2303" s="334"/>
      <c r="D2303" s="286"/>
      <c r="E2303" s="876"/>
      <c r="F2303" s="284" t="s">
        <v>246</v>
      </c>
      <c r="G2303" s="598" t="s">
        <v>4996</v>
      </c>
      <c r="H2303" s="555"/>
      <c r="I2303" s="556">
        <v>1126000</v>
      </c>
      <c r="J2303" s="560">
        <f t="shared" si="78"/>
        <v>1126000</v>
      </c>
      <c r="K2303" s="505"/>
      <c r="L2303" s="505"/>
      <c r="M2303" s="505"/>
      <c r="N2303" s="505"/>
      <c r="O2303" s="505"/>
      <c r="P2303" s="505"/>
      <c r="Q2303" s="505"/>
      <c r="R2303" s="505"/>
      <c r="S2303" s="505"/>
      <c r="T2303" s="505"/>
      <c r="U2303" s="505"/>
      <c r="V2303" s="505"/>
      <c r="W2303" s="505"/>
      <c r="X2303" s="505"/>
      <c r="Y2303" s="505"/>
    </row>
    <row r="2304" spans="1:25" s="88" customFormat="1" hidden="1" x14ac:dyDescent="0.25">
      <c r="A2304" s="290"/>
      <c r="B2304" s="288"/>
      <c r="C2304" s="334"/>
      <c r="D2304" s="286"/>
      <c r="E2304" s="876"/>
      <c r="F2304" s="284" t="s">
        <v>247</v>
      </c>
      <c r="G2304" s="598" t="s">
        <v>4995</v>
      </c>
      <c r="H2304" s="555"/>
      <c r="I2304" s="556"/>
      <c r="J2304" s="560">
        <f t="shared" si="78"/>
        <v>0</v>
      </c>
      <c r="K2304" s="505"/>
      <c r="L2304" s="505"/>
      <c r="M2304" s="505"/>
      <c r="N2304" s="505"/>
      <c r="O2304" s="505"/>
      <c r="P2304" s="505"/>
      <c r="Q2304" s="505"/>
      <c r="R2304" s="505"/>
      <c r="S2304" s="505"/>
      <c r="T2304" s="505"/>
      <c r="U2304" s="505"/>
      <c r="V2304" s="505"/>
      <c r="W2304" s="505"/>
      <c r="X2304" s="505"/>
      <c r="Y2304" s="505"/>
    </row>
    <row r="2305" spans="1:25" s="88" customFormat="1" hidden="1" x14ac:dyDescent="0.25">
      <c r="A2305" s="290"/>
      <c r="B2305" s="288"/>
      <c r="C2305" s="334"/>
      <c r="D2305" s="286"/>
      <c r="E2305" s="876"/>
      <c r="F2305" s="284" t="s">
        <v>248</v>
      </c>
      <c r="G2305" s="287" t="s">
        <v>57</v>
      </c>
      <c r="H2305" s="555"/>
      <c r="I2305" s="556"/>
      <c r="J2305" s="560">
        <f t="shared" si="78"/>
        <v>0</v>
      </c>
      <c r="K2305" s="505"/>
      <c r="L2305" s="505"/>
      <c r="M2305" s="505"/>
      <c r="N2305" s="505"/>
      <c r="O2305" s="505"/>
      <c r="P2305" s="505"/>
      <c r="Q2305" s="505"/>
      <c r="R2305" s="505"/>
      <c r="S2305" s="505"/>
      <c r="T2305" s="505"/>
      <c r="U2305" s="505"/>
      <c r="V2305" s="505"/>
      <c r="W2305" s="505"/>
      <c r="X2305" s="505"/>
      <c r="Y2305" s="505"/>
    </row>
    <row r="2306" spans="1:25" s="88" customFormat="1" hidden="1" x14ac:dyDescent="0.25">
      <c r="A2306" s="290"/>
      <c r="B2306" s="288"/>
      <c r="C2306" s="334"/>
      <c r="D2306" s="286"/>
      <c r="E2306" s="876"/>
      <c r="F2306" s="284" t="s">
        <v>249</v>
      </c>
      <c r="G2306" s="287" t="s">
        <v>250</v>
      </c>
      <c r="H2306" s="555"/>
      <c r="I2306" s="556"/>
      <c r="J2306" s="560">
        <f t="shared" si="78"/>
        <v>0</v>
      </c>
      <c r="K2306" s="505"/>
      <c r="L2306" s="505"/>
      <c r="M2306" s="505"/>
      <c r="N2306" s="505"/>
      <c r="O2306" s="505"/>
      <c r="P2306" s="505"/>
      <c r="Q2306" s="505"/>
      <c r="R2306" s="505"/>
      <c r="S2306" s="505"/>
      <c r="T2306" s="505"/>
      <c r="U2306" s="505"/>
      <c r="V2306" s="505"/>
      <c r="W2306" s="505"/>
      <c r="X2306" s="505"/>
      <c r="Y2306" s="505"/>
    </row>
    <row r="2307" spans="1:25" s="88" customFormat="1" hidden="1" x14ac:dyDescent="0.25">
      <c r="A2307" s="290"/>
      <c r="B2307" s="288"/>
      <c r="C2307" s="334"/>
      <c r="D2307" s="286"/>
      <c r="E2307" s="876"/>
      <c r="F2307" s="284" t="s">
        <v>251</v>
      </c>
      <c r="G2307" s="287" t="s">
        <v>252</v>
      </c>
      <c r="H2307" s="555"/>
      <c r="I2307" s="556"/>
      <c r="J2307" s="560">
        <f t="shared" si="78"/>
        <v>0</v>
      </c>
      <c r="K2307" s="505"/>
      <c r="L2307" s="505"/>
      <c r="M2307" s="505"/>
      <c r="N2307" s="505"/>
      <c r="O2307" s="505"/>
      <c r="P2307" s="505"/>
      <c r="Q2307" s="505"/>
      <c r="R2307" s="505"/>
      <c r="S2307" s="505"/>
      <c r="T2307" s="505"/>
      <c r="U2307" s="505"/>
      <c r="V2307" s="505"/>
      <c r="W2307" s="505"/>
      <c r="X2307" s="505"/>
      <c r="Y2307" s="505"/>
    </row>
    <row r="2308" spans="1:25" s="88" customFormat="1" ht="30" hidden="1" x14ac:dyDescent="0.25">
      <c r="A2308" s="290"/>
      <c r="B2308" s="288"/>
      <c r="C2308" s="334"/>
      <c r="D2308" s="286"/>
      <c r="E2308" s="876"/>
      <c r="F2308" s="284" t="s">
        <v>253</v>
      </c>
      <c r="G2308" s="287" t="s">
        <v>254</v>
      </c>
      <c r="H2308" s="555"/>
      <c r="I2308" s="556"/>
      <c r="J2308" s="560">
        <f t="shared" si="78"/>
        <v>0</v>
      </c>
      <c r="K2308" s="505"/>
      <c r="L2308" s="505"/>
      <c r="M2308" s="505"/>
      <c r="N2308" s="505"/>
      <c r="O2308" s="505"/>
      <c r="P2308" s="505"/>
      <c r="Q2308" s="505"/>
      <c r="R2308" s="505"/>
      <c r="S2308" s="505"/>
      <c r="T2308" s="505"/>
      <c r="U2308" s="505"/>
      <c r="V2308" s="505"/>
      <c r="W2308" s="505"/>
      <c r="X2308" s="505"/>
      <c r="Y2308" s="505"/>
    </row>
    <row r="2309" spans="1:25" s="88" customFormat="1" ht="15.75" thickBot="1" x14ac:dyDescent="0.3">
      <c r="A2309" s="290"/>
      <c r="B2309" s="288"/>
      <c r="C2309" s="334"/>
      <c r="D2309" s="286"/>
      <c r="E2309" s="876"/>
      <c r="F2309" s="284" t="s">
        <v>255</v>
      </c>
      <c r="G2309" s="287" t="s">
        <v>256</v>
      </c>
      <c r="H2309" s="555">
        <f>SUM(H1173,H1271)</f>
        <v>3305840</v>
      </c>
      <c r="I2309" s="556"/>
      <c r="J2309" s="560">
        <f t="shared" si="78"/>
        <v>3305840</v>
      </c>
      <c r="K2309" s="505"/>
      <c r="L2309" s="505"/>
      <c r="M2309" s="505"/>
      <c r="N2309" s="505"/>
      <c r="O2309" s="505"/>
      <c r="P2309" s="505"/>
      <c r="Q2309" s="505"/>
      <c r="R2309" s="505"/>
      <c r="S2309" s="505"/>
      <c r="T2309" s="505"/>
      <c r="U2309" s="505"/>
      <c r="V2309" s="505"/>
      <c r="W2309" s="505"/>
      <c r="X2309" s="505"/>
      <c r="Y2309" s="505"/>
    </row>
    <row r="2310" spans="1:25" s="88" customFormat="1" ht="30" hidden="1" x14ac:dyDescent="0.25">
      <c r="A2310" s="290"/>
      <c r="B2310" s="288"/>
      <c r="C2310" s="334"/>
      <c r="D2310" s="286"/>
      <c r="E2310" s="876"/>
      <c r="F2310" s="284" t="s">
        <v>257</v>
      </c>
      <c r="G2310" s="287" t="s">
        <v>258</v>
      </c>
      <c r="H2310" s="555"/>
      <c r="I2310" s="556"/>
      <c r="J2310" s="560">
        <f t="shared" si="78"/>
        <v>0</v>
      </c>
      <c r="K2310" s="505"/>
      <c r="L2310" s="505"/>
      <c r="M2310" s="505"/>
      <c r="N2310" s="505"/>
      <c r="O2310" s="505"/>
      <c r="P2310" s="505"/>
      <c r="Q2310" s="505"/>
      <c r="R2310" s="505"/>
      <c r="S2310" s="505"/>
      <c r="T2310" s="505"/>
      <c r="U2310" s="505"/>
      <c r="V2310" s="505"/>
      <c r="W2310" s="505"/>
      <c r="X2310" s="505"/>
      <c r="Y2310" s="505"/>
    </row>
    <row r="2311" spans="1:25" s="88" customFormat="1" hidden="1" x14ac:dyDescent="0.25">
      <c r="A2311" s="290"/>
      <c r="B2311" s="288"/>
      <c r="C2311" s="334"/>
      <c r="D2311" s="286"/>
      <c r="E2311" s="876"/>
      <c r="F2311" s="284" t="s">
        <v>259</v>
      </c>
      <c r="G2311" s="287" t="s">
        <v>260</v>
      </c>
      <c r="H2311" s="555"/>
      <c r="I2311" s="556"/>
      <c r="J2311" s="560">
        <f t="shared" si="78"/>
        <v>0</v>
      </c>
      <c r="K2311" s="505"/>
      <c r="L2311" s="505"/>
      <c r="M2311" s="505"/>
      <c r="N2311" s="505"/>
      <c r="O2311" s="505"/>
      <c r="P2311" s="505"/>
      <c r="Q2311" s="505"/>
      <c r="R2311" s="505"/>
      <c r="S2311" s="505"/>
      <c r="T2311" s="505"/>
      <c r="U2311" s="505"/>
      <c r="V2311" s="505"/>
      <c r="W2311" s="505"/>
      <c r="X2311" s="505"/>
      <c r="Y2311" s="505"/>
    </row>
    <row r="2312" spans="1:25" s="88" customFormat="1" ht="15.75" hidden="1" thickBot="1" x14ac:dyDescent="0.3">
      <c r="A2312" s="290"/>
      <c r="B2312" s="288"/>
      <c r="C2312" s="334"/>
      <c r="D2312" s="286"/>
      <c r="E2312" s="876"/>
      <c r="F2312" s="284" t="s">
        <v>261</v>
      </c>
      <c r="G2312" s="287" t="s">
        <v>262</v>
      </c>
      <c r="H2312" s="559"/>
      <c r="I2312" s="560"/>
      <c r="J2312" s="560">
        <f t="shared" si="78"/>
        <v>0</v>
      </c>
      <c r="K2312" s="505"/>
      <c r="L2312" s="505"/>
      <c r="M2312" s="505"/>
      <c r="N2312" s="505"/>
      <c r="O2312" s="505"/>
      <c r="P2312" s="505"/>
      <c r="Q2312" s="505"/>
      <c r="R2312" s="505"/>
      <c r="S2312" s="505"/>
      <c r="T2312" s="505"/>
      <c r="U2312" s="505"/>
      <c r="V2312" s="505"/>
      <c r="W2312" s="505"/>
      <c r="X2312" s="505"/>
      <c r="Y2312" s="505"/>
    </row>
    <row r="2313" spans="1:25" s="88" customFormat="1" ht="15" customHeight="1" thickBot="1" x14ac:dyDescent="0.3">
      <c r="A2313" s="290"/>
      <c r="B2313" s="288"/>
      <c r="C2313" s="334"/>
      <c r="D2313" s="286"/>
      <c r="E2313" s="876"/>
      <c r="F2313" s="258"/>
      <c r="G2313" s="268" t="s">
        <v>4168</v>
      </c>
      <c r="H2313" s="561">
        <f>SUM(H2297:H2312)</f>
        <v>92781840</v>
      </c>
      <c r="I2313" s="562">
        <f>SUM(I2298:I2312)</f>
        <v>1126000</v>
      </c>
      <c r="J2313" s="562">
        <f>SUM(J2297:J2312)</f>
        <v>93907840</v>
      </c>
      <c r="K2313" s="505"/>
      <c r="L2313" s="505"/>
      <c r="M2313" s="505"/>
      <c r="N2313" s="505"/>
      <c r="O2313" s="505"/>
      <c r="P2313" s="505"/>
      <c r="Q2313" s="505"/>
      <c r="R2313" s="505"/>
      <c r="S2313" s="505"/>
      <c r="T2313" s="505"/>
      <c r="U2313" s="505"/>
      <c r="V2313" s="505"/>
      <c r="W2313" s="505"/>
      <c r="X2313" s="505"/>
      <c r="Y2313" s="505"/>
    </row>
    <row r="2314" spans="1:25" s="88" customFormat="1" hidden="1" x14ac:dyDescent="0.25">
      <c r="A2314" s="290"/>
      <c r="B2314" s="288"/>
      <c r="C2314" s="334"/>
      <c r="D2314" s="286"/>
      <c r="E2314" s="876"/>
      <c r="F2314" s="289"/>
      <c r="G2314" s="318"/>
      <c r="H2314" s="588"/>
      <c r="I2314" s="571"/>
      <c r="J2314" s="589"/>
      <c r="K2314" s="505"/>
      <c r="L2314" s="505"/>
      <c r="M2314" s="505"/>
      <c r="N2314" s="297"/>
      <c r="O2314" s="505"/>
      <c r="P2314" s="505"/>
      <c r="Q2314" s="505"/>
      <c r="R2314" s="505"/>
      <c r="S2314" s="505"/>
      <c r="T2314" s="505"/>
      <c r="U2314" s="505"/>
      <c r="V2314" s="505"/>
      <c r="W2314" s="505"/>
      <c r="X2314" s="505"/>
      <c r="Y2314" s="505"/>
    </row>
    <row r="2315" spans="1:25" s="88" customFormat="1" ht="22.5" hidden="1" customHeight="1" x14ac:dyDescent="0.25">
      <c r="A2315" s="290"/>
      <c r="B2315" s="288"/>
      <c r="C2315" s="334"/>
      <c r="D2315" s="286"/>
      <c r="E2315" s="876"/>
      <c r="F2315" s="289"/>
      <c r="G2315" s="318"/>
      <c r="H2315" s="588"/>
      <c r="I2315" s="571"/>
      <c r="J2315" s="589"/>
      <c r="K2315" s="505"/>
      <c r="L2315" s="505"/>
      <c r="M2315" s="505"/>
      <c r="N2315" s="297"/>
      <c r="O2315" s="505"/>
      <c r="P2315" s="505"/>
      <c r="Q2315" s="505"/>
      <c r="R2315" s="505"/>
      <c r="S2315" s="505"/>
      <c r="T2315" s="505"/>
      <c r="U2315" s="505"/>
      <c r="V2315" s="505"/>
      <c r="W2315" s="505"/>
      <c r="X2315" s="505"/>
      <c r="Y2315" s="505"/>
    </row>
    <row r="2316" spans="1:25" s="88" customFormat="1" ht="14.25" customHeight="1" x14ac:dyDescent="0.25">
      <c r="A2316" s="258"/>
      <c r="B2316" s="258"/>
      <c r="C2316" s="267" t="s">
        <v>3557</v>
      </c>
      <c r="D2316" s="258"/>
      <c r="E2316" s="679"/>
      <c r="F2316" s="258"/>
      <c r="G2316" s="490" t="s">
        <v>5256</v>
      </c>
      <c r="H2316" s="555"/>
      <c r="I2316" s="556"/>
      <c r="J2316" s="556"/>
      <c r="K2316" s="505"/>
      <c r="L2316" s="505"/>
      <c r="M2316" s="505"/>
      <c r="N2316" s="297"/>
      <c r="O2316" s="505"/>
      <c r="P2316" s="505"/>
      <c r="Q2316" s="505"/>
      <c r="R2316" s="505"/>
      <c r="S2316" s="505"/>
      <c r="T2316" s="505"/>
      <c r="U2316" s="505"/>
      <c r="V2316" s="505"/>
      <c r="W2316" s="505"/>
      <c r="X2316" s="505"/>
      <c r="Y2316" s="505"/>
    </row>
    <row r="2317" spans="1:25" s="88" customFormat="1" ht="14.25" customHeight="1" x14ac:dyDescent="0.25">
      <c r="A2317" s="258"/>
      <c r="B2317" s="258"/>
      <c r="C2317" s="267" t="s">
        <v>5257</v>
      </c>
      <c r="D2317" s="259"/>
      <c r="E2317" s="679"/>
      <c r="F2317" s="258"/>
      <c r="G2317" s="483" t="s">
        <v>5054</v>
      </c>
      <c r="H2317" s="555"/>
      <c r="I2317" s="556"/>
      <c r="J2317" s="556"/>
      <c r="K2317" s="505"/>
      <c r="L2317" s="505"/>
      <c r="M2317" s="505"/>
      <c r="N2317" s="297"/>
      <c r="O2317" s="505"/>
      <c r="P2317" s="505"/>
      <c r="Q2317" s="505"/>
      <c r="R2317" s="505"/>
      <c r="S2317" s="505"/>
      <c r="T2317" s="505"/>
      <c r="U2317" s="505"/>
      <c r="V2317" s="505"/>
      <c r="W2317" s="505"/>
      <c r="X2317" s="505"/>
      <c r="Y2317" s="505"/>
    </row>
    <row r="2318" spans="1:25" s="88" customFormat="1" ht="14.25" customHeight="1" x14ac:dyDescent="0.25">
      <c r="A2318" s="258"/>
      <c r="B2318" s="258"/>
      <c r="C2318" s="267"/>
      <c r="D2318" s="331">
        <v>620</v>
      </c>
      <c r="E2318" s="869"/>
      <c r="F2318" s="331"/>
      <c r="G2318" s="333" t="s">
        <v>182</v>
      </c>
      <c r="H2318" s="559"/>
      <c r="I2318" s="560"/>
      <c r="J2318" s="560"/>
      <c r="K2318" s="505"/>
      <c r="L2318" s="505"/>
      <c r="M2318" s="505"/>
      <c r="N2318" s="297"/>
      <c r="O2318" s="505"/>
      <c r="P2318" s="505"/>
      <c r="Q2318" s="505"/>
      <c r="R2318" s="505"/>
      <c r="S2318" s="505"/>
      <c r="T2318" s="505"/>
      <c r="U2318" s="505"/>
      <c r="V2318" s="505"/>
      <c r="W2318" s="505"/>
      <c r="X2318" s="505"/>
      <c r="Y2318" s="505"/>
    </row>
    <row r="2319" spans="1:25" s="88" customFormat="1" ht="14.25" hidden="1" customHeight="1" x14ac:dyDescent="0.25">
      <c r="A2319" s="258"/>
      <c r="B2319" s="258"/>
      <c r="C2319" s="261"/>
      <c r="D2319" s="258"/>
      <c r="E2319" s="679">
        <v>9</v>
      </c>
      <c r="F2319" s="499">
        <v>411</v>
      </c>
      <c r="G2319" s="492" t="s">
        <v>4131</v>
      </c>
      <c r="H2319" s="555"/>
      <c r="I2319" s="556"/>
      <c r="J2319" s="556">
        <f>SUM(H2319:I2319)</f>
        <v>0</v>
      </c>
      <c r="K2319" s="505"/>
      <c r="L2319" s="505"/>
      <c r="M2319" s="505"/>
      <c r="N2319" s="297"/>
      <c r="O2319" s="505"/>
      <c r="P2319" s="505"/>
      <c r="Q2319" s="505"/>
      <c r="R2319" s="505"/>
      <c r="S2319" s="505"/>
      <c r="T2319" s="505"/>
      <c r="U2319" s="505"/>
      <c r="V2319" s="505"/>
      <c r="W2319" s="505"/>
      <c r="X2319" s="505"/>
      <c r="Y2319" s="505"/>
    </row>
    <row r="2320" spans="1:25" s="88" customFormat="1" ht="14.25" hidden="1" customHeight="1" x14ac:dyDescent="0.25">
      <c r="A2320" s="258"/>
      <c r="B2320" s="258"/>
      <c r="C2320" s="261"/>
      <c r="D2320" s="258"/>
      <c r="E2320" s="679">
        <v>10</v>
      </c>
      <c r="F2320" s="499">
        <v>412</v>
      </c>
      <c r="G2320" s="488" t="s">
        <v>3766</v>
      </c>
      <c r="H2320" s="555"/>
      <c r="I2320" s="556"/>
      <c r="J2320" s="556">
        <f t="shared" ref="J2320:J2329" si="79">SUM(H2320:I2320)</f>
        <v>0</v>
      </c>
      <c r="K2320" s="505"/>
      <c r="L2320" s="505"/>
      <c r="M2320" s="505"/>
      <c r="N2320" s="297"/>
      <c r="O2320" s="505"/>
      <c r="P2320" s="505"/>
      <c r="Q2320" s="505"/>
      <c r="R2320" s="505"/>
      <c r="S2320" s="505"/>
      <c r="T2320" s="505"/>
      <c r="U2320" s="505"/>
      <c r="V2320" s="505"/>
      <c r="W2320" s="505"/>
      <c r="X2320" s="505"/>
      <c r="Y2320" s="505"/>
    </row>
    <row r="2321" spans="1:25" s="88" customFormat="1" ht="14.25" hidden="1" customHeight="1" x14ac:dyDescent="0.25">
      <c r="A2321" s="258"/>
      <c r="B2321" s="258"/>
      <c r="C2321" s="261"/>
      <c r="D2321" s="258"/>
      <c r="E2321" s="679">
        <v>11</v>
      </c>
      <c r="F2321" s="499">
        <v>413</v>
      </c>
      <c r="G2321" s="492" t="s">
        <v>4132</v>
      </c>
      <c r="H2321" s="555"/>
      <c r="I2321" s="556"/>
      <c r="J2321" s="556">
        <f t="shared" si="79"/>
        <v>0</v>
      </c>
      <c r="K2321" s="505"/>
      <c r="L2321" s="505"/>
      <c r="M2321" s="505"/>
      <c r="N2321" s="297"/>
      <c r="O2321" s="505"/>
      <c r="P2321" s="505"/>
      <c r="Q2321" s="505"/>
      <c r="R2321" s="505"/>
      <c r="S2321" s="505"/>
      <c r="T2321" s="505"/>
      <c r="U2321" s="505"/>
      <c r="V2321" s="505"/>
      <c r="W2321" s="505"/>
      <c r="X2321" s="505"/>
      <c r="Y2321" s="505"/>
    </row>
    <row r="2322" spans="1:25" s="88" customFormat="1" ht="14.25" hidden="1" customHeight="1" x14ac:dyDescent="0.25">
      <c r="A2322" s="258"/>
      <c r="B2322" s="258"/>
      <c r="C2322" s="261"/>
      <c r="D2322" s="258"/>
      <c r="E2322" s="679">
        <v>12</v>
      </c>
      <c r="F2322" s="499">
        <v>414</v>
      </c>
      <c r="G2322" s="492" t="s">
        <v>3769</v>
      </c>
      <c r="H2322" s="555"/>
      <c r="I2322" s="556"/>
      <c r="J2322" s="556">
        <f t="shared" si="79"/>
        <v>0</v>
      </c>
      <c r="K2322" s="505"/>
      <c r="L2322" s="505"/>
      <c r="M2322" s="505"/>
      <c r="N2322" s="297"/>
      <c r="O2322" s="505"/>
      <c r="P2322" s="505"/>
      <c r="Q2322" s="505"/>
      <c r="R2322" s="505"/>
      <c r="S2322" s="505"/>
      <c r="T2322" s="505"/>
      <c r="U2322" s="505"/>
      <c r="V2322" s="505"/>
      <c r="W2322" s="505"/>
      <c r="X2322" s="505"/>
      <c r="Y2322" s="505"/>
    </row>
    <row r="2323" spans="1:25" s="88" customFormat="1" ht="14.25" hidden="1" customHeight="1" x14ac:dyDescent="0.25">
      <c r="A2323" s="258"/>
      <c r="B2323" s="258"/>
      <c r="C2323" s="261"/>
      <c r="D2323" s="258"/>
      <c r="E2323" s="679">
        <v>13</v>
      </c>
      <c r="F2323" s="499">
        <v>415</v>
      </c>
      <c r="G2323" s="492" t="s">
        <v>4141</v>
      </c>
      <c r="H2323" s="555"/>
      <c r="I2323" s="556"/>
      <c r="J2323" s="556">
        <f t="shared" si="79"/>
        <v>0</v>
      </c>
      <c r="K2323" s="505"/>
      <c r="L2323" s="505"/>
      <c r="M2323" s="505"/>
      <c r="N2323" s="297"/>
      <c r="O2323" s="505"/>
      <c r="P2323" s="505"/>
      <c r="Q2323" s="505"/>
      <c r="R2323" s="505"/>
      <c r="S2323" s="505"/>
      <c r="T2323" s="505"/>
      <c r="U2323" s="505"/>
      <c r="V2323" s="505"/>
      <c r="W2323" s="505"/>
      <c r="X2323" s="505"/>
      <c r="Y2323" s="505"/>
    </row>
    <row r="2324" spans="1:25" s="88" customFormat="1" ht="14.25" hidden="1" customHeight="1" x14ac:dyDescent="0.25">
      <c r="A2324" s="258"/>
      <c r="B2324" s="258"/>
      <c r="C2324" s="261"/>
      <c r="D2324" s="258"/>
      <c r="E2324" s="679">
        <v>14</v>
      </c>
      <c r="F2324" s="499">
        <v>416</v>
      </c>
      <c r="G2324" s="492" t="s">
        <v>4142</v>
      </c>
      <c r="H2324" s="555"/>
      <c r="I2324" s="556"/>
      <c r="J2324" s="556">
        <f t="shared" si="79"/>
        <v>0</v>
      </c>
      <c r="K2324" s="505"/>
      <c r="L2324" s="505"/>
      <c r="M2324" s="505"/>
      <c r="N2324" s="297"/>
      <c r="O2324" s="505"/>
      <c r="P2324" s="505"/>
      <c r="Q2324" s="505"/>
      <c r="R2324" s="505"/>
      <c r="S2324" s="505"/>
      <c r="T2324" s="505"/>
      <c r="U2324" s="505"/>
      <c r="V2324" s="505"/>
      <c r="W2324" s="505"/>
      <c r="X2324" s="505"/>
      <c r="Y2324" s="505"/>
    </row>
    <row r="2325" spans="1:25" s="88" customFormat="1" ht="14.25" hidden="1" customHeight="1" x14ac:dyDescent="0.25">
      <c r="A2325" s="258"/>
      <c r="B2325" s="258"/>
      <c r="C2325" s="261"/>
      <c r="D2325" s="258"/>
      <c r="E2325" s="679">
        <v>15</v>
      </c>
      <c r="F2325" s="499">
        <v>417</v>
      </c>
      <c r="G2325" s="492" t="s">
        <v>4143</v>
      </c>
      <c r="H2325" s="555"/>
      <c r="I2325" s="556"/>
      <c r="J2325" s="556">
        <f t="shared" si="79"/>
        <v>0</v>
      </c>
      <c r="K2325" s="505"/>
      <c r="L2325" s="505"/>
      <c r="M2325" s="505"/>
      <c r="N2325" s="297"/>
      <c r="O2325" s="505"/>
      <c r="P2325" s="505"/>
      <c r="Q2325" s="505"/>
      <c r="R2325" s="505"/>
      <c r="S2325" s="505"/>
      <c r="T2325" s="505"/>
      <c r="U2325" s="505"/>
      <c r="V2325" s="505"/>
      <c r="W2325" s="505"/>
      <c r="X2325" s="505"/>
      <c r="Y2325" s="505"/>
    </row>
    <row r="2326" spans="1:25" s="88" customFormat="1" ht="14.25" hidden="1" customHeight="1" x14ac:dyDescent="0.25">
      <c r="A2326" s="258"/>
      <c r="B2326" s="258"/>
      <c r="C2326" s="261"/>
      <c r="D2326" s="258"/>
      <c r="E2326" s="679">
        <v>16</v>
      </c>
      <c r="F2326" s="499">
        <v>418</v>
      </c>
      <c r="G2326" s="492" t="s">
        <v>3775</v>
      </c>
      <c r="H2326" s="555"/>
      <c r="I2326" s="556"/>
      <c r="J2326" s="556">
        <f t="shared" si="79"/>
        <v>0</v>
      </c>
      <c r="K2326" s="505"/>
      <c r="L2326" s="505"/>
      <c r="M2326" s="505"/>
      <c r="N2326" s="297"/>
      <c r="O2326" s="505"/>
      <c r="P2326" s="505"/>
      <c r="Q2326" s="505"/>
      <c r="R2326" s="505"/>
      <c r="S2326" s="505"/>
      <c r="T2326" s="505"/>
      <c r="U2326" s="505"/>
      <c r="V2326" s="505"/>
      <c r="W2326" s="505"/>
      <c r="X2326" s="505"/>
      <c r="Y2326" s="505"/>
    </row>
    <row r="2327" spans="1:25" s="88" customFormat="1" ht="14.25" hidden="1" customHeight="1" x14ac:dyDescent="0.25">
      <c r="A2327" s="258"/>
      <c r="B2327" s="258"/>
      <c r="C2327" s="261"/>
      <c r="D2327" s="258"/>
      <c r="E2327" s="679">
        <v>17</v>
      </c>
      <c r="F2327" s="499">
        <v>421</v>
      </c>
      <c r="G2327" s="492" t="s">
        <v>3779</v>
      </c>
      <c r="H2327" s="555"/>
      <c r="I2327" s="556"/>
      <c r="J2327" s="556">
        <f t="shared" si="79"/>
        <v>0</v>
      </c>
      <c r="K2327" s="505"/>
      <c r="L2327" s="505"/>
      <c r="M2327" s="505"/>
      <c r="N2327" s="297"/>
      <c r="O2327" s="505"/>
      <c r="P2327" s="505"/>
      <c r="Q2327" s="505"/>
      <c r="R2327" s="505"/>
      <c r="S2327" s="505"/>
      <c r="T2327" s="505"/>
      <c r="U2327" s="505"/>
      <c r="V2327" s="505"/>
      <c r="W2327" s="505"/>
      <c r="X2327" s="505"/>
      <c r="Y2327" s="505"/>
    </row>
    <row r="2328" spans="1:25" s="88" customFormat="1" ht="14.25" hidden="1" customHeight="1" x14ac:dyDescent="0.25">
      <c r="A2328" s="258"/>
      <c r="B2328" s="258"/>
      <c r="C2328" s="261"/>
      <c r="D2328" s="258"/>
      <c r="E2328" s="679">
        <v>11</v>
      </c>
      <c r="F2328" s="499">
        <v>422</v>
      </c>
      <c r="G2328" s="492" t="s">
        <v>3780</v>
      </c>
      <c r="H2328" s="555"/>
      <c r="I2328" s="556"/>
      <c r="J2328" s="556">
        <f t="shared" si="79"/>
        <v>0</v>
      </c>
      <c r="K2328" s="505"/>
      <c r="L2328" s="505"/>
      <c r="M2328" s="505"/>
      <c r="N2328" s="297"/>
      <c r="O2328" s="505"/>
      <c r="P2328" s="505"/>
      <c r="Q2328" s="505"/>
      <c r="R2328" s="505"/>
      <c r="S2328" s="505"/>
      <c r="T2328" s="505"/>
      <c r="U2328" s="505"/>
      <c r="V2328" s="505"/>
      <c r="W2328" s="505"/>
      <c r="X2328" s="505"/>
      <c r="Y2328" s="505"/>
    </row>
    <row r="2329" spans="1:25" s="88" customFormat="1" ht="14.25" hidden="1" customHeight="1" x14ac:dyDescent="0.25">
      <c r="A2329" s="258"/>
      <c r="B2329" s="258"/>
      <c r="C2329" s="261"/>
      <c r="D2329" s="258"/>
      <c r="E2329" s="679">
        <v>12</v>
      </c>
      <c r="F2329" s="499">
        <v>423</v>
      </c>
      <c r="G2329" s="492" t="s">
        <v>3781</v>
      </c>
      <c r="H2329" s="555"/>
      <c r="I2329" s="556"/>
      <c r="J2329" s="556">
        <f t="shared" si="79"/>
        <v>0</v>
      </c>
      <c r="K2329" s="505"/>
      <c r="L2329" s="505"/>
      <c r="M2329" s="505"/>
      <c r="N2329" s="297"/>
      <c r="O2329" s="505"/>
      <c r="P2329" s="505"/>
      <c r="Q2329" s="505"/>
      <c r="R2329" s="505"/>
      <c r="S2329" s="505"/>
      <c r="T2329" s="505"/>
      <c r="U2329" s="505"/>
      <c r="V2329" s="505"/>
      <c r="W2329" s="505"/>
      <c r="X2329" s="505"/>
      <c r="Y2329" s="505"/>
    </row>
    <row r="2330" spans="1:25" s="88" customFormat="1" ht="14.25" hidden="1" customHeight="1" x14ac:dyDescent="0.25">
      <c r="A2330" s="258"/>
      <c r="B2330" s="258"/>
      <c r="C2330" s="261"/>
      <c r="D2330" s="258"/>
      <c r="E2330" s="679"/>
      <c r="F2330" s="499">
        <v>424</v>
      </c>
      <c r="G2330" s="492" t="s">
        <v>3783</v>
      </c>
      <c r="H2330" s="555"/>
      <c r="I2330" s="556"/>
      <c r="J2330" s="556">
        <f>SUM(H2330:I2330)</f>
        <v>0</v>
      </c>
      <c r="K2330" s="505"/>
      <c r="L2330" s="505"/>
      <c r="M2330" s="505"/>
      <c r="N2330" s="297"/>
      <c r="O2330" s="505"/>
      <c r="P2330" s="505"/>
      <c r="Q2330" s="505"/>
      <c r="R2330" s="505"/>
      <c r="S2330" s="505"/>
      <c r="T2330" s="505"/>
      <c r="U2330" s="505"/>
      <c r="V2330" s="505"/>
      <c r="W2330" s="505"/>
      <c r="X2330" s="505"/>
      <c r="Y2330" s="505"/>
    </row>
    <row r="2331" spans="1:25" s="88" customFormat="1" ht="14.25" hidden="1" customHeight="1" x14ac:dyDescent="0.25">
      <c r="A2331" s="258"/>
      <c r="B2331" s="258"/>
      <c r="C2331" s="261"/>
      <c r="D2331" s="258"/>
      <c r="E2331" s="679">
        <v>13</v>
      </c>
      <c r="F2331" s="499">
        <v>426</v>
      </c>
      <c r="G2331" s="492" t="s">
        <v>5041</v>
      </c>
      <c r="H2331" s="555"/>
      <c r="I2331" s="556"/>
      <c r="J2331" s="556">
        <f t="shared" ref="J2331:J2378" si="80">SUM(H2331:I2331)</f>
        <v>0</v>
      </c>
      <c r="K2331" s="505"/>
      <c r="L2331" s="505"/>
      <c r="M2331" s="505"/>
      <c r="N2331" s="297"/>
      <c r="O2331" s="505"/>
      <c r="P2331" s="505"/>
      <c r="Q2331" s="505"/>
      <c r="R2331" s="505"/>
      <c r="S2331" s="505"/>
      <c r="T2331" s="505"/>
      <c r="U2331" s="505"/>
      <c r="V2331" s="505"/>
      <c r="W2331" s="505"/>
      <c r="X2331" s="505"/>
      <c r="Y2331" s="505"/>
    </row>
    <row r="2332" spans="1:25" s="88" customFormat="1" ht="14.25" hidden="1" customHeight="1" x14ac:dyDescent="0.25">
      <c r="A2332" s="258"/>
      <c r="B2332" s="258"/>
      <c r="C2332" s="261"/>
      <c r="D2332" s="258"/>
      <c r="E2332" s="679">
        <v>14</v>
      </c>
      <c r="F2332" s="499">
        <v>465</v>
      </c>
      <c r="G2332" s="492" t="s">
        <v>4134</v>
      </c>
      <c r="H2332" s="555"/>
      <c r="I2332" s="556"/>
      <c r="J2332" s="556">
        <f t="shared" si="80"/>
        <v>0</v>
      </c>
      <c r="K2332" s="505"/>
      <c r="L2332" s="505"/>
      <c r="M2332" s="505"/>
      <c r="N2332" s="297"/>
      <c r="O2332" s="505"/>
      <c r="P2332" s="505"/>
      <c r="Q2332" s="505"/>
      <c r="R2332" s="505"/>
      <c r="S2332" s="505"/>
      <c r="T2332" s="505"/>
      <c r="U2332" s="505"/>
      <c r="V2332" s="505"/>
      <c r="W2332" s="505"/>
      <c r="X2332" s="505"/>
      <c r="Y2332" s="505"/>
    </row>
    <row r="2333" spans="1:25" s="88" customFormat="1" ht="14.25" hidden="1" customHeight="1" x14ac:dyDescent="0.25">
      <c r="A2333" s="258"/>
      <c r="B2333" s="258"/>
      <c r="C2333" s="261"/>
      <c r="D2333" s="258"/>
      <c r="E2333" s="679">
        <v>23</v>
      </c>
      <c r="F2333" s="499">
        <v>431</v>
      </c>
      <c r="G2333" s="492" t="s">
        <v>4145</v>
      </c>
      <c r="H2333" s="555"/>
      <c r="I2333" s="556"/>
      <c r="J2333" s="556">
        <f t="shared" si="80"/>
        <v>0</v>
      </c>
      <c r="K2333" s="505"/>
      <c r="L2333" s="505"/>
      <c r="M2333" s="505"/>
      <c r="N2333" s="297"/>
      <c r="O2333" s="505"/>
      <c r="P2333" s="505"/>
      <c r="Q2333" s="505"/>
      <c r="R2333" s="505"/>
      <c r="S2333" s="505"/>
      <c r="T2333" s="505"/>
      <c r="U2333" s="505"/>
      <c r="V2333" s="505"/>
      <c r="W2333" s="505"/>
      <c r="X2333" s="505"/>
      <c r="Y2333" s="505"/>
    </row>
    <row r="2334" spans="1:25" s="88" customFormat="1" ht="14.25" hidden="1" customHeight="1" x14ac:dyDescent="0.25">
      <c r="A2334" s="258"/>
      <c r="B2334" s="258"/>
      <c r="C2334" s="261"/>
      <c r="D2334" s="258"/>
      <c r="E2334" s="679">
        <v>24</v>
      </c>
      <c r="F2334" s="499">
        <v>432</v>
      </c>
      <c r="G2334" s="492" t="s">
        <v>4146</v>
      </c>
      <c r="H2334" s="555"/>
      <c r="I2334" s="556"/>
      <c r="J2334" s="556">
        <f t="shared" si="80"/>
        <v>0</v>
      </c>
      <c r="K2334" s="505"/>
      <c r="L2334" s="505"/>
      <c r="M2334" s="505"/>
      <c r="N2334" s="297"/>
      <c r="O2334" s="505"/>
      <c r="P2334" s="505"/>
      <c r="Q2334" s="505"/>
      <c r="R2334" s="505"/>
      <c r="S2334" s="505"/>
      <c r="T2334" s="505"/>
      <c r="U2334" s="505"/>
      <c r="V2334" s="505"/>
      <c r="W2334" s="505"/>
      <c r="X2334" s="505"/>
      <c r="Y2334" s="505"/>
    </row>
    <row r="2335" spans="1:25" s="88" customFormat="1" ht="14.25" hidden="1" customHeight="1" x14ac:dyDescent="0.25">
      <c r="A2335" s="258"/>
      <c r="B2335" s="258"/>
      <c r="C2335" s="261"/>
      <c r="D2335" s="258"/>
      <c r="E2335" s="679">
        <v>25</v>
      </c>
      <c r="F2335" s="499">
        <v>433</v>
      </c>
      <c r="G2335" s="492" t="s">
        <v>4147</v>
      </c>
      <c r="H2335" s="555"/>
      <c r="I2335" s="556"/>
      <c r="J2335" s="556">
        <f t="shared" si="80"/>
        <v>0</v>
      </c>
      <c r="K2335" s="505"/>
      <c r="L2335" s="505"/>
      <c r="M2335" s="505"/>
      <c r="N2335" s="297"/>
      <c r="O2335" s="505"/>
      <c r="P2335" s="505"/>
      <c r="Q2335" s="505"/>
      <c r="R2335" s="505"/>
      <c r="S2335" s="505"/>
      <c r="T2335" s="505"/>
      <c r="U2335" s="505"/>
      <c r="V2335" s="505"/>
      <c r="W2335" s="505"/>
      <c r="X2335" s="505"/>
      <c r="Y2335" s="505"/>
    </row>
    <row r="2336" spans="1:25" s="88" customFormat="1" ht="14.25" hidden="1" customHeight="1" x14ac:dyDescent="0.25">
      <c r="A2336" s="258"/>
      <c r="B2336" s="258"/>
      <c r="C2336" s="261"/>
      <c r="D2336" s="258"/>
      <c r="E2336" s="679">
        <v>26</v>
      </c>
      <c r="F2336" s="499">
        <v>434</v>
      </c>
      <c r="G2336" s="492" t="s">
        <v>4148</v>
      </c>
      <c r="H2336" s="555"/>
      <c r="I2336" s="556"/>
      <c r="J2336" s="556">
        <f t="shared" si="80"/>
        <v>0</v>
      </c>
      <c r="K2336" s="505"/>
      <c r="L2336" s="505"/>
      <c r="M2336" s="505"/>
      <c r="N2336" s="297"/>
      <c r="O2336" s="505"/>
      <c r="P2336" s="505"/>
      <c r="Q2336" s="505"/>
      <c r="R2336" s="505"/>
      <c r="S2336" s="505"/>
      <c r="T2336" s="505"/>
      <c r="U2336" s="505"/>
      <c r="V2336" s="505"/>
      <c r="W2336" s="505"/>
      <c r="X2336" s="505"/>
      <c r="Y2336" s="505"/>
    </row>
    <row r="2337" spans="1:25" s="88" customFormat="1" ht="14.25" hidden="1" customHeight="1" x14ac:dyDescent="0.25">
      <c r="A2337" s="258"/>
      <c r="B2337" s="258"/>
      <c r="C2337" s="261"/>
      <c r="D2337" s="258"/>
      <c r="E2337" s="679">
        <v>27</v>
      </c>
      <c r="F2337" s="499">
        <v>435</v>
      </c>
      <c r="G2337" s="492" t="s">
        <v>3794</v>
      </c>
      <c r="H2337" s="555"/>
      <c r="I2337" s="556"/>
      <c r="J2337" s="556">
        <f t="shared" si="80"/>
        <v>0</v>
      </c>
      <c r="K2337" s="505"/>
      <c r="L2337" s="505"/>
      <c r="M2337" s="505"/>
      <c r="N2337" s="297"/>
      <c r="O2337" s="505"/>
      <c r="P2337" s="505"/>
      <c r="Q2337" s="505"/>
      <c r="R2337" s="505"/>
      <c r="S2337" s="505"/>
      <c r="T2337" s="505"/>
      <c r="U2337" s="505"/>
      <c r="V2337" s="505"/>
      <c r="W2337" s="505"/>
      <c r="X2337" s="505"/>
      <c r="Y2337" s="505"/>
    </row>
    <row r="2338" spans="1:25" s="88" customFormat="1" ht="14.25" hidden="1" customHeight="1" x14ac:dyDescent="0.25">
      <c r="A2338" s="258"/>
      <c r="B2338" s="258"/>
      <c r="C2338" s="261"/>
      <c r="D2338" s="258"/>
      <c r="E2338" s="679">
        <v>28</v>
      </c>
      <c r="F2338" s="499">
        <v>441</v>
      </c>
      <c r="G2338" s="492" t="s">
        <v>4149</v>
      </c>
      <c r="H2338" s="555"/>
      <c r="I2338" s="556"/>
      <c r="J2338" s="556">
        <f t="shared" si="80"/>
        <v>0</v>
      </c>
      <c r="K2338" s="505"/>
      <c r="L2338" s="505"/>
      <c r="M2338" s="505"/>
      <c r="N2338" s="297"/>
      <c r="O2338" s="505"/>
      <c r="P2338" s="505"/>
      <c r="Q2338" s="505"/>
      <c r="R2338" s="505"/>
      <c r="S2338" s="505"/>
      <c r="T2338" s="505"/>
      <c r="U2338" s="505"/>
      <c r="V2338" s="505"/>
      <c r="W2338" s="505"/>
      <c r="X2338" s="505"/>
      <c r="Y2338" s="505"/>
    </row>
    <row r="2339" spans="1:25" s="88" customFormat="1" ht="14.25" hidden="1" customHeight="1" x14ac:dyDescent="0.25">
      <c r="A2339" s="258"/>
      <c r="B2339" s="258"/>
      <c r="C2339" s="261"/>
      <c r="D2339" s="258"/>
      <c r="E2339" s="679">
        <v>29</v>
      </c>
      <c r="F2339" s="499">
        <v>442</v>
      </c>
      <c r="G2339" s="492" t="s">
        <v>4150</v>
      </c>
      <c r="H2339" s="555"/>
      <c r="I2339" s="556"/>
      <c r="J2339" s="556">
        <f t="shared" si="80"/>
        <v>0</v>
      </c>
      <c r="K2339" s="505"/>
      <c r="L2339" s="505"/>
      <c r="M2339" s="505"/>
      <c r="N2339" s="297"/>
      <c r="O2339" s="505"/>
      <c r="P2339" s="505"/>
      <c r="Q2339" s="505"/>
      <c r="R2339" s="505"/>
      <c r="S2339" s="505"/>
      <c r="T2339" s="505"/>
      <c r="U2339" s="505"/>
      <c r="V2339" s="505"/>
      <c r="W2339" s="505"/>
      <c r="X2339" s="505"/>
      <c r="Y2339" s="505"/>
    </row>
    <row r="2340" spans="1:25" s="88" customFormat="1" ht="14.25" hidden="1" customHeight="1" x14ac:dyDescent="0.25">
      <c r="A2340" s="258"/>
      <c r="B2340" s="258"/>
      <c r="C2340" s="261"/>
      <c r="D2340" s="258"/>
      <c r="E2340" s="679">
        <v>30</v>
      </c>
      <c r="F2340" s="499">
        <v>443</v>
      </c>
      <c r="G2340" s="492" t="s">
        <v>3799</v>
      </c>
      <c r="H2340" s="555"/>
      <c r="I2340" s="556"/>
      <c r="J2340" s="556">
        <f t="shared" si="80"/>
        <v>0</v>
      </c>
      <c r="K2340" s="505"/>
      <c r="L2340" s="505"/>
      <c r="M2340" s="505"/>
      <c r="N2340" s="297"/>
      <c r="O2340" s="505"/>
      <c r="P2340" s="505"/>
      <c r="Q2340" s="505"/>
      <c r="R2340" s="505"/>
      <c r="S2340" s="505"/>
      <c r="T2340" s="505"/>
      <c r="U2340" s="505"/>
      <c r="V2340" s="505"/>
      <c r="W2340" s="505"/>
      <c r="X2340" s="505"/>
      <c r="Y2340" s="505"/>
    </row>
    <row r="2341" spans="1:25" s="88" customFormat="1" ht="14.25" hidden="1" customHeight="1" x14ac:dyDescent="0.25">
      <c r="A2341" s="258"/>
      <c r="B2341" s="258"/>
      <c r="C2341" s="261"/>
      <c r="D2341" s="258"/>
      <c r="E2341" s="679">
        <v>31</v>
      </c>
      <c r="F2341" s="499">
        <v>444</v>
      </c>
      <c r="G2341" s="492" t="s">
        <v>3800</v>
      </c>
      <c r="H2341" s="555"/>
      <c r="I2341" s="556"/>
      <c r="J2341" s="556">
        <f t="shared" si="80"/>
        <v>0</v>
      </c>
      <c r="K2341" s="505"/>
      <c r="L2341" s="505"/>
      <c r="M2341" s="505"/>
      <c r="N2341" s="297"/>
      <c r="O2341" s="505"/>
      <c r="P2341" s="505"/>
      <c r="Q2341" s="505"/>
      <c r="R2341" s="505"/>
      <c r="S2341" s="505"/>
      <c r="T2341" s="505"/>
      <c r="U2341" s="505"/>
      <c r="V2341" s="505"/>
      <c r="W2341" s="505"/>
      <c r="X2341" s="505"/>
      <c r="Y2341" s="505"/>
    </row>
    <row r="2342" spans="1:25" s="88" customFormat="1" ht="14.25" hidden="1" customHeight="1" x14ac:dyDescent="0.25">
      <c r="A2342" s="258"/>
      <c r="B2342" s="258"/>
      <c r="C2342" s="261"/>
      <c r="D2342" s="258"/>
      <c r="E2342" s="679">
        <v>32</v>
      </c>
      <c r="F2342" s="499">
        <v>4511</v>
      </c>
      <c r="G2342" s="756" t="s">
        <v>1690</v>
      </c>
      <c r="H2342" s="555"/>
      <c r="I2342" s="556"/>
      <c r="J2342" s="556">
        <f t="shared" si="80"/>
        <v>0</v>
      </c>
      <c r="K2342" s="505"/>
      <c r="L2342" s="505"/>
      <c r="M2342" s="505"/>
      <c r="N2342" s="297"/>
      <c r="O2342" s="505"/>
      <c r="P2342" s="505"/>
      <c r="Q2342" s="505"/>
      <c r="R2342" s="505"/>
      <c r="S2342" s="505"/>
      <c r="T2342" s="505"/>
      <c r="U2342" s="505"/>
      <c r="V2342" s="505"/>
      <c r="W2342" s="505"/>
      <c r="X2342" s="505"/>
      <c r="Y2342" s="505"/>
    </row>
    <row r="2343" spans="1:25" s="88" customFormat="1" ht="14.25" hidden="1" customHeight="1" x14ac:dyDescent="0.25">
      <c r="A2343" s="258"/>
      <c r="B2343" s="258"/>
      <c r="C2343" s="261"/>
      <c r="D2343" s="258"/>
      <c r="E2343" s="679">
        <v>33</v>
      </c>
      <c r="F2343" s="499">
        <v>4512</v>
      </c>
      <c r="G2343" s="756" t="s">
        <v>1699</v>
      </c>
      <c r="H2343" s="555"/>
      <c r="I2343" s="556"/>
      <c r="J2343" s="556">
        <f t="shared" si="80"/>
        <v>0</v>
      </c>
      <c r="K2343" s="505"/>
      <c r="L2343" s="505"/>
      <c r="M2343" s="505"/>
      <c r="N2343" s="297"/>
      <c r="O2343" s="505"/>
      <c r="P2343" s="505"/>
      <c r="Q2343" s="505"/>
      <c r="R2343" s="505"/>
      <c r="S2343" s="505"/>
      <c r="T2343" s="505"/>
      <c r="U2343" s="505"/>
      <c r="V2343" s="505"/>
      <c r="W2343" s="505"/>
      <c r="X2343" s="505"/>
      <c r="Y2343" s="505"/>
    </row>
    <row r="2344" spans="1:25" s="88" customFormat="1" ht="14.25" hidden="1" customHeight="1" x14ac:dyDescent="0.25">
      <c r="A2344" s="258"/>
      <c r="B2344" s="258"/>
      <c r="C2344" s="261"/>
      <c r="D2344" s="258"/>
      <c r="E2344" s="679">
        <v>34</v>
      </c>
      <c r="F2344" s="499">
        <v>452</v>
      </c>
      <c r="G2344" s="492" t="s">
        <v>4151</v>
      </c>
      <c r="H2344" s="555"/>
      <c r="I2344" s="556"/>
      <c r="J2344" s="556">
        <f t="shared" si="80"/>
        <v>0</v>
      </c>
      <c r="K2344" s="505"/>
      <c r="L2344" s="505"/>
      <c r="M2344" s="505"/>
      <c r="N2344" s="297"/>
      <c r="O2344" s="505"/>
      <c r="P2344" s="505"/>
      <c r="Q2344" s="505"/>
      <c r="R2344" s="505"/>
      <c r="S2344" s="505"/>
      <c r="T2344" s="505"/>
      <c r="U2344" s="505"/>
      <c r="V2344" s="505"/>
      <c r="W2344" s="505"/>
      <c r="X2344" s="505"/>
      <c r="Y2344" s="505"/>
    </row>
    <row r="2345" spans="1:25" s="88" customFormat="1" ht="14.25" hidden="1" customHeight="1" x14ac:dyDescent="0.25">
      <c r="A2345" s="258"/>
      <c r="B2345" s="258"/>
      <c r="C2345" s="261"/>
      <c r="D2345" s="258"/>
      <c r="E2345" s="679">
        <v>35</v>
      </c>
      <c r="F2345" s="499">
        <v>453</v>
      </c>
      <c r="G2345" s="492" t="s">
        <v>4152</v>
      </c>
      <c r="H2345" s="555"/>
      <c r="I2345" s="556"/>
      <c r="J2345" s="556">
        <f t="shared" si="80"/>
        <v>0</v>
      </c>
      <c r="K2345" s="505"/>
      <c r="L2345" s="505"/>
      <c r="M2345" s="505"/>
      <c r="N2345" s="297"/>
      <c r="O2345" s="505"/>
      <c r="P2345" s="505"/>
      <c r="Q2345" s="505"/>
      <c r="R2345" s="505"/>
      <c r="S2345" s="505"/>
      <c r="T2345" s="505"/>
      <c r="U2345" s="505"/>
      <c r="V2345" s="505"/>
      <c r="W2345" s="505"/>
      <c r="X2345" s="505"/>
      <c r="Y2345" s="505"/>
    </row>
    <row r="2346" spans="1:25" s="88" customFormat="1" ht="14.25" hidden="1" customHeight="1" x14ac:dyDescent="0.25">
      <c r="A2346" s="258"/>
      <c r="B2346" s="258"/>
      <c r="C2346" s="261"/>
      <c r="D2346" s="258"/>
      <c r="E2346" s="679">
        <v>36</v>
      </c>
      <c r="F2346" s="499">
        <v>454</v>
      </c>
      <c r="G2346" s="492" t="s">
        <v>3805</v>
      </c>
      <c r="H2346" s="555"/>
      <c r="I2346" s="556"/>
      <c r="J2346" s="556">
        <f t="shared" si="80"/>
        <v>0</v>
      </c>
      <c r="K2346" s="505"/>
      <c r="L2346" s="505"/>
      <c r="M2346" s="505"/>
      <c r="N2346" s="297"/>
      <c r="O2346" s="505"/>
      <c r="P2346" s="505"/>
      <c r="Q2346" s="505"/>
      <c r="R2346" s="505"/>
      <c r="S2346" s="505"/>
      <c r="T2346" s="505"/>
      <c r="U2346" s="505"/>
      <c r="V2346" s="505"/>
      <c r="W2346" s="505"/>
      <c r="X2346" s="505"/>
      <c r="Y2346" s="505"/>
    </row>
    <row r="2347" spans="1:25" s="88" customFormat="1" ht="14.25" hidden="1" customHeight="1" x14ac:dyDescent="0.25">
      <c r="A2347" s="258"/>
      <c r="B2347" s="258"/>
      <c r="C2347" s="261"/>
      <c r="D2347" s="258"/>
      <c r="E2347" s="679">
        <v>37</v>
      </c>
      <c r="F2347" s="499">
        <v>461</v>
      </c>
      <c r="G2347" s="492" t="s">
        <v>4133</v>
      </c>
      <c r="H2347" s="555"/>
      <c r="I2347" s="556"/>
      <c r="J2347" s="556">
        <f t="shared" si="80"/>
        <v>0</v>
      </c>
      <c r="K2347" s="505"/>
      <c r="L2347" s="505"/>
      <c r="M2347" s="505"/>
      <c r="N2347" s="297"/>
      <c r="O2347" s="505"/>
      <c r="P2347" s="505"/>
      <c r="Q2347" s="505"/>
      <c r="R2347" s="505"/>
      <c r="S2347" s="505"/>
      <c r="T2347" s="505"/>
      <c r="U2347" s="505"/>
      <c r="V2347" s="505"/>
      <c r="W2347" s="505"/>
      <c r="X2347" s="505"/>
      <c r="Y2347" s="505"/>
    </row>
    <row r="2348" spans="1:25" s="88" customFormat="1" ht="14.25" hidden="1" customHeight="1" x14ac:dyDescent="0.25">
      <c r="A2348" s="258"/>
      <c r="B2348" s="258"/>
      <c r="C2348" s="261"/>
      <c r="D2348" s="258"/>
      <c r="E2348" s="679">
        <v>38</v>
      </c>
      <c r="F2348" s="499">
        <v>462</v>
      </c>
      <c r="G2348" s="492" t="s">
        <v>3808</v>
      </c>
      <c r="H2348" s="555"/>
      <c r="I2348" s="556"/>
      <c r="J2348" s="556">
        <f t="shared" si="80"/>
        <v>0</v>
      </c>
      <c r="K2348" s="505"/>
      <c r="L2348" s="505"/>
      <c r="M2348" s="505"/>
      <c r="N2348" s="297"/>
      <c r="O2348" s="505"/>
      <c r="P2348" s="505"/>
      <c r="Q2348" s="505"/>
      <c r="R2348" s="505"/>
      <c r="S2348" s="505"/>
      <c r="T2348" s="505"/>
      <c r="U2348" s="505"/>
      <c r="V2348" s="505"/>
      <c r="W2348" s="505"/>
      <c r="X2348" s="505"/>
      <c r="Y2348" s="505"/>
    </row>
    <row r="2349" spans="1:25" s="88" customFormat="1" ht="14.25" hidden="1" customHeight="1" x14ac:dyDescent="0.25">
      <c r="A2349" s="258"/>
      <c r="B2349" s="258"/>
      <c r="C2349" s="261"/>
      <c r="D2349" s="258"/>
      <c r="E2349" s="679">
        <v>39</v>
      </c>
      <c r="F2349" s="499">
        <v>4631</v>
      </c>
      <c r="G2349" s="492" t="s">
        <v>3809</v>
      </c>
      <c r="H2349" s="555"/>
      <c r="I2349" s="556"/>
      <c r="J2349" s="556">
        <f t="shared" si="80"/>
        <v>0</v>
      </c>
      <c r="K2349" s="505"/>
      <c r="L2349" s="505"/>
      <c r="M2349" s="505"/>
      <c r="N2349" s="297"/>
      <c r="O2349" s="505"/>
      <c r="P2349" s="505"/>
      <c r="Q2349" s="505"/>
      <c r="R2349" s="505"/>
      <c r="S2349" s="505"/>
      <c r="T2349" s="505"/>
      <c r="U2349" s="505"/>
      <c r="V2349" s="505"/>
      <c r="W2349" s="505"/>
      <c r="X2349" s="505"/>
      <c r="Y2349" s="505"/>
    </row>
    <row r="2350" spans="1:25" s="88" customFormat="1" ht="14.25" hidden="1" customHeight="1" x14ac:dyDescent="0.25">
      <c r="A2350" s="258"/>
      <c r="B2350" s="258"/>
      <c r="C2350" s="261"/>
      <c r="D2350" s="258"/>
      <c r="E2350" s="679">
        <v>40</v>
      </c>
      <c r="F2350" s="499">
        <v>4632</v>
      </c>
      <c r="G2350" s="492" t="s">
        <v>3810</v>
      </c>
      <c r="H2350" s="555"/>
      <c r="I2350" s="556"/>
      <c r="J2350" s="556">
        <f t="shared" si="80"/>
        <v>0</v>
      </c>
      <c r="K2350" s="505"/>
      <c r="L2350" s="505"/>
      <c r="M2350" s="505"/>
      <c r="N2350" s="297"/>
      <c r="O2350" s="505"/>
      <c r="P2350" s="505"/>
      <c r="Q2350" s="505"/>
      <c r="R2350" s="505"/>
      <c r="S2350" s="505"/>
      <c r="T2350" s="505"/>
      <c r="U2350" s="505"/>
      <c r="V2350" s="505"/>
      <c r="W2350" s="505"/>
      <c r="X2350" s="505"/>
      <c r="Y2350" s="505"/>
    </row>
    <row r="2351" spans="1:25" s="88" customFormat="1" ht="14.25" hidden="1" customHeight="1" x14ac:dyDescent="0.25">
      <c r="A2351" s="258"/>
      <c r="B2351" s="258"/>
      <c r="C2351" s="261"/>
      <c r="D2351" s="258"/>
      <c r="E2351" s="679">
        <v>41</v>
      </c>
      <c r="F2351" s="499">
        <v>464</v>
      </c>
      <c r="G2351" s="492" t="s">
        <v>3811</v>
      </c>
      <c r="H2351" s="555"/>
      <c r="I2351" s="556"/>
      <c r="J2351" s="556">
        <f t="shared" si="80"/>
        <v>0</v>
      </c>
      <c r="K2351" s="505"/>
      <c r="L2351" s="505"/>
      <c r="M2351" s="505"/>
      <c r="N2351" s="297"/>
      <c r="O2351" s="505"/>
      <c r="P2351" s="505"/>
      <c r="Q2351" s="505"/>
      <c r="R2351" s="505"/>
      <c r="S2351" s="505"/>
      <c r="T2351" s="505"/>
      <c r="U2351" s="505"/>
      <c r="V2351" s="505"/>
      <c r="W2351" s="505"/>
      <c r="X2351" s="505"/>
      <c r="Y2351" s="505"/>
    </row>
    <row r="2352" spans="1:25" s="88" customFormat="1" ht="14.25" hidden="1" customHeight="1" x14ac:dyDescent="0.25">
      <c r="A2352" s="258"/>
      <c r="B2352" s="258"/>
      <c r="C2352" s="261"/>
      <c r="D2352" s="258"/>
      <c r="E2352" s="679">
        <v>42</v>
      </c>
      <c r="F2352" s="499">
        <v>465</v>
      </c>
      <c r="G2352" s="492" t="s">
        <v>4134</v>
      </c>
      <c r="H2352" s="555"/>
      <c r="I2352" s="556"/>
      <c r="J2352" s="556">
        <f t="shared" si="80"/>
        <v>0</v>
      </c>
      <c r="K2352" s="505"/>
      <c r="L2352" s="505"/>
      <c r="M2352" s="505"/>
      <c r="N2352" s="297"/>
      <c r="O2352" s="505"/>
      <c r="P2352" s="505"/>
      <c r="Q2352" s="505"/>
      <c r="R2352" s="505"/>
      <c r="S2352" s="505"/>
      <c r="T2352" s="505"/>
      <c r="U2352" s="505"/>
      <c r="V2352" s="505"/>
      <c r="W2352" s="505"/>
      <c r="X2352" s="505"/>
      <c r="Y2352" s="505"/>
    </row>
    <row r="2353" spans="1:25" s="88" customFormat="1" ht="14.25" hidden="1" customHeight="1" x14ac:dyDescent="0.25">
      <c r="A2353" s="258"/>
      <c r="B2353" s="258"/>
      <c r="C2353" s="261"/>
      <c r="D2353" s="258"/>
      <c r="E2353" s="679">
        <v>43</v>
      </c>
      <c r="F2353" s="499">
        <v>472</v>
      </c>
      <c r="G2353" s="492" t="s">
        <v>3815</v>
      </c>
      <c r="H2353" s="555"/>
      <c r="I2353" s="556"/>
      <c r="J2353" s="556">
        <f t="shared" si="80"/>
        <v>0</v>
      </c>
      <c r="K2353" s="505"/>
      <c r="L2353" s="505"/>
      <c r="M2353" s="505"/>
      <c r="N2353" s="297"/>
      <c r="O2353" s="505"/>
      <c r="P2353" s="505"/>
      <c r="Q2353" s="505"/>
      <c r="R2353" s="505"/>
      <c r="S2353" s="505"/>
      <c r="T2353" s="505"/>
      <c r="U2353" s="505"/>
      <c r="V2353" s="505"/>
      <c r="W2353" s="505"/>
      <c r="X2353" s="505"/>
      <c r="Y2353" s="505"/>
    </row>
    <row r="2354" spans="1:25" s="88" customFormat="1" ht="14.25" hidden="1" customHeight="1" x14ac:dyDescent="0.25">
      <c r="A2354" s="258"/>
      <c r="B2354" s="258"/>
      <c r="C2354" s="261"/>
      <c r="D2354" s="258"/>
      <c r="E2354" s="679">
        <v>44</v>
      </c>
      <c r="F2354" s="499">
        <v>481</v>
      </c>
      <c r="G2354" s="492" t="s">
        <v>4153</v>
      </c>
      <c r="H2354" s="555"/>
      <c r="I2354" s="556"/>
      <c r="J2354" s="556">
        <f t="shared" si="80"/>
        <v>0</v>
      </c>
      <c r="K2354" s="505"/>
      <c r="L2354" s="505"/>
      <c r="M2354" s="505"/>
      <c r="N2354" s="297"/>
      <c r="O2354" s="505"/>
      <c r="P2354" s="505"/>
      <c r="Q2354" s="505"/>
      <c r="R2354" s="505"/>
      <c r="S2354" s="505"/>
      <c r="T2354" s="505"/>
      <c r="U2354" s="505"/>
      <c r="V2354" s="505"/>
      <c r="W2354" s="505"/>
      <c r="X2354" s="505"/>
      <c r="Y2354" s="505"/>
    </row>
    <row r="2355" spans="1:25" s="88" customFormat="1" ht="14.25" hidden="1" customHeight="1" x14ac:dyDescent="0.25">
      <c r="A2355" s="258"/>
      <c r="B2355" s="258"/>
      <c r="C2355" s="261"/>
      <c r="D2355" s="258"/>
      <c r="E2355" s="679">
        <v>45</v>
      </c>
      <c r="F2355" s="499">
        <v>482</v>
      </c>
      <c r="G2355" s="492" t="s">
        <v>4154</v>
      </c>
      <c r="H2355" s="555"/>
      <c r="I2355" s="556"/>
      <c r="J2355" s="556">
        <f t="shared" si="80"/>
        <v>0</v>
      </c>
      <c r="K2355" s="505"/>
      <c r="L2355" s="505"/>
      <c r="M2355" s="505"/>
      <c r="N2355" s="297"/>
      <c r="O2355" s="505"/>
      <c r="P2355" s="505"/>
      <c r="Q2355" s="505"/>
      <c r="R2355" s="505"/>
      <c r="S2355" s="505"/>
      <c r="T2355" s="505"/>
      <c r="U2355" s="505"/>
      <c r="V2355" s="505"/>
      <c r="W2355" s="505"/>
      <c r="X2355" s="505"/>
      <c r="Y2355" s="505"/>
    </row>
    <row r="2356" spans="1:25" s="88" customFormat="1" ht="14.25" hidden="1" customHeight="1" x14ac:dyDescent="0.25">
      <c r="A2356" s="258"/>
      <c r="B2356" s="258"/>
      <c r="C2356" s="261"/>
      <c r="D2356" s="258"/>
      <c r="E2356" s="679">
        <v>46</v>
      </c>
      <c r="F2356" s="499">
        <v>483</v>
      </c>
      <c r="G2356" s="496" t="s">
        <v>4155</v>
      </c>
      <c r="H2356" s="555"/>
      <c r="I2356" s="556"/>
      <c r="J2356" s="556">
        <f t="shared" si="80"/>
        <v>0</v>
      </c>
      <c r="K2356" s="505"/>
      <c r="L2356" s="505"/>
      <c r="M2356" s="505"/>
      <c r="N2356" s="297"/>
      <c r="O2356" s="505"/>
      <c r="P2356" s="505"/>
      <c r="Q2356" s="505"/>
      <c r="R2356" s="505"/>
      <c r="S2356" s="505"/>
      <c r="T2356" s="505"/>
      <c r="U2356" s="505"/>
      <c r="V2356" s="505"/>
      <c r="W2356" s="505"/>
      <c r="X2356" s="505"/>
      <c r="Y2356" s="505"/>
    </row>
    <row r="2357" spans="1:25" s="88" customFormat="1" ht="14.25" hidden="1" customHeight="1" x14ac:dyDescent="0.25">
      <c r="A2357" s="258"/>
      <c r="B2357" s="258"/>
      <c r="C2357" s="261"/>
      <c r="D2357" s="258"/>
      <c r="E2357" s="679">
        <v>47</v>
      </c>
      <c r="F2357" s="499">
        <v>484</v>
      </c>
      <c r="G2357" s="492" t="s">
        <v>4156</v>
      </c>
      <c r="H2357" s="555"/>
      <c r="I2357" s="556"/>
      <c r="J2357" s="556">
        <f t="shared" si="80"/>
        <v>0</v>
      </c>
      <c r="K2357" s="505"/>
      <c r="L2357" s="505"/>
      <c r="M2357" s="505"/>
      <c r="N2357" s="297"/>
      <c r="O2357" s="505"/>
      <c r="P2357" s="505"/>
      <c r="Q2357" s="505"/>
      <c r="R2357" s="505"/>
      <c r="S2357" s="505"/>
      <c r="T2357" s="505"/>
      <c r="U2357" s="505"/>
      <c r="V2357" s="505"/>
      <c r="W2357" s="505"/>
      <c r="X2357" s="505"/>
      <c r="Y2357" s="505"/>
    </row>
    <row r="2358" spans="1:25" s="88" customFormat="1" ht="14.25" hidden="1" customHeight="1" x14ac:dyDescent="0.25">
      <c r="A2358" s="258"/>
      <c r="B2358" s="258"/>
      <c r="C2358" s="261"/>
      <c r="D2358" s="258"/>
      <c r="E2358" s="679">
        <v>48</v>
      </c>
      <c r="F2358" s="499">
        <v>485</v>
      </c>
      <c r="G2358" s="492" t="s">
        <v>4157</v>
      </c>
      <c r="H2358" s="555"/>
      <c r="I2358" s="556"/>
      <c r="J2358" s="556">
        <f t="shared" si="80"/>
        <v>0</v>
      </c>
      <c r="K2358" s="505"/>
      <c r="L2358" s="505"/>
      <c r="M2358" s="505"/>
      <c r="N2358" s="297"/>
      <c r="O2358" s="505"/>
      <c r="P2358" s="505"/>
      <c r="Q2358" s="505"/>
      <c r="R2358" s="505"/>
      <c r="S2358" s="505"/>
      <c r="T2358" s="505"/>
      <c r="U2358" s="505"/>
      <c r="V2358" s="505"/>
      <c r="W2358" s="505"/>
      <c r="X2358" s="505"/>
      <c r="Y2358" s="505"/>
    </row>
    <row r="2359" spans="1:25" s="88" customFormat="1" ht="14.25" hidden="1" customHeight="1" x14ac:dyDescent="0.25">
      <c r="A2359" s="258"/>
      <c r="B2359" s="258"/>
      <c r="C2359" s="261"/>
      <c r="D2359" s="258"/>
      <c r="E2359" s="679">
        <v>49</v>
      </c>
      <c r="F2359" s="499">
        <v>489</v>
      </c>
      <c r="G2359" s="492" t="s">
        <v>3823</v>
      </c>
      <c r="H2359" s="555"/>
      <c r="I2359" s="556"/>
      <c r="J2359" s="556">
        <f t="shared" si="80"/>
        <v>0</v>
      </c>
      <c r="K2359" s="505"/>
      <c r="L2359" s="505"/>
      <c r="M2359" s="505"/>
      <c r="N2359" s="297"/>
      <c r="O2359" s="505"/>
      <c r="P2359" s="505"/>
      <c r="Q2359" s="505"/>
      <c r="R2359" s="505"/>
      <c r="S2359" s="505"/>
      <c r="T2359" s="505"/>
      <c r="U2359" s="505"/>
      <c r="V2359" s="505"/>
      <c r="W2359" s="505"/>
      <c r="X2359" s="505"/>
      <c r="Y2359" s="505"/>
    </row>
    <row r="2360" spans="1:25" s="88" customFormat="1" ht="14.25" hidden="1" customHeight="1" x14ac:dyDescent="0.25">
      <c r="A2360" s="258"/>
      <c r="B2360" s="258"/>
      <c r="C2360" s="261"/>
      <c r="D2360" s="258"/>
      <c r="E2360" s="679">
        <v>50</v>
      </c>
      <c r="F2360" s="499">
        <v>494</v>
      </c>
      <c r="G2360" s="492" t="s">
        <v>4135</v>
      </c>
      <c r="H2360" s="555"/>
      <c r="I2360" s="556"/>
      <c r="J2360" s="556">
        <f t="shared" si="80"/>
        <v>0</v>
      </c>
      <c r="K2360" s="505"/>
      <c r="L2360" s="505"/>
      <c r="M2360" s="505"/>
      <c r="N2360" s="297"/>
      <c r="O2360" s="505"/>
      <c r="P2360" s="505"/>
      <c r="Q2360" s="505"/>
      <c r="R2360" s="505"/>
      <c r="S2360" s="505"/>
      <c r="T2360" s="505"/>
      <c r="U2360" s="505"/>
      <c r="V2360" s="505"/>
      <c r="W2360" s="505"/>
      <c r="X2360" s="505"/>
      <c r="Y2360" s="505"/>
    </row>
    <row r="2361" spans="1:25" s="88" customFormat="1" ht="14.25" hidden="1" customHeight="1" x14ac:dyDescent="0.25">
      <c r="A2361" s="258"/>
      <c r="B2361" s="258"/>
      <c r="C2361" s="261"/>
      <c r="D2361" s="258"/>
      <c r="E2361" s="679">
        <v>51</v>
      </c>
      <c r="F2361" s="499">
        <v>495</v>
      </c>
      <c r="G2361" s="492" t="s">
        <v>4136</v>
      </c>
      <c r="H2361" s="555"/>
      <c r="I2361" s="556"/>
      <c r="J2361" s="556">
        <f t="shared" si="80"/>
        <v>0</v>
      </c>
      <c r="K2361" s="505"/>
      <c r="L2361" s="505"/>
      <c r="M2361" s="505"/>
      <c r="N2361" s="297"/>
      <c r="O2361" s="505"/>
      <c r="P2361" s="505"/>
      <c r="Q2361" s="505"/>
      <c r="R2361" s="505"/>
      <c r="S2361" s="505"/>
      <c r="T2361" s="505"/>
      <c r="U2361" s="505"/>
      <c r="V2361" s="505"/>
      <c r="W2361" s="505"/>
      <c r="X2361" s="505"/>
      <c r="Y2361" s="505"/>
    </row>
    <row r="2362" spans="1:25" s="88" customFormat="1" ht="14.25" hidden="1" customHeight="1" x14ac:dyDescent="0.25">
      <c r="A2362" s="258"/>
      <c r="B2362" s="258"/>
      <c r="C2362" s="261"/>
      <c r="D2362" s="258"/>
      <c r="E2362" s="679">
        <v>52</v>
      </c>
      <c r="F2362" s="499">
        <v>496</v>
      </c>
      <c r="G2362" s="492" t="s">
        <v>4137</v>
      </c>
      <c r="H2362" s="555"/>
      <c r="I2362" s="556"/>
      <c r="J2362" s="556">
        <f t="shared" si="80"/>
        <v>0</v>
      </c>
      <c r="K2362" s="505"/>
      <c r="L2362" s="505"/>
      <c r="M2362" s="505"/>
      <c r="N2362" s="297"/>
      <c r="O2362" s="505"/>
      <c r="P2362" s="505"/>
      <c r="Q2362" s="505"/>
      <c r="R2362" s="505"/>
      <c r="S2362" s="505"/>
      <c r="T2362" s="505"/>
      <c r="U2362" s="505"/>
      <c r="V2362" s="505"/>
      <c r="W2362" s="505"/>
      <c r="X2362" s="505"/>
      <c r="Y2362" s="505"/>
    </row>
    <row r="2363" spans="1:25" s="88" customFormat="1" ht="14.25" hidden="1" customHeight="1" x14ac:dyDescent="0.25">
      <c r="A2363" s="258"/>
      <c r="B2363" s="258"/>
      <c r="C2363" s="261"/>
      <c r="D2363" s="258"/>
      <c r="E2363" s="679">
        <v>53</v>
      </c>
      <c r="F2363" s="499">
        <v>499</v>
      </c>
      <c r="G2363" s="492" t="s">
        <v>4138</v>
      </c>
      <c r="H2363" s="555"/>
      <c r="I2363" s="556"/>
      <c r="J2363" s="556">
        <f t="shared" si="80"/>
        <v>0</v>
      </c>
      <c r="K2363" s="505"/>
      <c r="L2363" s="505"/>
      <c r="M2363" s="505"/>
      <c r="N2363" s="297"/>
      <c r="O2363" s="505"/>
      <c r="P2363" s="505"/>
      <c r="Q2363" s="505"/>
      <c r="R2363" s="505"/>
      <c r="S2363" s="505"/>
      <c r="T2363" s="505"/>
      <c r="U2363" s="505"/>
      <c r="V2363" s="505"/>
      <c r="W2363" s="505"/>
      <c r="X2363" s="505"/>
      <c r="Y2363" s="505"/>
    </row>
    <row r="2364" spans="1:25" s="88" customFormat="1" ht="63" customHeight="1" thickBot="1" x14ac:dyDescent="0.3">
      <c r="A2364" s="258"/>
      <c r="B2364" s="258"/>
      <c r="C2364" s="261"/>
      <c r="D2364" s="258"/>
      <c r="E2364" s="679" t="s">
        <v>5433</v>
      </c>
      <c r="F2364" s="499">
        <v>511</v>
      </c>
      <c r="G2364" s="686" t="s">
        <v>5435</v>
      </c>
      <c r="H2364" s="556">
        <v>23466000</v>
      </c>
      <c r="J2364" s="556">
        <f>SUM(H2364:H2364)</f>
        <v>23466000</v>
      </c>
      <c r="K2364" s="505"/>
      <c r="L2364" s="505"/>
      <c r="M2364" s="505"/>
      <c r="N2364" s="297"/>
      <c r="O2364" s="505"/>
      <c r="P2364" s="505"/>
      <c r="Q2364" s="505"/>
      <c r="R2364" s="505"/>
      <c r="S2364" s="505"/>
      <c r="T2364" s="505"/>
      <c r="U2364" s="505"/>
      <c r="V2364" s="505"/>
      <c r="W2364" s="505"/>
      <c r="X2364" s="505"/>
      <c r="Y2364" s="505"/>
    </row>
    <row r="2365" spans="1:25" s="88" customFormat="1" ht="14.25" hidden="1" customHeight="1" x14ac:dyDescent="0.25">
      <c r="A2365" s="258"/>
      <c r="B2365" s="258"/>
      <c r="C2365" s="261"/>
      <c r="D2365" s="258"/>
      <c r="E2365" s="679">
        <v>55</v>
      </c>
      <c r="F2365" s="499">
        <v>512</v>
      </c>
      <c r="G2365" s="496" t="s">
        <v>4159</v>
      </c>
      <c r="H2365" s="555"/>
      <c r="I2365" s="556"/>
      <c r="J2365" s="556">
        <f t="shared" si="80"/>
        <v>0</v>
      </c>
      <c r="K2365" s="505"/>
      <c r="L2365" s="505"/>
      <c r="M2365" s="505"/>
      <c r="N2365" s="297"/>
      <c r="O2365" s="505"/>
      <c r="P2365" s="505"/>
      <c r="Q2365" s="505"/>
      <c r="R2365" s="505"/>
      <c r="S2365" s="505"/>
      <c r="T2365" s="505"/>
      <c r="U2365" s="505"/>
      <c r="V2365" s="505"/>
      <c r="W2365" s="505"/>
      <c r="X2365" s="505"/>
      <c r="Y2365" s="505"/>
    </row>
    <row r="2366" spans="1:25" s="88" customFormat="1" ht="14.25" hidden="1" customHeight="1" x14ac:dyDescent="0.25">
      <c r="A2366" s="258"/>
      <c r="B2366" s="258"/>
      <c r="C2366" s="261"/>
      <c r="D2366" s="258"/>
      <c r="E2366" s="679">
        <v>56</v>
      </c>
      <c r="F2366" s="499">
        <v>513</v>
      </c>
      <c r="G2366" s="496" t="s">
        <v>4160</v>
      </c>
      <c r="H2366" s="555"/>
      <c r="I2366" s="556"/>
      <c r="J2366" s="556">
        <f t="shared" si="80"/>
        <v>0</v>
      </c>
      <c r="K2366" s="505"/>
      <c r="L2366" s="505"/>
      <c r="M2366" s="505"/>
      <c r="N2366" s="297"/>
      <c r="O2366" s="505"/>
      <c r="P2366" s="505"/>
      <c r="Q2366" s="505"/>
      <c r="R2366" s="505"/>
      <c r="S2366" s="505"/>
      <c r="T2366" s="505"/>
      <c r="U2366" s="505"/>
      <c r="V2366" s="505"/>
      <c r="W2366" s="505"/>
      <c r="X2366" s="505"/>
      <c r="Y2366" s="505"/>
    </row>
    <row r="2367" spans="1:25" s="88" customFormat="1" ht="14.25" hidden="1" customHeight="1" x14ac:dyDescent="0.25">
      <c r="A2367" s="258"/>
      <c r="B2367" s="258"/>
      <c r="C2367" s="261"/>
      <c r="D2367" s="258"/>
      <c r="E2367" s="679">
        <v>57</v>
      </c>
      <c r="F2367" s="499">
        <v>514</v>
      </c>
      <c r="G2367" s="492" t="s">
        <v>4161</v>
      </c>
      <c r="H2367" s="555"/>
      <c r="I2367" s="556"/>
      <c r="J2367" s="556">
        <f t="shared" si="80"/>
        <v>0</v>
      </c>
      <c r="K2367" s="505"/>
      <c r="L2367" s="505"/>
      <c r="M2367" s="505"/>
      <c r="N2367" s="297"/>
      <c r="O2367" s="505"/>
      <c r="P2367" s="505"/>
      <c r="Q2367" s="505"/>
      <c r="R2367" s="505"/>
      <c r="S2367" s="505"/>
      <c r="T2367" s="505"/>
      <c r="U2367" s="505"/>
      <c r="V2367" s="505"/>
      <c r="W2367" s="505"/>
      <c r="X2367" s="505"/>
      <c r="Y2367" s="505"/>
    </row>
    <row r="2368" spans="1:25" s="88" customFormat="1" ht="14.25" hidden="1" customHeight="1" x14ac:dyDescent="0.25">
      <c r="A2368" s="258"/>
      <c r="B2368" s="258"/>
      <c r="C2368" s="261"/>
      <c r="D2368" s="258"/>
      <c r="E2368" s="679">
        <v>58</v>
      </c>
      <c r="F2368" s="499">
        <v>515</v>
      </c>
      <c r="G2368" s="492" t="s">
        <v>3834</v>
      </c>
      <c r="H2368" s="555"/>
      <c r="I2368" s="556"/>
      <c r="J2368" s="556">
        <f t="shared" si="80"/>
        <v>0</v>
      </c>
      <c r="K2368" s="505"/>
      <c r="L2368" s="505"/>
      <c r="M2368" s="505"/>
      <c r="N2368" s="297"/>
      <c r="O2368" s="505"/>
      <c r="P2368" s="505"/>
      <c r="Q2368" s="505"/>
      <c r="R2368" s="505"/>
      <c r="S2368" s="505"/>
      <c r="T2368" s="505"/>
      <c r="U2368" s="505"/>
      <c r="V2368" s="505"/>
      <c r="W2368" s="505"/>
      <c r="X2368" s="505"/>
      <c r="Y2368" s="505"/>
    </row>
    <row r="2369" spans="1:25" s="88" customFormat="1" ht="14.25" hidden="1" customHeight="1" x14ac:dyDescent="0.25">
      <c r="A2369" s="258"/>
      <c r="B2369" s="258"/>
      <c r="C2369" s="261"/>
      <c r="D2369" s="258"/>
      <c r="E2369" s="679">
        <v>59</v>
      </c>
      <c r="F2369" s="499">
        <v>521</v>
      </c>
      <c r="G2369" s="492" t="s">
        <v>4162</v>
      </c>
      <c r="H2369" s="555"/>
      <c r="I2369" s="556"/>
      <c r="J2369" s="556">
        <f t="shared" si="80"/>
        <v>0</v>
      </c>
      <c r="K2369" s="505"/>
      <c r="L2369" s="505"/>
      <c r="M2369" s="505"/>
      <c r="N2369" s="297"/>
      <c r="O2369" s="505"/>
      <c r="P2369" s="505"/>
      <c r="Q2369" s="505"/>
      <c r="R2369" s="505"/>
      <c r="S2369" s="505"/>
      <c r="T2369" s="505"/>
      <c r="U2369" s="505"/>
      <c r="V2369" s="505"/>
      <c r="W2369" s="505"/>
      <c r="X2369" s="505"/>
      <c r="Y2369" s="505"/>
    </row>
    <row r="2370" spans="1:25" s="88" customFormat="1" ht="14.25" hidden="1" customHeight="1" x14ac:dyDescent="0.25">
      <c r="A2370" s="258"/>
      <c r="B2370" s="258"/>
      <c r="C2370" s="261"/>
      <c r="D2370" s="258"/>
      <c r="E2370" s="679">
        <v>60</v>
      </c>
      <c r="F2370" s="499">
        <v>522</v>
      </c>
      <c r="G2370" s="492" t="s">
        <v>4163</v>
      </c>
      <c r="H2370" s="555"/>
      <c r="I2370" s="556"/>
      <c r="J2370" s="556">
        <f t="shared" si="80"/>
        <v>0</v>
      </c>
      <c r="K2370" s="505"/>
      <c r="L2370" s="505"/>
      <c r="M2370" s="505"/>
      <c r="N2370" s="297"/>
      <c r="O2370" s="505"/>
      <c r="P2370" s="505"/>
      <c r="Q2370" s="505"/>
      <c r="R2370" s="505"/>
      <c r="S2370" s="505"/>
      <c r="T2370" s="505"/>
      <c r="U2370" s="505"/>
      <c r="V2370" s="505"/>
      <c r="W2370" s="505"/>
      <c r="X2370" s="505"/>
      <c r="Y2370" s="505"/>
    </row>
    <row r="2371" spans="1:25" s="88" customFormat="1" ht="14.25" hidden="1" customHeight="1" x14ac:dyDescent="0.25">
      <c r="A2371" s="258"/>
      <c r="B2371" s="258"/>
      <c r="C2371" s="261"/>
      <c r="D2371" s="258"/>
      <c r="E2371" s="679">
        <v>61</v>
      </c>
      <c r="F2371" s="499">
        <v>523</v>
      </c>
      <c r="G2371" s="492" t="s">
        <v>3839</v>
      </c>
      <c r="H2371" s="555"/>
      <c r="I2371" s="556"/>
      <c r="J2371" s="556">
        <f t="shared" si="80"/>
        <v>0</v>
      </c>
      <c r="K2371" s="505"/>
      <c r="L2371" s="505"/>
      <c r="M2371" s="505"/>
      <c r="N2371" s="297"/>
      <c r="O2371" s="505"/>
      <c r="P2371" s="505"/>
      <c r="Q2371" s="505"/>
      <c r="R2371" s="505"/>
      <c r="S2371" s="505"/>
      <c r="T2371" s="505"/>
      <c r="U2371" s="505"/>
      <c r="V2371" s="505"/>
      <c r="W2371" s="505"/>
      <c r="X2371" s="505"/>
      <c r="Y2371" s="505"/>
    </row>
    <row r="2372" spans="1:25" s="88" customFormat="1" ht="14.25" hidden="1" customHeight="1" x14ac:dyDescent="0.25">
      <c r="A2372" s="258"/>
      <c r="B2372" s="258"/>
      <c r="C2372" s="261"/>
      <c r="D2372" s="258"/>
      <c r="E2372" s="679">
        <v>62</v>
      </c>
      <c r="F2372" s="499">
        <v>531</v>
      </c>
      <c r="G2372" s="488" t="s">
        <v>4139</v>
      </c>
      <c r="H2372" s="555"/>
      <c r="I2372" s="556"/>
      <c r="J2372" s="556">
        <f t="shared" si="80"/>
        <v>0</v>
      </c>
      <c r="K2372" s="505"/>
      <c r="L2372" s="505"/>
      <c r="M2372" s="505"/>
      <c r="N2372" s="297"/>
      <c r="O2372" s="505"/>
      <c r="P2372" s="505"/>
      <c r="Q2372" s="505"/>
      <c r="R2372" s="505"/>
      <c r="S2372" s="505"/>
      <c r="T2372" s="505"/>
      <c r="U2372" s="505"/>
      <c r="V2372" s="505"/>
      <c r="W2372" s="505"/>
      <c r="X2372" s="505"/>
      <c r="Y2372" s="505"/>
    </row>
    <row r="2373" spans="1:25" s="88" customFormat="1" ht="14.25" hidden="1" customHeight="1" x14ac:dyDescent="0.25">
      <c r="A2373" s="258"/>
      <c r="B2373" s="258"/>
      <c r="C2373" s="261"/>
      <c r="D2373" s="258"/>
      <c r="E2373" s="679">
        <v>63</v>
      </c>
      <c r="F2373" s="499">
        <v>541</v>
      </c>
      <c r="G2373" s="492" t="s">
        <v>4164</v>
      </c>
      <c r="H2373" s="555"/>
      <c r="I2373" s="556"/>
      <c r="J2373" s="556">
        <f t="shared" si="80"/>
        <v>0</v>
      </c>
      <c r="K2373" s="505"/>
      <c r="L2373" s="505"/>
      <c r="M2373" s="505"/>
      <c r="N2373" s="297"/>
      <c r="O2373" s="505"/>
      <c r="P2373" s="505"/>
      <c r="Q2373" s="505"/>
      <c r="R2373" s="505"/>
      <c r="S2373" s="505"/>
      <c r="T2373" s="505"/>
      <c r="U2373" s="505"/>
      <c r="V2373" s="505"/>
      <c r="W2373" s="505"/>
      <c r="X2373" s="505"/>
      <c r="Y2373" s="505"/>
    </row>
    <row r="2374" spans="1:25" s="88" customFormat="1" ht="14.25" hidden="1" customHeight="1" x14ac:dyDescent="0.25">
      <c r="A2374" s="258"/>
      <c r="B2374" s="258"/>
      <c r="C2374" s="261"/>
      <c r="D2374" s="258"/>
      <c r="E2374" s="679">
        <v>64</v>
      </c>
      <c r="F2374" s="499">
        <v>542</v>
      </c>
      <c r="G2374" s="492" t="s">
        <v>4165</v>
      </c>
      <c r="H2374" s="555"/>
      <c r="I2374" s="556"/>
      <c r="J2374" s="556">
        <f t="shared" si="80"/>
        <v>0</v>
      </c>
      <c r="K2374" s="505"/>
      <c r="L2374" s="505"/>
      <c r="M2374" s="505"/>
      <c r="N2374" s="297"/>
      <c r="O2374" s="505"/>
      <c r="P2374" s="505"/>
      <c r="Q2374" s="505"/>
      <c r="R2374" s="505"/>
      <c r="S2374" s="505"/>
      <c r="T2374" s="505"/>
      <c r="U2374" s="505"/>
      <c r="V2374" s="505"/>
      <c r="W2374" s="505"/>
      <c r="X2374" s="505"/>
      <c r="Y2374" s="505"/>
    </row>
    <row r="2375" spans="1:25" s="88" customFormat="1" ht="14.25" hidden="1" customHeight="1" x14ac:dyDescent="0.25">
      <c r="A2375" s="258"/>
      <c r="B2375" s="258"/>
      <c r="C2375" s="261"/>
      <c r="D2375" s="258"/>
      <c r="E2375" s="679">
        <v>65</v>
      </c>
      <c r="F2375" s="499">
        <v>543</v>
      </c>
      <c r="G2375" s="492" t="s">
        <v>3844</v>
      </c>
      <c r="H2375" s="555"/>
      <c r="I2375" s="556"/>
      <c r="J2375" s="556">
        <f t="shared" si="80"/>
        <v>0</v>
      </c>
      <c r="K2375" s="505"/>
      <c r="L2375" s="505"/>
      <c r="M2375" s="505"/>
      <c r="N2375" s="297"/>
      <c r="O2375" s="505"/>
      <c r="P2375" s="505"/>
      <c r="Q2375" s="505"/>
      <c r="R2375" s="505"/>
      <c r="S2375" s="505"/>
      <c r="T2375" s="505"/>
      <c r="U2375" s="505"/>
      <c r="V2375" s="505"/>
      <c r="W2375" s="505"/>
      <c r="X2375" s="505"/>
      <c r="Y2375" s="505"/>
    </row>
    <row r="2376" spans="1:25" s="88" customFormat="1" ht="14.25" hidden="1" customHeight="1" x14ac:dyDescent="0.25">
      <c r="A2376" s="258"/>
      <c r="B2376" s="258"/>
      <c r="C2376" s="261"/>
      <c r="D2376" s="258"/>
      <c r="E2376" s="679">
        <v>15</v>
      </c>
      <c r="F2376" s="499">
        <v>481</v>
      </c>
      <c r="G2376" s="492" t="s">
        <v>5042</v>
      </c>
      <c r="H2376" s="555">
        <v>0</v>
      </c>
      <c r="I2376" s="556"/>
      <c r="J2376" s="556">
        <f t="shared" si="80"/>
        <v>0</v>
      </c>
      <c r="K2376" s="505"/>
      <c r="L2376" s="505"/>
      <c r="M2376" s="505"/>
      <c r="N2376" s="297"/>
      <c r="O2376" s="505"/>
      <c r="P2376" s="505"/>
      <c r="Q2376" s="505"/>
      <c r="R2376" s="505"/>
      <c r="S2376" s="505"/>
      <c r="T2376" s="505"/>
      <c r="U2376" s="505"/>
      <c r="V2376" s="505"/>
      <c r="W2376" s="505"/>
      <c r="X2376" s="505"/>
      <c r="Y2376" s="505"/>
    </row>
    <row r="2377" spans="1:25" s="88" customFormat="1" ht="14.25" hidden="1" customHeight="1" x14ac:dyDescent="0.25">
      <c r="A2377" s="258"/>
      <c r="B2377" s="258"/>
      <c r="C2377" s="261"/>
      <c r="D2377" s="258"/>
      <c r="E2377" s="679">
        <v>16</v>
      </c>
      <c r="F2377" s="500">
        <v>483</v>
      </c>
      <c r="G2377" s="498" t="s">
        <v>4155</v>
      </c>
      <c r="H2377" s="555">
        <v>0</v>
      </c>
      <c r="I2377" s="556"/>
      <c r="J2377" s="556">
        <f t="shared" si="80"/>
        <v>0</v>
      </c>
      <c r="K2377" s="505"/>
      <c r="L2377" s="505"/>
      <c r="M2377" s="505"/>
      <c r="N2377" s="297"/>
      <c r="O2377" s="505"/>
      <c r="P2377" s="505"/>
      <c r="Q2377" s="505"/>
      <c r="R2377" s="505"/>
      <c r="S2377" s="505"/>
      <c r="T2377" s="505"/>
      <c r="U2377" s="505"/>
      <c r="V2377" s="505"/>
      <c r="W2377" s="505"/>
      <c r="X2377" s="505"/>
      <c r="Y2377" s="505"/>
    </row>
    <row r="2378" spans="1:25" s="88" customFormat="1" ht="14.25" hidden="1" customHeight="1" thickBot="1" x14ac:dyDescent="0.3">
      <c r="A2378" s="258"/>
      <c r="B2378" s="258"/>
      <c r="C2378" s="261"/>
      <c r="D2378" s="258"/>
      <c r="E2378" s="679">
        <v>17</v>
      </c>
      <c r="F2378" s="500">
        <v>485</v>
      </c>
      <c r="G2378" s="498" t="s">
        <v>4157</v>
      </c>
      <c r="H2378" s="555">
        <v>0</v>
      </c>
      <c r="I2378" s="556"/>
      <c r="J2378" s="556">
        <f t="shared" si="80"/>
        <v>0</v>
      </c>
      <c r="K2378" s="505"/>
      <c r="L2378" s="505"/>
      <c r="M2378" s="505"/>
      <c r="N2378" s="297"/>
      <c r="O2378" s="505"/>
      <c r="P2378" s="505"/>
      <c r="Q2378" s="505"/>
      <c r="R2378" s="505"/>
      <c r="S2378" s="505"/>
      <c r="T2378" s="505"/>
      <c r="U2378" s="505"/>
      <c r="V2378" s="505"/>
      <c r="W2378" s="505"/>
      <c r="X2378" s="505"/>
      <c r="Y2378" s="505"/>
    </row>
    <row r="2379" spans="1:25" s="88" customFormat="1" ht="14.25" customHeight="1" x14ac:dyDescent="0.25">
      <c r="A2379" s="258"/>
      <c r="B2379" s="258"/>
      <c r="C2379" s="261"/>
      <c r="D2379" s="258"/>
      <c r="E2379" s="489"/>
      <c r="F2379" s="500"/>
      <c r="G2379" s="343" t="s">
        <v>4289</v>
      </c>
      <c r="H2379" s="557"/>
      <c r="I2379" s="583"/>
      <c r="J2379" s="558"/>
      <c r="K2379" s="505"/>
      <c r="L2379" s="505"/>
      <c r="M2379" s="505"/>
      <c r="N2379" s="297"/>
      <c r="O2379" s="505"/>
      <c r="P2379" s="505"/>
      <c r="Q2379" s="505"/>
      <c r="R2379" s="505"/>
      <c r="S2379" s="505"/>
      <c r="T2379" s="505"/>
      <c r="U2379" s="505"/>
      <c r="V2379" s="505"/>
      <c r="W2379" s="505"/>
      <c r="X2379" s="505"/>
      <c r="Y2379" s="505"/>
    </row>
    <row r="2380" spans="1:25" s="88" customFormat="1" ht="14.25" hidden="1" customHeight="1" x14ac:dyDescent="0.25">
      <c r="A2380" s="258"/>
      <c r="B2380" s="258"/>
      <c r="C2380" s="261"/>
      <c r="D2380" s="258"/>
      <c r="E2380" s="693"/>
      <c r="F2380" s="597" t="s">
        <v>234</v>
      </c>
      <c r="G2380" s="598" t="s">
        <v>235</v>
      </c>
      <c r="H2380" s="559">
        <v>0</v>
      </c>
      <c r="I2380" s="560"/>
      <c r="J2380" s="560">
        <f t="shared" ref="J2380:J2395" si="81">SUM(H2380:I2380)</f>
        <v>0</v>
      </c>
      <c r="K2380" s="505"/>
      <c r="L2380" s="505"/>
      <c r="M2380" s="505"/>
      <c r="N2380" s="297"/>
      <c r="O2380" s="505"/>
      <c r="P2380" s="505"/>
      <c r="Q2380" s="505"/>
      <c r="R2380" s="505"/>
      <c r="S2380" s="505"/>
      <c r="T2380" s="505"/>
      <c r="U2380" s="505"/>
      <c r="V2380" s="505"/>
      <c r="W2380" s="505"/>
      <c r="X2380" s="505"/>
      <c r="Y2380" s="505"/>
    </row>
    <row r="2381" spans="1:25" s="88" customFormat="1" ht="14.25" hidden="1" customHeight="1" x14ac:dyDescent="0.25">
      <c r="A2381" s="258"/>
      <c r="B2381" s="258"/>
      <c r="C2381" s="261"/>
      <c r="D2381" s="258"/>
      <c r="E2381" s="679"/>
      <c r="F2381" s="597" t="s">
        <v>236</v>
      </c>
      <c r="G2381" s="598" t="s">
        <v>237</v>
      </c>
      <c r="H2381" s="555"/>
      <c r="I2381" s="556"/>
      <c r="J2381" s="560">
        <f t="shared" si="81"/>
        <v>0</v>
      </c>
      <c r="K2381" s="505"/>
      <c r="L2381" s="505"/>
      <c r="M2381" s="505"/>
      <c r="N2381" s="297"/>
      <c r="O2381" s="505"/>
      <c r="P2381" s="505"/>
      <c r="Q2381" s="505"/>
      <c r="R2381" s="505"/>
      <c r="S2381" s="505"/>
      <c r="T2381" s="505"/>
      <c r="U2381" s="505"/>
      <c r="V2381" s="505"/>
      <c r="W2381" s="505"/>
      <c r="X2381" s="505"/>
      <c r="Y2381" s="505"/>
    </row>
    <row r="2382" spans="1:25" s="88" customFormat="1" ht="14.25" hidden="1" customHeight="1" x14ac:dyDescent="0.25">
      <c r="A2382" s="258"/>
      <c r="B2382" s="258"/>
      <c r="C2382" s="261"/>
      <c r="D2382" s="258"/>
      <c r="E2382" s="679"/>
      <c r="F2382" s="597" t="s">
        <v>238</v>
      </c>
      <c r="G2382" s="598" t="s">
        <v>239</v>
      </c>
      <c r="H2382" s="555"/>
      <c r="I2382" s="556"/>
      <c r="J2382" s="560">
        <f t="shared" si="81"/>
        <v>0</v>
      </c>
      <c r="K2382" s="505"/>
      <c r="L2382" s="505"/>
      <c r="M2382" s="505"/>
      <c r="N2382" s="297"/>
      <c r="O2382" s="505"/>
      <c r="P2382" s="505"/>
      <c r="Q2382" s="505"/>
      <c r="R2382" s="505"/>
      <c r="S2382" s="505"/>
      <c r="T2382" s="505"/>
      <c r="U2382" s="505"/>
      <c r="V2382" s="505"/>
      <c r="W2382" s="505"/>
      <c r="X2382" s="505"/>
      <c r="Y2382" s="505"/>
    </row>
    <row r="2383" spans="1:25" s="88" customFormat="1" ht="14.25" hidden="1" customHeight="1" x14ac:dyDescent="0.25">
      <c r="A2383" s="258"/>
      <c r="B2383" s="258"/>
      <c r="C2383" s="261"/>
      <c r="D2383" s="258"/>
      <c r="E2383" s="679"/>
      <c r="F2383" s="597" t="s">
        <v>240</v>
      </c>
      <c r="G2383" s="598" t="s">
        <v>241</v>
      </c>
      <c r="H2383" s="555"/>
      <c r="I2383" s="556"/>
      <c r="J2383" s="560">
        <f t="shared" si="81"/>
        <v>0</v>
      </c>
      <c r="K2383" s="505"/>
      <c r="L2383" s="505"/>
      <c r="M2383" s="505"/>
      <c r="N2383" s="297"/>
      <c r="O2383" s="505"/>
      <c r="P2383" s="505"/>
      <c r="Q2383" s="505"/>
      <c r="R2383" s="505"/>
      <c r="S2383" s="505"/>
      <c r="T2383" s="505"/>
      <c r="U2383" s="505"/>
      <c r="V2383" s="505"/>
      <c r="W2383" s="505"/>
      <c r="X2383" s="505"/>
      <c r="Y2383" s="505"/>
    </row>
    <row r="2384" spans="1:25" s="88" customFormat="1" ht="14.25" hidden="1" customHeight="1" x14ac:dyDescent="0.25">
      <c r="A2384" s="258"/>
      <c r="B2384" s="258"/>
      <c r="C2384" s="261"/>
      <c r="D2384" s="258"/>
      <c r="E2384" s="679"/>
      <c r="F2384" s="597" t="s">
        <v>242</v>
      </c>
      <c r="G2384" s="598" t="s">
        <v>243</v>
      </c>
      <c r="H2384" s="555"/>
      <c r="I2384" s="556"/>
      <c r="J2384" s="560">
        <f t="shared" si="81"/>
        <v>0</v>
      </c>
      <c r="K2384" s="505"/>
      <c r="L2384" s="505"/>
      <c r="M2384" s="505"/>
      <c r="N2384" s="297"/>
      <c r="O2384" s="505"/>
      <c r="P2384" s="505"/>
      <c r="Q2384" s="505"/>
      <c r="R2384" s="505"/>
      <c r="S2384" s="505"/>
      <c r="T2384" s="505"/>
      <c r="U2384" s="505"/>
      <c r="V2384" s="505"/>
      <c r="W2384" s="505"/>
      <c r="X2384" s="505"/>
      <c r="Y2384" s="505"/>
    </row>
    <row r="2385" spans="1:25" s="88" customFormat="1" ht="14.25" hidden="1" customHeight="1" x14ac:dyDescent="0.25">
      <c r="A2385" s="258"/>
      <c r="B2385" s="258"/>
      <c r="C2385" s="261"/>
      <c r="D2385" s="258"/>
      <c r="E2385" s="679"/>
      <c r="F2385" s="597" t="s">
        <v>244</v>
      </c>
      <c r="G2385" s="598" t="s">
        <v>245</v>
      </c>
      <c r="H2385" s="555"/>
      <c r="I2385" s="556"/>
      <c r="J2385" s="560">
        <f t="shared" si="81"/>
        <v>0</v>
      </c>
      <c r="K2385" s="505"/>
      <c r="L2385" s="505"/>
      <c r="M2385" s="505"/>
      <c r="N2385" s="297"/>
      <c r="O2385" s="505"/>
      <c r="P2385" s="505"/>
      <c r="Q2385" s="505"/>
      <c r="R2385" s="505"/>
      <c r="S2385" s="505"/>
      <c r="T2385" s="505"/>
      <c r="U2385" s="505"/>
      <c r="V2385" s="505"/>
      <c r="W2385" s="505"/>
      <c r="X2385" s="505"/>
      <c r="Y2385" s="505"/>
    </row>
    <row r="2386" spans="1:25" s="88" customFormat="1" ht="14.25" hidden="1" customHeight="1" x14ac:dyDescent="0.25">
      <c r="A2386" s="258"/>
      <c r="B2386" s="258"/>
      <c r="C2386" s="261"/>
      <c r="D2386" s="258"/>
      <c r="E2386" s="679"/>
      <c r="F2386" s="597" t="s">
        <v>246</v>
      </c>
      <c r="G2386" s="598" t="s">
        <v>4996</v>
      </c>
      <c r="H2386" s="555"/>
      <c r="I2386" s="556"/>
      <c r="J2386" s="560">
        <f t="shared" si="81"/>
        <v>0</v>
      </c>
      <c r="K2386" s="505"/>
      <c r="L2386" s="505"/>
      <c r="M2386" s="505"/>
      <c r="N2386" s="297"/>
      <c r="O2386" s="505"/>
      <c r="P2386" s="505"/>
      <c r="Q2386" s="505"/>
      <c r="R2386" s="505"/>
      <c r="S2386" s="505"/>
      <c r="T2386" s="505"/>
      <c r="U2386" s="505"/>
      <c r="V2386" s="505"/>
      <c r="W2386" s="505"/>
      <c r="X2386" s="505"/>
      <c r="Y2386" s="505"/>
    </row>
    <row r="2387" spans="1:25" s="88" customFormat="1" ht="14.25" hidden="1" customHeight="1" x14ac:dyDescent="0.25">
      <c r="A2387" s="258"/>
      <c r="B2387" s="258"/>
      <c r="C2387" s="261"/>
      <c r="D2387" s="258"/>
      <c r="E2387" s="679"/>
      <c r="F2387" s="597" t="s">
        <v>247</v>
      </c>
      <c r="G2387" s="598" t="s">
        <v>4995</v>
      </c>
      <c r="H2387" s="555"/>
      <c r="I2387" s="556"/>
      <c r="J2387" s="560">
        <f t="shared" si="81"/>
        <v>0</v>
      </c>
      <c r="K2387" s="505"/>
      <c r="L2387" s="505"/>
      <c r="M2387" s="505"/>
      <c r="N2387" s="297"/>
      <c r="O2387" s="505"/>
      <c r="P2387" s="505"/>
      <c r="Q2387" s="505"/>
      <c r="R2387" s="505"/>
      <c r="S2387" s="505"/>
      <c r="T2387" s="505"/>
      <c r="U2387" s="505"/>
      <c r="V2387" s="505"/>
      <c r="W2387" s="505"/>
      <c r="X2387" s="505"/>
      <c r="Y2387" s="505"/>
    </row>
    <row r="2388" spans="1:25" s="88" customFormat="1" ht="14.25" hidden="1" customHeight="1" x14ac:dyDescent="0.25">
      <c r="A2388" s="258"/>
      <c r="B2388" s="258"/>
      <c r="C2388" s="261"/>
      <c r="D2388" s="258"/>
      <c r="E2388" s="679"/>
      <c r="F2388" s="597" t="s">
        <v>248</v>
      </c>
      <c r="G2388" s="598" t="s">
        <v>57</v>
      </c>
      <c r="H2388" s="555"/>
      <c r="I2388" s="556"/>
      <c r="J2388" s="560">
        <f t="shared" si="81"/>
        <v>0</v>
      </c>
      <c r="K2388" s="505"/>
      <c r="L2388" s="505"/>
      <c r="M2388" s="505"/>
      <c r="N2388" s="297"/>
      <c r="O2388" s="505"/>
      <c r="P2388" s="505"/>
      <c r="Q2388" s="505"/>
      <c r="R2388" s="505"/>
      <c r="S2388" s="505"/>
      <c r="T2388" s="505"/>
      <c r="U2388" s="505"/>
      <c r="V2388" s="505"/>
      <c r="W2388" s="505"/>
      <c r="X2388" s="505"/>
      <c r="Y2388" s="505"/>
    </row>
    <row r="2389" spans="1:25" s="88" customFormat="1" ht="14.25" hidden="1" customHeight="1" x14ac:dyDescent="0.25">
      <c r="A2389" s="258"/>
      <c r="B2389" s="258"/>
      <c r="C2389" s="261"/>
      <c r="D2389" s="258"/>
      <c r="E2389" s="679"/>
      <c r="F2389" s="597" t="s">
        <v>249</v>
      </c>
      <c r="G2389" s="598" t="s">
        <v>250</v>
      </c>
      <c r="H2389" s="555"/>
      <c r="I2389" s="556"/>
      <c r="J2389" s="560">
        <f t="shared" si="81"/>
        <v>0</v>
      </c>
      <c r="K2389" s="505"/>
      <c r="L2389" s="505"/>
      <c r="M2389" s="505"/>
      <c r="N2389" s="297"/>
      <c r="O2389" s="505"/>
      <c r="P2389" s="505"/>
      <c r="Q2389" s="505"/>
      <c r="R2389" s="505"/>
      <c r="S2389" s="505"/>
      <c r="T2389" s="505"/>
      <c r="U2389" s="505"/>
      <c r="V2389" s="505"/>
      <c r="W2389" s="505"/>
      <c r="X2389" s="505"/>
      <c r="Y2389" s="505"/>
    </row>
    <row r="2390" spans="1:25" s="88" customFormat="1" ht="14.25" hidden="1" customHeight="1" x14ac:dyDescent="0.25">
      <c r="A2390" s="258"/>
      <c r="B2390" s="258"/>
      <c r="C2390" s="261"/>
      <c r="D2390" s="258"/>
      <c r="E2390" s="679"/>
      <c r="F2390" s="597" t="s">
        <v>251</v>
      </c>
      <c r="G2390" s="598" t="s">
        <v>252</v>
      </c>
      <c r="H2390" s="555"/>
      <c r="I2390" s="556"/>
      <c r="J2390" s="560">
        <f t="shared" si="81"/>
        <v>0</v>
      </c>
      <c r="K2390" s="505"/>
      <c r="L2390" s="505"/>
      <c r="M2390" s="505"/>
      <c r="N2390" s="297"/>
      <c r="O2390" s="505"/>
      <c r="P2390" s="505"/>
      <c r="Q2390" s="505"/>
      <c r="R2390" s="505"/>
      <c r="S2390" s="505"/>
      <c r="T2390" s="505"/>
      <c r="U2390" s="505"/>
      <c r="V2390" s="505"/>
      <c r="W2390" s="505"/>
      <c r="X2390" s="505"/>
      <c r="Y2390" s="505"/>
    </row>
    <row r="2391" spans="1:25" s="88" customFormat="1" ht="14.25" hidden="1" customHeight="1" x14ac:dyDescent="0.25">
      <c r="A2391" s="258"/>
      <c r="B2391" s="258"/>
      <c r="C2391" s="261"/>
      <c r="D2391" s="258"/>
      <c r="E2391" s="679"/>
      <c r="F2391" s="597" t="s">
        <v>253</v>
      </c>
      <c r="G2391" s="598" t="s">
        <v>254</v>
      </c>
      <c r="H2391" s="555"/>
      <c r="I2391" s="556"/>
      <c r="J2391" s="560">
        <f t="shared" si="81"/>
        <v>0</v>
      </c>
      <c r="K2391" s="505"/>
      <c r="L2391" s="505"/>
      <c r="M2391" s="505"/>
      <c r="N2391" s="297"/>
      <c r="O2391" s="505"/>
      <c r="P2391" s="505"/>
      <c r="Q2391" s="505"/>
      <c r="R2391" s="505"/>
      <c r="S2391" s="505"/>
      <c r="T2391" s="505"/>
      <c r="U2391" s="505"/>
      <c r="V2391" s="505"/>
      <c r="W2391" s="505"/>
      <c r="X2391" s="505"/>
      <c r="Y2391" s="505"/>
    </row>
    <row r="2392" spans="1:25" s="88" customFormat="1" ht="14.25" customHeight="1" thickBot="1" x14ac:dyDescent="0.3">
      <c r="A2392" s="258"/>
      <c r="B2392" s="258"/>
      <c r="C2392" s="261"/>
      <c r="D2392" s="258"/>
      <c r="E2392" s="679"/>
      <c r="F2392" s="597" t="s">
        <v>255</v>
      </c>
      <c r="G2392" s="598" t="s">
        <v>256</v>
      </c>
      <c r="H2392" s="556">
        <v>23466000</v>
      </c>
      <c r="J2392" s="560">
        <f>SUM(H2392:H2392)</f>
        <v>23466000</v>
      </c>
      <c r="K2392" s="505"/>
      <c r="L2392" s="505"/>
      <c r="M2392" s="505"/>
      <c r="N2392" s="297"/>
      <c r="O2392" s="505"/>
      <c r="P2392" s="505"/>
      <c r="Q2392" s="505"/>
      <c r="R2392" s="505"/>
      <c r="S2392" s="505"/>
      <c r="T2392" s="505"/>
      <c r="U2392" s="505"/>
      <c r="V2392" s="505"/>
      <c r="W2392" s="505"/>
      <c r="X2392" s="505"/>
      <c r="Y2392" s="505"/>
    </row>
    <row r="2393" spans="1:25" s="88" customFormat="1" ht="14.25" hidden="1" customHeight="1" x14ac:dyDescent="0.25">
      <c r="A2393" s="258"/>
      <c r="B2393" s="258"/>
      <c r="C2393" s="261"/>
      <c r="D2393" s="258"/>
      <c r="E2393" s="679"/>
      <c r="F2393" s="597" t="s">
        <v>257</v>
      </c>
      <c r="G2393" s="598" t="s">
        <v>258</v>
      </c>
      <c r="H2393" s="555"/>
      <c r="I2393" s="556"/>
      <c r="J2393" s="560">
        <f t="shared" si="81"/>
        <v>0</v>
      </c>
      <c r="K2393" s="505"/>
      <c r="L2393" s="505"/>
      <c r="M2393" s="505"/>
      <c r="N2393" s="297"/>
      <c r="O2393" s="505"/>
      <c r="P2393" s="505"/>
      <c r="Q2393" s="505"/>
      <c r="R2393" s="505"/>
      <c r="S2393" s="505"/>
      <c r="T2393" s="505"/>
      <c r="U2393" s="505"/>
      <c r="V2393" s="505"/>
      <c r="W2393" s="505"/>
      <c r="X2393" s="505"/>
      <c r="Y2393" s="505"/>
    </row>
    <row r="2394" spans="1:25" s="88" customFormat="1" ht="14.25" hidden="1" customHeight="1" x14ac:dyDescent="0.25">
      <c r="A2394" s="258"/>
      <c r="B2394" s="258"/>
      <c r="C2394" s="261"/>
      <c r="D2394" s="258"/>
      <c r="E2394" s="679"/>
      <c r="F2394" s="597" t="s">
        <v>259</v>
      </c>
      <c r="G2394" s="598" t="s">
        <v>260</v>
      </c>
      <c r="H2394" s="555"/>
      <c r="I2394" s="556"/>
      <c r="J2394" s="560">
        <f t="shared" si="81"/>
        <v>0</v>
      </c>
      <c r="K2394" s="505"/>
      <c r="L2394" s="505"/>
      <c r="M2394" s="505"/>
      <c r="N2394" s="297"/>
      <c r="O2394" s="505"/>
      <c r="P2394" s="505"/>
      <c r="Q2394" s="505"/>
      <c r="R2394" s="505"/>
      <c r="S2394" s="505"/>
      <c r="T2394" s="505"/>
      <c r="U2394" s="505"/>
      <c r="V2394" s="505"/>
      <c r="W2394" s="505"/>
      <c r="X2394" s="505"/>
      <c r="Y2394" s="505"/>
    </row>
    <row r="2395" spans="1:25" s="88" customFormat="1" ht="14.25" hidden="1" customHeight="1" thickBot="1" x14ac:dyDescent="0.3">
      <c r="A2395" s="258"/>
      <c r="B2395" s="258"/>
      <c r="C2395" s="261"/>
      <c r="D2395" s="258"/>
      <c r="E2395" s="679"/>
      <c r="F2395" s="597" t="s">
        <v>261</v>
      </c>
      <c r="G2395" s="598" t="s">
        <v>262</v>
      </c>
      <c r="H2395" s="559"/>
      <c r="I2395" s="560"/>
      <c r="J2395" s="560">
        <f t="shared" si="81"/>
        <v>0</v>
      </c>
      <c r="K2395" s="505"/>
      <c r="L2395" s="505"/>
      <c r="M2395" s="505"/>
      <c r="N2395" s="297"/>
      <c r="O2395" s="505"/>
      <c r="P2395" s="505"/>
      <c r="Q2395" s="505"/>
      <c r="R2395" s="505"/>
      <c r="S2395" s="505"/>
      <c r="T2395" s="505"/>
      <c r="U2395" s="505"/>
      <c r="V2395" s="505"/>
      <c r="W2395" s="505"/>
      <c r="X2395" s="505"/>
      <c r="Y2395" s="505"/>
    </row>
    <row r="2396" spans="1:25" s="88" customFormat="1" ht="14.25" customHeight="1" thickBot="1" x14ac:dyDescent="0.3">
      <c r="A2396" s="258"/>
      <c r="B2396" s="258"/>
      <c r="C2396" s="261"/>
      <c r="D2396" s="258"/>
      <c r="E2396" s="679"/>
      <c r="F2396" s="258"/>
      <c r="G2396" s="268" t="s">
        <v>4290</v>
      </c>
      <c r="H2396" s="561">
        <f>SUM(H2380:H2395)</f>
        <v>23466000</v>
      </c>
      <c r="I2396" s="562">
        <f>SUM(I2381:I2395)</f>
        <v>0</v>
      </c>
      <c r="J2396" s="562">
        <f>SUM(J2380:J2395)</f>
        <v>23466000</v>
      </c>
      <c r="K2396" s="505"/>
      <c r="L2396" s="505"/>
      <c r="M2396" s="505"/>
      <c r="N2396" s="297"/>
      <c r="O2396" s="505"/>
      <c r="P2396" s="505"/>
      <c r="Q2396" s="505"/>
      <c r="R2396" s="505"/>
      <c r="S2396" s="505"/>
      <c r="T2396" s="505"/>
      <c r="U2396" s="505"/>
      <c r="V2396" s="505"/>
      <c r="W2396" s="505"/>
      <c r="X2396" s="505"/>
      <c r="Y2396" s="505"/>
    </row>
    <row r="2397" spans="1:25" s="88" customFormat="1" ht="14.25" customHeight="1" x14ac:dyDescent="0.25">
      <c r="A2397" s="258"/>
      <c r="B2397" s="258"/>
      <c r="C2397" s="261"/>
      <c r="D2397" s="258"/>
      <c r="E2397" s="489"/>
      <c r="F2397" s="500"/>
      <c r="G2397" s="270" t="s">
        <v>4291</v>
      </c>
      <c r="H2397" s="563"/>
      <c r="I2397" s="584"/>
      <c r="J2397" s="564"/>
      <c r="K2397" s="505"/>
      <c r="L2397" s="505"/>
      <c r="M2397" s="505"/>
      <c r="N2397" s="297"/>
      <c r="O2397" s="505"/>
      <c r="P2397" s="505"/>
      <c r="Q2397" s="505"/>
      <c r="R2397" s="505"/>
      <c r="S2397" s="505"/>
      <c r="T2397" s="505"/>
      <c r="U2397" s="505"/>
      <c r="V2397" s="505"/>
      <c r="W2397" s="505"/>
      <c r="X2397" s="505"/>
      <c r="Y2397" s="505"/>
    </row>
    <row r="2398" spans="1:25" s="88" customFormat="1" ht="14.25" hidden="1" customHeight="1" x14ac:dyDescent="0.25">
      <c r="A2398" s="258"/>
      <c r="B2398" s="258"/>
      <c r="C2398" s="261"/>
      <c r="D2398" s="258"/>
      <c r="E2398" s="693"/>
      <c r="F2398" s="597" t="s">
        <v>234</v>
      </c>
      <c r="G2398" s="598" t="s">
        <v>235</v>
      </c>
      <c r="H2398" s="559">
        <v>0</v>
      </c>
      <c r="I2398" s="560"/>
      <c r="J2398" s="560">
        <f>SUM(H2398:I2398)</f>
        <v>0</v>
      </c>
      <c r="K2398" s="505"/>
      <c r="L2398" s="505"/>
      <c r="M2398" s="505"/>
      <c r="N2398" s="297"/>
      <c r="O2398" s="505"/>
      <c r="P2398" s="505"/>
      <c r="Q2398" s="505"/>
      <c r="R2398" s="505"/>
      <c r="S2398" s="505"/>
      <c r="T2398" s="505"/>
      <c r="U2398" s="505"/>
      <c r="V2398" s="505"/>
      <c r="W2398" s="505"/>
      <c r="X2398" s="505"/>
      <c r="Y2398" s="505"/>
    </row>
    <row r="2399" spans="1:25" s="88" customFormat="1" ht="14.25" hidden="1" customHeight="1" x14ac:dyDescent="0.25">
      <c r="A2399" s="258"/>
      <c r="B2399" s="258"/>
      <c r="C2399" s="261"/>
      <c r="D2399" s="258"/>
      <c r="E2399" s="679"/>
      <c r="F2399" s="597" t="s">
        <v>236</v>
      </c>
      <c r="G2399" s="598" t="s">
        <v>237</v>
      </c>
      <c r="H2399" s="555"/>
      <c r="I2399" s="556"/>
      <c r="J2399" s="560">
        <f t="shared" ref="J2399:J2413" si="82">SUM(H2399:I2399)</f>
        <v>0</v>
      </c>
      <c r="K2399" s="505"/>
      <c r="L2399" s="505"/>
      <c r="M2399" s="505"/>
      <c r="N2399" s="297"/>
      <c r="O2399" s="505"/>
      <c r="P2399" s="505"/>
      <c r="Q2399" s="505"/>
      <c r="R2399" s="505"/>
      <c r="S2399" s="505"/>
      <c r="T2399" s="505"/>
      <c r="U2399" s="505"/>
      <c r="V2399" s="505"/>
      <c r="W2399" s="505"/>
      <c r="X2399" s="505"/>
      <c r="Y2399" s="505"/>
    </row>
    <row r="2400" spans="1:25" s="88" customFormat="1" ht="14.25" hidden="1" customHeight="1" x14ac:dyDescent="0.25">
      <c r="A2400" s="258"/>
      <c r="B2400" s="258"/>
      <c r="C2400" s="261"/>
      <c r="D2400" s="258"/>
      <c r="E2400" s="679"/>
      <c r="F2400" s="597" t="s">
        <v>238</v>
      </c>
      <c r="G2400" s="598" t="s">
        <v>239</v>
      </c>
      <c r="H2400" s="555"/>
      <c r="I2400" s="556"/>
      <c r="J2400" s="560">
        <f t="shared" si="82"/>
        <v>0</v>
      </c>
      <c r="K2400" s="505"/>
      <c r="L2400" s="505"/>
      <c r="M2400" s="505"/>
      <c r="N2400" s="297"/>
      <c r="O2400" s="505"/>
      <c r="P2400" s="505"/>
      <c r="Q2400" s="505"/>
      <c r="R2400" s="505"/>
      <c r="S2400" s="505"/>
      <c r="T2400" s="505"/>
      <c r="U2400" s="505"/>
      <c r="V2400" s="505"/>
      <c r="W2400" s="505"/>
      <c r="X2400" s="505"/>
      <c r="Y2400" s="505"/>
    </row>
    <row r="2401" spans="1:25" s="88" customFormat="1" ht="14.25" hidden="1" customHeight="1" x14ac:dyDescent="0.25">
      <c r="A2401" s="258"/>
      <c r="B2401" s="258"/>
      <c r="C2401" s="261"/>
      <c r="D2401" s="258"/>
      <c r="E2401" s="679"/>
      <c r="F2401" s="597" t="s">
        <v>240</v>
      </c>
      <c r="G2401" s="598" t="s">
        <v>241</v>
      </c>
      <c r="H2401" s="555"/>
      <c r="I2401" s="556"/>
      <c r="J2401" s="560">
        <f t="shared" si="82"/>
        <v>0</v>
      </c>
      <c r="K2401" s="505"/>
      <c r="L2401" s="505"/>
      <c r="M2401" s="505"/>
      <c r="N2401" s="297"/>
      <c r="O2401" s="505"/>
      <c r="P2401" s="505"/>
      <c r="Q2401" s="505"/>
      <c r="R2401" s="505"/>
      <c r="S2401" s="505"/>
      <c r="T2401" s="505"/>
      <c r="U2401" s="505"/>
      <c r="V2401" s="505"/>
      <c r="W2401" s="505"/>
      <c r="X2401" s="505"/>
      <c r="Y2401" s="505"/>
    </row>
    <row r="2402" spans="1:25" s="88" customFormat="1" ht="14.25" hidden="1" customHeight="1" x14ac:dyDescent="0.25">
      <c r="A2402" s="258"/>
      <c r="B2402" s="258"/>
      <c r="C2402" s="261"/>
      <c r="D2402" s="258"/>
      <c r="E2402" s="679"/>
      <c r="F2402" s="597" t="s">
        <v>242</v>
      </c>
      <c r="G2402" s="598" t="s">
        <v>243</v>
      </c>
      <c r="H2402" s="555"/>
      <c r="I2402" s="556"/>
      <c r="J2402" s="560">
        <f t="shared" si="82"/>
        <v>0</v>
      </c>
      <c r="K2402" s="505"/>
      <c r="L2402" s="505"/>
      <c r="M2402" s="505"/>
      <c r="N2402" s="297"/>
      <c r="O2402" s="505"/>
      <c r="P2402" s="505"/>
      <c r="Q2402" s="505"/>
      <c r="R2402" s="505"/>
      <c r="S2402" s="505"/>
      <c r="T2402" s="505"/>
      <c r="U2402" s="505"/>
      <c r="V2402" s="505"/>
      <c r="W2402" s="505"/>
      <c r="X2402" s="505"/>
      <c r="Y2402" s="505"/>
    </row>
    <row r="2403" spans="1:25" s="88" customFormat="1" ht="14.25" hidden="1" customHeight="1" x14ac:dyDescent="0.25">
      <c r="A2403" s="258"/>
      <c r="B2403" s="258"/>
      <c r="C2403" s="261"/>
      <c r="D2403" s="258"/>
      <c r="E2403" s="679"/>
      <c r="F2403" s="597" t="s">
        <v>244</v>
      </c>
      <c r="G2403" s="598" t="s">
        <v>245</v>
      </c>
      <c r="H2403" s="555"/>
      <c r="I2403" s="556"/>
      <c r="J2403" s="560">
        <f t="shared" si="82"/>
        <v>0</v>
      </c>
      <c r="K2403" s="505"/>
      <c r="L2403" s="505"/>
      <c r="M2403" s="505"/>
      <c r="N2403" s="297"/>
      <c r="O2403" s="505"/>
      <c r="P2403" s="505"/>
      <c r="Q2403" s="505"/>
      <c r="R2403" s="505"/>
      <c r="S2403" s="505"/>
      <c r="T2403" s="505"/>
      <c r="U2403" s="505"/>
      <c r="V2403" s="505"/>
      <c r="W2403" s="505"/>
      <c r="X2403" s="505"/>
      <c r="Y2403" s="505"/>
    </row>
    <row r="2404" spans="1:25" s="88" customFormat="1" ht="14.25" hidden="1" customHeight="1" x14ac:dyDescent="0.25">
      <c r="A2404" s="258"/>
      <c r="B2404" s="258"/>
      <c r="C2404" s="261"/>
      <c r="D2404" s="258"/>
      <c r="E2404" s="679"/>
      <c r="F2404" s="597" t="s">
        <v>246</v>
      </c>
      <c r="G2404" s="598" t="s">
        <v>4996</v>
      </c>
      <c r="H2404" s="555"/>
      <c r="I2404" s="556"/>
      <c r="J2404" s="560">
        <f t="shared" si="82"/>
        <v>0</v>
      </c>
      <c r="K2404" s="505"/>
      <c r="L2404" s="505"/>
      <c r="M2404" s="505"/>
      <c r="N2404" s="297"/>
      <c r="O2404" s="505"/>
      <c r="P2404" s="505"/>
      <c r="Q2404" s="505"/>
      <c r="R2404" s="505"/>
      <c r="S2404" s="505"/>
      <c r="T2404" s="505"/>
      <c r="U2404" s="505"/>
      <c r="V2404" s="505"/>
      <c r="W2404" s="505"/>
      <c r="X2404" s="505"/>
      <c r="Y2404" s="505"/>
    </row>
    <row r="2405" spans="1:25" s="88" customFormat="1" ht="14.25" hidden="1" customHeight="1" x14ac:dyDescent="0.25">
      <c r="A2405" s="258"/>
      <c r="B2405" s="258"/>
      <c r="C2405" s="261"/>
      <c r="D2405" s="258"/>
      <c r="E2405" s="679"/>
      <c r="F2405" s="597" t="s">
        <v>247</v>
      </c>
      <c r="G2405" s="598" t="s">
        <v>4995</v>
      </c>
      <c r="H2405" s="555"/>
      <c r="I2405" s="556"/>
      <c r="J2405" s="560">
        <f t="shared" si="82"/>
        <v>0</v>
      </c>
      <c r="K2405" s="505"/>
      <c r="L2405" s="505"/>
      <c r="M2405" s="505"/>
      <c r="N2405" s="297"/>
      <c r="O2405" s="505"/>
      <c r="P2405" s="505"/>
      <c r="Q2405" s="505"/>
      <c r="R2405" s="505"/>
      <c r="S2405" s="505"/>
      <c r="T2405" s="505"/>
      <c r="U2405" s="505"/>
      <c r="V2405" s="505"/>
      <c r="W2405" s="505"/>
      <c r="X2405" s="505"/>
      <c r="Y2405" s="505"/>
    </row>
    <row r="2406" spans="1:25" s="88" customFormat="1" ht="14.25" hidden="1" customHeight="1" x14ac:dyDescent="0.25">
      <c r="A2406" s="258"/>
      <c r="B2406" s="258"/>
      <c r="C2406" s="261"/>
      <c r="D2406" s="258"/>
      <c r="E2406" s="679"/>
      <c r="F2406" s="597" t="s">
        <v>248</v>
      </c>
      <c r="G2406" s="598" t="s">
        <v>57</v>
      </c>
      <c r="H2406" s="555"/>
      <c r="I2406" s="556"/>
      <c r="J2406" s="560">
        <f t="shared" si="82"/>
        <v>0</v>
      </c>
      <c r="K2406" s="505"/>
      <c r="L2406" s="505"/>
      <c r="M2406" s="505"/>
      <c r="N2406" s="297"/>
      <c r="O2406" s="505"/>
      <c r="P2406" s="505"/>
      <c r="Q2406" s="505"/>
      <c r="R2406" s="505"/>
      <c r="S2406" s="505"/>
      <c r="T2406" s="505"/>
      <c r="U2406" s="505"/>
      <c r="V2406" s="505"/>
      <c r="W2406" s="505"/>
      <c r="X2406" s="505"/>
      <c r="Y2406" s="505"/>
    </row>
    <row r="2407" spans="1:25" s="88" customFormat="1" ht="14.25" hidden="1" customHeight="1" x14ac:dyDescent="0.25">
      <c r="A2407" s="258"/>
      <c r="B2407" s="258"/>
      <c r="C2407" s="261"/>
      <c r="D2407" s="258"/>
      <c r="E2407" s="679"/>
      <c r="F2407" s="597" t="s">
        <v>249</v>
      </c>
      <c r="G2407" s="598" t="s">
        <v>250</v>
      </c>
      <c r="H2407" s="555"/>
      <c r="I2407" s="556"/>
      <c r="J2407" s="560">
        <f t="shared" si="82"/>
        <v>0</v>
      </c>
      <c r="K2407" s="505"/>
      <c r="L2407" s="505"/>
      <c r="M2407" s="505"/>
      <c r="N2407" s="297"/>
      <c r="O2407" s="505"/>
      <c r="P2407" s="505"/>
      <c r="Q2407" s="505"/>
      <c r="R2407" s="505"/>
      <c r="S2407" s="505"/>
      <c r="T2407" s="505"/>
      <c r="U2407" s="505"/>
      <c r="V2407" s="505"/>
      <c r="W2407" s="505"/>
      <c r="X2407" s="505"/>
      <c r="Y2407" s="505"/>
    </row>
    <row r="2408" spans="1:25" s="88" customFormat="1" ht="14.25" hidden="1" customHeight="1" x14ac:dyDescent="0.25">
      <c r="A2408" s="258"/>
      <c r="B2408" s="258"/>
      <c r="C2408" s="261"/>
      <c r="D2408" s="258"/>
      <c r="E2408" s="679"/>
      <c r="F2408" s="597" t="s">
        <v>251</v>
      </c>
      <c r="G2408" s="598" t="s">
        <v>252</v>
      </c>
      <c r="H2408" s="555"/>
      <c r="I2408" s="556"/>
      <c r="J2408" s="560">
        <f t="shared" si="82"/>
        <v>0</v>
      </c>
      <c r="K2408" s="505"/>
      <c r="L2408" s="505"/>
      <c r="M2408" s="505"/>
      <c r="N2408" s="297"/>
      <c r="O2408" s="505"/>
      <c r="P2408" s="505"/>
      <c r="Q2408" s="505"/>
      <c r="R2408" s="505"/>
      <c r="S2408" s="505"/>
      <c r="T2408" s="505"/>
      <c r="U2408" s="505"/>
      <c r="V2408" s="505"/>
      <c r="W2408" s="505"/>
      <c r="X2408" s="505"/>
      <c r="Y2408" s="505"/>
    </row>
    <row r="2409" spans="1:25" s="88" customFormat="1" ht="14.25" hidden="1" customHeight="1" x14ac:dyDescent="0.25">
      <c r="A2409" s="258"/>
      <c r="B2409" s="258"/>
      <c r="C2409" s="261"/>
      <c r="D2409" s="258"/>
      <c r="E2409" s="679"/>
      <c r="F2409" s="597" t="s">
        <v>253</v>
      </c>
      <c r="G2409" s="598" t="s">
        <v>254</v>
      </c>
      <c r="H2409" s="555"/>
      <c r="I2409" s="556"/>
      <c r="J2409" s="560">
        <f t="shared" si="82"/>
        <v>0</v>
      </c>
      <c r="K2409" s="505"/>
      <c r="L2409" s="505"/>
      <c r="M2409" s="505"/>
      <c r="N2409" s="297"/>
      <c r="O2409" s="505"/>
      <c r="P2409" s="505"/>
      <c r="Q2409" s="505"/>
      <c r="R2409" s="505"/>
      <c r="S2409" s="505"/>
      <c r="T2409" s="505"/>
      <c r="U2409" s="505"/>
      <c r="V2409" s="505"/>
      <c r="W2409" s="505"/>
      <c r="X2409" s="505"/>
      <c r="Y2409" s="505"/>
    </row>
    <row r="2410" spans="1:25" s="88" customFormat="1" ht="14.25" customHeight="1" thickBot="1" x14ac:dyDescent="0.3">
      <c r="A2410" s="258"/>
      <c r="B2410" s="258"/>
      <c r="C2410" s="261"/>
      <c r="D2410" s="258"/>
      <c r="E2410" s="679"/>
      <c r="F2410" s="597" t="s">
        <v>255</v>
      </c>
      <c r="G2410" s="598" t="s">
        <v>256</v>
      </c>
      <c r="H2410" s="556">
        <v>23466000</v>
      </c>
      <c r="J2410" s="560">
        <f>SUM(H2410:H2410)</f>
        <v>23466000</v>
      </c>
      <c r="K2410" s="505"/>
      <c r="L2410" s="505"/>
      <c r="M2410" s="505"/>
      <c r="N2410" s="297"/>
      <c r="O2410" s="505"/>
      <c r="P2410" s="505"/>
      <c r="Q2410" s="505"/>
      <c r="R2410" s="505"/>
      <c r="S2410" s="505"/>
      <c r="T2410" s="505"/>
      <c r="U2410" s="505"/>
      <c r="V2410" s="505"/>
      <c r="W2410" s="505"/>
      <c r="X2410" s="505"/>
      <c r="Y2410" s="505"/>
    </row>
    <row r="2411" spans="1:25" s="88" customFormat="1" ht="14.25" hidden="1" customHeight="1" x14ac:dyDescent="0.25">
      <c r="A2411" s="258"/>
      <c r="B2411" s="258"/>
      <c r="C2411" s="261"/>
      <c r="D2411" s="258"/>
      <c r="E2411" s="679"/>
      <c r="F2411" s="597" t="s">
        <v>257</v>
      </c>
      <c r="G2411" s="598" t="s">
        <v>258</v>
      </c>
      <c r="H2411" s="555"/>
      <c r="I2411" s="556"/>
      <c r="J2411" s="560">
        <f t="shared" si="82"/>
        <v>0</v>
      </c>
      <c r="K2411" s="505"/>
      <c r="L2411" s="505"/>
      <c r="M2411" s="505"/>
      <c r="N2411" s="297"/>
      <c r="O2411" s="505"/>
      <c r="P2411" s="505"/>
      <c r="Q2411" s="505"/>
      <c r="R2411" s="505"/>
      <c r="S2411" s="505"/>
      <c r="T2411" s="505"/>
      <c r="U2411" s="505"/>
      <c r="V2411" s="505"/>
      <c r="W2411" s="505"/>
      <c r="X2411" s="505"/>
      <c r="Y2411" s="505"/>
    </row>
    <row r="2412" spans="1:25" s="88" customFormat="1" ht="14.25" hidden="1" customHeight="1" x14ac:dyDescent="0.25">
      <c r="A2412" s="258"/>
      <c r="B2412" s="258"/>
      <c r="C2412" s="261"/>
      <c r="D2412" s="258"/>
      <c r="E2412" s="679"/>
      <c r="F2412" s="597" t="s">
        <v>259</v>
      </c>
      <c r="G2412" s="598" t="s">
        <v>260</v>
      </c>
      <c r="H2412" s="555"/>
      <c r="I2412" s="556"/>
      <c r="J2412" s="560">
        <f t="shared" si="82"/>
        <v>0</v>
      </c>
      <c r="K2412" s="505"/>
      <c r="L2412" s="505"/>
      <c r="M2412" s="505"/>
      <c r="N2412" s="297"/>
      <c r="O2412" s="505"/>
      <c r="P2412" s="505"/>
      <c r="Q2412" s="505"/>
      <c r="R2412" s="505"/>
      <c r="S2412" s="505"/>
      <c r="T2412" s="505"/>
      <c r="U2412" s="505"/>
      <c r="V2412" s="505"/>
      <c r="W2412" s="505"/>
      <c r="X2412" s="505"/>
      <c r="Y2412" s="505"/>
    </row>
    <row r="2413" spans="1:25" s="88" customFormat="1" ht="14.25" hidden="1" customHeight="1" thickBot="1" x14ac:dyDescent="0.3">
      <c r="A2413" s="258"/>
      <c r="B2413" s="258"/>
      <c r="C2413" s="261"/>
      <c r="D2413" s="258"/>
      <c r="E2413" s="679"/>
      <c r="F2413" s="597" t="s">
        <v>261</v>
      </c>
      <c r="G2413" s="598" t="s">
        <v>262</v>
      </c>
      <c r="H2413" s="559"/>
      <c r="I2413" s="560"/>
      <c r="J2413" s="560">
        <f t="shared" si="82"/>
        <v>0</v>
      </c>
      <c r="K2413" s="505"/>
      <c r="L2413" s="505"/>
      <c r="M2413" s="505"/>
      <c r="N2413" s="297"/>
      <c r="O2413" s="505"/>
      <c r="P2413" s="505"/>
      <c r="Q2413" s="505"/>
      <c r="R2413" s="505"/>
      <c r="S2413" s="505"/>
      <c r="T2413" s="505"/>
      <c r="U2413" s="505"/>
      <c r="V2413" s="505"/>
      <c r="W2413" s="505"/>
      <c r="X2413" s="505"/>
      <c r="Y2413" s="505"/>
    </row>
    <row r="2414" spans="1:25" s="88" customFormat="1" ht="14.25" customHeight="1" thickBot="1" x14ac:dyDescent="0.3">
      <c r="A2414" s="258"/>
      <c r="B2414" s="258"/>
      <c r="C2414" s="261"/>
      <c r="D2414" s="258"/>
      <c r="E2414" s="679"/>
      <c r="F2414" s="258"/>
      <c r="G2414" s="268" t="s">
        <v>4292</v>
      </c>
      <c r="H2414" s="561">
        <f>SUM(H2398:H2413)</f>
        <v>23466000</v>
      </c>
      <c r="I2414" s="562">
        <f>SUM(I2399:I2413)</f>
        <v>0</v>
      </c>
      <c r="J2414" s="562">
        <f>SUM(J2398:J2413)</f>
        <v>23466000</v>
      </c>
      <c r="K2414" s="505"/>
      <c r="L2414" s="505"/>
      <c r="M2414" s="505"/>
      <c r="N2414" s="297"/>
      <c r="O2414" s="505"/>
      <c r="P2414" s="505"/>
      <c r="Q2414" s="505"/>
      <c r="R2414" s="505"/>
      <c r="S2414" s="505"/>
      <c r="T2414" s="505"/>
      <c r="U2414" s="505"/>
      <c r="V2414" s="505"/>
      <c r="W2414" s="505"/>
      <c r="X2414" s="505"/>
      <c r="Y2414" s="505"/>
    </row>
    <row r="2415" spans="1:25" s="88" customFormat="1" ht="14.25" customHeight="1" x14ac:dyDescent="0.25">
      <c r="A2415" s="258"/>
      <c r="B2415" s="258"/>
      <c r="C2415" s="267" t="s">
        <v>5259</v>
      </c>
      <c r="D2415" s="259"/>
      <c r="E2415" s="679"/>
      <c r="F2415" s="258"/>
      <c r="G2415" s="483" t="s">
        <v>5260</v>
      </c>
      <c r="H2415" s="555"/>
      <c r="I2415" s="556"/>
      <c r="J2415" s="556"/>
      <c r="K2415" s="505"/>
      <c r="L2415" s="505"/>
      <c r="M2415" s="505"/>
      <c r="N2415" s="297"/>
      <c r="O2415" s="505"/>
      <c r="P2415" s="505"/>
      <c r="Q2415" s="505"/>
      <c r="R2415" s="505"/>
      <c r="S2415" s="505"/>
      <c r="T2415" s="505"/>
      <c r="U2415" s="505"/>
      <c r="V2415" s="505"/>
      <c r="W2415" s="505"/>
      <c r="X2415" s="505"/>
      <c r="Y2415" s="505"/>
    </row>
    <row r="2416" spans="1:25" s="88" customFormat="1" ht="14.25" customHeight="1" x14ac:dyDescent="0.25">
      <c r="A2416" s="258"/>
      <c r="B2416" s="258"/>
      <c r="C2416" s="267"/>
      <c r="D2416" s="356" t="s">
        <v>3872</v>
      </c>
      <c r="E2416" s="869"/>
      <c r="F2416" s="331"/>
      <c r="G2416" s="333" t="s">
        <v>100</v>
      </c>
      <c r="H2416" s="559"/>
      <c r="I2416" s="560"/>
      <c r="J2416" s="560"/>
      <c r="K2416" s="505"/>
      <c r="L2416" s="505"/>
      <c r="M2416" s="505"/>
      <c r="N2416" s="297"/>
      <c r="O2416" s="505"/>
      <c r="P2416" s="505"/>
      <c r="Q2416" s="505"/>
      <c r="R2416" s="505"/>
      <c r="S2416" s="505"/>
      <c r="T2416" s="505"/>
      <c r="U2416" s="505"/>
      <c r="V2416" s="505"/>
      <c r="W2416" s="505"/>
      <c r="X2416" s="505"/>
      <c r="Y2416" s="505"/>
    </row>
    <row r="2417" spans="1:25" s="88" customFormat="1" ht="14.25" hidden="1" customHeight="1" x14ac:dyDescent="0.25">
      <c r="A2417" s="258"/>
      <c r="B2417" s="258"/>
      <c r="C2417" s="261"/>
      <c r="D2417" s="258"/>
      <c r="E2417" s="679">
        <v>9</v>
      </c>
      <c r="F2417" s="499">
        <v>411</v>
      </c>
      <c r="G2417" s="492" t="s">
        <v>4131</v>
      </c>
      <c r="H2417" s="555"/>
      <c r="I2417" s="556"/>
      <c r="J2417" s="556">
        <f>SUM(H2417:I2417)</f>
        <v>0</v>
      </c>
      <c r="K2417" s="505"/>
      <c r="L2417" s="505"/>
      <c r="M2417" s="505"/>
      <c r="N2417" s="297"/>
      <c r="O2417" s="505"/>
      <c r="P2417" s="505"/>
      <c r="Q2417" s="505"/>
      <c r="R2417" s="505"/>
      <c r="S2417" s="505"/>
      <c r="T2417" s="505"/>
      <c r="U2417" s="505"/>
      <c r="V2417" s="505"/>
      <c r="W2417" s="505"/>
      <c r="X2417" s="505"/>
      <c r="Y2417" s="505"/>
    </row>
    <row r="2418" spans="1:25" s="88" customFormat="1" ht="14.25" hidden="1" customHeight="1" x14ac:dyDescent="0.25">
      <c r="A2418" s="258"/>
      <c r="B2418" s="258"/>
      <c r="C2418" s="261"/>
      <c r="D2418" s="258"/>
      <c r="E2418" s="679">
        <v>10</v>
      </c>
      <c r="F2418" s="499">
        <v>412</v>
      </c>
      <c r="G2418" s="488" t="s">
        <v>3766</v>
      </c>
      <c r="H2418" s="555"/>
      <c r="I2418" s="556"/>
      <c r="J2418" s="556">
        <f t="shared" ref="J2418:J2427" si="83">SUM(H2418:I2418)</f>
        <v>0</v>
      </c>
      <c r="K2418" s="505"/>
      <c r="L2418" s="505"/>
      <c r="M2418" s="505"/>
      <c r="N2418" s="297"/>
      <c r="O2418" s="505"/>
      <c r="P2418" s="505"/>
      <c r="Q2418" s="505"/>
      <c r="R2418" s="505"/>
      <c r="S2418" s="505"/>
      <c r="T2418" s="505"/>
      <c r="U2418" s="505"/>
      <c r="V2418" s="505"/>
      <c r="W2418" s="505"/>
      <c r="X2418" s="505"/>
      <c r="Y2418" s="505"/>
    </row>
    <row r="2419" spans="1:25" s="88" customFormat="1" ht="14.25" hidden="1" customHeight="1" x14ac:dyDescent="0.25">
      <c r="A2419" s="258"/>
      <c r="B2419" s="258"/>
      <c r="C2419" s="261"/>
      <c r="D2419" s="258"/>
      <c r="E2419" s="679">
        <v>11</v>
      </c>
      <c r="F2419" s="499">
        <v>413</v>
      </c>
      <c r="G2419" s="492" t="s">
        <v>4132</v>
      </c>
      <c r="H2419" s="555"/>
      <c r="I2419" s="556"/>
      <c r="J2419" s="556">
        <f t="shared" si="83"/>
        <v>0</v>
      </c>
      <c r="K2419" s="505"/>
      <c r="L2419" s="505"/>
      <c r="M2419" s="505"/>
      <c r="N2419" s="297"/>
      <c r="O2419" s="505"/>
      <c r="P2419" s="505"/>
      <c r="Q2419" s="505"/>
      <c r="R2419" s="505"/>
      <c r="S2419" s="505"/>
      <c r="T2419" s="505"/>
      <c r="U2419" s="505"/>
      <c r="V2419" s="505"/>
      <c r="W2419" s="505"/>
      <c r="X2419" s="505"/>
      <c r="Y2419" s="505"/>
    </row>
    <row r="2420" spans="1:25" s="88" customFormat="1" ht="14.25" hidden="1" customHeight="1" x14ac:dyDescent="0.25">
      <c r="A2420" s="258"/>
      <c r="B2420" s="258"/>
      <c r="C2420" s="261"/>
      <c r="D2420" s="258"/>
      <c r="E2420" s="679">
        <v>12</v>
      </c>
      <c r="F2420" s="499">
        <v>414</v>
      </c>
      <c r="G2420" s="492" t="s">
        <v>3769</v>
      </c>
      <c r="H2420" s="555"/>
      <c r="I2420" s="556"/>
      <c r="J2420" s="556">
        <f t="shared" si="83"/>
        <v>0</v>
      </c>
      <c r="K2420" s="505"/>
      <c r="L2420" s="505"/>
      <c r="M2420" s="505"/>
      <c r="N2420" s="297"/>
      <c r="O2420" s="505"/>
      <c r="P2420" s="505"/>
      <c r="Q2420" s="505"/>
      <c r="R2420" s="505"/>
      <c r="S2420" s="505"/>
      <c r="T2420" s="505"/>
      <c r="U2420" s="505"/>
      <c r="V2420" s="505"/>
      <c r="W2420" s="505"/>
      <c r="X2420" s="505"/>
      <c r="Y2420" s="505"/>
    </row>
    <row r="2421" spans="1:25" s="88" customFormat="1" ht="14.25" hidden="1" customHeight="1" x14ac:dyDescent="0.25">
      <c r="A2421" s="258"/>
      <c r="B2421" s="258"/>
      <c r="C2421" s="261"/>
      <c r="D2421" s="258"/>
      <c r="E2421" s="679">
        <v>13</v>
      </c>
      <c r="F2421" s="499">
        <v>415</v>
      </c>
      <c r="G2421" s="492" t="s">
        <v>4141</v>
      </c>
      <c r="H2421" s="555"/>
      <c r="I2421" s="556"/>
      <c r="J2421" s="556">
        <f t="shared" si="83"/>
        <v>0</v>
      </c>
      <c r="K2421" s="505"/>
      <c r="L2421" s="505"/>
      <c r="M2421" s="505"/>
      <c r="N2421" s="297"/>
      <c r="O2421" s="505"/>
      <c r="P2421" s="505"/>
      <c r="Q2421" s="505"/>
      <c r="R2421" s="505"/>
      <c r="S2421" s="505"/>
      <c r="T2421" s="505"/>
      <c r="U2421" s="505"/>
      <c r="V2421" s="505"/>
      <c r="W2421" s="505"/>
      <c r="X2421" s="505"/>
      <c r="Y2421" s="505"/>
    </row>
    <row r="2422" spans="1:25" s="88" customFormat="1" ht="14.25" hidden="1" customHeight="1" x14ac:dyDescent="0.25">
      <c r="A2422" s="258"/>
      <c r="B2422" s="258"/>
      <c r="C2422" s="261"/>
      <c r="D2422" s="258"/>
      <c r="E2422" s="679">
        <v>14</v>
      </c>
      <c r="F2422" s="499">
        <v>416</v>
      </c>
      <c r="G2422" s="492" t="s">
        <v>4142</v>
      </c>
      <c r="H2422" s="555"/>
      <c r="I2422" s="556"/>
      <c r="J2422" s="556">
        <f t="shared" si="83"/>
        <v>0</v>
      </c>
      <c r="K2422" s="505"/>
      <c r="L2422" s="505"/>
      <c r="M2422" s="505"/>
      <c r="N2422" s="297"/>
      <c r="O2422" s="505"/>
      <c r="P2422" s="505"/>
      <c r="Q2422" s="505"/>
      <c r="R2422" s="505"/>
      <c r="S2422" s="505"/>
      <c r="T2422" s="505"/>
      <c r="U2422" s="505"/>
      <c r="V2422" s="505"/>
      <c r="W2422" s="505"/>
      <c r="X2422" s="505"/>
      <c r="Y2422" s="505"/>
    </row>
    <row r="2423" spans="1:25" s="88" customFormat="1" ht="14.25" hidden="1" customHeight="1" x14ac:dyDescent="0.25">
      <c r="A2423" s="258"/>
      <c r="B2423" s="258"/>
      <c r="C2423" s="261"/>
      <c r="D2423" s="258"/>
      <c r="E2423" s="679">
        <v>15</v>
      </c>
      <c r="F2423" s="499">
        <v>417</v>
      </c>
      <c r="G2423" s="492" t="s">
        <v>4143</v>
      </c>
      <c r="H2423" s="555"/>
      <c r="I2423" s="556"/>
      <c r="J2423" s="556">
        <f t="shared" si="83"/>
        <v>0</v>
      </c>
      <c r="K2423" s="505"/>
      <c r="L2423" s="505"/>
      <c r="M2423" s="505"/>
      <c r="N2423" s="297"/>
      <c r="O2423" s="505"/>
      <c r="P2423" s="505"/>
      <c r="Q2423" s="505"/>
      <c r="R2423" s="505"/>
      <c r="S2423" s="505"/>
      <c r="T2423" s="505"/>
      <c r="U2423" s="505"/>
      <c r="V2423" s="505"/>
      <c r="W2423" s="505"/>
      <c r="X2423" s="505"/>
      <c r="Y2423" s="505"/>
    </row>
    <row r="2424" spans="1:25" s="88" customFormat="1" ht="14.25" hidden="1" customHeight="1" x14ac:dyDescent="0.25">
      <c r="A2424" s="258"/>
      <c r="B2424" s="258"/>
      <c r="C2424" s="261"/>
      <c r="D2424" s="258"/>
      <c r="E2424" s="679">
        <v>16</v>
      </c>
      <c r="F2424" s="499">
        <v>418</v>
      </c>
      <c r="G2424" s="492" t="s">
        <v>3775</v>
      </c>
      <c r="H2424" s="555"/>
      <c r="I2424" s="556"/>
      <c r="J2424" s="556">
        <f t="shared" si="83"/>
        <v>0</v>
      </c>
      <c r="K2424" s="505"/>
      <c r="L2424" s="505"/>
      <c r="M2424" s="505"/>
      <c r="N2424" s="297"/>
      <c r="O2424" s="505"/>
      <c r="P2424" s="505"/>
      <c r="Q2424" s="505"/>
      <c r="R2424" s="505"/>
      <c r="S2424" s="505"/>
      <c r="T2424" s="505"/>
      <c r="U2424" s="505"/>
      <c r="V2424" s="505"/>
      <c r="W2424" s="505"/>
      <c r="X2424" s="505"/>
      <c r="Y2424" s="505"/>
    </row>
    <row r="2425" spans="1:25" s="88" customFormat="1" ht="14.25" hidden="1" customHeight="1" x14ac:dyDescent="0.25">
      <c r="A2425" s="258"/>
      <c r="B2425" s="258"/>
      <c r="C2425" s="261"/>
      <c r="D2425" s="258"/>
      <c r="E2425" s="679">
        <v>17</v>
      </c>
      <c r="F2425" s="499">
        <v>421</v>
      </c>
      <c r="G2425" s="492" t="s">
        <v>3779</v>
      </c>
      <c r="H2425" s="555"/>
      <c r="I2425" s="556"/>
      <c r="J2425" s="556">
        <f t="shared" si="83"/>
        <v>0</v>
      </c>
      <c r="K2425" s="505"/>
      <c r="L2425" s="505"/>
      <c r="M2425" s="505"/>
      <c r="N2425" s="297"/>
      <c r="O2425" s="505"/>
      <c r="P2425" s="505"/>
      <c r="Q2425" s="505"/>
      <c r="R2425" s="505"/>
      <c r="S2425" s="505"/>
      <c r="T2425" s="505"/>
      <c r="U2425" s="505"/>
      <c r="V2425" s="505"/>
      <c r="W2425" s="505"/>
      <c r="X2425" s="505"/>
      <c r="Y2425" s="505"/>
    </row>
    <row r="2426" spans="1:25" s="88" customFormat="1" ht="14.25" hidden="1" customHeight="1" x14ac:dyDescent="0.25">
      <c r="A2426" s="258"/>
      <c r="B2426" s="258"/>
      <c r="C2426" s="261"/>
      <c r="D2426" s="258"/>
      <c r="E2426" s="679">
        <v>11</v>
      </c>
      <c r="F2426" s="499">
        <v>422</v>
      </c>
      <c r="G2426" s="492" t="s">
        <v>3780</v>
      </c>
      <c r="H2426" s="555"/>
      <c r="I2426" s="556"/>
      <c r="J2426" s="556">
        <f t="shared" si="83"/>
        <v>0</v>
      </c>
      <c r="K2426" s="505"/>
      <c r="L2426" s="505"/>
      <c r="M2426" s="505"/>
      <c r="N2426" s="297"/>
      <c r="O2426" s="505"/>
      <c r="P2426" s="505"/>
      <c r="Q2426" s="505"/>
      <c r="R2426" s="505"/>
      <c r="S2426" s="505"/>
      <c r="T2426" s="505"/>
      <c r="U2426" s="505"/>
      <c r="V2426" s="505"/>
      <c r="W2426" s="505"/>
      <c r="X2426" s="505"/>
      <c r="Y2426" s="505"/>
    </row>
    <row r="2427" spans="1:25" s="88" customFormat="1" ht="14.25" hidden="1" customHeight="1" x14ac:dyDescent="0.25">
      <c r="A2427" s="258"/>
      <c r="B2427" s="258"/>
      <c r="C2427" s="261"/>
      <c r="D2427" s="258"/>
      <c r="E2427" s="679">
        <v>12</v>
      </c>
      <c r="F2427" s="499">
        <v>423</v>
      </c>
      <c r="G2427" s="492" t="s">
        <v>3781</v>
      </c>
      <c r="H2427" s="555"/>
      <c r="I2427" s="556"/>
      <c r="J2427" s="556">
        <f t="shared" si="83"/>
        <v>0</v>
      </c>
      <c r="K2427" s="505"/>
      <c r="L2427" s="505"/>
      <c r="M2427" s="505"/>
      <c r="N2427" s="297"/>
      <c r="O2427" s="505"/>
      <c r="P2427" s="505"/>
      <c r="Q2427" s="505"/>
      <c r="R2427" s="505"/>
      <c r="S2427" s="505"/>
      <c r="T2427" s="505"/>
      <c r="U2427" s="505"/>
      <c r="V2427" s="505"/>
      <c r="W2427" s="505"/>
      <c r="X2427" s="505"/>
      <c r="Y2427" s="505"/>
    </row>
    <row r="2428" spans="1:25" s="88" customFormat="1" ht="14.25" hidden="1" customHeight="1" x14ac:dyDescent="0.25">
      <c r="A2428" s="258"/>
      <c r="B2428" s="258"/>
      <c r="C2428" s="261"/>
      <c r="D2428" s="258"/>
      <c r="E2428" s="679"/>
      <c r="F2428" s="499">
        <v>424</v>
      </c>
      <c r="G2428" s="492" t="s">
        <v>3783</v>
      </c>
      <c r="H2428" s="555"/>
      <c r="I2428" s="556"/>
      <c r="J2428" s="556">
        <f>SUM(H2428:I2428)</f>
        <v>0</v>
      </c>
      <c r="K2428" s="505"/>
      <c r="L2428" s="505"/>
      <c r="M2428" s="505"/>
      <c r="N2428" s="297"/>
      <c r="O2428" s="505"/>
      <c r="P2428" s="505"/>
      <c r="Q2428" s="505"/>
      <c r="R2428" s="505"/>
      <c r="S2428" s="505"/>
      <c r="T2428" s="505"/>
      <c r="U2428" s="505"/>
      <c r="V2428" s="505"/>
      <c r="W2428" s="505"/>
      <c r="X2428" s="505"/>
      <c r="Y2428" s="505"/>
    </row>
    <row r="2429" spans="1:25" s="88" customFormat="1" ht="14.25" hidden="1" customHeight="1" x14ac:dyDescent="0.25">
      <c r="A2429" s="258"/>
      <c r="B2429" s="258"/>
      <c r="C2429" s="261"/>
      <c r="D2429" s="258"/>
      <c r="E2429" s="679">
        <v>13</v>
      </c>
      <c r="F2429" s="499">
        <v>426</v>
      </c>
      <c r="G2429" s="492" t="s">
        <v>5041</v>
      </c>
      <c r="H2429" s="555"/>
      <c r="I2429" s="556"/>
      <c r="J2429" s="556">
        <f t="shared" ref="J2429:J2476" si="84">SUM(H2429:I2429)</f>
        <v>0</v>
      </c>
      <c r="K2429" s="505"/>
      <c r="L2429" s="505"/>
      <c r="M2429" s="505"/>
      <c r="N2429" s="297"/>
      <c r="O2429" s="505"/>
      <c r="P2429" s="505"/>
      <c r="Q2429" s="505"/>
      <c r="R2429" s="505"/>
      <c r="S2429" s="505"/>
      <c r="T2429" s="505"/>
      <c r="U2429" s="505"/>
      <c r="V2429" s="505"/>
      <c r="W2429" s="505"/>
      <c r="X2429" s="505"/>
      <c r="Y2429" s="505"/>
    </row>
    <row r="2430" spans="1:25" s="88" customFormat="1" ht="14.25" hidden="1" customHeight="1" x14ac:dyDescent="0.25">
      <c r="A2430" s="258"/>
      <c r="B2430" s="258"/>
      <c r="C2430" s="261"/>
      <c r="D2430" s="258"/>
      <c r="E2430" s="679">
        <v>14</v>
      </c>
      <c r="F2430" s="499">
        <v>465</v>
      </c>
      <c r="G2430" s="492" t="s">
        <v>4134</v>
      </c>
      <c r="H2430" s="555"/>
      <c r="I2430" s="556"/>
      <c r="J2430" s="556">
        <f t="shared" si="84"/>
        <v>0</v>
      </c>
      <c r="K2430" s="505"/>
      <c r="L2430" s="505"/>
      <c r="M2430" s="505"/>
      <c r="N2430" s="297"/>
      <c r="O2430" s="505"/>
      <c r="P2430" s="505"/>
      <c r="Q2430" s="505"/>
      <c r="R2430" s="505"/>
      <c r="S2430" s="505"/>
      <c r="T2430" s="505"/>
      <c r="U2430" s="505"/>
      <c r="V2430" s="505"/>
      <c r="W2430" s="505"/>
      <c r="X2430" s="505"/>
      <c r="Y2430" s="505"/>
    </row>
    <row r="2431" spans="1:25" s="88" customFormat="1" ht="14.25" hidden="1" customHeight="1" x14ac:dyDescent="0.25">
      <c r="A2431" s="258"/>
      <c r="B2431" s="258"/>
      <c r="C2431" s="261"/>
      <c r="D2431" s="258"/>
      <c r="E2431" s="679">
        <v>23</v>
      </c>
      <c r="F2431" s="499">
        <v>431</v>
      </c>
      <c r="G2431" s="492" t="s">
        <v>4145</v>
      </c>
      <c r="H2431" s="555"/>
      <c r="I2431" s="556"/>
      <c r="J2431" s="556">
        <f t="shared" si="84"/>
        <v>0</v>
      </c>
      <c r="K2431" s="505"/>
      <c r="L2431" s="505"/>
      <c r="M2431" s="505"/>
      <c r="N2431" s="297"/>
      <c r="O2431" s="505"/>
      <c r="P2431" s="505"/>
      <c r="Q2431" s="505"/>
      <c r="R2431" s="505"/>
      <c r="S2431" s="505"/>
      <c r="T2431" s="505"/>
      <c r="U2431" s="505"/>
      <c r="V2431" s="505"/>
      <c r="W2431" s="505"/>
      <c r="X2431" s="505"/>
      <c r="Y2431" s="505"/>
    </row>
    <row r="2432" spans="1:25" s="88" customFormat="1" ht="14.25" hidden="1" customHeight="1" x14ac:dyDescent="0.25">
      <c r="A2432" s="258"/>
      <c r="B2432" s="258"/>
      <c r="C2432" s="261"/>
      <c r="D2432" s="258"/>
      <c r="E2432" s="679">
        <v>24</v>
      </c>
      <c r="F2432" s="499">
        <v>432</v>
      </c>
      <c r="G2432" s="492" t="s">
        <v>4146</v>
      </c>
      <c r="H2432" s="555"/>
      <c r="I2432" s="556"/>
      <c r="J2432" s="556">
        <f t="shared" si="84"/>
        <v>0</v>
      </c>
      <c r="K2432" s="505"/>
      <c r="L2432" s="505"/>
      <c r="M2432" s="505"/>
      <c r="N2432" s="297"/>
      <c r="O2432" s="505"/>
      <c r="P2432" s="505"/>
      <c r="Q2432" s="505"/>
      <c r="R2432" s="505"/>
      <c r="S2432" s="505"/>
      <c r="T2432" s="505"/>
      <c r="U2432" s="505"/>
      <c r="V2432" s="505"/>
      <c r="W2432" s="505"/>
      <c r="X2432" s="505"/>
      <c r="Y2432" s="505"/>
    </row>
    <row r="2433" spans="1:25" s="88" customFormat="1" ht="14.25" hidden="1" customHeight="1" x14ac:dyDescent="0.25">
      <c r="A2433" s="258"/>
      <c r="B2433" s="258"/>
      <c r="C2433" s="261"/>
      <c r="D2433" s="258"/>
      <c r="E2433" s="679">
        <v>25</v>
      </c>
      <c r="F2433" s="499">
        <v>433</v>
      </c>
      <c r="G2433" s="492" t="s">
        <v>4147</v>
      </c>
      <c r="H2433" s="555"/>
      <c r="I2433" s="556"/>
      <c r="J2433" s="556">
        <f t="shared" si="84"/>
        <v>0</v>
      </c>
      <c r="K2433" s="505"/>
      <c r="L2433" s="505"/>
      <c r="M2433" s="505"/>
      <c r="N2433" s="297"/>
      <c r="O2433" s="505"/>
      <c r="P2433" s="505"/>
      <c r="Q2433" s="505"/>
      <c r="R2433" s="505"/>
      <c r="S2433" s="505"/>
      <c r="T2433" s="505"/>
      <c r="U2433" s="505"/>
      <c r="V2433" s="505"/>
      <c r="W2433" s="505"/>
      <c r="X2433" s="505"/>
      <c r="Y2433" s="505"/>
    </row>
    <row r="2434" spans="1:25" s="88" customFormat="1" ht="14.25" hidden="1" customHeight="1" x14ac:dyDescent="0.25">
      <c r="A2434" s="258"/>
      <c r="B2434" s="258"/>
      <c r="C2434" s="261"/>
      <c r="D2434" s="258"/>
      <c r="E2434" s="679">
        <v>26</v>
      </c>
      <c r="F2434" s="499">
        <v>434</v>
      </c>
      <c r="G2434" s="492" t="s">
        <v>4148</v>
      </c>
      <c r="H2434" s="555"/>
      <c r="I2434" s="556"/>
      <c r="J2434" s="556">
        <f t="shared" si="84"/>
        <v>0</v>
      </c>
      <c r="K2434" s="505"/>
      <c r="L2434" s="505"/>
      <c r="M2434" s="505"/>
      <c r="N2434" s="297"/>
      <c r="O2434" s="505"/>
      <c r="P2434" s="505"/>
      <c r="Q2434" s="505"/>
      <c r="R2434" s="505"/>
      <c r="S2434" s="505"/>
      <c r="T2434" s="505"/>
      <c r="U2434" s="505"/>
      <c r="V2434" s="505"/>
      <c r="W2434" s="505"/>
      <c r="X2434" s="505"/>
      <c r="Y2434" s="505"/>
    </row>
    <row r="2435" spans="1:25" s="88" customFormat="1" ht="14.25" hidden="1" customHeight="1" x14ac:dyDescent="0.25">
      <c r="A2435" s="258"/>
      <c r="B2435" s="258"/>
      <c r="C2435" s="261"/>
      <c r="D2435" s="258"/>
      <c r="E2435" s="679">
        <v>27</v>
      </c>
      <c r="F2435" s="499">
        <v>435</v>
      </c>
      <c r="G2435" s="492" t="s">
        <v>3794</v>
      </c>
      <c r="H2435" s="555"/>
      <c r="I2435" s="556"/>
      <c r="J2435" s="556">
        <f t="shared" si="84"/>
        <v>0</v>
      </c>
      <c r="K2435" s="505"/>
      <c r="L2435" s="505"/>
      <c r="M2435" s="505"/>
      <c r="N2435" s="297"/>
      <c r="O2435" s="505"/>
      <c r="P2435" s="505"/>
      <c r="Q2435" s="505"/>
      <c r="R2435" s="505"/>
      <c r="S2435" s="505"/>
      <c r="T2435" s="505"/>
      <c r="U2435" s="505"/>
      <c r="V2435" s="505"/>
      <c r="W2435" s="505"/>
      <c r="X2435" s="505"/>
      <c r="Y2435" s="505"/>
    </row>
    <row r="2436" spans="1:25" s="88" customFormat="1" ht="14.25" hidden="1" customHeight="1" x14ac:dyDescent="0.25">
      <c r="A2436" s="258"/>
      <c r="B2436" s="258"/>
      <c r="C2436" s="261"/>
      <c r="D2436" s="258"/>
      <c r="E2436" s="679">
        <v>28</v>
      </c>
      <c r="F2436" s="499">
        <v>441</v>
      </c>
      <c r="G2436" s="492" t="s">
        <v>4149</v>
      </c>
      <c r="H2436" s="555"/>
      <c r="I2436" s="556"/>
      <c r="J2436" s="556">
        <f t="shared" si="84"/>
        <v>0</v>
      </c>
      <c r="K2436" s="505"/>
      <c r="L2436" s="505"/>
      <c r="M2436" s="505"/>
      <c r="N2436" s="297"/>
      <c r="O2436" s="505"/>
      <c r="P2436" s="505"/>
      <c r="Q2436" s="505"/>
      <c r="R2436" s="505"/>
      <c r="S2436" s="505"/>
      <c r="T2436" s="505"/>
      <c r="U2436" s="505"/>
      <c r="V2436" s="505"/>
      <c r="W2436" s="505"/>
      <c r="X2436" s="505"/>
      <c r="Y2436" s="505"/>
    </row>
    <row r="2437" spans="1:25" s="88" customFormat="1" ht="14.25" hidden="1" customHeight="1" x14ac:dyDescent="0.25">
      <c r="A2437" s="258"/>
      <c r="B2437" s="258"/>
      <c r="C2437" s="261"/>
      <c r="D2437" s="258"/>
      <c r="E2437" s="679">
        <v>29</v>
      </c>
      <c r="F2437" s="499">
        <v>442</v>
      </c>
      <c r="G2437" s="492" t="s">
        <v>4150</v>
      </c>
      <c r="H2437" s="555"/>
      <c r="I2437" s="556"/>
      <c r="J2437" s="556">
        <f t="shared" si="84"/>
        <v>0</v>
      </c>
      <c r="K2437" s="505"/>
      <c r="L2437" s="505"/>
      <c r="M2437" s="505"/>
      <c r="N2437" s="297"/>
      <c r="O2437" s="505"/>
      <c r="P2437" s="505"/>
      <c r="Q2437" s="505"/>
      <c r="R2437" s="505"/>
      <c r="S2437" s="505"/>
      <c r="T2437" s="505"/>
      <c r="U2437" s="505"/>
      <c r="V2437" s="505"/>
      <c r="W2437" s="505"/>
      <c r="X2437" s="505"/>
      <c r="Y2437" s="505"/>
    </row>
    <row r="2438" spans="1:25" s="88" customFormat="1" ht="14.25" hidden="1" customHeight="1" x14ac:dyDescent="0.25">
      <c r="A2438" s="258"/>
      <c r="B2438" s="258"/>
      <c r="C2438" s="261"/>
      <c r="D2438" s="258"/>
      <c r="E2438" s="679">
        <v>30</v>
      </c>
      <c r="F2438" s="499">
        <v>443</v>
      </c>
      <c r="G2438" s="492" t="s">
        <v>3799</v>
      </c>
      <c r="H2438" s="555"/>
      <c r="I2438" s="556"/>
      <c r="J2438" s="556">
        <f t="shared" si="84"/>
        <v>0</v>
      </c>
      <c r="K2438" s="505"/>
      <c r="L2438" s="505"/>
      <c r="M2438" s="505"/>
      <c r="N2438" s="297"/>
      <c r="O2438" s="505"/>
      <c r="P2438" s="505"/>
      <c r="Q2438" s="505"/>
      <c r="R2438" s="505"/>
      <c r="S2438" s="505"/>
      <c r="T2438" s="505"/>
      <c r="U2438" s="505"/>
      <c r="V2438" s="505"/>
      <c r="W2438" s="505"/>
      <c r="X2438" s="505"/>
      <c r="Y2438" s="505"/>
    </row>
    <row r="2439" spans="1:25" s="88" customFormat="1" ht="14.25" hidden="1" customHeight="1" x14ac:dyDescent="0.25">
      <c r="A2439" s="258"/>
      <c r="B2439" s="258"/>
      <c r="C2439" s="261"/>
      <c r="D2439" s="258"/>
      <c r="E2439" s="679">
        <v>31</v>
      </c>
      <c r="F2439" s="499">
        <v>444</v>
      </c>
      <c r="G2439" s="492" t="s">
        <v>3800</v>
      </c>
      <c r="H2439" s="555"/>
      <c r="I2439" s="556"/>
      <c r="J2439" s="556">
        <f t="shared" si="84"/>
        <v>0</v>
      </c>
      <c r="K2439" s="505"/>
      <c r="L2439" s="505"/>
      <c r="M2439" s="505"/>
      <c r="N2439" s="297"/>
      <c r="O2439" s="505"/>
      <c r="P2439" s="505"/>
      <c r="Q2439" s="505"/>
      <c r="R2439" s="505"/>
      <c r="S2439" s="505"/>
      <c r="T2439" s="505"/>
      <c r="U2439" s="505"/>
      <c r="V2439" s="505"/>
      <c r="W2439" s="505"/>
      <c r="X2439" s="505"/>
      <c r="Y2439" s="505"/>
    </row>
    <row r="2440" spans="1:25" s="88" customFormat="1" ht="14.25" hidden="1" customHeight="1" x14ac:dyDescent="0.25">
      <c r="A2440" s="258"/>
      <c r="B2440" s="258"/>
      <c r="C2440" s="261"/>
      <c r="D2440" s="258"/>
      <c r="E2440" s="679">
        <v>32</v>
      </c>
      <c r="F2440" s="499">
        <v>4511</v>
      </c>
      <c r="G2440" s="765" t="s">
        <v>1690</v>
      </c>
      <c r="H2440" s="555"/>
      <c r="I2440" s="556"/>
      <c r="J2440" s="556">
        <f t="shared" si="84"/>
        <v>0</v>
      </c>
      <c r="K2440" s="505"/>
      <c r="L2440" s="505"/>
      <c r="M2440" s="505"/>
      <c r="N2440" s="297"/>
      <c r="O2440" s="505"/>
      <c r="P2440" s="505"/>
      <c r="Q2440" s="505"/>
      <c r="R2440" s="505"/>
      <c r="S2440" s="505"/>
      <c r="T2440" s="505"/>
      <c r="U2440" s="505"/>
      <c r="V2440" s="505"/>
      <c r="W2440" s="505"/>
      <c r="X2440" s="505"/>
      <c r="Y2440" s="505"/>
    </row>
    <row r="2441" spans="1:25" s="88" customFormat="1" ht="14.25" hidden="1" customHeight="1" x14ac:dyDescent="0.25">
      <c r="A2441" s="258"/>
      <c r="B2441" s="258"/>
      <c r="C2441" s="261"/>
      <c r="D2441" s="258"/>
      <c r="E2441" s="679">
        <v>33</v>
      </c>
      <c r="F2441" s="499">
        <v>4512</v>
      </c>
      <c r="G2441" s="765" t="s">
        <v>1699</v>
      </c>
      <c r="H2441" s="555"/>
      <c r="I2441" s="556"/>
      <c r="J2441" s="556">
        <f t="shared" si="84"/>
        <v>0</v>
      </c>
      <c r="K2441" s="505"/>
      <c r="L2441" s="505"/>
      <c r="M2441" s="505"/>
      <c r="N2441" s="297"/>
      <c r="O2441" s="505"/>
      <c r="P2441" s="505"/>
      <c r="Q2441" s="505"/>
      <c r="R2441" s="505"/>
      <c r="S2441" s="505"/>
      <c r="T2441" s="505"/>
      <c r="U2441" s="505"/>
      <c r="V2441" s="505"/>
      <c r="W2441" s="505"/>
      <c r="X2441" s="505"/>
      <c r="Y2441" s="505"/>
    </row>
    <row r="2442" spans="1:25" s="88" customFormat="1" ht="14.25" hidden="1" customHeight="1" x14ac:dyDescent="0.25">
      <c r="A2442" s="258"/>
      <c r="B2442" s="258"/>
      <c r="C2442" s="261"/>
      <c r="D2442" s="258"/>
      <c r="E2442" s="679">
        <v>34</v>
      </c>
      <c r="F2442" s="499">
        <v>452</v>
      </c>
      <c r="G2442" s="492" t="s">
        <v>4151</v>
      </c>
      <c r="H2442" s="555"/>
      <c r="I2442" s="556"/>
      <c r="J2442" s="556">
        <f t="shared" si="84"/>
        <v>0</v>
      </c>
      <c r="K2442" s="505"/>
      <c r="L2442" s="505"/>
      <c r="M2442" s="505"/>
      <c r="N2442" s="297"/>
      <c r="O2442" s="505"/>
      <c r="P2442" s="505"/>
      <c r="Q2442" s="505"/>
      <c r="R2442" s="505"/>
      <c r="S2442" s="505"/>
      <c r="T2442" s="505"/>
      <c r="U2442" s="505"/>
      <c r="V2442" s="505"/>
      <c r="W2442" s="505"/>
      <c r="X2442" s="505"/>
      <c r="Y2442" s="505"/>
    </row>
    <row r="2443" spans="1:25" s="88" customFormat="1" ht="14.25" hidden="1" customHeight="1" x14ac:dyDescent="0.25">
      <c r="A2443" s="258"/>
      <c r="B2443" s="258"/>
      <c r="C2443" s="261"/>
      <c r="D2443" s="258"/>
      <c r="E2443" s="679">
        <v>35</v>
      </c>
      <c r="F2443" s="499">
        <v>453</v>
      </c>
      <c r="G2443" s="492" t="s">
        <v>4152</v>
      </c>
      <c r="H2443" s="555"/>
      <c r="I2443" s="556"/>
      <c r="J2443" s="556">
        <f t="shared" si="84"/>
        <v>0</v>
      </c>
      <c r="K2443" s="505"/>
      <c r="L2443" s="505"/>
      <c r="M2443" s="505"/>
      <c r="N2443" s="297"/>
      <c r="O2443" s="505"/>
      <c r="P2443" s="505"/>
      <c r="Q2443" s="505"/>
      <c r="R2443" s="505"/>
      <c r="S2443" s="505"/>
      <c r="T2443" s="505"/>
      <c r="U2443" s="505"/>
      <c r="V2443" s="505"/>
      <c r="W2443" s="505"/>
      <c r="X2443" s="505"/>
      <c r="Y2443" s="505"/>
    </row>
    <row r="2444" spans="1:25" s="88" customFormat="1" ht="14.25" hidden="1" customHeight="1" x14ac:dyDescent="0.25">
      <c r="A2444" s="258"/>
      <c r="B2444" s="258"/>
      <c r="C2444" s="261"/>
      <c r="D2444" s="258"/>
      <c r="E2444" s="679">
        <v>36</v>
      </c>
      <c r="F2444" s="499">
        <v>454</v>
      </c>
      <c r="G2444" s="492" t="s">
        <v>3805</v>
      </c>
      <c r="H2444" s="555"/>
      <c r="I2444" s="556"/>
      <c r="J2444" s="556">
        <f t="shared" si="84"/>
        <v>0</v>
      </c>
      <c r="K2444" s="505"/>
      <c r="L2444" s="505"/>
      <c r="M2444" s="505"/>
      <c r="N2444" s="297"/>
      <c r="O2444" s="505"/>
      <c r="P2444" s="505"/>
      <c r="Q2444" s="505"/>
      <c r="R2444" s="505"/>
      <c r="S2444" s="505"/>
      <c r="T2444" s="505"/>
      <c r="U2444" s="505"/>
      <c r="V2444" s="505"/>
      <c r="W2444" s="505"/>
      <c r="X2444" s="505"/>
      <c r="Y2444" s="505"/>
    </row>
    <row r="2445" spans="1:25" s="88" customFormat="1" ht="14.25" hidden="1" customHeight="1" x14ac:dyDescent="0.25">
      <c r="A2445" s="258"/>
      <c r="B2445" s="258"/>
      <c r="C2445" s="261"/>
      <c r="D2445" s="258"/>
      <c r="E2445" s="679">
        <v>37</v>
      </c>
      <c r="F2445" s="499">
        <v>461</v>
      </c>
      <c r="G2445" s="492" t="s">
        <v>4133</v>
      </c>
      <c r="H2445" s="555"/>
      <c r="I2445" s="556"/>
      <c r="J2445" s="556">
        <f t="shared" si="84"/>
        <v>0</v>
      </c>
      <c r="K2445" s="505"/>
      <c r="L2445" s="505"/>
      <c r="M2445" s="505"/>
      <c r="N2445" s="297"/>
      <c r="O2445" s="505"/>
      <c r="P2445" s="505"/>
      <c r="Q2445" s="505"/>
      <c r="R2445" s="505"/>
      <c r="S2445" s="505"/>
      <c r="T2445" s="505"/>
      <c r="U2445" s="505"/>
      <c r="V2445" s="505"/>
      <c r="W2445" s="505"/>
      <c r="X2445" s="505"/>
      <c r="Y2445" s="505"/>
    </row>
    <row r="2446" spans="1:25" s="88" customFormat="1" ht="14.25" hidden="1" customHeight="1" x14ac:dyDescent="0.25">
      <c r="A2446" s="258"/>
      <c r="B2446" s="258"/>
      <c r="C2446" s="261"/>
      <c r="D2446" s="258"/>
      <c r="E2446" s="679">
        <v>38</v>
      </c>
      <c r="F2446" s="499">
        <v>462</v>
      </c>
      <c r="G2446" s="492" t="s">
        <v>3808</v>
      </c>
      <c r="H2446" s="555"/>
      <c r="I2446" s="556"/>
      <c r="J2446" s="556">
        <f t="shared" si="84"/>
        <v>0</v>
      </c>
      <c r="K2446" s="505"/>
      <c r="L2446" s="505"/>
      <c r="M2446" s="505"/>
      <c r="N2446" s="297"/>
      <c r="O2446" s="505"/>
      <c r="P2446" s="505"/>
      <c r="Q2446" s="505"/>
      <c r="R2446" s="505"/>
      <c r="S2446" s="505"/>
      <c r="T2446" s="505"/>
      <c r="U2446" s="505"/>
      <c r="V2446" s="505"/>
      <c r="W2446" s="505"/>
      <c r="X2446" s="505"/>
      <c r="Y2446" s="505"/>
    </row>
    <row r="2447" spans="1:25" s="88" customFormat="1" ht="14.25" hidden="1" customHeight="1" x14ac:dyDescent="0.25">
      <c r="A2447" s="258"/>
      <c r="B2447" s="258"/>
      <c r="C2447" s="261"/>
      <c r="D2447" s="258"/>
      <c r="E2447" s="679">
        <v>39</v>
      </c>
      <c r="F2447" s="499">
        <v>4631</v>
      </c>
      <c r="G2447" s="492" t="s">
        <v>3809</v>
      </c>
      <c r="H2447" s="555"/>
      <c r="I2447" s="556"/>
      <c r="J2447" s="556">
        <f t="shared" si="84"/>
        <v>0</v>
      </c>
      <c r="K2447" s="505"/>
      <c r="L2447" s="505"/>
      <c r="M2447" s="505"/>
      <c r="N2447" s="297"/>
      <c r="O2447" s="505"/>
      <c r="P2447" s="505"/>
      <c r="Q2447" s="505"/>
      <c r="R2447" s="505"/>
      <c r="S2447" s="505"/>
      <c r="T2447" s="505"/>
      <c r="U2447" s="505"/>
      <c r="V2447" s="505"/>
      <c r="W2447" s="505"/>
      <c r="X2447" s="505"/>
      <c r="Y2447" s="505"/>
    </row>
    <row r="2448" spans="1:25" s="88" customFormat="1" ht="14.25" hidden="1" customHeight="1" x14ac:dyDescent="0.25">
      <c r="A2448" s="258"/>
      <c r="B2448" s="258"/>
      <c r="C2448" s="261"/>
      <c r="D2448" s="258"/>
      <c r="E2448" s="679">
        <v>40</v>
      </c>
      <c r="F2448" s="499">
        <v>4632</v>
      </c>
      <c r="G2448" s="492" t="s">
        <v>3810</v>
      </c>
      <c r="H2448" s="555"/>
      <c r="I2448" s="556"/>
      <c r="J2448" s="556">
        <f t="shared" si="84"/>
        <v>0</v>
      </c>
      <c r="K2448" s="505"/>
      <c r="L2448" s="505"/>
      <c r="M2448" s="505"/>
      <c r="N2448" s="297"/>
      <c r="O2448" s="505"/>
      <c r="P2448" s="505"/>
      <c r="Q2448" s="505"/>
      <c r="R2448" s="505"/>
      <c r="S2448" s="505"/>
      <c r="T2448" s="505"/>
      <c r="U2448" s="505"/>
      <c r="V2448" s="505"/>
      <c r="W2448" s="505"/>
      <c r="X2448" s="505"/>
      <c r="Y2448" s="505"/>
    </row>
    <row r="2449" spans="1:25" s="88" customFormat="1" ht="14.25" hidden="1" customHeight="1" x14ac:dyDescent="0.25">
      <c r="A2449" s="258"/>
      <c r="B2449" s="258"/>
      <c r="C2449" s="261"/>
      <c r="D2449" s="258"/>
      <c r="E2449" s="679">
        <v>41</v>
      </c>
      <c r="F2449" s="499">
        <v>464</v>
      </c>
      <c r="G2449" s="492" t="s">
        <v>3811</v>
      </c>
      <c r="H2449" s="555"/>
      <c r="I2449" s="556"/>
      <c r="J2449" s="556">
        <f t="shared" si="84"/>
        <v>0</v>
      </c>
      <c r="K2449" s="505"/>
      <c r="L2449" s="505"/>
      <c r="M2449" s="505"/>
      <c r="N2449" s="297"/>
      <c r="O2449" s="505"/>
      <c r="P2449" s="505"/>
      <c r="Q2449" s="505"/>
      <c r="R2449" s="505"/>
      <c r="S2449" s="505"/>
      <c r="T2449" s="505"/>
      <c r="U2449" s="505"/>
      <c r="V2449" s="505"/>
      <c r="W2449" s="505"/>
      <c r="X2449" s="505"/>
      <c r="Y2449" s="505"/>
    </row>
    <row r="2450" spans="1:25" s="88" customFormat="1" ht="14.25" hidden="1" customHeight="1" x14ac:dyDescent="0.25">
      <c r="A2450" s="258"/>
      <c r="B2450" s="258"/>
      <c r="C2450" s="261"/>
      <c r="D2450" s="258"/>
      <c r="E2450" s="679">
        <v>42</v>
      </c>
      <c r="F2450" s="499">
        <v>465</v>
      </c>
      <c r="G2450" s="492" t="s">
        <v>4134</v>
      </c>
      <c r="H2450" s="555"/>
      <c r="I2450" s="556"/>
      <c r="J2450" s="556">
        <f t="shared" si="84"/>
        <v>0</v>
      </c>
      <c r="K2450" s="505"/>
      <c r="L2450" s="505"/>
      <c r="M2450" s="505"/>
      <c r="N2450" s="297"/>
      <c r="O2450" s="505"/>
      <c r="P2450" s="505"/>
      <c r="Q2450" s="505"/>
      <c r="R2450" s="505"/>
      <c r="S2450" s="505"/>
      <c r="T2450" s="505"/>
      <c r="U2450" s="505"/>
      <c r="V2450" s="505"/>
      <c r="W2450" s="505"/>
      <c r="X2450" s="505"/>
      <c r="Y2450" s="505"/>
    </row>
    <row r="2451" spans="1:25" s="88" customFormat="1" ht="14.25" hidden="1" customHeight="1" x14ac:dyDescent="0.25">
      <c r="A2451" s="258"/>
      <c r="B2451" s="258"/>
      <c r="C2451" s="261"/>
      <c r="D2451" s="258"/>
      <c r="E2451" s="679">
        <v>43</v>
      </c>
      <c r="F2451" s="499">
        <v>472</v>
      </c>
      <c r="G2451" s="492" t="s">
        <v>3815</v>
      </c>
      <c r="H2451" s="555"/>
      <c r="I2451" s="556"/>
      <c r="J2451" s="556">
        <f t="shared" si="84"/>
        <v>0</v>
      </c>
      <c r="K2451" s="505"/>
      <c r="L2451" s="505"/>
      <c r="M2451" s="505"/>
      <c r="N2451" s="297"/>
      <c r="O2451" s="505"/>
      <c r="P2451" s="505"/>
      <c r="Q2451" s="505"/>
      <c r="R2451" s="505"/>
      <c r="S2451" s="505"/>
      <c r="T2451" s="505"/>
      <c r="U2451" s="505"/>
      <c r="V2451" s="505"/>
      <c r="W2451" s="505"/>
      <c r="X2451" s="505"/>
      <c r="Y2451" s="505"/>
    </row>
    <row r="2452" spans="1:25" s="88" customFormat="1" ht="14.25" hidden="1" customHeight="1" x14ac:dyDescent="0.25">
      <c r="A2452" s="258"/>
      <c r="B2452" s="258"/>
      <c r="C2452" s="261"/>
      <c r="D2452" s="258"/>
      <c r="E2452" s="679">
        <v>44</v>
      </c>
      <c r="F2452" s="499">
        <v>481</v>
      </c>
      <c r="G2452" s="492" t="s">
        <v>4153</v>
      </c>
      <c r="H2452" s="555"/>
      <c r="I2452" s="556"/>
      <c r="J2452" s="556">
        <f t="shared" si="84"/>
        <v>0</v>
      </c>
      <c r="K2452" s="505"/>
      <c r="L2452" s="505"/>
      <c r="M2452" s="505"/>
      <c r="N2452" s="297"/>
      <c r="O2452" s="505"/>
      <c r="P2452" s="505"/>
      <c r="Q2452" s="505"/>
      <c r="R2452" s="505"/>
      <c r="S2452" s="505"/>
      <c r="T2452" s="505"/>
      <c r="U2452" s="505"/>
      <c r="V2452" s="505"/>
      <c r="W2452" s="505"/>
      <c r="X2452" s="505"/>
      <c r="Y2452" s="505"/>
    </row>
    <row r="2453" spans="1:25" s="88" customFormat="1" ht="14.25" hidden="1" customHeight="1" x14ac:dyDescent="0.25">
      <c r="A2453" s="258"/>
      <c r="B2453" s="258"/>
      <c r="C2453" s="261"/>
      <c r="D2453" s="258"/>
      <c r="E2453" s="679">
        <v>45</v>
      </c>
      <c r="F2453" s="499">
        <v>482</v>
      </c>
      <c r="G2453" s="492" t="s">
        <v>4154</v>
      </c>
      <c r="H2453" s="555"/>
      <c r="I2453" s="556"/>
      <c r="J2453" s="556">
        <f t="shared" si="84"/>
        <v>0</v>
      </c>
      <c r="K2453" s="505"/>
      <c r="L2453" s="505"/>
      <c r="M2453" s="505"/>
      <c r="N2453" s="297"/>
      <c r="O2453" s="505"/>
      <c r="P2453" s="505"/>
      <c r="Q2453" s="505"/>
      <c r="R2453" s="505"/>
      <c r="S2453" s="505"/>
      <c r="T2453" s="505"/>
      <c r="U2453" s="505"/>
      <c r="V2453" s="505"/>
      <c r="W2453" s="505"/>
      <c r="X2453" s="505"/>
      <c r="Y2453" s="505"/>
    </row>
    <row r="2454" spans="1:25" s="88" customFormat="1" ht="14.25" hidden="1" customHeight="1" x14ac:dyDescent="0.25">
      <c r="A2454" s="258"/>
      <c r="B2454" s="258"/>
      <c r="C2454" s="261"/>
      <c r="D2454" s="258"/>
      <c r="E2454" s="679">
        <v>46</v>
      </c>
      <c r="F2454" s="499">
        <v>483</v>
      </c>
      <c r="G2454" s="496" t="s">
        <v>4155</v>
      </c>
      <c r="H2454" s="555"/>
      <c r="I2454" s="556"/>
      <c r="J2454" s="556">
        <f t="shared" si="84"/>
        <v>0</v>
      </c>
      <c r="K2454" s="505"/>
      <c r="L2454" s="505"/>
      <c r="M2454" s="505"/>
      <c r="N2454" s="297"/>
      <c r="O2454" s="505"/>
      <c r="P2454" s="505"/>
      <c r="Q2454" s="505"/>
      <c r="R2454" s="505"/>
      <c r="S2454" s="505"/>
      <c r="T2454" s="505"/>
      <c r="U2454" s="505"/>
      <c r="V2454" s="505"/>
      <c r="W2454" s="505"/>
      <c r="X2454" s="505"/>
      <c r="Y2454" s="505"/>
    </row>
    <row r="2455" spans="1:25" s="88" customFormat="1" ht="14.25" hidden="1" customHeight="1" x14ac:dyDescent="0.25">
      <c r="A2455" s="258"/>
      <c r="B2455" s="258"/>
      <c r="C2455" s="261"/>
      <c r="D2455" s="258"/>
      <c r="E2455" s="679">
        <v>47</v>
      </c>
      <c r="F2455" s="499">
        <v>484</v>
      </c>
      <c r="G2455" s="492" t="s">
        <v>4156</v>
      </c>
      <c r="H2455" s="555"/>
      <c r="I2455" s="556"/>
      <c r="J2455" s="556">
        <f t="shared" si="84"/>
        <v>0</v>
      </c>
      <c r="K2455" s="505"/>
      <c r="L2455" s="505"/>
      <c r="M2455" s="505"/>
      <c r="N2455" s="297"/>
      <c r="O2455" s="505"/>
      <c r="P2455" s="505"/>
      <c r="Q2455" s="505"/>
      <c r="R2455" s="505"/>
      <c r="S2455" s="505"/>
      <c r="T2455" s="505"/>
      <c r="U2455" s="505"/>
      <c r="V2455" s="505"/>
      <c r="W2455" s="505"/>
      <c r="X2455" s="505"/>
      <c r="Y2455" s="505"/>
    </row>
    <row r="2456" spans="1:25" s="88" customFormat="1" ht="14.25" hidden="1" customHeight="1" x14ac:dyDescent="0.25">
      <c r="A2456" s="258"/>
      <c r="B2456" s="258"/>
      <c r="C2456" s="261"/>
      <c r="D2456" s="258"/>
      <c r="E2456" s="679">
        <v>48</v>
      </c>
      <c r="F2456" s="499">
        <v>485</v>
      </c>
      <c r="G2456" s="492" t="s">
        <v>4157</v>
      </c>
      <c r="H2456" s="555"/>
      <c r="I2456" s="556"/>
      <c r="J2456" s="556">
        <f t="shared" si="84"/>
        <v>0</v>
      </c>
      <c r="K2456" s="505"/>
      <c r="L2456" s="505"/>
      <c r="M2456" s="505"/>
      <c r="N2456" s="297"/>
      <c r="O2456" s="505"/>
      <c r="P2456" s="505"/>
      <c r="Q2456" s="505"/>
      <c r="R2456" s="505"/>
      <c r="S2456" s="505"/>
      <c r="T2456" s="505"/>
      <c r="U2456" s="505"/>
      <c r="V2456" s="505"/>
      <c r="W2456" s="505"/>
      <c r="X2456" s="505"/>
      <c r="Y2456" s="505"/>
    </row>
    <row r="2457" spans="1:25" s="88" customFormat="1" ht="14.25" hidden="1" customHeight="1" x14ac:dyDescent="0.25">
      <c r="A2457" s="258"/>
      <c r="B2457" s="258"/>
      <c r="C2457" s="261"/>
      <c r="D2457" s="258"/>
      <c r="E2457" s="679">
        <v>49</v>
      </c>
      <c r="F2457" s="499">
        <v>489</v>
      </c>
      <c r="G2457" s="492" t="s">
        <v>3823</v>
      </c>
      <c r="H2457" s="555"/>
      <c r="I2457" s="556"/>
      <c r="J2457" s="556">
        <f t="shared" si="84"/>
        <v>0</v>
      </c>
      <c r="K2457" s="505"/>
      <c r="L2457" s="505"/>
      <c r="M2457" s="505"/>
      <c r="N2457" s="297"/>
      <c r="O2457" s="505"/>
      <c r="P2457" s="505"/>
      <c r="Q2457" s="505"/>
      <c r="R2457" s="505"/>
      <c r="S2457" s="505"/>
      <c r="T2457" s="505"/>
      <c r="U2457" s="505"/>
      <c r="V2457" s="505"/>
      <c r="W2457" s="505"/>
      <c r="X2457" s="505"/>
      <c r="Y2457" s="505"/>
    </row>
    <row r="2458" spans="1:25" s="88" customFormat="1" ht="14.25" hidden="1" customHeight="1" x14ac:dyDescent="0.25">
      <c r="A2458" s="258"/>
      <c r="B2458" s="258"/>
      <c r="C2458" s="261"/>
      <c r="D2458" s="258"/>
      <c r="E2458" s="679">
        <v>50</v>
      </c>
      <c r="F2458" s="499">
        <v>494</v>
      </c>
      <c r="G2458" s="492" t="s">
        <v>4135</v>
      </c>
      <c r="H2458" s="555"/>
      <c r="I2458" s="556"/>
      <c r="J2458" s="556">
        <f t="shared" si="84"/>
        <v>0</v>
      </c>
      <c r="K2458" s="505"/>
      <c r="L2458" s="505"/>
      <c r="M2458" s="505"/>
      <c r="N2458" s="297"/>
      <c r="O2458" s="505"/>
      <c r="P2458" s="505"/>
      <c r="Q2458" s="505"/>
      <c r="R2458" s="505"/>
      <c r="S2458" s="505"/>
      <c r="T2458" s="505"/>
      <c r="U2458" s="505"/>
      <c r="V2458" s="505"/>
      <c r="W2458" s="505"/>
      <c r="X2458" s="505"/>
      <c r="Y2458" s="505"/>
    </row>
    <row r="2459" spans="1:25" s="88" customFormat="1" ht="14.25" hidden="1" customHeight="1" x14ac:dyDescent="0.25">
      <c r="A2459" s="258"/>
      <c r="B2459" s="258"/>
      <c r="C2459" s="261"/>
      <c r="D2459" s="258"/>
      <c r="E2459" s="679">
        <v>51</v>
      </c>
      <c r="F2459" s="499">
        <v>495</v>
      </c>
      <c r="G2459" s="492" t="s">
        <v>4136</v>
      </c>
      <c r="H2459" s="555"/>
      <c r="I2459" s="556"/>
      <c r="J2459" s="556">
        <f t="shared" si="84"/>
        <v>0</v>
      </c>
      <c r="K2459" s="505"/>
      <c r="L2459" s="505"/>
      <c r="M2459" s="505"/>
      <c r="N2459" s="297"/>
      <c r="O2459" s="505"/>
      <c r="P2459" s="505"/>
      <c r="Q2459" s="505"/>
      <c r="R2459" s="505"/>
      <c r="S2459" s="505"/>
      <c r="T2459" s="505"/>
      <c r="U2459" s="505"/>
      <c r="V2459" s="505"/>
      <c r="W2459" s="505"/>
      <c r="X2459" s="505"/>
      <c r="Y2459" s="505"/>
    </row>
    <row r="2460" spans="1:25" s="88" customFormat="1" ht="14.25" hidden="1" customHeight="1" x14ac:dyDescent="0.25">
      <c r="A2460" s="258"/>
      <c r="B2460" s="258"/>
      <c r="C2460" s="261"/>
      <c r="D2460" s="258"/>
      <c r="E2460" s="679">
        <v>52</v>
      </c>
      <c r="F2460" s="499">
        <v>496</v>
      </c>
      <c r="G2460" s="492" t="s">
        <v>4137</v>
      </c>
      <c r="H2460" s="555"/>
      <c r="I2460" s="556"/>
      <c r="J2460" s="556">
        <f t="shared" si="84"/>
        <v>0</v>
      </c>
      <c r="K2460" s="505"/>
      <c r="L2460" s="505"/>
      <c r="M2460" s="505"/>
      <c r="N2460" s="297"/>
      <c r="O2460" s="505"/>
      <c r="P2460" s="505"/>
      <c r="Q2460" s="505"/>
      <c r="R2460" s="505"/>
      <c r="S2460" s="505"/>
      <c r="T2460" s="505"/>
      <c r="U2460" s="505"/>
      <c r="V2460" s="505"/>
      <c r="W2460" s="505"/>
      <c r="X2460" s="505"/>
      <c r="Y2460" s="505"/>
    </row>
    <row r="2461" spans="1:25" s="88" customFormat="1" ht="14.25" hidden="1" customHeight="1" x14ac:dyDescent="0.25">
      <c r="A2461" s="258"/>
      <c r="B2461" s="258"/>
      <c r="C2461" s="261"/>
      <c r="D2461" s="258"/>
      <c r="E2461" s="679">
        <v>53</v>
      </c>
      <c r="F2461" s="499">
        <v>499</v>
      </c>
      <c r="G2461" s="492" t="s">
        <v>4138</v>
      </c>
      <c r="H2461" s="555"/>
      <c r="I2461" s="556"/>
      <c r="J2461" s="556">
        <f t="shared" si="84"/>
        <v>0</v>
      </c>
      <c r="K2461" s="505"/>
      <c r="L2461" s="505"/>
      <c r="M2461" s="505"/>
      <c r="N2461" s="297"/>
      <c r="O2461" s="505"/>
      <c r="P2461" s="505"/>
      <c r="Q2461" s="505"/>
      <c r="R2461" s="505"/>
      <c r="S2461" s="505"/>
      <c r="T2461" s="505"/>
      <c r="U2461" s="505"/>
      <c r="V2461" s="505"/>
      <c r="W2461" s="505"/>
      <c r="X2461" s="505"/>
      <c r="Y2461" s="505"/>
    </row>
    <row r="2462" spans="1:25" s="88" customFormat="1" ht="27" customHeight="1" thickBot="1" x14ac:dyDescent="0.3">
      <c r="A2462" s="258"/>
      <c r="B2462" s="258"/>
      <c r="C2462" s="261"/>
      <c r="D2462" s="258"/>
      <c r="E2462" s="679" t="s">
        <v>5431</v>
      </c>
      <c r="F2462" s="499">
        <v>511</v>
      </c>
      <c r="G2462" s="496" t="s">
        <v>5258</v>
      </c>
      <c r="H2462" s="555">
        <v>1000000</v>
      </c>
      <c r="I2462" s="556">
        <v>950000</v>
      </c>
      <c r="J2462" s="556">
        <f t="shared" si="84"/>
        <v>1950000</v>
      </c>
      <c r="K2462" s="505"/>
      <c r="L2462" s="505"/>
      <c r="M2462" s="505"/>
      <c r="N2462" s="297"/>
      <c r="O2462" s="505"/>
      <c r="P2462" s="505"/>
      <c r="Q2462" s="505"/>
      <c r="R2462" s="505"/>
      <c r="S2462" s="505"/>
      <c r="T2462" s="505"/>
      <c r="U2462" s="505"/>
      <c r="V2462" s="505"/>
      <c r="W2462" s="505"/>
      <c r="X2462" s="505"/>
      <c r="Y2462" s="505"/>
    </row>
    <row r="2463" spans="1:25" s="88" customFormat="1" ht="14.25" hidden="1" customHeight="1" x14ac:dyDescent="0.25">
      <c r="A2463" s="258"/>
      <c r="B2463" s="258"/>
      <c r="C2463" s="261"/>
      <c r="D2463" s="258"/>
      <c r="E2463" s="679">
        <v>55</v>
      </c>
      <c r="F2463" s="499">
        <v>512</v>
      </c>
      <c r="G2463" s="496" t="s">
        <v>4159</v>
      </c>
      <c r="H2463" s="555"/>
      <c r="I2463" s="556"/>
      <c r="J2463" s="556">
        <f t="shared" si="84"/>
        <v>0</v>
      </c>
      <c r="K2463" s="505"/>
      <c r="L2463" s="505"/>
      <c r="M2463" s="505"/>
      <c r="N2463" s="297"/>
      <c r="O2463" s="505"/>
      <c r="P2463" s="505"/>
      <c r="Q2463" s="505"/>
      <c r="R2463" s="505"/>
      <c r="S2463" s="505"/>
      <c r="T2463" s="505"/>
      <c r="U2463" s="505"/>
      <c r="V2463" s="505"/>
      <c r="W2463" s="505"/>
      <c r="X2463" s="505"/>
      <c r="Y2463" s="505"/>
    </row>
    <row r="2464" spans="1:25" s="88" customFormat="1" ht="14.25" hidden="1" customHeight="1" x14ac:dyDescent="0.25">
      <c r="A2464" s="258"/>
      <c r="B2464" s="258"/>
      <c r="C2464" s="261"/>
      <c r="D2464" s="258"/>
      <c r="E2464" s="679">
        <v>56</v>
      </c>
      <c r="F2464" s="499">
        <v>513</v>
      </c>
      <c r="G2464" s="496" t="s">
        <v>4160</v>
      </c>
      <c r="H2464" s="555"/>
      <c r="I2464" s="556"/>
      <c r="J2464" s="556">
        <f t="shared" si="84"/>
        <v>0</v>
      </c>
      <c r="K2464" s="505"/>
      <c r="L2464" s="505"/>
      <c r="M2464" s="505"/>
      <c r="N2464" s="297"/>
      <c r="O2464" s="505"/>
      <c r="P2464" s="505"/>
      <c r="Q2464" s="505"/>
      <c r="R2464" s="505"/>
      <c r="S2464" s="505"/>
      <c r="T2464" s="505"/>
      <c r="U2464" s="505"/>
      <c r="V2464" s="505"/>
      <c r="W2464" s="505"/>
      <c r="X2464" s="505"/>
      <c r="Y2464" s="505"/>
    </row>
    <row r="2465" spans="1:25" s="88" customFormat="1" ht="14.25" hidden="1" customHeight="1" x14ac:dyDescent="0.25">
      <c r="A2465" s="258"/>
      <c r="B2465" s="258"/>
      <c r="C2465" s="261"/>
      <c r="D2465" s="258"/>
      <c r="E2465" s="679">
        <v>57</v>
      </c>
      <c r="F2465" s="499">
        <v>514</v>
      </c>
      <c r="G2465" s="492" t="s">
        <v>4161</v>
      </c>
      <c r="H2465" s="555"/>
      <c r="I2465" s="556"/>
      <c r="J2465" s="556">
        <f t="shared" si="84"/>
        <v>0</v>
      </c>
      <c r="K2465" s="505"/>
      <c r="L2465" s="505"/>
      <c r="M2465" s="505"/>
      <c r="N2465" s="297"/>
      <c r="O2465" s="505"/>
      <c r="P2465" s="505"/>
      <c r="Q2465" s="505"/>
      <c r="R2465" s="505"/>
      <c r="S2465" s="505"/>
      <c r="T2465" s="505"/>
      <c r="U2465" s="505"/>
      <c r="V2465" s="505"/>
      <c r="W2465" s="505"/>
      <c r="X2465" s="505"/>
      <c r="Y2465" s="505"/>
    </row>
    <row r="2466" spans="1:25" s="88" customFormat="1" ht="14.25" hidden="1" customHeight="1" x14ac:dyDescent="0.25">
      <c r="A2466" s="258"/>
      <c r="B2466" s="258"/>
      <c r="C2466" s="261"/>
      <c r="D2466" s="258"/>
      <c r="E2466" s="679">
        <v>58</v>
      </c>
      <c r="F2466" s="499">
        <v>515</v>
      </c>
      <c r="G2466" s="492" t="s">
        <v>3834</v>
      </c>
      <c r="H2466" s="555"/>
      <c r="I2466" s="556"/>
      <c r="J2466" s="556">
        <f t="shared" si="84"/>
        <v>0</v>
      </c>
      <c r="K2466" s="505"/>
      <c r="L2466" s="505"/>
      <c r="M2466" s="505"/>
      <c r="N2466" s="297"/>
      <c r="O2466" s="505"/>
      <c r="P2466" s="505"/>
      <c r="Q2466" s="505"/>
      <c r="R2466" s="505"/>
      <c r="S2466" s="505"/>
      <c r="T2466" s="505"/>
      <c r="U2466" s="505"/>
      <c r="V2466" s="505"/>
      <c r="W2466" s="505"/>
      <c r="X2466" s="505"/>
      <c r="Y2466" s="505"/>
    </row>
    <row r="2467" spans="1:25" s="88" customFormat="1" ht="14.25" hidden="1" customHeight="1" x14ac:dyDescent="0.25">
      <c r="A2467" s="258"/>
      <c r="B2467" s="258"/>
      <c r="C2467" s="261"/>
      <c r="D2467" s="258"/>
      <c r="E2467" s="679">
        <v>59</v>
      </c>
      <c r="F2467" s="499">
        <v>521</v>
      </c>
      <c r="G2467" s="492" t="s">
        <v>4162</v>
      </c>
      <c r="H2467" s="555"/>
      <c r="I2467" s="556"/>
      <c r="J2467" s="556">
        <f t="shared" si="84"/>
        <v>0</v>
      </c>
      <c r="K2467" s="505"/>
      <c r="L2467" s="505"/>
      <c r="M2467" s="505"/>
      <c r="N2467" s="297"/>
      <c r="O2467" s="505"/>
      <c r="P2467" s="505"/>
      <c r="Q2467" s="505"/>
      <c r="R2467" s="505"/>
      <c r="S2467" s="505"/>
      <c r="T2467" s="505"/>
      <c r="U2467" s="505"/>
      <c r="V2467" s="505"/>
      <c r="W2467" s="505"/>
      <c r="X2467" s="505"/>
      <c r="Y2467" s="505"/>
    </row>
    <row r="2468" spans="1:25" s="88" customFormat="1" ht="14.25" hidden="1" customHeight="1" x14ac:dyDescent="0.25">
      <c r="A2468" s="258"/>
      <c r="B2468" s="258"/>
      <c r="C2468" s="261"/>
      <c r="D2468" s="258"/>
      <c r="E2468" s="679">
        <v>60</v>
      </c>
      <c r="F2468" s="499">
        <v>522</v>
      </c>
      <c r="G2468" s="492" t="s">
        <v>4163</v>
      </c>
      <c r="H2468" s="555"/>
      <c r="I2468" s="556"/>
      <c r="J2468" s="556">
        <f t="shared" si="84"/>
        <v>0</v>
      </c>
      <c r="K2468" s="505"/>
      <c r="L2468" s="505"/>
      <c r="M2468" s="505"/>
      <c r="N2468" s="297"/>
      <c r="O2468" s="505"/>
      <c r="P2468" s="505"/>
      <c r="Q2468" s="505"/>
      <c r="R2468" s="505"/>
      <c r="S2468" s="505"/>
      <c r="T2468" s="505"/>
      <c r="U2468" s="505"/>
      <c r="V2468" s="505"/>
      <c r="W2468" s="505"/>
      <c r="X2468" s="505"/>
      <c r="Y2468" s="505"/>
    </row>
    <row r="2469" spans="1:25" s="88" customFormat="1" ht="14.25" hidden="1" customHeight="1" x14ac:dyDescent="0.25">
      <c r="A2469" s="258"/>
      <c r="B2469" s="258"/>
      <c r="C2469" s="261"/>
      <c r="D2469" s="258"/>
      <c r="E2469" s="679">
        <v>61</v>
      </c>
      <c r="F2469" s="499">
        <v>523</v>
      </c>
      <c r="G2469" s="492" t="s">
        <v>3839</v>
      </c>
      <c r="H2469" s="555"/>
      <c r="I2469" s="556"/>
      <c r="J2469" s="556">
        <f t="shared" si="84"/>
        <v>0</v>
      </c>
      <c r="K2469" s="505"/>
      <c r="L2469" s="505"/>
      <c r="M2469" s="505"/>
      <c r="N2469" s="297"/>
      <c r="O2469" s="505"/>
      <c r="P2469" s="505"/>
      <c r="Q2469" s="505"/>
      <c r="R2469" s="505"/>
      <c r="S2469" s="505"/>
      <c r="T2469" s="505"/>
      <c r="U2469" s="505"/>
      <c r="V2469" s="505"/>
      <c r="W2469" s="505"/>
      <c r="X2469" s="505"/>
      <c r="Y2469" s="505"/>
    </row>
    <row r="2470" spans="1:25" s="88" customFormat="1" ht="14.25" hidden="1" customHeight="1" x14ac:dyDescent="0.25">
      <c r="A2470" s="258"/>
      <c r="B2470" s="258"/>
      <c r="C2470" s="261"/>
      <c r="D2470" s="258"/>
      <c r="E2470" s="679">
        <v>62</v>
      </c>
      <c r="F2470" s="499">
        <v>531</v>
      </c>
      <c r="G2470" s="488" t="s">
        <v>4139</v>
      </c>
      <c r="H2470" s="555"/>
      <c r="I2470" s="556"/>
      <c r="J2470" s="556">
        <f t="shared" si="84"/>
        <v>0</v>
      </c>
      <c r="K2470" s="505"/>
      <c r="L2470" s="505"/>
      <c r="M2470" s="505"/>
      <c r="N2470" s="297"/>
      <c r="O2470" s="505"/>
      <c r="P2470" s="505"/>
      <c r="Q2470" s="505"/>
      <c r="R2470" s="505"/>
      <c r="S2470" s="505"/>
      <c r="T2470" s="505"/>
      <c r="U2470" s="505"/>
      <c r="V2470" s="505"/>
      <c r="W2470" s="505"/>
      <c r="X2470" s="505"/>
      <c r="Y2470" s="505"/>
    </row>
    <row r="2471" spans="1:25" s="88" customFormat="1" ht="14.25" hidden="1" customHeight="1" x14ac:dyDescent="0.25">
      <c r="A2471" s="258"/>
      <c r="B2471" s="258"/>
      <c r="C2471" s="261"/>
      <c r="D2471" s="258"/>
      <c r="E2471" s="679">
        <v>63</v>
      </c>
      <c r="F2471" s="499">
        <v>541</v>
      </c>
      <c r="G2471" s="492" t="s">
        <v>4164</v>
      </c>
      <c r="H2471" s="555"/>
      <c r="I2471" s="556"/>
      <c r="J2471" s="556">
        <f t="shared" si="84"/>
        <v>0</v>
      </c>
      <c r="K2471" s="505"/>
      <c r="L2471" s="505"/>
      <c r="M2471" s="505"/>
      <c r="N2471" s="297"/>
      <c r="O2471" s="505"/>
      <c r="P2471" s="505"/>
      <c r="Q2471" s="505"/>
      <c r="R2471" s="505"/>
      <c r="S2471" s="505"/>
      <c r="T2471" s="505"/>
      <c r="U2471" s="505"/>
      <c r="V2471" s="505"/>
      <c r="W2471" s="505"/>
      <c r="X2471" s="505"/>
      <c r="Y2471" s="505"/>
    </row>
    <row r="2472" spans="1:25" s="88" customFormat="1" ht="14.25" hidden="1" customHeight="1" x14ac:dyDescent="0.25">
      <c r="A2472" s="258"/>
      <c r="B2472" s="258"/>
      <c r="C2472" s="261"/>
      <c r="D2472" s="258"/>
      <c r="E2472" s="679">
        <v>64</v>
      </c>
      <c r="F2472" s="499">
        <v>542</v>
      </c>
      <c r="G2472" s="492" t="s">
        <v>4165</v>
      </c>
      <c r="H2472" s="555"/>
      <c r="I2472" s="556"/>
      <c r="J2472" s="556">
        <f t="shared" si="84"/>
        <v>0</v>
      </c>
      <c r="K2472" s="505"/>
      <c r="L2472" s="505"/>
      <c r="M2472" s="505"/>
      <c r="N2472" s="297"/>
      <c r="O2472" s="505"/>
      <c r="P2472" s="505"/>
      <c r="Q2472" s="505"/>
      <c r="R2472" s="505"/>
      <c r="S2472" s="505"/>
      <c r="T2472" s="505"/>
      <c r="U2472" s="505"/>
      <c r="V2472" s="505"/>
      <c r="W2472" s="505"/>
      <c r="X2472" s="505"/>
      <c r="Y2472" s="505"/>
    </row>
    <row r="2473" spans="1:25" s="88" customFormat="1" ht="14.25" hidden="1" customHeight="1" x14ac:dyDescent="0.25">
      <c r="A2473" s="258"/>
      <c r="B2473" s="258"/>
      <c r="C2473" s="261"/>
      <c r="D2473" s="258"/>
      <c r="E2473" s="679">
        <v>65</v>
      </c>
      <c r="F2473" s="499">
        <v>543</v>
      </c>
      <c r="G2473" s="492" t="s">
        <v>3844</v>
      </c>
      <c r="H2473" s="555"/>
      <c r="I2473" s="556"/>
      <c r="J2473" s="556">
        <f t="shared" si="84"/>
        <v>0</v>
      </c>
      <c r="K2473" s="505"/>
      <c r="L2473" s="505"/>
      <c r="M2473" s="505"/>
      <c r="N2473" s="297"/>
      <c r="O2473" s="505"/>
      <c r="P2473" s="505"/>
      <c r="Q2473" s="505"/>
      <c r="R2473" s="505"/>
      <c r="S2473" s="505"/>
      <c r="T2473" s="505"/>
      <c r="U2473" s="505"/>
      <c r="V2473" s="505"/>
      <c r="W2473" s="505"/>
      <c r="X2473" s="505"/>
      <c r="Y2473" s="505"/>
    </row>
    <row r="2474" spans="1:25" s="88" customFormat="1" ht="14.25" hidden="1" customHeight="1" x14ac:dyDescent="0.25">
      <c r="A2474" s="258"/>
      <c r="B2474" s="258"/>
      <c r="C2474" s="261"/>
      <c r="D2474" s="258"/>
      <c r="E2474" s="679">
        <v>15</v>
      </c>
      <c r="F2474" s="499">
        <v>481</v>
      </c>
      <c r="G2474" s="492" t="s">
        <v>5042</v>
      </c>
      <c r="H2474" s="555">
        <v>0</v>
      </c>
      <c r="I2474" s="556"/>
      <c r="J2474" s="556">
        <f t="shared" si="84"/>
        <v>0</v>
      </c>
      <c r="K2474" s="505"/>
      <c r="L2474" s="505"/>
      <c r="M2474" s="505"/>
      <c r="N2474" s="297"/>
      <c r="O2474" s="505"/>
      <c r="P2474" s="505"/>
      <c r="Q2474" s="505"/>
      <c r="R2474" s="505"/>
      <c r="S2474" s="505"/>
      <c r="T2474" s="505"/>
      <c r="U2474" s="505"/>
      <c r="V2474" s="505"/>
      <c r="W2474" s="505"/>
      <c r="X2474" s="505"/>
      <c r="Y2474" s="505"/>
    </row>
    <row r="2475" spans="1:25" s="88" customFormat="1" ht="14.25" hidden="1" customHeight="1" x14ac:dyDescent="0.25">
      <c r="A2475" s="258"/>
      <c r="B2475" s="258"/>
      <c r="C2475" s="261"/>
      <c r="D2475" s="258"/>
      <c r="E2475" s="679">
        <v>16</v>
      </c>
      <c r="F2475" s="500">
        <v>483</v>
      </c>
      <c r="G2475" s="498" t="s">
        <v>4155</v>
      </c>
      <c r="H2475" s="555">
        <v>0</v>
      </c>
      <c r="I2475" s="556"/>
      <c r="J2475" s="556">
        <f t="shared" si="84"/>
        <v>0</v>
      </c>
      <c r="K2475" s="505"/>
      <c r="L2475" s="505"/>
      <c r="M2475" s="505"/>
      <c r="N2475" s="297"/>
      <c r="O2475" s="505"/>
      <c r="P2475" s="505"/>
      <c r="Q2475" s="505"/>
      <c r="R2475" s="505"/>
      <c r="S2475" s="505"/>
      <c r="T2475" s="505"/>
      <c r="U2475" s="505"/>
      <c r="V2475" s="505"/>
      <c r="W2475" s="505"/>
      <c r="X2475" s="505"/>
      <c r="Y2475" s="505"/>
    </row>
    <row r="2476" spans="1:25" s="88" customFormat="1" ht="14.25" hidden="1" customHeight="1" thickBot="1" x14ac:dyDescent="0.3">
      <c r="A2476" s="258"/>
      <c r="B2476" s="258"/>
      <c r="C2476" s="261"/>
      <c r="D2476" s="258"/>
      <c r="E2476" s="679">
        <v>17</v>
      </c>
      <c r="F2476" s="500">
        <v>485</v>
      </c>
      <c r="G2476" s="498" t="s">
        <v>4157</v>
      </c>
      <c r="H2476" s="555">
        <v>0</v>
      </c>
      <c r="I2476" s="556"/>
      <c r="J2476" s="556">
        <f t="shared" si="84"/>
        <v>0</v>
      </c>
      <c r="K2476" s="505"/>
      <c r="L2476" s="505"/>
      <c r="M2476" s="505"/>
      <c r="N2476" s="297"/>
      <c r="O2476" s="505"/>
      <c r="P2476" s="505"/>
      <c r="Q2476" s="505"/>
      <c r="R2476" s="505"/>
      <c r="S2476" s="505"/>
      <c r="T2476" s="505"/>
      <c r="U2476" s="505"/>
      <c r="V2476" s="505"/>
      <c r="W2476" s="505"/>
      <c r="X2476" s="505"/>
      <c r="Y2476" s="505"/>
    </row>
    <row r="2477" spans="1:25" s="88" customFormat="1" ht="14.25" customHeight="1" x14ac:dyDescent="0.25">
      <c r="A2477" s="258"/>
      <c r="B2477" s="258"/>
      <c r="C2477" s="261"/>
      <c r="D2477" s="258"/>
      <c r="E2477" s="489"/>
      <c r="F2477" s="500"/>
      <c r="G2477" s="343" t="s">
        <v>5307</v>
      </c>
      <c r="H2477" s="557"/>
      <c r="I2477" s="583"/>
      <c r="J2477" s="558"/>
      <c r="K2477" s="505"/>
      <c r="L2477" s="505"/>
      <c r="M2477" s="505"/>
      <c r="N2477" s="297"/>
      <c r="O2477" s="505"/>
      <c r="P2477" s="505"/>
      <c r="Q2477" s="505"/>
      <c r="R2477" s="505"/>
      <c r="S2477" s="505"/>
      <c r="T2477" s="505"/>
      <c r="U2477" s="505"/>
      <c r="V2477" s="505"/>
      <c r="W2477" s="505"/>
      <c r="X2477" s="505"/>
      <c r="Y2477" s="505"/>
    </row>
    <row r="2478" spans="1:25" s="88" customFormat="1" ht="14.25" customHeight="1" x14ac:dyDescent="0.25">
      <c r="A2478" s="258"/>
      <c r="B2478" s="258"/>
      <c r="C2478" s="261"/>
      <c r="D2478" s="258"/>
      <c r="E2478" s="693"/>
      <c r="F2478" s="597" t="s">
        <v>234</v>
      </c>
      <c r="G2478" s="598" t="s">
        <v>235</v>
      </c>
      <c r="H2478" s="559">
        <f>SUM(H2417:H2476)</f>
        <v>1000000</v>
      </c>
      <c r="I2478" s="560"/>
      <c r="J2478" s="560">
        <f t="shared" ref="J2478:J2493" si="85">SUM(H2478:I2478)</f>
        <v>1000000</v>
      </c>
      <c r="K2478" s="505"/>
      <c r="L2478" s="505"/>
      <c r="M2478" s="505"/>
      <c r="N2478" s="297"/>
      <c r="O2478" s="505"/>
      <c r="P2478" s="505"/>
      <c r="Q2478" s="505"/>
      <c r="R2478" s="505"/>
      <c r="S2478" s="505"/>
      <c r="T2478" s="505"/>
      <c r="U2478" s="505"/>
      <c r="V2478" s="505"/>
      <c r="W2478" s="505"/>
      <c r="X2478" s="505"/>
      <c r="Y2478" s="505"/>
    </row>
    <row r="2479" spans="1:25" s="88" customFormat="1" ht="14.25" hidden="1" customHeight="1" x14ac:dyDescent="0.25">
      <c r="A2479" s="258"/>
      <c r="B2479" s="258"/>
      <c r="C2479" s="261"/>
      <c r="D2479" s="258"/>
      <c r="E2479" s="679"/>
      <c r="F2479" s="597" t="s">
        <v>236</v>
      </c>
      <c r="G2479" s="598" t="s">
        <v>237</v>
      </c>
      <c r="H2479" s="555"/>
      <c r="I2479" s="556"/>
      <c r="J2479" s="560">
        <f t="shared" si="85"/>
        <v>0</v>
      </c>
      <c r="K2479" s="505"/>
      <c r="L2479" s="505"/>
      <c r="M2479" s="505"/>
      <c r="N2479" s="297"/>
      <c r="O2479" s="505"/>
      <c r="P2479" s="505"/>
      <c r="Q2479" s="505"/>
      <c r="R2479" s="505"/>
      <c r="S2479" s="505"/>
      <c r="T2479" s="505"/>
      <c r="U2479" s="505"/>
      <c r="V2479" s="505"/>
      <c r="W2479" s="505"/>
      <c r="X2479" s="505"/>
      <c r="Y2479" s="505"/>
    </row>
    <row r="2480" spans="1:25" s="88" customFormat="1" ht="14.25" hidden="1" customHeight="1" x14ac:dyDescent="0.25">
      <c r="A2480" s="258"/>
      <c r="B2480" s="258"/>
      <c r="C2480" s="261"/>
      <c r="D2480" s="258"/>
      <c r="E2480" s="679"/>
      <c r="F2480" s="597" t="s">
        <v>238</v>
      </c>
      <c r="G2480" s="598" t="s">
        <v>239</v>
      </c>
      <c r="H2480" s="555"/>
      <c r="I2480" s="556"/>
      <c r="J2480" s="560">
        <f t="shared" si="85"/>
        <v>0</v>
      </c>
      <c r="K2480" s="505"/>
      <c r="L2480" s="505"/>
      <c r="M2480" s="505"/>
      <c r="N2480" s="297"/>
      <c r="O2480" s="505"/>
      <c r="P2480" s="505"/>
      <c r="Q2480" s="505"/>
      <c r="R2480" s="505"/>
      <c r="S2480" s="505"/>
      <c r="T2480" s="505"/>
      <c r="U2480" s="505"/>
      <c r="V2480" s="505"/>
      <c r="W2480" s="505"/>
      <c r="X2480" s="505"/>
      <c r="Y2480" s="505"/>
    </row>
    <row r="2481" spans="1:25" s="88" customFormat="1" ht="14.25" hidden="1" customHeight="1" x14ac:dyDescent="0.25">
      <c r="A2481" s="258"/>
      <c r="B2481" s="258"/>
      <c r="C2481" s="261"/>
      <c r="D2481" s="258"/>
      <c r="E2481" s="679"/>
      <c r="F2481" s="597" t="s">
        <v>240</v>
      </c>
      <c r="G2481" s="598" t="s">
        <v>241</v>
      </c>
      <c r="H2481" s="555"/>
      <c r="I2481" s="556"/>
      <c r="J2481" s="560">
        <f t="shared" si="85"/>
        <v>0</v>
      </c>
      <c r="K2481" s="505"/>
      <c r="L2481" s="505"/>
      <c r="M2481" s="505"/>
      <c r="N2481" s="297"/>
      <c r="O2481" s="505"/>
      <c r="P2481" s="505"/>
      <c r="Q2481" s="505"/>
      <c r="R2481" s="505"/>
      <c r="S2481" s="505"/>
      <c r="T2481" s="505"/>
      <c r="U2481" s="505"/>
      <c r="V2481" s="505"/>
      <c r="W2481" s="505"/>
      <c r="X2481" s="505"/>
      <c r="Y2481" s="505"/>
    </row>
    <row r="2482" spans="1:25" s="88" customFormat="1" ht="14.25" hidden="1" customHeight="1" x14ac:dyDescent="0.25">
      <c r="A2482" s="258"/>
      <c r="B2482" s="258"/>
      <c r="C2482" s="261"/>
      <c r="D2482" s="258"/>
      <c r="E2482" s="679"/>
      <c r="F2482" s="597" t="s">
        <v>242</v>
      </c>
      <c r="G2482" s="598" t="s">
        <v>243</v>
      </c>
      <c r="H2482" s="555"/>
      <c r="I2482" s="556"/>
      <c r="J2482" s="560">
        <f t="shared" si="85"/>
        <v>0</v>
      </c>
      <c r="K2482" s="505"/>
      <c r="L2482" s="505"/>
      <c r="M2482" s="505"/>
      <c r="N2482" s="297"/>
      <c r="O2482" s="505"/>
      <c r="P2482" s="505"/>
      <c r="Q2482" s="505"/>
      <c r="R2482" s="505"/>
      <c r="S2482" s="505"/>
      <c r="T2482" s="505"/>
      <c r="U2482" s="505"/>
      <c r="V2482" s="505"/>
      <c r="W2482" s="505"/>
      <c r="X2482" s="505"/>
      <c r="Y2482" s="505"/>
    </row>
    <row r="2483" spans="1:25" s="88" customFormat="1" ht="14.25" hidden="1" customHeight="1" x14ac:dyDescent="0.25">
      <c r="A2483" s="258"/>
      <c r="B2483" s="258"/>
      <c r="C2483" s="261"/>
      <c r="D2483" s="258"/>
      <c r="E2483" s="679"/>
      <c r="F2483" s="597" t="s">
        <v>244</v>
      </c>
      <c r="G2483" s="598" t="s">
        <v>245</v>
      </c>
      <c r="H2483" s="555"/>
      <c r="I2483" s="556"/>
      <c r="J2483" s="560">
        <f t="shared" si="85"/>
        <v>0</v>
      </c>
      <c r="K2483" s="505"/>
      <c r="L2483" s="505"/>
      <c r="M2483" s="505"/>
      <c r="N2483" s="297"/>
      <c r="O2483" s="505"/>
      <c r="P2483" s="505"/>
      <c r="Q2483" s="505"/>
      <c r="R2483" s="505"/>
      <c r="S2483" s="505"/>
      <c r="T2483" s="505"/>
      <c r="U2483" s="505"/>
      <c r="V2483" s="505"/>
      <c r="W2483" s="505"/>
      <c r="X2483" s="505"/>
      <c r="Y2483" s="505"/>
    </row>
    <row r="2484" spans="1:25" s="88" customFormat="1" ht="14.25" customHeight="1" thickBot="1" x14ac:dyDescent="0.3">
      <c r="A2484" s="258"/>
      <c r="B2484" s="258"/>
      <c r="C2484" s="261"/>
      <c r="D2484" s="258"/>
      <c r="E2484" s="679"/>
      <c r="F2484" s="597" t="s">
        <v>246</v>
      </c>
      <c r="G2484" s="598" t="s">
        <v>4996</v>
      </c>
      <c r="H2484" s="555"/>
      <c r="I2484" s="556">
        <v>950000</v>
      </c>
      <c r="J2484" s="560">
        <f t="shared" si="85"/>
        <v>950000</v>
      </c>
      <c r="K2484" s="505"/>
      <c r="L2484" s="505"/>
      <c r="M2484" s="505"/>
      <c r="N2484" s="297"/>
      <c r="O2484" s="505"/>
      <c r="P2484" s="505"/>
      <c r="Q2484" s="505"/>
      <c r="R2484" s="505"/>
      <c r="S2484" s="505"/>
      <c r="T2484" s="505"/>
      <c r="U2484" s="505"/>
      <c r="V2484" s="505"/>
      <c r="W2484" s="505"/>
      <c r="X2484" s="505"/>
      <c r="Y2484" s="505"/>
    </row>
    <row r="2485" spans="1:25" s="88" customFormat="1" ht="14.25" hidden="1" customHeight="1" x14ac:dyDescent="0.25">
      <c r="A2485" s="258"/>
      <c r="B2485" s="258"/>
      <c r="C2485" s="261"/>
      <c r="D2485" s="258"/>
      <c r="E2485" s="679"/>
      <c r="F2485" s="597" t="s">
        <v>247</v>
      </c>
      <c r="G2485" s="598" t="s">
        <v>4995</v>
      </c>
      <c r="H2485" s="555"/>
      <c r="I2485" s="556"/>
      <c r="J2485" s="560">
        <f t="shared" si="85"/>
        <v>0</v>
      </c>
      <c r="K2485" s="505"/>
      <c r="L2485" s="505"/>
      <c r="M2485" s="505"/>
      <c r="N2485" s="297"/>
      <c r="O2485" s="505"/>
      <c r="P2485" s="505"/>
      <c r="Q2485" s="505"/>
      <c r="R2485" s="505"/>
      <c r="S2485" s="505"/>
      <c r="T2485" s="505"/>
      <c r="U2485" s="505"/>
      <c r="V2485" s="505"/>
      <c r="W2485" s="505"/>
      <c r="X2485" s="505"/>
      <c r="Y2485" s="505"/>
    </row>
    <row r="2486" spans="1:25" s="88" customFormat="1" ht="14.25" hidden="1" customHeight="1" x14ac:dyDescent="0.25">
      <c r="A2486" s="258"/>
      <c r="B2486" s="258"/>
      <c r="C2486" s="261"/>
      <c r="D2486" s="258"/>
      <c r="E2486" s="679"/>
      <c r="F2486" s="597" t="s">
        <v>248</v>
      </c>
      <c r="G2486" s="598" t="s">
        <v>57</v>
      </c>
      <c r="H2486" s="555"/>
      <c r="I2486" s="556"/>
      <c r="J2486" s="560">
        <f t="shared" si="85"/>
        <v>0</v>
      </c>
      <c r="K2486" s="505"/>
      <c r="L2486" s="505"/>
      <c r="M2486" s="505"/>
      <c r="N2486" s="297"/>
      <c r="O2486" s="505"/>
      <c r="P2486" s="505"/>
      <c r="Q2486" s="505"/>
      <c r="R2486" s="505"/>
      <c r="S2486" s="505"/>
      <c r="T2486" s="505"/>
      <c r="U2486" s="505"/>
      <c r="V2486" s="505"/>
      <c r="W2486" s="505"/>
      <c r="X2486" s="505"/>
      <c r="Y2486" s="505"/>
    </row>
    <row r="2487" spans="1:25" s="88" customFormat="1" ht="14.25" hidden="1" customHeight="1" x14ac:dyDescent="0.25">
      <c r="A2487" s="258"/>
      <c r="B2487" s="258"/>
      <c r="C2487" s="261"/>
      <c r="D2487" s="258"/>
      <c r="E2487" s="679"/>
      <c r="F2487" s="597" t="s">
        <v>249</v>
      </c>
      <c r="G2487" s="598" t="s">
        <v>250</v>
      </c>
      <c r="H2487" s="555"/>
      <c r="I2487" s="556"/>
      <c r="J2487" s="560">
        <f t="shared" si="85"/>
        <v>0</v>
      </c>
      <c r="K2487" s="505"/>
      <c r="L2487" s="505"/>
      <c r="M2487" s="505"/>
      <c r="N2487" s="297"/>
      <c r="O2487" s="505"/>
      <c r="P2487" s="505"/>
      <c r="Q2487" s="505"/>
      <c r="R2487" s="505"/>
      <c r="S2487" s="505"/>
      <c r="T2487" s="505"/>
      <c r="U2487" s="505"/>
      <c r="V2487" s="505"/>
      <c r="W2487" s="505"/>
      <c r="X2487" s="505"/>
      <c r="Y2487" s="505"/>
    </row>
    <row r="2488" spans="1:25" s="88" customFormat="1" ht="14.25" hidden="1" customHeight="1" x14ac:dyDescent="0.25">
      <c r="A2488" s="258"/>
      <c r="B2488" s="258"/>
      <c r="C2488" s="261"/>
      <c r="D2488" s="258"/>
      <c r="E2488" s="679"/>
      <c r="F2488" s="597" t="s">
        <v>251</v>
      </c>
      <c r="G2488" s="598" t="s">
        <v>252</v>
      </c>
      <c r="H2488" s="555"/>
      <c r="I2488" s="556"/>
      <c r="J2488" s="560">
        <f t="shared" si="85"/>
        <v>0</v>
      </c>
      <c r="K2488" s="505"/>
      <c r="L2488" s="505"/>
      <c r="M2488" s="505"/>
      <c r="N2488" s="297"/>
      <c r="O2488" s="505"/>
      <c r="P2488" s="505"/>
      <c r="Q2488" s="505"/>
      <c r="R2488" s="505"/>
      <c r="S2488" s="505"/>
      <c r="T2488" s="505"/>
      <c r="U2488" s="505"/>
      <c r="V2488" s="505"/>
      <c r="W2488" s="505"/>
      <c r="X2488" s="505"/>
      <c r="Y2488" s="505"/>
    </row>
    <row r="2489" spans="1:25" s="88" customFormat="1" ht="14.25" hidden="1" customHeight="1" x14ac:dyDescent="0.25">
      <c r="A2489" s="258"/>
      <c r="B2489" s="258"/>
      <c r="C2489" s="261"/>
      <c r="D2489" s="258"/>
      <c r="E2489" s="679"/>
      <c r="F2489" s="597" t="s">
        <v>253</v>
      </c>
      <c r="G2489" s="598" t="s">
        <v>254</v>
      </c>
      <c r="H2489" s="555"/>
      <c r="I2489" s="556"/>
      <c r="J2489" s="560">
        <f t="shared" si="85"/>
        <v>0</v>
      </c>
      <c r="K2489" s="505"/>
      <c r="L2489" s="505"/>
      <c r="M2489" s="505"/>
      <c r="N2489" s="297"/>
      <c r="O2489" s="505"/>
      <c r="P2489" s="505"/>
      <c r="Q2489" s="505"/>
      <c r="R2489" s="505"/>
      <c r="S2489" s="505"/>
      <c r="T2489" s="505"/>
      <c r="U2489" s="505"/>
      <c r="V2489" s="505"/>
      <c r="W2489" s="505"/>
      <c r="X2489" s="505"/>
      <c r="Y2489" s="505"/>
    </row>
    <row r="2490" spans="1:25" s="88" customFormat="1" ht="14.25" hidden="1" customHeight="1" x14ac:dyDescent="0.25">
      <c r="A2490" s="258"/>
      <c r="B2490" s="258"/>
      <c r="C2490" s="261"/>
      <c r="D2490" s="258"/>
      <c r="E2490" s="679"/>
      <c r="F2490" s="597" t="s">
        <v>255</v>
      </c>
      <c r="G2490" s="598" t="s">
        <v>256</v>
      </c>
      <c r="H2490" s="555"/>
      <c r="I2490" s="556">
        <v>0</v>
      </c>
      <c r="J2490" s="560">
        <f t="shared" si="85"/>
        <v>0</v>
      </c>
      <c r="K2490" s="505"/>
      <c r="L2490" s="505"/>
      <c r="M2490" s="505"/>
      <c r="N2490" s="297"/>
      <c r="O2490" s="505"/>
      <c r="P2490" s="505"/>
      <c r="Q2490" s="505"/>
      <c r="R2490" s="505"/>
      <c r="S2490" s="505"/>
      <c r="T2490" s="505"/>
      <c r="U2490" s="505"/>
      <c r="V2490" s="505"/>
      <c r="W2490" s="505"/>
      <c r="X2490" s="505"/>
      <c r="Y2490" s="505"/>
    </row>
    <row r="2491" spans="1:25" s="88" customFormat="1" ht="14.25" hidden="1" customHeight="1" x14ac:dyDescent="0.25">
      <c r="A2491" s="258"/>
      <c r="B2491" s="258"/>
      <c r="C2491" s="261"/>
      <c r="D2491" s="258"/>
      <c r="E2491" s="679"/>
      <c r="F2491" s="597" t="s">
        <v>257</v>
      </c>
      <c r="G2491" s="598" t="s">
        <v>258</v>
      </c>
      <c r="H2491" s="555"/>
      <c r="I2491" s="556"/>
      <c r="J2491" s="560">
        <f t="shared" si="85"/>
        <v>0</v>
      </c>
      <c r="K2491" s="505"/>
      <c r="L2491" s="505"/>
      <c r="M2491" s="505"/>
      <c r="N2491" s="297"/>
      <c r="O2491" s="505"/>
      <c r="P2491" s="505"/>
      <c r="Q2491" s="505"/>
      <c r="R2491" s="505"/>
      <c r="S2491" s="505"/>
      <c r="T2491" s="505"/>
      <c r="U2491" s="505"/>
      <c r="V2491" s="505"/>
      <c r="W2491" s="505"/>
      <c r="X2491" s="505"/>
      <c r="Y2491" s="505"/>
    </row>
    <row r="2492" spans="1:25" s="88" customFormat="1" ht="14.25" hidden="1" customHeight="1" x14ac:dyDescent="0.25">
      <c r="A2492" s="258"/>
      <c r="B2492" s="258"/>
      <c r="C2492" s="261"/>
      <c r="D2492" s="258"/>
      <c r="E2492" s="679"/>
      <c r="F2492" s="597" t="s">
        <v>259</v>
      </c>
      <c r="G2492" s="598" t="s">
        <v>260</v>
      </c>
      <c r="H2492" s="555"/>
      <c r="I2492" s="556"/>
      <c r="J2492" s="560">
        <f t="shared" si="85"/>
        <v>0</v>
      </c>
      <c r="K2492" s="505"/>
      <c r="L2492" s="505"/>
      <c r="M2492" s="505"/>
      <c r="N2492" s="297"/>
      <c r="O2492" s="505"/>
      <c r="P2492" s="505"/>
      <c r="Q2492" s="505"/>
      <c r="R2492" s="505"/>
      <c r="S2492" s="505"/>
      <c r="T2492" s="505"/>
      <c r="U2492" s="505"/>
      <c r="V2492" s="505"/>
      <c r="W2492" s="505"/>
      <c r="X2492" s="505"/>
      <c r="Y2492" s="505"/>
    </row>
    <row r="2493" spans="1:25" s="88" customFormat="1" ht="14.25" hidden="1" customHeight="1" thickBot="1" x14ac:dyDescent="0.3">
      <c r="A2493" s="258"/>
      <c r="B2493" s="258"/>
      <c r="C2493" s="261"/>
      <c r="D2493" s="258"/>
      <c r="E2493" s="679"/>
      <c r="F2493" s="597" t="s">
        <v>261</v>
      </c>
      <c r="G2493" s="598" t="s">
        <v>262</v>
      </c>
      <c r="H2493" s="559"/>
      <c r="I2493" s="560"/>
      <c r="J2493" s="560">
        <f t="shared" si="85"/>
        <v>0</v>
      </c>
      <c r="K2493" s="505"/>
      <c r="L2493" s="505"/>
      <c r="M2493" s="505"/>
      <c r="N2493" s="297"/>
      <c r="O2493" s="505"/>
      <c r="P2493" s="505"/>
      <c r="Q2493" s="505"/>
      <c r="R2493" s="505"/>
      <c r="S2493" s="505"/>
      <c r="T2493" s="505"/>
      <c r="U2493" s="505"/>
      <c r="V2493" s="505"/>
      <c r="W2493" s="505"/>
      <c r="X2493" s="505"/>
      <c r="Y2493" s="505"/>
    </row>
    <row r="2494" spans="1:25" s="88" customFormat="1" ht="14.25" customHeight="1" thickBot="1" x14ac:dyDescent="0.3">
      <c r="A2494" s="258"/>
      <c r="B2494" s="258"/>
      <c r="C2494" s="261"/>
      <c r="D2494" s="258"/>
      <c r="E2494" s="679"/>
      <c r="F2494" s="258"/>
      <c r="G2494" s="268" t="s">
        <v>5308</v>
      </c>
      <c r="H2494" s="561">
        <f>SUM(H2478:H2493)</f>
        <v>1000000</v>
      </c>
      <c r="I2494" s="562">
        <f>SUM(I2479:I2493)</f>
        <v>950000</v>
      </c>
      <c r="J2494" s="562">
        <f>SUM(J2478:J2493)</f>
        <v>1950000</v>
      </c>
      <c r="K2494" s="505"/>
      <c r="L2494" s="505"/>
      <c r="M2494" s="505"/>
      <c r="N2494" s="297"/>
      <c r="O2494" s="505"/>
      <c r="P2494" s="505"/>
      <c r="Q2494" s="505"/>
      <c r="R2494" s="505"/>
      <c r="S2494" s="505"/>
      <c r="T2494" s="505"/>
      <c r="U2494" s="505"/>
      <c r="V2494" s="505"/>
      <c r="W2494" s="505"/>
      <c r="X2494" s="505"/>
      <c r="Y2494" s="505"/>
    </row>
    <row r="2495" spans="1:25" s="88" customFormat="1" ht="14.25" customHeight="1" x14ac:dyDescent="0.25">
      <c r="A2495" s="258"/>
      <c r="B2495" s="258"/>
      <c r="C2495" s="261"/>
      <c r="D2495" s="258"/>
      <c r="E2495" s="489"/>
      <c r="F2495" s="500"/>
      <c r="G2495" s="270" t="s">
        <v>5261</v>
      </c>
      <c r="H2495" s="563"/>
      <c r="I2495" s="584"/>
      <c r="J2495" s="564"/>
      <c r="K2495" s="505"/>
      <c r="L2495" s="505"/>
      <c r="M2495" s="505"/>
      <c r="N2495" s="297"/>
      <c r="O2495" s="505"/>
      <c r="P2495" s="505"/>
      <c r="Q2495" s="505"/>
      <c r="R2495" s="505"/>
      <c r="S2495" s="505"/>
      <c r="T2495" s="505"/>
      <c r="U2495" s="505"/>
      <c r="V2495" s="505"/>
      <c r="W2495" s="505"/>
      <c r="X2495" s="505"/>
      <c r="Y2495" s="505"/>
    </row>
    <row r="2496" spans="1:25" s="88" customFormat="1" ht="14.25" customHeight="1" x14ac:dyDescent="0.25">
      <c r="A2496" s="258"/>
      <c r="B2496" s="258"/>
      <c r="C2496" s="261"/>
      <c r="D2496" s="258"/>
      <c r="E2496" s="693"/>
      <c r="F2496" s="597" t="s">
        <v>234</v>
      </c>
      <c r="G2496" s="598" t="s">
        <v>235</v>
      </c>
      <c r="H2496" s="559">
        <f>SUM(H2417:H2476)</f>
        <v>1000000</v>
      </c>
      <c r="I2496" s="560"/>
      <c r="J2496" s="560">
        <f>SUM(H2496:I2496)</f>
        <v>1000000</v>
      </c>
      <c r="K2496" s="505"/>
      <c r="L2496" s="505"/>
      <c r="M2496" s="505"/>
      <c r="N2496" s="297"/>
      <c r="O2496" s="505"/>
      <c r="P2496" s="505"/>
      <c r="Q2496" s="505"/>
      <c r="R2496" s="505"/>
      <c r="S2496" s="505"/>
      <c r="T2496" s="505"/>
      <c r="U2496" s="505"/>
      <c r="V2496" s="505"/>
      <c r="W2496" s="505"/>
      <c r="X2496" s="505"/>
      <c r="Y2496" s="505"/>
    </row>
    <row r="2497" spans="1:25" s="88" customFormat="1" ht="14.25" hidden="1" customHeight="1" x14ac:dyDescent="0.25">
      <c r="A2497" s="258"/>
      <c r="B2497" s="258"/>
      <c r="C2497" s="261"/>
      <c r="D2497" s="258"/>
      <c r="E2497" s="679"/>
      <c r="F2497" s="597" t="s">
        <v>236</v>
      </c>
      <c r="G2497" s="598" t="s">
        <v>237</v>
      </c>
      <c r="H2497" s="555"/>
      <c r="I2497" s="556"/>
      <c r="J2497" s="560">
        <f t="shared" ref="J2497:J2511" si="86">SUM(H2497:I2497)</f>
        <v>0</v>
      </c>
      <c r="K2497" s="505"/>
      <c r="L2497" s="505"/>
      <c r="M2497" s="505"/>
      <c r="N2497" s="297"/>
      <c r="O2497" s="505"/>
      <c r="P2497" s="505"/>
      <c r="Q2497" s="505"/>
      <c r="R2497" s="505"/>
      <c r="S2497" s="505"/>
      <c r="T2497" s="505"/>
      <c r="U2497" s="505"/>
      <c r="V2497" s="505"/>
      <c r="W2497" s="505"/>
      <c r="X2497" s="505"/>
      <c r="Y2497" s="505"/>
    </row>
    <row r="2498" spans="1:25" s="88" customFormat="1" ht="14.25" hidden="1" customHeight="1" x14ac:dyDescent="0.25">
      <c r="A2498" s="258"/>
      <c r="B2498" s="258"/>
      <c r="C2498" s="261"/>
      <c r="D2498" s="258"/>
      <c r="E2498" s="679"/>
      <c r="F2498" s="597" t="s">
        <v>238</v>
      </c>
      <c r="G2498" s="598" t="s">
        <v>239</v>
      </c>
      <c r="H2498" s="555"/>
      <c r="I2498" s="556"/>
      <c r="J2498" s="560">
        <f t="shared" si="86"/>
        <v>0</v>
      </c>
      <c r="K2498" s="505"/>
      <c r="L2498" s="505"/>
      <c r="M2498" s="505"/>
      <c r="N2498" s="297"/>
      <c r="O2498" s="505"/>
      <c r="P2498" s="505"/>
      <c r="Q2498" s="505"/>
      <c r="R2498" s="505"/>
      <c r="S2498" s="505"/>
      <c r="T2498" s="505"/>
      <c r="U2498" s="505"/>
      <c r="V2498" s="505"/>
      <c r="W2498" s="505"/>
      <c r="X2498" s="505"/>
      <c r="Y2498" s="505"/>
    </row>
    <row r="2499" spans="1:25" s="88" customFormat="1" ht="14.25" hidden="1" customHeight="1" x14ac:dyDescent="0.25">
      <c r="A2499" s="258"/>
      <c r="B2499" s="258"/>
      <c r="C2499" s="261"/>
      <c r="D2499" s="258"/>
      <c r="E2499" s="679"/>
      <c r="F2499" s="597" t="s">
        <v>240</v>
      </c>
      <c r="G2499" s="598" t="s">
        <v>241</v>
      </c>
      <c r="H2499" s="555"/>
      <c r="I2499" s="556"/>
      <c r="J2499" s="560">
        <f t="shared" si="86"/>
        <v>0</v>
      </c>
      <c r="K2499" s="505"/>
      <c r="L2499" s="505"/>
      <c r="M2499" s="505"/>
      <c r="N2499" s="297"/>
      <c r="O2499" s="505"/>
      <c r="P2499" s="505"/>
      <c r="Q2499" s="505"/>
      <c r="R2499" s="505"/>
      <c r="S2499" s="505"/>
      <c r="T2499" s="505"/>
      <c r="U2499" s="505"/>
      <c r="V2499" s="505"/>
      <c r="W2499" s="505"/>
      <c r="X2499" s="505"/>
      <c r="Y2499" s="505"/>
    </row>
    <row r="2500" spans="1:25" s="88" customFormat="1" ht="14.25" hidden="1" customHeight="1" x14ac:dyDescent="0.25">
      <c r="A2500" s="258"/>
      <c r="B2500" s="258"/>
      <c r="C2500" s="261"/>
      <c r="D2500" s="258"/>
      <c r="E2500" s="679"/>
      <c r="F2500" s="597" t="s">
        <v>242</v>
      </c>
      <c r="G2500" s="598" t="s">
        <v>243</v>
      </c>
      <c r="H2500" s="555"/>
      <c r="I2500" s="556"/>
      <c r="J2500" s="560">
        <f t="shared" si="86"/>
        <v>0</v>
      </c>
      <c r="K2500" s="505"/>
      <c r="L2500" s="505"/>
      <c r="M2500" s="505"/>
      <c r="N2500" s="297"/>
      <c r="O2500" s="505"/>
      <c r="P2500" s="505"/>
      <c r="Q2500" s="505"/>
      <c r="R2500" s="505"/>
      <c r="S2500" s="505"/>
      <c r="T2500" s="505"/>
      <c r="U2500" s="505"/>
      <c r="V2500" s="505"/>
      <c r="W2500" s="505"/>
      <c r="X2500" s="505"/>
      <c r="Y2500" s="505"/>
    </row>
    <row r="2501" spans="1:25" s="88" customFormat="1" ht="14.25" hidden="1" customHeight="1" x14ac:dyDescent="0.25">
      <c r="A2501" s="258"/>
      <c r="B2501" s="258"/>
      <c r="C2501" s="261"/>
      <c r="D2501" s="258"/>
      <c r="E2501" s="679"/>
      <c r="F2501" s="597" t="s">
        <v>244</v>
      </c>
      <c r="G2501" s="598" t="s">
        <v>245</v>
      </c>
      <c r="H2501" s="555"/>
      <c r="I2501" s="556"/>
      <c r="J2501" s="560">
        <f t="shared" si="86"/>
        <v>0</v>
      </c>
      <c r="K2501" s="505"/>
      <c r="L2501" s="505"/>
      <c r="M2501" s="505"/>
      <c r="N2501" s="297"/>
      <c r="O2501" s="505"/>
      <c r="P2501" s="505"/>
      <c r="Q2501" s="505"/>
      <c r="R2501" s="505"/>
      <c r="S2501" s="505"/>
      <c r="T2501" s="505"/>
      <c r="U2501" s="505"/>
      <c r="V2501" s="505"/>
      <c r="W2501" s="505"/>
      <c r="X2501" s="505"/>
      <c r="Y2501" s="505"/>
    </row>
    <row r="2502" spans="1:25" s="88" customFormat="1" ht="14.25" customHeight="1" thickBot="1" x14ac:dyDescent="0.3">
      <c r="A2502" s="258"/>
      <c r="B2502" s="258"/>
      <c r="C2502" s="261"/>
      <c r="D2502" s="258"/>
      <c r="E2502" s="679"/>
      <c r="F2502" s="597" t="s">
        <v>246</v>
      </c>
      <c r="G2502" s="598" t="s">
        <v>4996</v>
      </c>
      <c r="H2502" s="555"/>
      <c r="I2502" s="556">
        <v>950000</v>
      </c>
      <c r="J2502" s="560">
        <f t="shared" si="86"/>
        <v>950000</v>
      </c>
      <c r="K2502" s="505"/>
      <c r="L2502" s="505"/>
      <c r="M2502" s="505"/>
      <c r="N2502" s="297"/>
      <c r="O2502" s="505"/>
      <c r="P2502" s="505"/>
      <c r="Q2502" s="505"/>
      <c r="R2502" s="505"/>
      <c r="S2502" s="505"/>
      <c r="T2502" s="505"/>
      <c r="U2502" s="505"/>
      <c r="V2502" s="505"/>
      <c r="W2502" s="505"/>
      <c r="X2502" s="505"/>
      <c r="Y2502" s="505"/>
    </row>
    <row r="2503" spans="1:25" s="88" customFormat="1" ht="14.25" hidden="1" customHeight="1" x14ac:dyDescent="0.25">
      <c r="A2503" s="258"/>
      <c r="B2503" s="258"/>
      <c r="C2503" s="261"/>
      <c r="D2503" s="258"/>
      <c r="E2503" s="679"/>
      <c r="F2503" s="597" t="s">
        <v>247</v>
      </c>
      <c r="G2503" s="598" t="s">
        <v>4995</v>
      </c>
      <c r="H2503" s="555"/>
      <c r="I2503" s="556"/>
      <c r="J2503" s="560">
        <f t="shared" si="86"/>
        <v>0</v>
      </c>
      <c r="K2503" s="505"/>
      <c r="L2503" s="505"/>
      <c r="M2503" s="505"/>
      <c r="N2503" s="297"/>
      <c r="O2503" s="505"/>
      <c r="P2503" s="505"/>
      <c r="Q2503" s="505"/>
      <c r="R2503" s="505"/>
      <c r="S2503" s="505"/>
      <c r="T2503" s="505"/>
      <c r="U2503" s="505"/>
      <c r="V2503" s="505"/>
      <c r="W2503" s="505"/>
      <c r="X2503" s="505"/>
      <c r="Y2503" s="505"/>
    </row>
    <row r="2504" spans="1:25" s="88" customFormat="1" ht="14.25" hidden="1" customHeight="1" x14ac:dyDescent="0.25">
      <c r="A2504" s="258"/>
      <c r="B2504" s="258"/>
      <c r="C2504" s="261"/>
      <c r="D2504" s="258"/>
      <c r="E2504" s="679"/>
      <c r="F2504" s="597" t="s">
        <v>248</v>
      </c>
      <c r="G2504" s="598" t="s">
        <v>57</v>
      </c>
      <c r="H2504" s="555"/>
      <c r="I2504" s="556"/>
      <c r="J2504" s="560">
        <f t="shared" si="86"/>
        <v>0</v>
      </c>
      <c r="K2504" s="505"/>
      <c r="L2504" s="505"/>
      <c r="M2504" s="505"/>
      <c r="N2504" s="297"/>
      <c r="O2504" s="505"/>
      <c r="P2504" s="505"/>
      <c r="Q2504" s="505"/>
      <c r="R2504" s="505"/>
      <c r="S2504" s="505"/>
      <c r="T2504" s="505"/>
      <c r="U2504" s="505"/>
      <c r="V2504" s="505"/>
      <c r="W2504" s="505"/>
      <c r="X2504" s="505"/>
      <c r="Y2504" s="505"/>
    </row>
    <row r="2505" spans="1:25" s="88" customFormat="1" ht="14.25" hidden="1" customHeight="1" x14ac:dyDescent="0.25">
      <c r="A2505" s="258"/>
      <c r="B2505" s="258"/>
      <c r="C2505" s="261"/>
      <c r="D2505" s="258"/>
      <c r="E2505" s="679"/>
      <c r="F2505" s="597" t="s">
        <v>249</v>
      </c>
      <c r="G2505" s="598" t="s">
        <v>250</v>
      </c>
      <c r="H2505" s="555"/>
      <c r="I2505" s="556"/>
      <c r="J2505" s="560">
        <f t="shared" si="86"/>
        <v>0</v>
      </c>
      <c r="K2505" s="505"/>
      <c r="L2505" s="505"/>
      <c r="M2505" s="505"/>
      <c r="N2505" s="297"/>
      <c r="O2505" s="505"/>
      <c r="P2505" s="505"/>
      <c r="Q2505" s="505"/>
      <c r="R2505" s="505"/>
      <c r="S2505" s="505"/>
      <c r="T2505" s="505"/>
      <c r="U2505" s="505"/>
      <c r="V2505" s="505"/>
      <c r="W2505" s="505"/>
      <c r="X2505" s="505"/>
      <c r="Y2505" s="505"/>
    </row>
    <row r="2506" spans="1:25" s="88" customFormat="1" ht="14.25" hidden="1" customHeight="1" x14ac:dyDescent="0.25">
      <c r="A2506" s="258"/>
      <c r="B2506" s="258"/>
      <c r="C2506" s="261"/>
      <c r="D2506" s="258"/>
      <c r="E2506" s="679"/>
      <c r="F2506" s="597" t="s">
        <v>251</v>
      </c>
      <c r="G2506" s="598" t="s">
        <v>252</v>
      </c>
      <c r="H2506" s="555"/>
      <c r="I2506" s="556"/>
      <c r="J2506" s="560">
        <f t="shared" si="86"/>
        <v>0</v>
      </c>
      <c r="K2506" s="505"/>
      <c r="L2506" s="505"/>
      <c r="M2506" s="505"/>
      <c r="N2506" s="297"/>
      <c r="O2506" s="505"/>
      <c r="P2506" s="505"/>
      <c r="Q2506" s="505"/>
      <c r="R2506" s="505"/>
      <c r="S2506" s="505"/>
      <c r="T2506" s="505"/>
      <c r="U2506" s="505"/>
      <c r="V2506" s="505"/>
      <c r="W2506" s="505"/>
      <c r="X2506" s="505"/>
      <c r="Y2506" s="505"/>
    </row>
    <row r="2507" spans="1:25" s="88" customFormat="1" ht="14.25" hidden="1" customHeight="1" x14ac:dyDescent="0.25">
      <c r="A2507" s="258"/>
      <c r="B2507" s="258"/>
      <c r="C2507" s="261"/>
      <c r="D2507" s="258"/>
      <c r="E2507" s="679"/>
      <c r="F2507" s="597" t="s">
        <v>253</v>
      </c>
      <c r="G2507" s="598" t="s">
        <v>254</v>
      </c>
      <c r="H2507" s="555"/>
      <c r="I2507" s="556"/>
      <c r="J2507" s="560">
        <f t="shared" si="86"/>
        <v>0</v>
      </c>
      <c r="K2507" s="505"/>
      <c r="L2507" s="505"/>
      <c r="M2507" s="505"/>
      <c r="N2507" s="297"/>
      <c r="O2507" s="505"/>
      <c r="P2507" s="505"/>
      <c r="Q2507" s="505"/>
      <c r="R2507" s="505"/>
      <c r="S2507" s="505"/>
      <c r="T2507" s="505"/>
      <c r="U2507" s="505"/>
      <c r="V2507" s="505"/>
      <c r="W2507" s="505"/>
      <c r="X2507" s="505"/>
      <c r="Y2507" s="505"/>
    </row>
    <row r="2508" spans="1:25" s="88" customFormat="1" ht="14.25" hidden="1" customHeight="1" x14ac:dyDescent="0.25">
      <c r="A2508" s="258"/>
      <c r="B2508" s="258"/>
      <c r="C2508" s="261"/>
      <c r="D2508" s="258"/>
      <c r="E2508" s="679"/>
      <c r="F2508" s="597" t="s">
        <v>255</v>
      </c>
      <c r="G2508" s="598" t="s">
        <v>256</v>
      </c>
      <c r="H2508" s="555"/>
      <c r="I2508" s="556">
        <v>0</v>
      </c>
      <c r="J2508" s="560">
        <f t="shared" si="86"/>
        <v>0</v>
      </c>
      <c r="K2508" s="505"/>
      <c r="L2508" s="505"/>
      <c r="M2508" s="505"/>
      <c r="N2508" s="297"/>
      <c r="O2508" s="505"/>
      <c r="P2508" s="505"/>
      <c r="Q2508" s="505"/>
      <c r="R2508" s="505"/>
      <c r="S2508" s="505"/>
      <c r="T2508" s="505"/>
      <c r="U2508" s="505"/>
      <c r="V2508" s="505"/>
      <c r="W2508" s="505"/>
      <c r="X2508" s="505"/>
      <c r="Y2508" s="505"/>
    </row>
    <row r="2509" spans="1:25" s="88" customFormat="1" ht="14.25" hidden="1" customHeight="1" x14ac:dyDescent="0.25">
      <c r="A2509" s="258"/>
      <c r="B2509" s="258"/>
      <c r="C2509" s="261"/>
      <c r="D2509" s="258"/>
      <c r="E2509" s="679"/>
      <c r="F2509" s="597" t="s">
        <v>257</v>
      </c>
      <c r="G2509" s="598" t="s">
        <v>258</v>
      </c>
      <c r="H2509" s="555"/>
      <c r="I2509" s="556"/>
      <c r="J2509" s="560">
        <f t="shared" si="86"/>
        <v>0</v>
      </c>
      <c r="K2509" s="505"/>
      <c r="L2509" s="505"/>
      <c r="M2509" s="505"/>
      <c r="N2509" s="297"/>
      <c r="O2509" s="505"/>
      <c r="P2509" s="505"/>
      <c r="Q2509" s="505"/>
      <c r="R2509" s="505"/>
      <c r="S2509" s="505"/>
      <c r="T2509" s="505"/>
      <c r="U2509" s="505"/>
      <c r="V2509" s="505"/>
      <c r="W2509" s="505"/>
      <c r="X2509" s="505"/>
      <c r="Y2509" s="505"/>
    </row>
    <row r="2510" spans="1:25" s="88" customFormat="1" ht="14.25" hidden="1" customHeight="1" x14ac:dyDescent="0.25">
      <c r="A2510" s="258"/>
      <c r="B2510" s="258"/>
      <c r="C2510" s="261"/>
      <c r="D2510" s="258"/>
      <c r="E2510" s="679"/>
      <c r="F2510" s="597" t="s">
        <v>259</v>
      </c>
      <c r="G2510" s="598" t="s">
        <v>260</v>
      </c>
      <c r="H2510" s="555"/>
      <c r="I2510" s="556"/>
      <c r="J2510" s="560">
        <f t="shared" si="86"/>
        <v>0</v>
      </c>
      <c r="K2510" s="505"/>
      <c r="L2510" s="505"/>
      <c r="M2510" s="505"/>
      <c r="N2510" s="297"/>
      <c r="O2510" s="505"/>
      <c r="P2510" s="505"/>
      <c r="Q2510" s="505"/>
      <c r="R2510" s="505"/>
      <c r="S2510" s="505"/>
      <c r="T2510" s="505"/>
      <c r="U2510" s="505"/>
      <c r="V2510" s="505"/>
      <c r="W2510" s="505"/>
      <c r="X2510" s="505"/>
      <c r="Y2510" s="505"/>
    </row>
    <row r="2511" spans="1:25" s="88" customFormat="1" ht="14.25" hidden="1" customHeight="1" thickBot="1" x14ac:dyDescent="0.3">
      <c r="A2511" s="258"/>
      <c r="B2511" s="258"/>
      <c r="C2511" s="261"/>
      <c r="D2511" s="258"/>
      <c r="E2511" s="679"/>
      <c r="F2511" s="597" t="s">
        <v>261</v>
      </c>
      <c r="G2511" s="598" t="s">
        <v>262</v>
      </c>
      <c r="H2511" s="559"/>
      <c r="I2511" s="560"/>
      <c r="J2511" s="560">
        <f t="shared" si="86"/>
        <v>0</v>
      </c>
      <c r="K2511" s="505"/>
      <c r="L2511" s="505"/>
      <c r="M2511" s="505"/>
      <c r="N2511" s="297"/>
      <c r="O2511" s="505"/>
      <c r="P2511" s="505"/>
      <c r="Q2511" s="505"/>
      <c r="R2511" s="505"/>
      <c r="S2511" s="505"/>
      <c r="T2511" s="505"/>
      <c r="U2511" s="505"/>
      <c r="V2511" s="505"/>
      <c r="W2511" s="505"/>
      <c r="X2511" s="505"/>
      <c r="Y2511" s="505"/>
    </row>
    <row r="2512" spans="1:25" s="88" customFormat="1" ht="14.25" customHeight="1" thickBot="1" x14ac:dyDescent="0.3">
      <c r="A2512" s="258"/>
      <c r="B2512" s="258"/>
      <c r="C2512" s="261"/>
      <c r="D2512" s="258"/>
      <c r="E2512" s="679"/>
      <c r="F2512" s="258"/>
      <c r="G2512" s="268" t="s">
        <v>5262</v>
      </c>
      <c r="H2512" s="561">
        <f>SUM(H2496:H2511)</f>
        <v>1000000</v>
      </c>
      <c r="I2512" s="562">
        <f>SUM(I2497:I2511)</f>
        <v>950000</v>
      </c>
      <c r="J2512" s="562">
        <f>SUM(J2496:J2511)</f>
        <v>1950000</v>
      </c>
      <c r="K2512" s="505"/>
      <c r="L2512" s="505"/>
      <c r="M2512" s="505"/>
      <c r="N2512" s="297"/>
      <c r="O2512" s="505"/>
      <c r="P2512" s="505"/>
      <c r="Q2512" s="505"/>
      <c r="R2512" s="505"/>
      <c r="S2512" s="505"/>
      <c r="T2512" s="505"/>
      <c r="U2512" s="505"/>
      <c r="V2512" s="505"/>
      <c r="W2512" s="505"/>
      <c r="X2512" s="505"/>
      <c r="Y2512" s="505"/>
    </row>
    <row r="2513" spans="1:25" s="88" customFormat="1" x14ac:dyDescent="0.25">
      <c r="A2513" s="481"/>
      <c r="B2513" s="288"/>
      <c r="C2513" s="334"/>
      <c r="D2513" s="286"/>
      <c r="E2513" s="876"/>
      <c r="F2513" s="500"/>
      <c r="G2513" s="285" t="s">
        <v>4190</v>
      </c>
      <c r="H2513" s="567"/>
      <c r="I2513" s="585"/>
      <c r="J2513" s="568"/>
      <c r="K2513" s="505"/>
      <c r="L2513" s="505"/>
      <c r="M2513" s="505"/>
      <c r="N2513" s="505"/>
      <c r="O2513" s="505"/>
      <c r="P2513" s="505"/>
      <c r="Q2513" s="505"/>
      <c r="R2513" s="505"/>
      <c r="S2513" s="505"/>
      <c r="T2513" s="505"/>
      <c r="U2513" s="505"/>
      <c r="V2513" s="505"/>
      <c r="W2513" s="505"/>
      <c r="X2513" s="505"/>
      <c r="Y2513" s="505"/>
    </row>
    <row r="2514" spans="1:25" s="88" customFormat="1" x14ac:dyDescent="0.25">
      <c r="A2514" s="481"/>
      <c r="B2514" s="288"/>
      <c r="C2514" s="334"/>
      <c r="D2514" s="286"/>
      <c r="E2514" s="876"/>
      <c r="F2514" s="597" t="s">
        <v>234</v>
      </c>
      <c r="G2514" s="598" t="s">
        <v>235</v>
      </c>
      <c r="H2514" s="559">
        <f>SUM(H2380,H2478)</f>
        <v>1000000</v>
      </c>
      <c r="I2514" s="560"/>
      <c r="J2514" s="560">
        <f>SUM(H2514:I2514)</f>
        <v>1000000</v>
      </c>
      <c r="K2514" s="505"/>
      <c r="L2514" s="505"/>
      <c r="M2514" s="505"/>
      <c r="N2514" s="505"/>
      <c r="O2514" s="505"/>
      <c r="P2514" s="505"/>
      <c r="Q2514" s="505"/>
      <c r="R2514" s="505"/>
      <c r="S2514" s="505"/>
      <c r="T2514" s="505"/>
      <c r="U2514" s="505"/>
      <c r="V2514" s="505"/>
      <c r="W2514" s="505"/>
      <c r="X2514" s="505"/>
      <c r="Y2514" s="505"/>
    </row>
    <row r="2515" spans="1:25" s="88" customFormat="1" hidden="1" x14ac:dyDescent="0.25">
      <c r="A2515" s="481"/>
      <c r="B2515" s="288"/>
      <c r="C2515" s="334"/>
      <c r="D2515" s="286"/>
      <c r="E2515" s="876"/>
      <c r="F2515" s="597" t="s">
        <v>236</v>
      </c>
      <c r="G2515" s="598" t="s">
        <v>237</v>
      </c>
      <c r="H2515" s="555"/>
      <c r="I2515" s="556"/>
      <c r="J2515" s="560">
        <f t="shared" ref="J2515:J2529" si="87">SUM(H2515:I2515)</f>
        <v>0</v>
      </c>
      <c r="K2515" s="505"/>
      <c r="L2515" s="505"/>
      <c r="M2515" s="505"/>
      <c r="N2515" s="505"/>
      <c r="O2515" s="505"/>
      <c r="P2515" s="505"/>
      <c r="Q2515" s="505"/>
      <c r="R2515" s="505"/>
      <c r="S2515" s="505"/>
      <c r="T2515" s="505"/>
      <c r="U2515" s="505"/>
      <c r="V2515" s="505"/>
      <c r="W2515" s="505"/>
      <c r="X2515" s="505"/>
      <c r="Y2515" s="505"/>
    </row>
    <row r="2516" spans="1:25" s="88" customFormat="1" hidden="1" x14ac:dyDescent="0.25">
      <c r="A2516" s="481"/>
      <c r="B2516" s="288"/>
      <c r="C2516" s="334"/>
      <c r="D2516" s="286"/>
      <c r="E2516" s="876"/>
      <c r="F2516" s="597" t="s">
        <v>238</v>
      </c>
      <c r="G2516" s="598" t="s">
        <v>239</v>
      </c>
      <c r="H2516" s="555"/>
      <c r="I2516" s="556"/>
      <c r="J2516" s="560">
        <f t="shared" si="87"/>
        <v>0</v>
      </c>
      <c r="K2516" s="505"/>
      <c r="L2516" s="505"/>
      <c r="M2516" s="505"/>
      <c r="N2516" s="505"/>
      <c r="O2516" s="505"/>
      <c r="P2516" s="505"/>
      <c r="Q2516" s="505"/>
      <c r="R2516" s="505"/>
      <c r="S2516" s="505"/>
      <c r="T2516" s="505"/>
      <c r="U2516" s="505"/>
      <c r="V2516" s="505"/>
      <c r="W2516" s="505"/>
      <c r="X2516" s="505"/>
      <c r="Y2516" s="505"/>
    </row>
    <row r="2517" spans="1:25" s="88" customFormat="1" hidden="1" x14ac:dyDescent="0.25">
      <c r="A2517" s="481"/>
      <c r="B2517" s="288"/>
      <c r="C2517" s="334"/>
      <c r="D2517" s="286"/>
      <c r="E2517" s="876"/>
      <c r="F2517" s="597" t="s">
        <v>240</v>
      </c>
      <c r="G2517" s="598" t="s">
        <v>241</v>
      </c>
      <c r="H2517" s="555"/>
      <c r="I2517" s="556"/>
      <c r="J2517" s="560">
        <f t="shared" si="87"/>
        <v>0</v>
      </c>
      <c r="K2517" s="505"/>
      <c r="L2517" s="505"/>
      <c r="M2517" s="505"/>
      <c r="N2517" s="505"/>
      <c r="O2517" s="505"/>
      <c r="P2517" s="505"/>
      <c r="Q2517" s="505"/>
      <c r="R2517" s="505"/>
      <c r="S2517" s="505"/>
      <c r="T2517" s="505"/>
      <c r="U2517" s="505"/>
      <c r="V2517" s="505"/>
      <c r="W2517" s="505"/>
      <c r="X2517" s="505"/>
      <c r="Y2517" s="505"/>
    </row>
    <row r="2518" spans="1:25" s="88" customFormat="1" hidden="1" x14ac:dyDescent="0.25">
      <c r="A2518" s="481"/>
      <c r="B2518" s="288"/>
      <c r="C2518" s="334"/>
      <c r="D2518" s="286"/>
      <c r="E2518" s="876"/>
      <c r="F2518" s="597" t="s">
        <v>242</v>
      </c>
      <c r="G2518" s="598" t="s">
        <v>243</v>
      </c>
      <c r="H2518" s="555"/>
      <c r="I2518" s="556"/>
      <c r="J2518" s="560">
        <f t="shared" si="87"/>
        <v>0</v>
      </c>
      <c r="K2518" s="505"/>
      <c r="L2518" s="505"/>
      <c r="M2518" s="505"/>
      <c r="N2518" s="505"/>
      <c r="O2518" s="505"/>
      <c r="P2518" s="505"/>
      <c r="Q2518" s="505"/>
      <c r="R2518" s="505"/>
      <c r="S2518" s="505"/>
      <c r="T2518" s="505"/>
      <c r="U2518" s="505"/>
      <c r="V2518" s="505"/>
      <c r="W2518" s="505"/>
      <c r="X2518" s="505"/>
      <c r="Y2518" s="505"/>
    </row>
    <row r="2519" spans="1:25" s="88" customFormat="1" hidden="1" x14ac:dyDescent="0.25">
      <c r="A2519" s="481"/>
      <c r="B2519" s="288"/>
      <c r="C2519" s="334"/>
      <c r="D2519" s="286"/>
      <c r="E2519" s="876"/>
      <c r="F2519" s="597" t="s">
        <v>244</v>
      </c>
      <c r="G2519" s="598" t="s">
        <v>245</v>
      </c>
      <c r="H2519" s="555"/>
      <c r="I2519" s="556"/>
      <c r="J2519" s="560">
        <f t="shared" si="87"/>
        <v>0</v>
      </c>
      <c r="K2519" s="505"/>
      <c r="L2519" s="505"/>
      <c r="M2519" s="505"/>
      <c r="N2519" s="505"/>
      <c r="O2519" s="505"/>
      <c r="P2519" s="505"/>
      <c r="Q2519" s="505"/>
      <c r="R2519" s="505"/>
      <c r="S2519" s="505"/>
      <c r="T2519" s="505"/>
      <c r="U2519" s="505"/>
      <c r="V2519" s="505"/>
      <c r="W2519" s="505"/>
      <c r="X2519" s="505"/>
      <c r="Y2519" s="505"/>
    </row>
    <row r="2520" spans="1:25" s="88" customFormat="1" x14ac:dyDescent="0.25">
      <c r="A2520" s="481"/>
      <c r="B2520" s="288"/>
      <c r="C2520" s="334"/>
      <c r="D2520" s="286"/>
      <c r="E2520" s="876"/>
      <c r="F2520" s="597" t="s">
        <v>246</v>
      </c>
      <c r="G2520" s="598" t="s">
        <v>4996</v>
      </c>
      <c r="H2520" s="555"/>
      <c r="I2520" s="556">
        <v>950000</v>
      </c>
      <c r="J2520" s="560">
        <f t="shared" si="87"/>
        <v>950000</v>
      </c>
      <c r="K2520" s="505"/>
      <c r="L2520" s="505"/>
      <c r="M2520" s="505"/>
      <c r="N2520" s="505"/>
      <c r="O2520" s="505"/>
      <c r="P2520" s="505"/>
      <c r="Q2520" s="505"/>
      <c r="R2520" s="505"/>
      <c r="S2520" s="505"/>
      <c r="T2520" s="505"/>
      <c r="U2520" s="505"/>
      <c r="V2520" s="505"/>
      <c r="W2520" s="505"/>
      <c r="X2520" s="505"/>
      <c r="Y2520" s="505"/>
    </row>
    <row r="2521" spans="1:25" s="88" customFormat="1" hidden="1" x14ac:dyDescent="0.25">
      <c r="A2521" s="481"/>
      <c r="B2521" s="288"/>
      <c r="C2521" s="334"/>
      <c r="D2521" s="286"/>
      <c r="E2521" s="876"/>
      <c r="F2521" s="597" t="s">
        <v>247</v>
      </c>
      <c r="G2521" s="598" t="s">
        <v>4995</v>
      </c>
      <c r="H2521" s="555"/>
      <c r="I2521" s="556"/>
      <c r="J2521" s="560">
        <f t="shared" si="87"/>
        <v>0</v>
      </c>
      <c r="K2521" s="505"/>
      <c r="L2521" s="505"/>
      <c r="M2521" s="505"/>
      <c r="N2521" s="505"/>
      <c r="O2521" s="505"/>
      <c r="P2521" s="505"/>
      <c r="Q2521" s="505"/>
      <c r="R2521" s="505"/>
      <c r="S2521" s="505"/>
      <c r="T2521" s="505"/>
      <c r="U2521" s="505"/>
      <c r="V2521" s="505"/>
      <c r="W2521" s="505"/>
      <c r="X2521" s="505"/>
      <c r="Y2521" s="505"/>
    </row>
    <row r="2522" spans="1:25" s="88" customFormat="1" hidden="1" x14ac:dyDescent="0.25">
      <c r="A2522" s="481"/>
      <c r="B2522" s="288"/>
      <c r="C2522" s="334"/>
      <c r="D2522" s="286"/>
      <c r="E2522" s="876"/>
      <c r="F2522" s="597" t="s">
        <v>248</v>
      </c>
      <c r="G2522" s="598" t="s">
        <v>57</v>
      </c>
      <c r="H2522" s="555"/>
      <c r="I2522" s="556"/>
      <c r="J2522" s="560">
        <f t="shared" si="87"/>
        <v>0</v>
      </c>
      <c r="K2522" s="505"/>
      <c r="L2522" s="505"/>
      <c r="M2522" s="505"/>
      <c r="N2522" s="505"/>
      <c r="O2522" s="505"/>
      <c r="P2522" s="505"/>
      <c r="Q2522" s="505"/>
      <c r="R2522" s="505"/>
      <c r="S2522" s="505"/>
      <c r="T2522" s="505"/>
      <c r="U2522" s="505"/>
      <c r="V2522" s="505"/>
      <c r="W2522" s="505"/>
      <c r="X2522" s="505"/>
      <c r="Y2522" s="505"/>
    </row>
    <row r="2523" spans="1:25" s="88" customFormat="1" hidden="1" x14ac:dyDescent="0.25">
      <c r="A2523" s="481"/>
      <c r="B2523" s="288"/>
      <c r="C2523" s="334"/>
      <c r="D2523" s="286"/>
      <c r="E2523" s="876"/>
      <c r="F2523" s="597" t="s">
        <v>249</v>
      </c>
      <c r="G2523" s="598" t="s">
        <v>250</v>
      </c>
      <c r="H2523" s="555"/>
      <c r="I2523" s="556"/>
      <c r="J2523" s="560">
        <f t="shared" si="87"/>
        <v>0</v>
      </c>
      <c r="K2523" s="505"/>
      <c r="L2523" s="505"/>
      <c r="M2523" s="505"/>
      <c r="N2523" s="505"/>
      <c r="O2523" s="505"/>
      <c r="P2523" s="505"/>
      <c r="Q2523" s="505"/>
      <c r="R2523" s="505"/>
      <c r="S2523" s="505"/>
      <c r="T2523" s="505"/>
      <c r="U2523" s="505"/>
      <c r="V2523" s="505"/>
      <c r="W2523" s="505"/>
      <c r="X2523" s="505"/>
      <c r="Y2523" s="505"/>
    </row>
    <row r="2524" spans="1:25" s="88" customFormat="1" hidden="1" x14ac:dyDescent="0.25">
      <c r="A2524" s="481"/>
      <c r="B2524" s="288"/>
      <c r="C2524" s="334"/>
      <c r="D2524" s="286"/>
      <c r="E2524" s="876"/>
      <c r="F2524" s="597" t="s">
        <v>251</v>
      </c>
      <c r="G2524" s="598" t="s">
        <v>252</v>
      </c>
      <c r="H2524" s="555"/>
      <c r="I2524" s="556"/>
      <c r="J2524" s="560">
        <f t="shared" si="87"/>
        <v>0</v>
      </c>
      <c r="K2524" s="505"/>
      <c r="L2524" s="505"/>
      <c r="M2524" s="505"/>
      <c r="N2524" s="505"/>
      <c r="O2524" s="505"/>
      <c r="P2524" s="505"/>
      <c r="Q2524" s="505"/>
      <c r="R2524" s="505"/>
      <c r="S2524" s="505"/>
      <c r="T2524" s="505"/>
      <c r="U2524" s="505"/>
      <c r="V2524" s="505"/>
      <c r="W2524" s="505"/>
      <c r="X2524" s="505"/>
      <c r="Y2524" s="505"/>
    </row>
    <row r="2525" spans="1:25" s="88" customFormat="1" ht="30" hidden="1" x14ac:dyDescent="0.25">
      <c r="A2525" s="481"/>
      <c r="B2525" s="288"/>
      <c r="C2525" s="334"/>
      <c r="D2525" s="286"/>
      <c r="E2525" s="876"/>
      <c r="F2525" s="597" t="s">
        <v>253</v>
      </c>
      <c r="G2525" s="598" t="s">
        <v>254</v>
      </c>
      <c r="H2525" s="555"/>
      <c r="I2525" s="556"/>
      <c r="J2525" s="560">
        <f t="shared" si="87"/>
        <v>0</v>
      </c>
      <c r="K2525" s="505"/>
      <c r="L2525" s="505"/>
      <c r="M2525" s="505"/>
      <c r="N2525" s="505"/>
      <c r="O2525" s="505"/>
      <c r="P2525" s="505"/>
      <c r="Q2525" s="505"/>
      <c r="R2525" s="505"/>
      <c r="S2525" s="505"/>
      <c r="T2525" s="505"/>
      <c r="U2525" s="505"/>
      <c r="V2525" s="505"/>
      <c r="W2525" s="505"/>
      <c r="X2525" s="505"/>
      <c r="Y2525" s="505"/>
    </row>
    <row r="2526" spans="1:25" s="88" customFormat="1" ht="15.75" thickBot="1" x14ac:dyDescent="0.3">
      <c r="A2526" s="481"/>
      <c r="B2526" s="288"/>
      <c r="C2526" s="334"/>
      <c r="D2526" s="286"/>
      <c r="E2526" s="876"/>
      <c r="F2526" s="597" t="s">
        <v>255</v>
      </c>
      <c r="G2526" s="598" t="s">
        <v>256</v>
      </c>
      <c r="H2526" s="556">
        <f>SUM(H2410)</f>
        <v>23466000</v>
      </c>
      <c r="J2526" s="560">
        <f>SUM(H2526:H2526)</f>
        <v>23466000</v>
      </c>
      <c r="K2526" s="505"/>
      <c r="L2526" s="505"/>
      <c r="M2526" s="505"/>
      <c r="N2526" s="505"/>
      <c r="O2526" s="505"/>
      <c r="P2526" s="505"/>
      <c r="Q2526" s="505"/>
      <c r="R2526" s="505"/>
      <c r="S2526" s="505"/>
      <c r="T2526" s="505"/>
      <c r="U2526" s="505"/>
      <c r="V2526" s="505"/>
      <c r="W2526" s="505"/>
      <c r="X2526" s="505"/>
      <c r="Y2526" s="505"/>
    </row>
    <row r="2527" spans="1:25" s="88" customFormat="1" ht="30" hidden="1" x14ac:dyDescent="0.25">
      <c r="A2527" s="481"/>
      <c r="B2527" s="288"/>
      <c r="C2527" s="334"/>
      <c r="D2527" s="286"/>
      <c r="E2527" s="876"/>
      <c r="F2527" s="597" t="s">
        <v>257</v>
      </c>
      <c r="G2527" s="598" t="s">
        <v>258</v>
      </c>
      <c r="H2527" s="555"/>
      <c r="I2527" s="556"/>
      <c r="J2527" s="560">
        <f t="shared" si="87"/>
        <v>0</v>
      </c>
      <c r="K2527" s="505"/>
      <c r="L2527" s="505"/>
      <c r="M2527" s="505"/>
      <c r="N2527" s="505"/>
      <c r="O2527" s="505"/>
      <c r="P2527" s="505"/>
      <c r="Q2527" s="505"/>
      <c r="R2527" s="505"/>
      <c r="S2527" s="505"/>
      <c r="T2527" s="505"/>
      <c r="U2527" s="505"/>
      <c r="V2527" s="505"/>
      <c r="W2527" s="505"/>
      <c r="X2527" s="505"/>
      <c r="Y2527" s="505"/>
    </row>
    <row r="2528" spans="1:25" s="88" customFormat="1" hidden="1" x14ac:dyDescent="0.25">
      <c r="A2528" s="481"/>
      <c r="B2528" s="288"/>
      <c r="C2528" s="334"/>
      <c r="D2528" s="286"/>
      <c r="E2528" s="876"/>
      <c r="F2528" s="597" t="s">
        <v>259</v>
      </c>
      <c r="G2528" s="598" t="s">
        <v>260</v>
      </c>
      <c r="H2528" s="555"/>
      <c r="I2528" s="556"/>
      <c r="J2528" s="560">
        <f t="shared" si="87"/>
        <v>0</v>
      </c>
      <c r="K2528" s="505"/>
      <c r="L2528" s="505"/>
      <c r="M2528" s="505"/>
      <c r="N2528" s="505"/>
      <c r="O2528" s="505"/>
      <c r="P2528" s="505"/>
      <c r="Q2528" s="505"/>
      <c r="R2528" s="505"/>
      <c r="S2528" s="505"/>
      <c r="T2528" s="505"/>
      <c r="U2528" s="505"/>
      <c r="V2528" s="505"/>
      <c r="W2528" s="505"/>
      <c r="X2528" s="505"/>
      <c r="Y2528" s="505"/>
    </row>
    <row r="2529" spans="1:25" s="88" customFormat="1" ht="15.75" hidden="1" thickBot="1" x14ac:dyDescent="0.3">
      <c r="A2529" s="481"/>
      <c r="B2529" s="288"/>
      <c r="C2529" s="334"/>
      <c r="D2529" s="286"/>
      <c r="E2529" s="876"/>
      <c r="F2529" s="597" t="s">
        <v>261</v>
      </c>
      <c r="G2529" s="598" t="s">
        <v>262</v>
      </c>
      <c r="H2529" s="559"/>
      <c r="I2529" s="560"/>
      <c r="J2529" s="560">
        <f t="shared" si="87"/>
        <v>0</v>
      </c>
      <c r="K2529" s="505"/>
      <c r="L2529" s="505"/>
      <c r="M2529" s="505"/>
      <c r="N2529" s="505"/>
      <c r="O2529" s="505"/>
      <c r="P2529" s="505"/>
      <c r="Q2529" s="505"/>
      <c r="R2529" s="505"/>
      <c r="S2529" s="505"/>
      <c r="T2529" s="505"/>
      <c r="U2529" s="505"/>
      <c r="V2529" s="505"/>
      <c r="W2529" s="505"/>
      <c r="X2529" s="505"/>
      <c r="Y2529" s="505"/>
    </row>
    <row r="2530" spans="1:25" s="88" customFormat="1" ht="15" customHeight="1" thickBot="1" x14ac:dyDescent="0.3">
      <c r="A2530" s="481"/>
      <c r="B2530" s="288"/>
      <c r="C2530" s="334"/>
      <c r="D2530" s="286"/>
      <c r="E2530" s="876"/>
      <c r="F2530" s="258"/>
      <c r="G2530" s="268" t="s">
        <v>4191</v>
      </c>
      <c r="H2530" s="561">
        <f>SUM(H2514:H2529)</f>
        <v>24466000</v>
      </c>
      <c r="I2530" s="562">
        <f>SUM(I2515:I2529)</f>
        <v>950000</v>
      </c>
      <c r="J2530" s="562">
        <f>SUM(J2514:J2529)</f>
        <v>25416000</v>
      </c>
      <c r="K2530" s="505"/>
      <c r="L2530" s="505"/>
      <c r="M2530" s="505"/>
      <c r="N2530" s="505"/>
      <c r="O2530" s="505"/>
      <c r="P2530" s="505"/>
      <c r="Q2530" s="505"/>
      <c r="R2530" s="505"/>
      <c r="S2530" s="505"/>
      <c r="T2530" s="505"/>
      <c r="U2530" s="505"/>
      <c r="V2530" s="505"/>
      <c r="W2530" s="505"/>
      <c r="X2530" s="505"/>
      <c r="Y2530" s="505"/>
    </row>
    <row r="2531" spans="1:25" s="88" customFormat="1" ht="14.25" customHeight="1" x14ac:dyDescent="0.25">
      <c r="A2531" s="258"/>
      <c r="B2531" s="258"/>
      <c r="C2531" s="261"/>
      <c r="D2531" s="258"/>
      <c r="E2531" s="679"/>
      <c r="F2531" s="258"/>
      <c r="G2531" s="312"/>
      <c r="H2531" s="565"/>
      <c r="I2531" s="566"/>
      <c r="J2531" s="566"/>
      <c r="K2531" s="505"/>
      <c r="L2531" s="505"/>
      <c r="M2531" s="505"/>
      <c r="N2531" s="297"/>
      <c r="O2531" s="505"/>
      <c r="P2531" s="505"/>
      <c r="Q2531" s="505"/>
      <c r="R2531" s="505"/>
      <c r="S2531" s="505"/>
      <c r="T2531" s="505"/>
      <c r="U2531" s="505"/>
      <c r="V2531" s="505"/>
      <c r="W2531" s="505"/>
      <c r="X2531" s="505"/>
      <c r="Y2531" s="505"/>
    </row>
    <row r="2532" spans="1:25" s="88" customFormat="1" x14ac:dyDescent="0.25">
      <c r="A2532" s="290"/>
      <c r="B2532" s="288"/>
      <c r="C2532" s="294" t="s">
        <v>3575</v>
      </c>
      <c r="D2532" s="294"/>
      <c r="E2532" s="879"/>
      <c r="F2532" s="283"/>
      <c r="G2532" s="329" t="s">
        <v>5158</v>
      </c>
      <c r="H2532" s="572"/>
      <c r="I2532" s="573"/>
      <c r="J2532" s="573"/>
      <c r="K2532" s="505"/>
      <c r="L2532" s="505"/>
      <c r="M2532" s="505"/>
      <c r="N2532" s="505"/>
      <c r="O2532" s="505"/>
      <c r="P2532" s="505"/>
      <c r="Q2532" s="505"/>
      <c r="R2532" s="505"/>
      <c r="S2532" s="505"/>
      <c r="T2532" s="505"/>
      <c r="U2532" s="505"/>
      <c r="V2532" s="505"/>
      <c r="W2532" s="505"/>
      <c r="X2532" s="505"/>
      <c r="Y2532" s="505"/>
    </row>
    <row r="2533" spans="1:25" x14ac:dyDescent="0.25">
      <c r="C2533" s="267" t="s">
        <v>4391</v>
      </c>
      <c r="D2533" s="259"/>
      <c r="G2533" s="483" t="s">
        <v>5073</v>
      </c>
    </row>
    <row r="2534" spans="1:25" s="88" customFormat="1" x14ac:dyDescent="0.25">
      <c r="A2534" s="290"/>
      <c r="B2534" s="288"/>
      <c r="C2534" s="294"/>
      <c r="D2534" s="344">
        <v>451</v>
      </c>
      <c r="E2534" s="871"/>
      <c r="F2534" s="345"/>
      <c r="G2534" s="346" t="s">
        <v>153</v>
      </c>
      <c r="H2534" s="572"/>
      <c r="I2534" s="573"/>
      <c r="J2534" s="573"/>
      <c r="K2534" s="505"/>
      <c r="L2534" s="505"/>
      <c r="M2534" s="505"/>
      <c r="N2534" s="505"/>
      <c r="O2534" s="505"/>
      <c r="P2534" s="505"/>
      <c r="Q2534" s="505"/>
      <c r="R2534" s="505"/>
      <c r="S2534" s="505"/>
      <c r="T2534" s="505"/>
      <c r="U2534" s="505"/>
      <c r="V2534" s="505"/>
      <c r="W2534" s="505"/>
      <c r="X2534" s="505"/>
      <c r="Y2534" s="505"/>
    </row>
    <row r="2535" spans="1:25" hidden="1" x14ac:dyDescent="0.25">
      <c r="F2535" s="292">
        <v>411</v>
      </c>
      <c r="G2535" s="319" t="s">
        <v>4131</v>
      </c>
      <c r="J2535" s="556">
        <f>SUM(H2535:I2535)</f>
        <v>0</v>
      </c>
      <c r="L2535" s="507"/>
      <c r="M2535" s="507"/>
      <c r="N2535" s="300"/>
    </row>
    <row r="2536" spans="1:25" hidden="1" x14ac:dyDescent="0.25">
      <c r="F2536" s="292">
        <v>412</v>
      </c>
      <c r="G2536" s="317" t="s">
        <v>3766</v>
      </c>
      <c r="J2536" s="556">
        <f t="shared" ref="J2536:J2594" si="88">SUM(H2536:I2536)</f>
        <v>0</v>
      </c>
    </row>
    <row r="2537" spans="1:25" hidden="1" x14ac:dyDescent="0.25">
      <c r="F2537" s="292">
        <v>413</v>
      </c>
      <c r="G2537" s="319" t="s">
        <v>4132</v>
      </c>
      <c r="J2537" s="556">
        <f t="shared" si="88"/>
        <v>0</v>
      </c>
    </row>
    <row r="2538" spans="1:25" hidden="1" x14ac:dyDescent="0.25">
      <c r="F2538" s="292">
        <v>414</v>
      </c>
      <c r="G2538" s="319" t="s">
        <v>3769</v>
      </c>
      <c r="J2538" s="556">
        <f t="shared" si="88"/>
        <v>0</v>
      </c>
    </row>
    <row r="2539" spans="1:25" hidden="1" x14ac:dyDescent="0.25">
      <c r="F2539" s="292">
        <v>415</v>
      </c>
      <c r="G2539" s="319" t="s">
        <v>4141</v>
      </c>
      <c r="J2539" s="556">
        <f t="shared" si="88"/>
        <v>0</v>
      </c>
    </row>
    <row r="2540" spans="1:25" hidden="1" x14ac:dyDescent="0.25">
      <c r="F2540" s="292">
        <v>416</v>
      </c>
      <c r="G2540" s="319" t="s">
        <v>4142</v>
      </c>
      <c r="J2540" s="556">
        <f t="shared" si="88"/>
        <v>0</v>
      </c>
    </row>
    <row r="2541" spans="1:25" hidden="1" x14ac:dyDescent="0.25">
      <c r="F2541" s="292">
        <v>417</v>
      </c>
      <c r="G2541" s="319" t="s">
        <v>4143</v>
      </c>
      <c r="J2541" s="556">
        <f t="shared" si="88"/>
        <v>0</v>
      </c>
    </row>
    <row r="2542" spans="1:25" hidden="1" x14ac:dyDescent="0.25">
      <c r="F2542" s="292">
        <v>418</v>
      </c>
      <c r="G2542" s="319" t="s">
        <v>3775</v>
      </c>
      <c r="J2542" s="556">
        <f t="shared" si="88"/>
        <v>0</v>
      </c>
    </row>
    <row r="2543" spans="1:25" hidden="1" x14ac:dyDescent="0.25">
      <c r="F2543" s="292">
        <v>421</v>
      </c>
      <c r="G2543" s="319" t="s">
        <v>3779</v>
      </c>
      <c r="J2543" s="556">
        <f t="shared" si="88"/>
        <v>0</v>
      </c>
    </row>
    <row r="2544" spans="1:25" hidden="1" x14ac:dyDescent="0.25">
      <c r="F2544" s="292">
        <v>422</v>
      </c>
      <c r="G2544" s="319" t="s">
        <v>3780</v>
      </c>
      <c r="J2544" s="556">
        <f t="shared" si="88"/>
        <v>0</v>
      </c>
    </row>
    <row r="2545" spans="5:10" hidden="1" x14ac:dyDescent="0.25">
      <c r="F2545" s="292">
        <v>423</v>
      </c>
      <c r="G2545" s="319" t="s">
        <v>3781</v>
      </c>
      <c r="J2545" s="556">
        <f t="shared" si="88"/>
        <v>0</v>
      </c>
    </row>
    <row r="2546" spans="5:10" ht="19.5" customHeight="1" x14ac:dyDescent="0.25">
      <c r="E2546" s="679">
        <v>85</v>
      </c>
      <c r="F2546" s="292">
        <v>424</v>
      </c>
      <c r="G2546" s="766" t="s">
        <v>5264</v>
      </c>
      <c r="H2546" s="556">
        <v>100000</v>
      </c>
      <c r="J2546" s="556">
        <f>SUM(H2546:H2546)</f>
        <v>100000</v>
      </c>
    </row>
    <row r="2547" spans="5:10" hidden="1" x14ac:dyDescent="0.25">
      <c r="F2547" s="292">
        <v>425</v>
      </c>
      <c r="G2547" s="319" t="s">
        <v>4144</v>
      </c>
      <c r="J2547" s="556">
        <f t="shared" si="88"/>
        <v>0</v>
      </c>
    </row>
    <row r="2548" spans="5:10" hidden="1" x14ac:dyDescent="0.25">
      <c r="F2548" s="292">
        <v>426</v>
      </c>
      <c r="G2548" s="319" t="s">
        <v>3787</v>
      </c>
      <c r="J2548" s="556">
        <f t="shared" si="88"/>
        <v>0</v>
      </c>
    </row>
    <row r="2549" spans="5:10" hidden="1" x14ac:dyDescent="0.25">
      <c r="F2549" s="292">
        <v>431</v>
      </c>
      <c r="G2549" s="319" t="s">
        <v>4145</v>
      </c>
      <c r="J2549" s="556">
        <f t="shared" si="88"/>
        <v>0</v>
      </c>
    </row>
    <row r="2550" spans="5:10" hidden="1" x14ac:dyDescent="0.25">
      <c r="F2550" s="292">
        <v>432</v>
      </c>
      <c r="G2550" s="319" t="s">
        <v>4146</v>
      </c>
      <c r="J2550" s="556">
        <f t="shared" si="88"/>
        <v>0</v>
      </c>
    </row>
    <row r="2551" spans="5:10" hidden="1" x14ac:dyDescent="0.25">
      <c r="F2551" s="292">
        <v>433</v>
      </c>
      <c r="G2551" s="319" t="s">
        <v>4147</v>
      </c>
      <c r="J2551" s="556">
        <f t="shared" si="88"/>
        <v>0</v>
      </c>
    </row>
    <row r="2552" spans="5:10" hidden="1" x14ac:dyDescent="0.25">
      <c r="F2552" s="292">
        <v>434</v>
      </c>
      <c r="G2552" s="319" t="s">
        <v>4148</v>
      </c>
      <c r="J2552" s="556">
        <f t="shared" si="88"/>
        <v>0</v>
      </c>
    </row>
    <row r="2553" spans="5:10" hidden="1" x14ac:dyDescent="0.25">
      <c r="F2553" s="292">
        <v>435</v>
      </c>
      <c r="G2553" s="319" t="s">
        <v>3794</v>
      </c>
      <c r="J2553" s="556">
        <f t="shared" si="88"/>
        <v>0</v>
      </c>
    </row>
    <row r="2554" spans="5:10" hidden="1" x14ac:dyDescent="0.25">
      <c r="F2554" s="292">
        <v>441</v>
      </c>
      <c r="G2554" s="319" t="s">
        <v>4149</v>
      </c>
      <c r="J2554" s="556">
        <f t="shared" si="88"/>
        <v>0</v>
      </c>
    </row>
    <row r="2555" spans="5:10" hidden="1" x14ac:dyDescent="0.25">
      <c r="F2555" s="292">
        <v>442</v>
      </c>
      <c r="G2555" s="319" t="s">
        <v>4150</v>
      </c>
      <c r="J2555" s="556">
        <f t="shared" si="88"/>
        <v>0</v>
      </c>
    </row>
    <row r="2556" spans="5:10" hidden="1" x14ac:dyDescent="0.25">
      <c r="F2556" s="292">
        <v>443</v>
      </c>
      <c r="G2556" s="319" t="s">
        <v>3799</v>
      </c>
      <c r="J2556" s="556">
        <f t="shared" si="88"/>
        <v>0</v>
      </c>
    </row>
    <row r="2557" spans="5:10" hidden="1" x14ac:dyDescent="0.25">
      <c r="F2557" s="292">
        <v>444</v>
      </c>
      <c r="G2557" s="319" t="s">
        <v>3800</v>
      </c>
      <c r="J2557" s="556">
        <f t="shared" si="88"/>
        <v>0</v>
      </c>
    </row>
    <row r="2558" spans="5:10" ht="30" hidden="1" x14ac:dyDescent="0.25">
      <c r="F2558" s="292">
        <v>4511</v>
      </c>
      <c r="G2558" s="263" t="s">
        <v>1690</v>
      </c>
      <c r="J2558" s="556">
        <f t="shared" si="88"/>
        <v>0</v>
      </c>
    </row>
    <row r="2559" spans="5:10" ht="30" hidden="1" x14ac:dyDescent="0.25">
      <c r="F2559" s="292">
        <v>4512</v>
      </c>
      <c r="G2559" s="263" t="s">
        <v>1699</v>
      </c>
      <c r="J2559" s="556">
        <f t="shared" si="88"/>
        <v>0</v>
      </c>
    </row>
    <row r="2560" spans="5:10" hidden="1" x14ac:dyDescent="0.25">
      <c r="F2560" s="292">
        <v>452</v>
      </c>
      <c r="G2560" s="319" t="s">
        <v>4151</v>
      </c>
      <c r="J2560" s="556">
        <f t="shared" si="88"/>
        <v>0</v>
      </c>
    </row>
    <row r="2561" spans="6:10" hidden="1" x14ac:dyDescent="0.25">
      <c r="F2561" s="292">
        <v>453</v>
      </c>
      <c r="G2561" s="319" t="s">
        <v>4152</v>
      </c>
      <c r="J2561" s="556">
        <f t="shared" si="88"/>
        <v>0</v>
      </c>
    </row>
    <row r="2562" spans="6:10" hidden="1" x14ac:dyDescent="0.25">
      <c r="F2562" s="292">
        <v>454</v>
      </c>
      <c r="G2562" s="319" t="s">
        <v>3805</v>
      </c>
      <c r="J2562" s="556">
        <f t="shared" si="88"/>
        <v>0</v>
      </c>
    </row>
    <row r="2563" spans="6:10" hidden="1" x14ac:dyDescent="0.25">
      <c r="F2563" s="292">
        <v>461</v>
      </c>
      <c r="G2563" s="319" t="s">
        <v>4133</v>
      </c>
      <c r="J2563" s="556">
        <f t="shared" si="88"/>
        <v>0</v>
      </c>
    </row>
    <row r="2564" spans="6:10" hidden="1" x14ac:dyDescent="0.25">
      <c r="F2564" s="292">
        <v>462</v>
      </c>
      <c r="G2564" s="319" t="s">
        <v>3808</v>
      </c>
      <c r="J2564" s="556">
        <f t="shared" si="88"/>
        <v>0</v>
      </c>
    </row>
    <row r="2565" spans="6:10" hidden="1" x14ac:dyDescent="0.25">
      <c r="F2565" s="292">
        <v>4631</v>
      </c>
      <c r="G2565" s="319" t="s">
        <v>3809</v>
      </c>
      <c r="J2565" s="556">
        <f t="shared" si="88"/>
        <v>0</v>
      </c>
    </row>
    <row r="2566" spans="6:10" hidden="1" x14ac:dyDescent="0.25">
      <c r="F2566" s="292">
        <v>4632</v>
      </c>
      <c r="G2566" s="319" t="s">
        <v>3810</v>
      </c>
      <c r="J2566" s="556">
        <f t="shared" si="88"/>
        <v>0</v>
      </c>
    </row>
    <row r="2567" spans="6:10" hidden="1" x14ac:dyDescent="0.25">
      <c r="F2567" s="292">
        <v>464</v>
      </c>
      <c r="G2567" s="319" t="s">
        <v>3811</v>
      </c>
      <c r="J2567" s="556">
        <f t="shared" si="88"/>
        <v>0</v>
      </c>
    </row>
    <row r="2568" spans="6:10" hidden="1" x14ac:dyDescent="0.25">
      <c r="F2568" s="292">
        <v>465</v>
      </c>
      <c r="G2568" s="319" t="s">
        <v>4134</v>
      </c>
      <c r="J2568" s="556">
        <f t="shared" si="88"/>
        <v>0</v>
      </c>
    </row>
    <row r="2569" spans="6:10" hidden="1" x14ac:dyDescent="0.25">
      <c r="F2569" s="292">
        <v>472</v>
      </c>
      <c r="G2569" s="319" t="s">
        <v>3815</v>
      </c>
      <c r="J2569" s="556">
        <f t="shared" si="88"/>
        <v>0</v>
      </c>
    </row>
    <row r="2570" spans="6:10" hidden="1" x14ac:dyDescent="0.25">
      <c r="F2570" s="292">
        <v>481</v>
      </c>
      <c r="G2570" s="319" t="s">
        <v>4153</v>
      </c>
      <c r="J2570" s="556">
        <f t="shared" si="88"/>
        <v>0</v>
      </c>
    </row>
    <row r="2571" spans="6:10" hidden="1" x14ac:dyDescent="0.25">
      <c r="F2571" s="292">
        <v>482</v>
      </c>
      <c r="G2571" s="319" t="s">
        <v>4154</v>
      </c>
      <c r="J2571" s="556">
        <f t="shared" si="88"/>
        <v>0</v>
      </c>
    </row>
    <row r="2572" spans="6:10" hidden="1" x14ac:dyDescent="0.25">
      <c r="F2572" s="292">
        <v>483</v>
      </c>
      <c r="G2572" s="322" t="s">
        <v>4155</v>
      </c>
      <c r="J2572" s="556">
        <f t="shared" si="88"/>
        <v>0</v>
      </c>
    </row>
    <row r="2573" spans="6:10" ht="30" hidden="1" x14ac:dyDescent="0.25">
      <c r="F2573" s="292">
        <v>484</v>
      </c>
      <c r="G2573" s="319" t="s">
        <v>4156</v>
      </c>
      <c r="J2573" s="556">
        <f t="shared" si="88"/>
        <v>0</v>
      </c>
    </row>
    <row r="2574" spans="6:10" ht="30" hidden="1" x14ac:dyDescent="0.25">
      <c r="F2574" s="292">
        <v>485</v>
      </c>
      <c r="G2574" s="319" t="s">
        <v>4157</v>
      </c>
      <c r="J2574" s="556">
        <f t="shared" si="88"/>
        <v>0</v>
      </c>
    </row>
    <row r="2575" spans="6:10" ht="30" hidden="1" x14ac:dyDescent="0.25">
      <c r="F2575" s="292">
        <v>489</v>
      </c>
      <c r="G2575" s="319" t="s">
        <v>3823</v>
      </c>
      <c r="J2575" s="556">
        <f t="shared" si="88"/>
        <v>0</v>
      </c>
    </row>
    <row r="2576" spans="6:10" hidden="1" x14ac:dyDescent="0.25">
      <c r="F2576" s="292">
        <v>494</v>
      </c>
      <c r="G2576" s="319" t="s">
        <v>4135</v>
      </c>
      <c r="J2576" s="556">
        <f t="shared" si="88"/>
        <v>0</v>
      </c>
    </row>
    <row r="2577" spans="5:10" ht="30" hidden="1" x14ac:dyDescent="0.25">
      <c r="F2577" s="292">
        <v>495</v>
      </c>
      <c r="G2577" s="319" t="s">
        <v>4136</v>
      </c>
      <c r="J2577" s="556">
        <f t="shared" si="88"/>
        <v>0</v>
      </c>
    </row>
    <row r="2578" spans="5:10" ht="30" hidden="1" x14ac:dyDescent="0.25">
      <c r="F2578" s="292">
        <v>496</v>
      </c>
      <c r="G2578" s="319" t="s">
        <v>4137</v>
      </c>
      <c r="J2578" s="556">
        <f t="shared" si="88"/>
        <v>0</v>
      </c>
    </row>
    <row r="2579" spans="5:10" ht="17.25" hidden="1" customHeight="1" x14ac:dyDescent="0.25">
      <c r="F2579" s="292">
        <v>425</v>
      </c>
      <c r="G2579" s="492" t="s">
        <v>5074</v>
      </c>
      <c r="H2579" s="555">
        <v>0</v>
      </c>
      <c r="J2579" s="556">
        <f t="shared" si="88"/>
        <v>0</v>
      </c>
    </row>
    <row r="2580" spans="5:10" ht="45.75" thickBot="1" x14ac:dyDescent="0.3">
      <c r="E2580" s="679" t="s">
        <v>5422</v>
      </c>
      <c r="F2580" s="292">
        <v>511</v>
      </c>
      <c r="G2580" s="686" t="s">
        <v>5700</v>
      </c>
      <c r="H2580" s="556">
        <v>51500000</v>
      </c>
      <c r="I2580" s="556">
        <v>3265528</v>
      </c>
      <c r="J2580" s="556">
        <f>SUM(H2580:I2580)</f>
        <v>54765528</v>
      </c>
    </row>
    <row r="2581" spans="5:10" ht="15.75" hidden="1" thickBot="1" x14ac:dyDescent="0.3">
      <c r="F2581" s="292">
        <v>512</v>
      </c>
      <c r="G2581" s="322" t="s">
        <v>4159</v>
      </c>
      <c r="J2581" s="556">
        <f t="shared" si="88"/>
        <v>0</v>
      </c>
    </row>
    <row r="2582" spans="5:10" ht="15.75" hidden="1" thickBot="1" x14ac:dyDescent="0.3">
      <c r="F2582" s="292">
        <v>513</v>
      </c>
      <c r="G2582" s="322" t="s">
        <v>4160</v>
      </c>
      <c r="J2582" s="556">
        <f t="shared" si="88"/>
        <v>0</v>
      </c>
    </row>
    <row r="2583" spans="5:10" ht="15.75" hidden="1" thickBot="1" x14ac:dyDescent="0.3">
      <c r="F2583" s="292">
        <v>514</v>
      </c>
      <c r="G2583" s="319" t="s">
        <v>4161</v>
      </c>
      <c r="J2583" s="556">
        <f t="shared" si="88"/>
        <v>0</v>
      </c>
    </row>
    <row r="2584" spans="5:10" ht="15.75" hidden="1" thickBot="1" x14ac:dyDescent="0.3">
      <c r="F2584" s="292">
        <v>515</v>
      </c>
      <c r="G2584" s="319" t="s">
        <v>3834</v>
      </c>
      <c r="J2584" s="556">
        <f t="shared" si="88"/>
        <v>0</v>
      </c>
    </row>
    <row r="2585" spans="5:10" ht="15.75" hidden="1" thickBot="1" x14ac:dyDescent="0.3">
      <c r="F2585" s="292">
        <v>521</v>
      </c>
      <c r="G2585" s="319" t="s">
        <v>4162</v>
      </c>
      <c r="J2585" s="556">
        <f t="shared" si="88"/>
        <v>0</v>
      </c>
    </row>
    <row r="2586" spans="5:10" ht="15.75" hidden="1" thickBot="1" x14ac:dyDescent="0.3">
      <c r="F2586" s="292">
        <v>522</v>
      </c>
      <c r="G2586" s="319" t="s">
        <v>4163</v>
      </c>
      <c r="J2586" s="556">
        <f t="shared" si="88"/>
        <v>0</v>
      </c>
    </row>
    <row r="2587" spans="5:10" ht="15.75" hidden="1" thickBot="1" x14ac:dyDescent="0.3">
      <c r="F2587" s="292">
        <v>523</v>
      </c>
      <c r="G2587" s="319" t="s">
        <v>3839</v>
      </c>
      <c r="J2587" s="556">
        <f t="shared" si="88"/>
        <v>0</v>
      </c>
    </row>
    <row r="2588" spans="5:10" ht="15.75" hidden="1" thickBot="1" x14ac:dyDescent="0.3">
      <c r="F2588" s="292">
        <v>531</v>
      </c>
      <c r="G2588" s="317" t="s">
        <v>4139</v>
      </c>
      <c r="J2588" s="556">
        <f t="shared" si="88"/>
        <v>0</v>
      </c>
    </row>
    <row r="2589" spans="5:10" ht="15.75" hidden="1" thickBot="1" x14ac:dyDescent="0.3">
      <c r="F2589" s="292">
        <v>541</v>
      </c>
      <c r="G2589" s="319" t="s">
        <v>4164</v>
      </c>
      <c r="J2589" s="556">
        <f t="shared" si="88"/>
        <v>0</v>
      </c>
    </row>
    <row r="2590" spans="5:10" ht="15.75" hidden="1" thickBot="1" x14ac:dyDescent="0.3">
      <c r="F2590" s="292">
        <v>542</v>
      </c>
      <c r="G2590" s="319" t="s">
        <v>4165</v>
      </c>
      <c r="J2590" s="556">
        <f t="shared" si="88"/>
        <v>0</v>
      </c>
    </row>
    <row r="2591" spans="5:10" ht="15.75" hidden="1" thickBot="1" x14ac:dyDescent="0.3">
      <c r="F2591" s="292">
        <v>543</v>
      </c>
      <c r="G2591" s="319" t="s">
        <v>3844</v>
      </c>
      <c r="J2591" s="556">
        <f t="shared" si="88"/>
        <v>0</v>
      </c>
    </row>
    <row r="2592" spans="5:10" ht="30.75" hidden="1" thickBot="1" x14ac:dyDescent="0.3">
      <c r="F2592" s="292">
        <v>551</v>
      </c>
      <c r="G2592" s="319" t="s">
        <v>4140</v>
      </c>
      <c r="J2592" s="556">
        <f t="shared" si="88"/>
        <v>0</v>
      </c>
    </row>
    <row r="2593" spans="5:10" ht="15.75" hidden="1" thickBot="1" x14ac:dyDescent="0.3">
      <c r="F2593" s="293">
        <v>611</v>
      </c>
      <c r="G2593" s="323" t="s">
        <v>3850</v>
      </c>
      <c r="J2593" s="556">
        <f t="shared" si="88"/>
        <v>0</v>
      </c>
    </row>
    <row r="2594" spans="5:10" ht="15.75" hidden="1" thickBot="1" x14ac:dyDescent="0.3">
      <c r="F2594" s="293">
        <v>620</v>
      </c>
      <c r="G2594" s="323" t="s">
        <v>88</v>
      </c>
      <c r="J2594" s="556">
        <f t="shared" si="88"/>
        <v>0</v>
      </c>
    </row>
    <row r="2595" spans="5:10" x14ac:dyDescent="0.25">
      <c r="E2595" s="489"/>
      <c r="F2595" s="324"/>
      <c r="G2595" s="343" t="s">
        <v>4300</v>
      </c>
      <c r="H2595" s="557"/>
      <c r="I2595" s="583"/>
      <c r="J2595" s="558"/>
    </row>
    <row r="2596" spans="5:10" hidden="1" x14ac:dyDescent="0.25">
      <c r="E2596" s="693"/>
      <c r="F2596" s="284" t="s">
        <v>234</v>
      </c>
      <c r="G2596" s="287" t="s">
        <v>235</v>
      </c>
      <c r="H2596" s="559">
        <v>0</v>
      </c>
      <c r="I2596" s="560">
        <v>0</v>
      </c>
      <c r="J2596" s="560">
        <f t="shared" ref="J2596:J2611" si="89">SUM(H2596:I2596)</f>
        <v>0</v>
      </c>
    </row>
    <row r="2597" spans="5:10" hidden="1" x14ac:dyDescent="0.25">
      <c r="F2597" s="284" t="s">
        <v>236</v>
      </c>
      <c r="G2597" s="287" t="s">
        <v>237</v>
      </c>
      <c r="J2597" s="560">
        <f t="shared" si="89"/>
        <v>0</v>
      </c>
    </row>
    <row r="2598" spans="5:10" hidden="1" x14ac:dyDescent="0.25">
      <c r="F2598" s="284" t="s">
        <v>238</v>
      </c>
      <c r="G2598" s="287" t="s">
        <v>239</v>
      </c>
      <c r="J2598" s="560">
        <f t="shared" si="89"/>
        <v>0</v>
      </c>
    </row>
    <row r="2599" spans="5:10" hidden="1" x14ac:dyDescent="0.25">
      <c r="F2599" s="284" t="s">
        <v>240</v>
      </c>
      <c r="G2599" s="287" t="s">
        <v>241</v>
      </c>
      <c r="J2599" s="560">
        <f t="shared" si="89"/>
        <v>0</v>
      </c>
    </row>
    <row r="2600" spans="5:10" hidden="1" x14ac:dyDescent="0.25">
      <c r="F2600" s="284" t="s">
        <v>242</v>
      </c>
      <c r="G2600" s="287" t="s">
        <v>243</v>
      </c>
      <c r="J2600" s="560">
        <f t="shared" si="89"/>
        <v>0</v>
      </c>
    </row>
    <row r="2601" spans="5:10" hidden="1" x14ac:dyDescent="0.25">
      <c r="F2601" s="284" t="s">
        <v>244</v>
      </c>
      <c r="G2601" s="287" t="s">
        <v>245</v>
      </c>
      <c r="J2601" s="560">
        <f t="shared" si="89"/>
        <v>0</v>
      </c>
    </row>
    <row r="2602" spans="5:10" hidden="1" x14ac:dyDescent="0.25">
      <c r="F2602" s="284" t="s">
        <v>246</v>
      </c>
      <c r="G2602" s="598" t="s">
        <v>4996</v>
      </c>
      <c r="J2602" s="560">
        <f t="shared" si="89"/>
        <v>0</v>
      </c>
    </row>
    <row r="2603" spans="5:10" x14ac:dyDescent="0.25">
      <c r="F2603" s="284" t="s">
        <v>247</v>
      </c>
      <c r="G2603" s="598" t="s">
        <v>4995</v>
      </c>
      <c r="I2603" s="556">
        <v>3265528</v>
      </c>
      <c r="J2603" s="560">
        <f t="shared" si="89"/>
        <v>3265528</v>
      </c>
    </row>
    <row r="2604" spans="5:10" hidden="1" x14ac:dyDescent="0.25">
      <c r="F2604" s="284" t="s">
        <v>248</v>
      </c>
      <c r="G2604" s="287" t="s">
        <v>57</v>
      </c>
      <c r="J2604" s="560">
        <f t="shared" si="89"/>
        <v>0</v>
      </c>
    </row>
    <row r="2605" spans="5:10" hidden="1" x14ac:dyDescent="0.25">
      <c r="F2605" s="284" t="s">
        <v>249</v>
      </c>
      <c r="G2605" s="287" t="s">
        <v>250</v>
      </c>
      <c r="J2605" s="560">
        <f t="shared" si="89"/>
        <v>0</v>
      </c>
    </row>
    <row r="2606" spans="5:10" hidden="1" x14ac:dyDescent="0.25">
      <c r="F2606" s="284" t="s">
        <v>251</v>
      </c>
      <c r="G2606" s="287" t="s">
        <v>252</v>
      </c>
      <c r="J2606" s="560">
        <f t="shared" si="89"/>
        <v>0</v>
      </c>
    </row>
    <row r="2607" spans="5:10" ht="30" hidden="1" x14ac:dyDescent="0.25">
      <c r="F2607" s="284" t="s">
        <v>253</v>
      </c>
      <c r="G2607" s="287" t="s">
        <v>254</v>
      </c>
      <c r="J2607" s="560">
        <f t="shared" si="89"/>
        <v>0</v>
      </c>
    </row>
    <row r="2608" spans="5:10" ht="15.75" thickBot="1" x14ac:dyDescent="0.3">
      <c r="F2608" s="284" t="s">
        <v>255</v>
      </c>
      <c r="G2608" s="287" t="s">
        <v>256</v>
      </c>
      <c r="H2608" s="556">
        <v>51600000</v>
      </c>
      <c r="J2608" s="560">
        <f>SUM(H2608:H2608)</f>
        <v>51600000</v>
      </c>
    </row>
    <row r="2609" spans="5:10" ht="30" hidden="1" x14ac:dyDescent="0.25">
      <c r="F2609" s="284" t="s">
        <v>257</v>
      </c>
      <c r="G2609" s="287" t="s">
        <v>258</v>
      </c>
      <c r="J2609" s="560">
        <f t="shared" si="89"/>
        <v>0</v>
      </c>
    </row>
    <row r="2610" spans="5:10" hidden="1" x14ac:dyDescent="0.25">
      <c r="F2610" s="284" t="s">
        <v>259</v>
      </c>
      <c r="G2610" s="287" t="s">
        <v>260</v>
      </c>
      <c r="J2610" s="560">
        <f t="shared" si="89"/>
        <v>0</v>
      </c>
    </row>
    <row r="2611" spans="5:10" ht="15.75" hidden="1" thickBot="1" x14ac:dyDescent="0.3">
      <c r="F2611" s="284" t="s">
        <v>261</v>
      </c>
      <c r="G2611" s="287" t="s">
        <v>262</v>
      </c>
      <c r="H2611" s="559"/>
      <c r="I2611" s="560"/>
      <c r="J2611" s="560">
        <f t="shared" si="89"/>
        <v>0</v>
      </c>
    </row>
    <row r="2612" spans="5:10" ht="15.75" thickBot="1" x14ac:dyDescent="0.3">
      <c r="G2612" s="268" t="s">
        <v>4299</v>
      </c>
      <c r="H2612" s="561">
        <f>SUM(H2596:H2611)</f>
        <v>51600000</v>
      </c>
      <c r="I2612" s="562">
        <f>SUM(I2597:I2611)</f>
        <v>3265528</v>
      </c>
      <c r="J2612" s="562">
        <f>SUM(J2596:J2611)</f>
        <v>54865528</v>
      </c>
    </row>
    <row r="2613" spans="5:10" ht="28.5" collapsed="1" x14ac:dyDescent="0.25">
      <c r="E2613" s="489"/>
      <c r="F2613" s="324"/>
      <c r="G2613" s="270" t="s">
        <v>4951</v>
      </c>
      <c r="H2613" s="563"/>
      <c r="I2613" s="584"/>
      <c r="J2613" s="564"/>
    </row>
    <row r="2614" spans="5:10" hidden="1" x14ac:dyDescent="0.25">
      <c r="E2614" s="693"/>
      <c r="F2614" s="284" t="s">
        <v>234</v>
      </c>
      <c r="G2614" s="287" t="s">
        <v>235</v>
      </c>
      <c r="H2614" s="559">
        <v>0</v>
      </c>
      <c r="I2614" s="560"/>
      <c r="J2614" s="560">
        <f>SUM(H2614:I2614)</f>
        <v>0</v>
      </c>
    </row>
    <row r="2615" spans="5:10" hidden="1" x14ac:dyDescent="0.25">
      <c r="F2615" s="284" t="s">
        <v>236</v>
      </c>
      <c r="G2615" s="287" t="s">
        <v>237</v>
      </c>
      <c r="J2615" s="560">
        <f t="shared" ref="J2615:J2629" si="90">SUM(H2615:I2615)</f>
        <v>0</v>
      </c>
    </row>
    <row r="2616" spans="5:10" hidden="1" x14ac:dyDescent="0.25">
      <c r="F2616" s="284" t="s">
        <v>238</v>
      </c>
      <c r="G2616" s="287" t="s">
        <v>239</v>
      </c>
      <c r="J2616" s="560">
        <f t="shared" si="90"/>
        <v>0</v>
      </c>
    </row>
    <row r="2617" spans="5:10" hidden="1" x14ac:dyDescent="0.25">
      <c r="F2617" s="284" t="s">
        <v>240</v>
      </c>
      <c r="G2617" s="287" t="s">
        <v>241</v>
      </c>
      <c r="J2617" s="560">
        <f t="shared" si="90"/>
        <v>0</v>
      </c>
    </row>
    <row r="2618" spans="5:10" hidden="1" x14ac:dyDescent="0.25">
      <c r="F2618" s="284" t="s">
        <v>242</v>
      </c>
      <c r="G2618" s="287" t="s">
        <v>243</v>
      </c>
      <c r="J2618" s="560">
        <f t="shared" si="90"/>
        <v>0</v>
      </c>
    </row>
    <row r="2619" spans="5:10" hidden="1" x14ac:dyDescent="0.25">
      <c r="F2619" s="284" t="s">
        <v>244</v>
      </c>
      <c r="G2619" s="287" t="s">
        <v>245</v>
      </c>
      <c r="J2619" s="560">
        <f t="shared" si="90"/>
        <v>0</v>
      </c>
    </row>
    <row r="2620" spans="5:10" hidden="1" x14ac:dyDescent="0.25">
      <c r="F2620" s="284" t="s">
        <v>246</v>
      </c>
      <c r="G2620" s="598" t="s">
        <v>4996</v>
      </c>
      <c r="J2620" s="560">
        <f t="shared" si="90"/>
        <v>0</v>
      </c>
    </row>
    <row r="2621" spans="5:10" x14ac:dyDescent="0.25">
      <c r="F2621" s="284" t="s">
        <v>247</v>
      </c>
      <c r="G2621" s="598" t="s">
        <v>4995</v>
      </c>
      <c r="I2621" s="556">
        <v>3265528</v>
      </c>
      <c r="J2621" s="560">
        <f t="shared" si="90"/>
        <v>3265528</v>
      </c>
    </row>
    <row r="2622" spans="5:10" hidden="1" x14ac:dyDescent="0.25">
      <c r="F2622" s="284" t="s">
        <v>248</v>
      </c>
      <c r="G2622" s="287" t="s">
        <v>57</v>
      </c>
      <c r="J2622" s="560">
        <f t="shared" si="90"/>
        <v>0</v>
      </c>
    </row>
    <row r="2623" spans="5:10" hidden="1" x14ac:dyDescent="0.25">
      <c r="F2623" s="284" t="s">
        <v>249</v>
      </c>
      <c r="G2623" s="287" t="s">
        <v>250</v>
      </c>
      <c r="J2623" s="560">
        <f t="shared" si="90"/>
        <v>0</v>
      </c>
    </row>
    <row r="2624" spans="5:10" hidden="1" x14ac:dyDescent="0.25">
      <c r="F2624" s="284" t="s">
        <v>251</v>
      </c>
      <c r="G2624" s="287" t="s">
        <v>252</v>
      </c>
      <c r="J2624" s="560">
        <f t="shared" si="90"/>
        <v>0</v>
      </c>
    </row>
    <row r="2625" spans="1:25" ht="30" hidden="1" x14ac:dyDescent="0.25">
      <c r="F2625" s="284" t="s">
        <v>253</v>
      </c>
      <c r="G2625" s="287" t="s">
        <v>254</v>
      </c>
      <c r="J2625" s="560">
        <f t="shared" si="90"/>
        <v>0</v>
      </c>
    </row>
    <row r="2626" spans="1:25" ht="15.75" thickBot="1" x14ac:dyDescent="0.3">
      <c r="F2626" s="284" t="s">
        <v>255</v>
      </c>
      <c r="G2626" s="287" t="s">
        <v>256</v>
      </c>
      <c r="H2626" s="556">
        <v>51600000</v>
      </c>
      <c r="J2626" s="560">
        <f>SUM(H2626:H2626)</f>
        <v>51600000</v>
      </c>
    </row>
    <row r="2627" spans="1:25" ht="30" hidden="1" x14ac:dyDescent="0.25">
      <c r="F2627" s="284" t="s">
        <v>257</v>
      </c>
      <c r="G2627" s="287" t="s">
        <v>258</v>
      </c>
      <c r="J2627" s="560">
        <f t="shared" si="90"/>
        <v>0</v>
      </c>
    </row>
    <row r="2628" spans="1:25" hidden="1" x14ac:dyDescent="0.25">
      <c r="F2628" s="284" t="s">
        <v>259</v>
      </c>
      <c r="G2628" s="287" t="s">
        <v>260</v>
      </c>
      <c r="J2628" s="560">
        <f t="shared" si="90"/>
        <v>0</v>
      </c>
    </row>
    <row r="2629" spans="1:25" ht="15.75" hidden="1" thickBot="1" x14ac:dyDescent="0.3">
      <c r="F2629" s="284" t="s">
        <v>261</v>
      </c>
      <c r="G2629" s="287" t="s">
        <v>262</v>
      </c>
      <c r="H2629" s="559"/>
      <c r="I2629" s="560"/>
      <c r="J2629" s="560">
        <f t="shared" si="90"/>
        <v>0</v>
      </c>
    </row>
    <row r="2630" spans="1:25" ht="15" customHeight="1" collapsed="1" thickBot="1" x14ac:dyDescent="0.3">
      <c r="G2630" s="268" t="s">
        <v>4952</v>
      </c>
      <c r="H2630" s="561">
        <f>SUM(H2614:H2629)</f>
        <v>51600000</v>
      </c>
      <c r="I2630" s="562">
        <f>SUM(I2615:I2629)</f>
        <v>3265528</v>
      </c>
      <c r="J2630" s="562">
        <f>SUM(J2614:J2629)</f>
        <v>54865528</v>
      </c>
    </row>
    <row r="2631" spans="1:25" ht="28.5" x14ac:dyDescent="0.25">
      <c r="C2631" s="267" t="s">
        <v>4391</v>
      </c>
      <c r="D2631" s="259"/>
      <c r="G2631" s="483" t="s">
        <v>5265</v>
      </c>
    </row>
    <row r="2632" spans="1:25" s="88" customFormat="1" x14ac:dyDescent="0.25">
      <c r="A2632" s="481"/>
      <c r="B2632" s="288"/>
      <c r="C2632" s="294"/>
      <c r="D2632" s="344">
        <v>451</v>
      </c>
      <c r="E2632" s="871"/>
      <c r="F2632" s="345"/>
      <c r="G2632" s="346" t="s">
        <v>153</v>
      </c>
      <c r="H2632" s="572"/>
      <c r="I2632" s="573"/>
      <c r="J2632" s="573"/>
      <c r="K2632" s="505"/>
      <c r="L2632" s="505"/>
      <c r="M2632" s="505"/>
      <c r="N2632" s="505"/>
      <c r="O2632" s="505"/>
      <c r="P2632" s="505"/>
      <c r="Q2632" s="505"/>
      <c r="R2632" s="505"/>
      <c r="S2632" s="505"/>
      <c r="T2632" s="505"/>
      <c r="U2632" s="505"/>
      <c r="V2632" s="505"/>
      <c r="W2632" s="505"/>
      <c r="X2632" s="505"/>
      <c r="Y2632" s="505"/>
    </row>
    <row r="2633" spans="1:25" hidden="1" x14ac:dyDescent="0.25">
      <c r="F2633" s="499">
        <v>411</v>
      </c>
      <c r="G2633" s="492" t="s">
        <v>4131</v>
      </c>
      <c r="J2633" s="556">
        <f>SUM(H2633:I2633)</f>
        <v>0</v>
      </c>
      <c r="L2633" s="507"/>
      <c r="M2633" s="507"/>
      <c r="N2633" s="300"/>
    </row>
    <row r="2634" spans="1:25" hidden="1" x14ac:dyDescent="0.25">
      <c r="F2634" s="499">
        <v>412</v>
      </c>
      <c r="G2634" s="488" t="s">
        <v>3766</v>
      </c>
      <c r="J2634" s="556">
        <f t="shared" ref="J2634:J2692" si="91">SUM(H2634:I2634)</f>
        <v>0</v>
      </c>
    </row>
    <row r="2635" spans="1:25" hidden="1" x14ac:dyDescent="0.25">
      <c r="F2635" s="499">
        <v>413</v>
      </c>
      <c r="G2635" s="492" t="s">
        <v>4132</v>
      </c>
      <c r="J2635" s="556">
        <f t="shared" si="91"/>
        <v>0</v>
      </c>
    </row>
    <row r="2636" spans="1:25" hidden="1" x14ac:dyDescent="0.25">
      <c r="F2636" s="499">
        <v>414</v>
      </c>
      <c r="G2636" s="492" t="s">
        <v>3769</v>
      </c>
      <c r="J2636" s="556">
        <f t="shared" si="91"/>
        <v>0</v>
      </c>
    </row>
    <row r="2637" spans="1:25" hidden="1" x14ac:dyDescent="0.25">
      <c r="F2637" s="499">
        <v>415</v>
      </c>
      <c r="G2637" s="492" t="s">
        <v>4141</v>
      </c>
      <c r="J2637" s="556">
        <f t="shared" si="91"/>
        <v>0</v>
      </c>
    </row>
    <row r="2638" spans="1:25" hidden="1" x14ac:dyDescent="0.25">
      <c r="F2638" s="499">
        <v>416</v>
      </c>
      <c r="G2638" s="492" t="s">
        <v>4142</v>
      </c>
      <c r="J2638" s="556">
        <f t="shared" si="91"/>
        <v>0</v>
      </c>
    </row>
    <row r="2639" spans="1:25" hidden="1" x14ac:dyDescent="0.25">
      <c r="F2639" s="499">
        <v>417</v>
      </c>
      <c r="G2639" s="492" t="s">
        <v>4143</v>
      </c>
      <c r="J2639" s="556">
        <f t="shared" si="91"/>
        <v>0</v>
      </c>
    </row>
    <row r="2640" spans="1:25" hidden="1" x14ac:dyDescent="0.25">
      <c r="F2640" s="499">
        <v>418</v>
      </c>
      <c r="G2640" s="492" t="s">
        <v>3775</v>
      </c>
      <c r="J2640" s="556">
        <f t="shared" si="91"/>
        <v>0</v>
      </c>
    </row>
    <row r="2641" spans="5:10" hidden="1" x14ac:dyDescent="0.25">
      <c r="F2641" s="499">
        <v>421</v>
      </c>
      <c r="G2641" s="492" t="s">
        <v>3779</v>
      </c>
      <c r="J2641" s="556">
        <f t="shared" si="91"/>
        <v>0</v>
      </c>
    </row>
    <row r="2642" spans="5:10" hidden="1" x14ac:dyDescent="0.25">
      <c r="F2642" s="499">
        <v>422</v>
      </c>
      <c r="G2642" s="492" t="s">
        <v>3780</v>
      </c>
      <c r="J2642" s="556">
        <f t="shared" si="91"/>
        <v>0</v>
      </c>
    </row>
    <row r="2643" spans="5:10" hidden="1" x14ac:dyDescent="0.25">
      <c r="F2643" s="499">
        <v>423</v>
      </c>
      <c r="G2643" s="492" t="s">
        <v>3781</v>
      </c>
      <c r="J2643" s="556">
        <f t="shared" si="91"/>
        <v>0</v>
      </c>
    </row>
    <row r="2644" spans="5:10" ht="19.5" hidden="1" customHeight="1" x14ac:dyDescent="0.25">
      <c r="E2644" s="679">
        <v>48</v>
      </c>
      <c r="F2644" s="499">
        <v>424</v>
      </c>
      <c r="G2644" s="766" t="s">
        <v>5263</v>
      </c>
      <c r="H2644" s="555">
        <v>0</v>
      </c>
      <c r="J2644" s="556">
        <f t="shared" si="91"/>
        <v>0</v>
      </c>
    </row>
    <row r="2645" spans="5:10" hidden="1" x14ac:dyDescent="0.25">
      <c r="F2645" s="499">
        <v>425</v>
      </c>
      <c r="G2645" s="496" t="s">
        <v>4144</v>
      </c>
      <c r="J2645" s="556">
        <f t="shared" si="91"/>
        <v>0</v>
      </c>
    </row>
    <row r="2646" spans="5:10" hidden="1" x14ac:dyDescent="0.25">
      <c r="F2646" s="499">
        <v>426</v>
      </c>
      <c r="G2646" s="496" t="s">
        <v>3787</v>
      </c>
      <c r="J2646" s="556">
        <f t="shared" si="91"/>
        <v>0</v>
      </c>
    </row>
    <row r="2647" spans="5:10" hidden="1" x14ac:dyDescent="0.25">
      <c r="F2647" s="499">
        <v>431</v>
      </c>
      <c r="G2647" s="496" t="s">
        <v>4145</v>
      </c>
      <c r="J2647" s="556">
        <f t="shared" si="91"/>
        <v>0</v>
      </c>
    </row>
    <row r="2648" spans="5:10" hidden="1" x14ac:dyDescent="0.25">
      <c r="F2648" s="499">
        <v>432</v>
      </c>
      <c r="G2648" s="496" t="s">
        <v>4146</v>
      </c>
      <c r="J2648" s="556">
        <f t="shared" si="91"/>
        <v>0</v>
      </c>
    </row>
    <row r="2649" spans="5:10" hidden="1" x14ac:dyDescent="0.25">
      <c r="F2649" s="499">
        <v>433</v>
      </c>
      <c r="G2649" s="496" t="s">
        <v>4147</v>
      </c>
      <c r="J2649" s="556">
        <f t="shared" si="91"/>
        <v>0</v>
      </c>
    </row>
    <row r="2650" spans="5:10" hidden="1" x14ac:dyDescent="0.25">
      <c r="F2650" s="499">
        <v>434</v>
      </c>
      <c r="G2650" s="496" t="s">
        <v>4148</v>
      </c>
      <c r="J2650" s="556">
        <f t="shared" si="91"/>
        <v>0</v>
      </c>
    </row>
    <row r="2651" spans="5:10" hidden="1" x14ac:dyDescent="0.25">
      <c r="F2651" s="499">
        <v>435</v>
      </c>
      <c r="G2651" s="496" t="s">
        <v>3794</v>
      </c>
      <c r="J2651" s="556">
        <f t="shared" si="91"/>
        <v>0</v>
      </c>
    </row>
    <row r="2652" spans="5:10" hidden="1" x14ac:dyDescent="0.25">
      <c r="F2652" s="499">
        <v>441</v>
      </c>
      <c r="G2652" s="496" t="s">
        <v>4149</v>
      </c>
      <c r="J2652" s="556">
        <f t="shared" si="91"/>
        <v>0</v>
      </c>
    </row>
    <row r="2653" spans="5:10" hidden="1" x14ac:dyDescent="0.25">
      <c r="F2653" s="499">
        <v>442</v>
      </c>
      <c r="G2653" s="496" t="s">
        <v>4150</v>
      </c>
      <c r="J2653" s="556">
        <f t="shared" si="91"/>
        <v>0</v>
      </c>
    </row>
    <row r="2654" spans="5:10" hidden="1" x14ac:dyDescent="0.25">
      <c r="F2654" s="499">
        <v>443</v>
      </c>
      <c r="G2654" s="496" t="s">
        <v>3799</v>
      </c>
      <c r="J2654" s="556">
        <f t="shared" si="91"/>
        <v>0</v>
      </c>
    </row>
    <row r="2655" spans="5:10" hidden="1" x14ac:dyDescent="0.25">
      <c r="F2655" s="499">
        <v>444</v>
      </c>
      <c r="G2655" s="496" t="s">
        <v>3800</v>
      </c>
      <c r="J2655" s="556">
        <f t="shared" si="91"/>
        <v>0</v>
      </c>
    </row>
    <row r="2656" spans="5:10" ht="30" hidden="1" x14ac:dyDescent="0.25">
      <c r="F2656" s="499">
        <v>4511</v>
      </c>
      <c r="G2656" s="767" t="s">
        <v>1690</v>
      </c>
      <c r="J2656" s="556">
        <f t="shared" si="91"/>
        <v>0</v>
      </c>
    </row>
    <row r="2657" spans="6:10" ht="30" hidden="1" x14ac:dyDescent="0.25">
      <c r="F2657" s="499">
        <v>4512</v>
      </c>
      <c r="G2657" s="767" t="s">
        <v>1699</v>
      </c>
      <c r="J2657" s="556">
        <f t="shared" si="91"/>
        <v>0</v>
      </c>
    </row>
    <row r="2658" spans="6:10" hidden="1" x14ac:dyDescent="0.25">
      <c r="F2658" s="499">
        <v>452</v>
      </c>
      <c r="G2658" s="496" t="s">
        <v>4151</v>
      </c>
      <c r="J2658" s="556">
        <f t="shared" si="91"/>
        <v>0</v>
      </c>
    </row>
    <row r="2659" spans="6:10" hidden="1" x14ac:dyDescent="0.25">
      <c r="F2659" s="499">
        <v>453</v>
      </c>
      <c r="G2659" s="496" t="s">
        <v>4152</v>
      </c>
      <c r="J2659" s="556">
        <f t="shared" si="91"/>
        <v>0</v>
      </c>
    </row>
    <row r="2660" spans="6:10" hidden="1" x14ac:dyDescent="0.25">
      <c r="F2660" s="499">
        <v>454</v>
      </c>
      <c r="G2660" s="496" t="s">
        <v>3805</v>
      </c>
      <c r="J2660" s="556">
        <f t="shared" si="91"/>
        <v>0</v>
      </c>
    </row>
    <row r="2661" spans="6:10" hidden="1" x14ac:dyDescent="0.25">
      <c r="F2661" s="499">
        <v>461</v>
      </c>
      <c r="G2661" s="496" t="s">
        <v>4133</v>
      </c>
      <c r="J2661" s="556">
        <f t="shared" si="91"/>
        <v>0</v>
      </c>
    </row>
    <row r="2662" spans="6:10" hidden="1" x14ac:dyDescent="0.25">
      <c r="F2662" s="499">
        <v>462</v>
      </c>
      <c r="G2662" s="496" t="s">
        <v>3808</v>
      </c>
      <c r="J2662" s="556">
        <f t="shared" si="91"/>
        <v>0</v>
      </c>
    </row>
    <row r="2663" spans="6:10" hidden="1" x14ac:dyDescent="0.25">
      <c r="F2663" s="499">
        <v>4631</v>
      </c>
      <c r="G2663" s="496" t="s">
        <v>3809</v>
      </c>
      <c r="J2663" s="556">
        <f t="shared" si="91"/>
        <v>0</v>
      </c>
    </row>
    <row r="2664" spans="6:10" hidden="1" x14ac:dyDescent="0.25">
      <c r="F2664" s="499">
        <v>4632</v>
      </c>
      <c r="G2664" s="496" t="s">
        <v>3810</v>
      </c>
      <c r="J2664" s="556">
        <f t="shared" si="91"/>
        <v>0</v>
      </c>
    </row>
    <row r="2665" spans="6:10" hidden="1" x14ac:dyDescent="0.25">
      <c r="F2665" s="499">
        <v>464</v>
      </c>
      <c r="G2665" s="496" t="s">
        <v>3811</v>
      </c>
      <c r="J2665" s="556">
        <f t="shared" si="91"/>
        <v>0</v>
      </c>
    </row>
    <row r="2666" spans="6:10" hidden="1" x14ac:dyDescent="0.25">
      <c r="F2666" s="499">
        <v>465</v>
      </c>
      <c r="G2666" s="496" t="s">
        <v>4134</v>
      </c>
      <c r="J2666" s="556">
        <f t="shared" si="91"/>
        <v>0</v>
      </c>
    </row>
    <row r="2667" spans="6:10" hidden="1" x14ac:dyDescent="0.25">
      <c r="F2667" s="499">
        <v>472</v>
      </c>
      <c r="G2667" s="496" t="s">
        <v>3815</v>
      </c>
      <c r="J2667" s="556">
        <f t="shared" si="91"/>
        <v>0</v>
      </c>
    </row>
    <row r="2668" spans="6:10" hidden="1" x14ac:dyDescent="0.25">
      <c r="F2668" s="499">
        <v>481</v>
      </c>
      <c r="G2668" s="496" t="s">
        <v>4153</v>
      </c>
      <c r="J2668" s="556">
        <f t="shared" si="91"/>
        <v>0</v>
      </c>
    </row>
    <row r="2669" spans="6:10" hidden="1" x14ac:dyDescent="0.25">
      <c r="F2669" s="499">
        <v>482</v>
      </c>
      <c r="G2669" s="496" t="s">
        <v>4154</v>
      </c>
      <c r="J2669" s="556">
        <f t="shared" si="91"/>
        <v>0</v>
      </c>
    </row>
    <row r="2670" spans="6:10" hidden="1" x14ac:dyDescent="0.25">
      <c r="F2670" s="499">
        <v>483</v>
      </c>
      <c r="G2670" s="496" t="s">
        <v>4155</v>
      </c>
      <c r="J2670" s="556">
        <f t="shared" si="91"/>
        <v>0</v>
      </c>
    </row>
    <row r="2671" spans="6:10" ht="30" hidden="1" x14ac:dyDescent="0.25">
      <c r="F2671" s="499">
        <v>484</v>
      </c>
      <c r="G2671" s="496" t="s">
        <v>4156</v>
      </c>
      <c r="J2671" s="556">
        <f t="shared" si="91"/>
        <v>0</v>
      </c>
    </row>
    <row r="2672" spans="6:10" ht="30" hidden="1" x14ac:dyDescent="0.25">
      <c r="F2672" s="499">
        <v>485</v>
      </c>
      <c r="G2672" s="496" t="s">
        <v>4157</v>
      </c>
      <c r="J2672" s="556">
        <f t="shared" si="91"/>
        <v>0</v>
      </c>
    </row>
    <row r="2673" spans="5:10" ht="30" hidden="1" x14ac:dyDescent="0.25">
      <c r="F2673" s="499">
        <v>489</v>
      </c>
      <c r="G2673" s="496" t="s">
        <v>3823</v>
      </c>
      <c r="J2673" s="556">
        <f t="shared" si="91"/>
        <v>0</v>
      </c>
    </row>
    <row r="2674" spans="5:10" hidden="1" x14ac:dyDescent="0.25">
      <c r="F2674" s="499">
        <v>494</v>
      </c>
      <c r="G2674" s="496" t="s">
        <v>4135</v>
      </c>
      <c r="J2674" s="556">
        <f t="shared" si="91"/>
        <v>0</v>
      </c>
    </row>
    <row r="2675" spans="5:10" ht="30" hidden="1" x14ac:dyDescent="0.25">
      <c r="F2675" s="499">
        <v>495</v>
      </c>
      <c r="G2675" s="496" t="s">
        <v>4136</v>
      </c>
      <c r="J2675" s="556">
        <f t="shared" si="91"/>
        <v>0</v>
      </c>
    </row>
    <row r="2676" spans="5:10" ht="30" hidden="1" x14ac:dyDescent="0.25">
      <c r="F2676" s="499">
        <v>496</v>
      </c>
      <c r="G2676" s="496" t="s">
        <v>4137</v>
      </c>
      <c r="J2676" s="556">
        <f t="shared" si="91"/>
        <v>0</v>
      </c>
    </row>
    <row r="2677" spans="5:10" ht="96" customHeight="1" x14ac:dyDescent="0.25">
      <c r="E2677" s="679" t="s">
        <v>5421</v>
      </c>
      <c r="F2677" s="499">
        <v>425</v>
      </c>
      <c r="G2677" s="496" t="s">
        <v>5267</v>
      </c>
      <c r="H2677" s="555">
        <v>21000000</v>
      </c>
      <c r="I2677" s="556">
        <v>0</v>
      </c>
      <c r="J2677" s="556">
        <f t="shared" si="91"/>
        <v>21000000</v>
      </c>
    </row>
    <row r="2678" spans="5:10" ht="15.75" thickBot="1" x14ac:dyDescent="0.3">
      <c r="E2678" s="679">
        <v>91</v>
      </c>
      <c r="F2678" s="499">
        <v>511</v>
      </c>
      <c r="G2678" s="496" t="s">
        <v>5266</v>
      </c>
      <c r="H2678" s="555">
        <v>500000</v>
      </c>
      <c r="J2678" s="556">
        <f t="shared" si="91"/>
        <v>500000</v>
      </c>
    </row>
    <row r="2679" spans="5:10" ht="15.75" hidden="1" thickBot="1" x14ac:dyDescent="0.3">
      <c r="F2679" s="499">
        <v>512</v>
      </c>
      <c r="G2679" s="496" t="s">
        <v>4159</v>
      </c>
      <c r="J2679" s="556">
        <f t="shared" si="91"/>
        <v>0</v>
      </c>
    </row>
    <row r="2680" spans="5:10" ht="15.75" hidden="1" thickBot="1" x14ac:dyDescent="0.3">
      <c r="F2680" s="499">
        <v>513</v>
      </c>
      <c r="G2680" s="496" t="s">
        <v>4160</v>
      </c>
      <c r="J2680" s="556">
        <f t="shared" si="91"/>
        <v>0</v>
      </c>
    </row>
    <row r="2681" spans="5:10" ht="15.75" hidden="1" thickBot="1" x14ac:dyDescent="0.3">
      <c r="F2681" s="499">
        <v>514</v>
      </c>
      <c r="G2681" s="492" t="s">
        <v>4161</v>
      </c>
      <c r="J2681" s="556">
        <f t="shared" si="91"/>
        <v>0</v>
      </c>
    </row>
    <row r="2682" spans="5:10" ht="15.75" hidden="1" thickBot="1" x14ac:dyDescent="0.3">
      <c r="F2682" s="499">
        <v>515</v>
      </c>
      <c r="G2682" s="492" t="s">
        <v>3834</v>
      </c>
      <c r="J2682" s="556">
        <f t="shared" si="91"/>
        <v>0</v>
      </c>
    </row>
    <row r="2683" spans="5:10" ht="15.75" hidden="1" thickBot="1" x14ac:dyDescent="0.3">
      <c r="F2683" s="499">
        <v>521</v>
      </c>
      <c r="G2683" s="492" t="s">
        <v>4162</v>
      </c>
      <c r="J2683" s="556">
        <f t="shared" si="91"/>
        <v>0</v>
      </c>
    </row>
    <row r="2684" spans="5:10" ht="15.75" hidden="1" thickBot="1" x14ac:dyDescent="0.3">
      <c r="F2684" s="499">
        <v>522</v>
      </c>
      <c r="G2684" s="492" t="s">
        <v>4163</v>
      </c>
      <c r="J2684" s="556">
        <f t="shared" si="91"/>
        <v>0</v>
      </c>
    </row>
    <row r="2685" spans="5:10" ht="15.75" hidden="1" thickBot="1" x14ac:dyDescent="0.3">
      <c r="F2685" s="499">
        <v>523</v>
      </c>
      <c r="G2685" s="492" t="s">
        <v>3839</v>
      </c>
      <c r="J2685" s="556">
        <f t="shared" si="91"/>
        <v>0</v>
      </c>
    </row>
    <row r="2686" spans="5:10" ht="15.75" hidden="1" thickBot="1" x14ac:dyDescent="0.3">
      <c r="F2686" s="499">
        <v>531</v>
      </c>
      <c r="G2686" s="488" t="s">
        <v>4139</v>
      </c>
      <c r="J2686" s="556">
        <f t="shared" si="91"/>
        <v>0</v>
      </c>
    </row>
    <row r="2687" spans="5:10" ht="15.75" hidden="1" thickBot="1" x14ac:dyDescent="0.3">
      <c r="F2687" s="499">
        <v>541</v>
      </c>
      <c r="G2687" s="492" t="s">
        <v>4164</v>
      </c>
      <c r="J2687" s="556">
        <f t="shared" si="91"/>
        <v>0</v>
      </c>
    </row>
    <row r="2688" spans="5:10" ht="15.75" hidden="1" thickBot="1" x14ac:dyDescent="0.3">
      <c r="F2688" s="499">
        <v>542</v>
      </c>
      <c r="G2688" s="492" t="s">
        <v>4165</v>
      </c>
      <c r="J2688" s="556">
        <f t="shared" si="91"/>
        <v>0</v>
      </c>
    </row>
    <row r="2689" spans="5:10" ht="15.75" hidden="1" thickBot="1" x14ac:dyDescent="0.3">
      <c r="F2689" s="499">
        <v>543</v>
      </c>
      <c r="G2689" s="492" t="s">
        <v>3844</v>
      </c>
      <c r="J2689" s="556">
        <f t="shared" si="91"/>
        <v>0</v>
      </c>
    </row>
    <row r="2690" spans="5:10" ht="30.75" hidden="1" thickBot="1" x14ac:dyDescent="0.3">
      <c r="F2690" s="499">
        <v>551</v>
      </c>
      <c r="G2690" s="492" t="s">
        <v>4140</v>
      </c>
      <c r="J2690" s="556">
        <f t="shared" si="91"/>
        <v>0</v>
      </c>
    </row>
    <row r="2691" spans="5:10" ht="15.75" hidden="1" thickBot="1" x14ac:dyDescent="0.3">
      <c r="F2691" s="500">
        <v>611</v>
      </c>
      <c r="G2691" s="498" t="s">
        <v>3850</v>
      </c>
      <c r="J2691" s="556">
        <f t="shared" si="91"/>
        <v>0</v>
      </c>
    </row>
    <row r="2692" spans="5:10" ht="15.75" hidden="1" thickBot="1" x14ac:dyDescent="0.3">
      <c r="F2692" s="500">
        <v>620</v>
      </c>
      <c r="G2692" s="498" t="s">
        <v>88</v>
      </c>
      <c r="J2692" s="556">
        <f t="shared" si="91"/>
        <v>0</v>
      </c>
    </row>
    <row r="2693" spans="5:10" x14ac:dyDescent="0.25">
      <c r="E2693" s="489"/>
      <c r="F2693" s="500"/>
      <c r="G2693" s="343" t="s">
        <v>4300</v>
      </c>
      <c r="H2693" s="557"/>
      <c r="I2693" s="583"/>
      <c r="J2693" s="558"/>
    </row>
    <row r="2694" spans="5:10" x14ac:dyDescent="0.25">
      <c r="E2694" s="693"/>
      <c r="F2694" s="597" t="s">
        <v>234</v>
      </c>
      <c r="G2694" s="598" t="s">
        <v>235</v>
      </c>
      <c r="H2694" s="559">
        <v>8500000</v>
      </c>
      <c r="I2694" s="560"/>
      <c r="J2694" s="560">
        <f t="shared" ref="J2694:J2709" si="92">SUM(H2694:I2694)</f>
        <v>8500000</v>
      </c>
    </row>
    <row r="2695" spans="5:10" hidden="1" x14ac:dyDescent="0.25">
      <c r="F2695" s="597" t="s">
        <v>236</v>
      </c>
      <c r="G2695" s="598" t="s">
        <v>237</v>
      </c>
      <c r="J2695" s="560">
        <f t="shared" si="92"/>
        <v>0</v>
      </c>
    </row>
    <row r="2696" spans="5:10" hidden="1" x14ac:dyDescent="0.25">
      <c r="F2696" s="597" t="s">
        <v>238</v>
      </c>
      <c r="G2696" s="598" t="s">
        <v>239</v>
      </c>
      <c r="J2696" s="560">
        <f t="shared" si="92"/>
        <v>0</v>
      </c>
    </row>
    <row r="2697" spans="5:10" hidden="1" x14ac:dyDescent="0.25">
      <c r="F2697" s="597" t="s">
        <v>240</v>
      </c>
      <c r="G2697" s="598" t="s">
        <v>241</v>
      </c>
      <c r="J2697" s="560">
        <f t="shared" si="92"/>
        <v>0</v>
      </c>
    </row>
    <row r="2698" spans="5:10" hidden="1" x14ac:dyDescent="0.25">
      <c r="F2698" s="597" t="s">
        <v>242</v>
      </c>
      <c r="G2698" s="598" t="s">
        <v>243</v>
      </c>
      <c r="J2698" s="560">
        <f t="shared" si="92"/>
        <v>0</v>
      </c>
    </row>
    <row r="2699" spans="5:10" hidden="1" x14ac:dyDescent="0.25">
      <c r="F2699" s="597" t="s">
        <v>244</v>
      </c>
      <c r="G2699" s="598" t="s">
        <v>245</v>
      </c>
      <c r="J2699" s="560">
        <f t="shared" si="92"/>
        <v>0</v>
      </c>
    </row>
    <row r="2700" spans="5:10" hidden="1" x14ac:dyDescent="0.25">
      <c r="F2700" s="597" t="s">
        <v>246</v>
      </c>
      <c r="G2700" s="598" t="s">
        <v>4996</v>
      </c>
      <c r="J2700" s="560">
        <f t="shared" si="92"/>
        <v>0</v>
      </c>
    </row>
    <row r="2701" spans="5:10" hidden="1" x14ac:dyDescent="0.25">
      <c r="F2701" s="597" t="s">
        <v>247</v>
      </c>
      <c r="G2701" s="598" t="s">
        <v>4995</v>
      </c>
      <c r="J2701" s="560">
        <f t="shared" si="92"/>
        <v>0</v>
      </c>
    </row>
    <row r="2702" spans="5:10" hidden="1" x14ac:dyDescent="0.25">
      <c r="F2702" s="597" t="s">
        <v>248</v>
      </c>
      <c r="G2702" s="598" t="s">
        <v>57</v>
      </c>
      <c r="J2702" s="560">
        <f t="shared" si="92"/>
        <v>0</v>
      </c>
    </row>
    <row r="2703" spans="5:10" hidden="1" x14ac:dyDescent="0.25">
      <c r="F2703" s="597" t="s">
        <v>249</v>
      </c>
      <c r="G2703" s="598" t="s">
        <v>250</v>
      </c>
      <c r="J2703" s="560">
        <f t="shared" si="92"/>
        <v>0</v>
      </c>
    </row>
    <row r="2704" spans="5:10" hidden="1" x14ac:dyDescent="0.25">
      <c r="F2704" s="597" t="s">
        <v>251</v>
      </c>
      <c r="G2704" s="598" t="s">
        <v>252</v>
      </c>
      <c r="J2704" s="560">
        <f t="shared" si="92"/>
        <v>0</v>
      </c>
    </row>
    <row r="2705" spans="5:10" ht="30" hidden="1" x14ac:dyDescent="0.25">
      <c r="F2705" s="597" t="s">
        <v>253</v>
      </c>
      <c r="G2705" s="598" t="s">
        <v>254</v>
      </c>
      <c r="J2705" s="560">
        <f t="shared" si="92"/>
        <v>0</v>
      </c>
    </row>
    <row r="2706" spans="5:10" ht="15.75" thickBot="1" x14ac:dyDescent="0.3">
      <c r="F2706" s="597" t="s">
        <v>255</v>
      </c>
      <c r="G2706" s="598" t="s">
        <v>256</v>
      </c>
      <c r="H2706" s="556">
        <v>13000000</v>
      </c>
      <c r="J2706" s="560">
        <f>SUM(H2706:H2706)</f>
        <v>13000000</v>
      </c>
    </row>
    <row r="2707" spans="5:10" ht="30" hidden="1" x14ac:dyDescent="0.25">
      <c r="F2707" s="597" t="s">
        <v>257</v>
      </c>
      <c r="G2707" s="598" t="s">
        <v>258</v>
      </c>
      <c r="J2707" s="560">
        <f t="shared" si="92"/>
        <v>0</v>
      </c>
    </row>
    <row r="2708" spans="5:10" hidden="1" x14ac:dyDescent="0.25">
      <c r="F2708" s="597" t="s">
        <v>259</v>
      </c>
      <c r="G2708" s="598" t="s">
        <v>260</v>
      </c>
      <c r="J2708" s="560">
        <f t="shared" si="92"/>
        <v>0</v>
      </c>
    </row>
    <row r="2709" spans="5:10" ht="15.75" hidden="1" thickBot="1" x14ac:dyDescent="0.3">
      <c r="F2709" s="597" t="s">
        <v>261</v>
      </c>
      <c r="G2709" s="598" t="s">
        <v>262</v>
      </c>
      <c r="H2709" s="559"/>
      <c r="I2709" s="560"/>
      <c r="J2709" s="560">
        <f t="shared" si="92"/>
        <v>0</v>
      </c>
    </row>
    <row r="2710" spans="5:10" ht="15.75" thickBot="1" x14ac:dyDescent="0.3">
      <c r="G2710" s="268" t="s">
        <v>4299</v>
      </c>
      <c r="H2710" s="561">
        <f>SUM(H2694:H2709)</f>
        <v>21500000</v>
      </c>
      <c r="I2710" s="562">
        <f>SUM(I2695:I2709)</f>
        <v>0</v>
      </c>
      <c r="J2710" s="562">
        <f>SUM(J2694:J2709)</f>
        <v>21500000</v>
      </c>
    </row>
    <row r="2711" spans="5:10" ht="14.25" customHeight="1" collapsed="1" x14ac:dyDescent="0.25">
      <c r="E2711" s="489"/>
      <c r="F2711" s="500"/>
      <c r="G2711" s="270" t="s">
        <v>4951</v>
      </c>
      <c r="H2711" s="563"/>
      <c r="I2711" s="584"/>
      <c r="J2711" s="564"/>
    </row>
    <row r="2712" spans="5:10" x14ac:dyDescent="0.25">
      <c r="E2712" s="693"/>
      <c r="F2712" s="597" t="s">
        <v>234</v>
      </c>
      <c r="G2712" s="598" t="s">
        <v>235</v>
      </c>
      <c r="H2712" s="559">
        <v>8500000</v>
      </c>
      <c r="I2712" s="560"/>
      <c r="J2712" s="560">
        <f>SUM(H2712:I2712)</f>
        <v>8500000</v>
      </c>
    </row>
    <row r="2713" spans="5:10" hidden="1" x14ac:dyDescent="0.25">
      <c r="F2713" s="597" t="s">
        <v>236</v>
      </c>
      <c r="G2713" s="598" t="s">
        <v>237</v>
      </c>
      <c r="J2713" s="560">
        <f t="shared" ref="J2713:J2727" si="93">SUM(H2713:I2713)</f>
        <v>0</v>
      </c>
    </row>
    <row r="2714" spans="5:10" hidden="1" x14ac:dyDescent="0.25">
      <c r="F2714" s="597" t="s">
        <v>238</v>
      </c>
      <c r="G2714" s="598" t="s">
        <v>239</v>
      </c>
      <c r="J2714" s="560">
        <f t="shared" si="93"/>
        <v>0</v>
      </c>
    </row>
    <row r="2715" spans="5:10" hidden="1" x14ac:dyDescent="0.25">
      <c r="F2715" s="597" t="s">
        <v>240</v>
      </c>
      <c r="G2715" s="598" t="s">
        <v>241</v>
      </c>
      <c r="J2715" s="560">
        <f t="shared" si="93"/>
        <v>0</v>
      </c>
    </row>
    <row r="2716" spans="5:10" hidden="1" x14ac:dyDescent="0.25">
      <c r="F2716" s="597" t="s">
        <v>242</v>
      </c>
      <c r="G2716" s="598" t="s">
        <v>243</v>
      </c>
      <c r="J2716" s="560">
        <f t="shared" si="93"/>
        <v>0</v>
      </c>
    </row>
    <row r="2717" spans="5:10" hidden="1" x14ac:dyDescent="0.25">
      <c r="F2717" s="597" t="s">
        <v>244</v>
      </c>
      <c r="G2717" s="598" t="s">
        <v>245</v>
      </c>
      <c r="J2717" s="560">
        <f t="shared" si="93"/>
        <v>0</v>
      </c>
    </row>
    <row r="2718" spans="5:10" hidden="1" x14ac:dyDescent="0.25">
      <c r="F2718" s="597" t="s">
        <v>246</v>
      </c>
      <c r="G2718" s="598" t="s">
        <v>4996</v>
      </c>
      <c r="J2718" s="560">
        <f t="shared" si="93"/>
        <v>0</v>
      </c>
    </row>
    <row r="2719" spans="5:10" hidden="1" x14ac:dyDescent="0.25">
      <c r="F2719" s="597" t="s">
        <v>247</v>
      </c>
      <c r="G2719" s="598" t="s">
        <v>4995</v>
      </c>
      <c r="J2719" s="560">
        <f t="shared" si="93"/>
        <v>0</v>
      </c>
    </row>
    <row r="2720" spans="5:10" hidden="1" x14ac:dyDescent="0.25">
      <c r="F2720" s="597" t="s">
        <v>248</v>
      </c>
      <c r="G2720" s="598" t="s">
        <v>57</v>
      </c>
      <c r="J2720" s="560">
        <f t="shared" si="93"/>
        <v>0</v>
      </c>
    </row>
    <row r="2721" spans="1:25" hidden="1" x14ac:dyDescent="0.25">
      <c r="F2721" s="597" t="s">
        <v>249</v>
      </c>
      <c r="G2721" s="598" t="s">
        <v>250</v>
      </c>
      <c r="J2721" s="560">
        <f t="shared" si="93"/>
        <v>0</v>
      </c>
    </row>
    <row r="2722" spans="1:25" hidden="1" x14ac:dyDescent="0.25">
      <c r="F2722" s="597" t="s">
        <v>251</v>
      </c>
      <c r="G2722" s="598" t="s">
        <v>252</v>
      </c>
      <c r="J2722" s="560">
        <f t="shared" si="93"/>
        <v>0</v>
      </c>
    </row>
    <row r="2723" spans="1:25" ht="30" hidden="1" x14ac:dyDescent="0.25">
      <c r="F2723" s="597" t="s">
        <v>253</v>
      </c>
      <c r="G2723" s="598" t="s">
        <v>254</v>
      </c>
      <c r="J2723" s="560">
        <f t="shared" si="93"/>
        <v>0</v>
      </c>
    </row>
    <row r="2724" spans="1:25" ht="15.75" thickBot="1" x14ac:dyDescent="0.3">
      <c r="F2724" s="597" t="s">
        <v>255</v>
      </c>
      <c r="G2724" s="598" t="s">
        <v>256</v>
      </c>
      <c r="H2724" s="556">
        <v>13000000</v>
      </c>
      <c r="J2724" s="560">
        <f>SUM(H2724:H2724)</f>
        <v>13000000</v>
      </c>
    </row>
    <row r="2725" spans="1:25" ht="30" hidden="1" x14ac:dyDescent="0.25">
      <c r="F2725" s="597" t="s">
        <v>257</v>
      </c>
      <c r="G2725" s="598" t="s">
        <v>258</v>
      </c>
      <c r="J2725" s="560">
        <f t="shared" si="93"/>
        <v>0</v>
      </c>
    </row>
    <row r="2726" spans="1:25" hidden="1" x14ac:dyDescent="0.25">
      <c r="F2726" s="597" t="s">
        <v>259</v>
      </c>
      <c r="G2726" s="598" t="s">
        <v>260</v>
      </c>
      <c r="J2726" s="560">
        <f t="shared" si="93"/>
        <v>0</v>
      </c>
    </row>
    <row r="2727" spans="1:25" ht="15.75" hidden="1" thickBot="1" x14ac:dyDescent="0.3">
      <c r="F2727" s="597" t="s">
        <v>261</v>
      </c>
      <c r="G2727" s="598" t="s">
        <v>262</v>
      </c>
      <c r="H2727" s="559"/>
      <c r="I2727" s="560"/>
      <c r="J2727" s="560">
        <f t="shared" si="93"/>
        <v>0</v>
      </c>
    </row>
    <row r="2728" spans="1:25" ht="15" customHeight="1" collapsed="1" thickBot="1" x14ac:dyDescent="0.3">
      <c r="G2728" s="268" t="s">
        <v>4952</v>
      </c>
      <c r="H2728" s="561">
        <f>SUM(H2712:H2727)</f>
        <v>21500000</v>
      </c>
      <c r="I2728" s="562">
        <f>SUM(I2713:I2727)</f>
        <v>0</v>
      </c>
      <c r="J2728" s="562">
        <f>SUM(J2712:J2727)</f>
        <v>21500000</v>
      </c>
    </row>
    <row r="2729" spans="1:25" ht="34.5" customHeight="1" x14ac:dyDescent="0.25">
      <c r="C2729" s="267" t="s">
        <v>4391</v>
      </c>
      <c r="D2729" s="84"/>
      <c r="G2729" s="483" t="s">
        <v>5268</v>
      </c>
    </row>
    <row r="2730" spans="1:25" s="88" customFormat="1" ht="17.25" customHeight="1" x14ac:dyDescent="0.25">
      <c r="A2730" s="481"/>
      <c r="B2730" s="288"/>
      <c r="C2730" s="294"/>
      <c r="D2730" s="768">
        <v>485</v>
      </c>
      <c r="E2730" s="871"/>
      <c r="F2730" s="345"/>
      <c r="G2730" s="346" t="s">
        <v>5269</v>
      </c>
      <c r="H2730" s="572"/>
      <c r="I2730" s="573"/>
      <c r="J2730" s="573"/>
      <c r="K2730" s="505"/>
      <c r="L2730" s="505"/>
      <c r="M2730" s="505"/>
      <c r="N2730" s="505"/>
      <c r="O2730" s="505"/>
      <c r="P2730" s="505"/>
      <c r="Q2730" s="505"/>
      <c r="R2730" s="505"/>
      <c r="S2730" s="505"/>
      <c r="T2730" s="505"/>
      <c r="U2730" s="505"/>
      <c r="V2730" s="505"/>
      <c r="W2730" s="505"/>
      <c r="X2730" s="505"/>
      <c r="Y2730" s="505"/>
    </row>
    <row r="2731" spans="1:25" hidden="1" x14ac:dyDescent="0.25">
      <c r="F2731" s="499">
        <v>411</v>
      </c>
      <c r="G2731" s="492" t="s">
        <v>4131</v>
      </c>
      <c r="J2731" s="556">
        <f>SUM(H2731:I2731)</f>
        <v>0</v>
      </c>
      <c r="L2731" s="507"/>
      <c r="M2731" s="507"/>
      <c r="N2731" s="300"/>
    </row>
    <row r="2732" spans="1:25" hidden="1" x14ac:dyDescent="0.25">
      <c r="F2732" s="499">
        <v>412</v>
      </c>
      <c r="G2732" s="488" t="s">
        <v>3766</v>
      </c>
      <c r="J2732" s="556">
        <f t="shared" ref="J2732:J2791" si="94">SUM(H2732:I2732)</f>
        <v>0</v>
      </c>
    </row>
    <row r="2733" spans="1:25" hidden="1" x14ac:dyDescent="0.25">
      <c r="F2733" s="499">
        <v>413</v>
      </c>
      <c r="G2733" s="492" t="s">
        <v>4132</v>
      </c>
      <c r="J2733" s="556">
        <f t="shared" si="94"/>
        <v>0</v>
      </c>
    </row>
    <row r="2734" spans="1:25" hidden="1" x14ac:dyDescent="0.25">
      <c r="F2734" s="499">
        <v>414</v>
      </c>
      <c r="G2734" s="492" t="s">
        <v>3769</v>
      </c>
      <c r="J2734" s="556">
        <f t="shared" si="94"/>
        <v>0</v>
      </c>
    </row>
    <row r="2735" spans="1:25" hidden="1" x14ac:dyDescent="0.25">
      <c r="F2735" s="499">
        <v>415</v>
      </c>
      <c r="G2735" s="492" t="s">
        <v>4141</v>
      </c>
      <c r="J2735" s="556">
        <f t="shared" si="94"/>
        <v>0</v>
      </c>
    </row>
    <row r="2736" spans="1:25" hidden="1" x14ac:dyDescent="0.25">
      <c r="F2736" s="499">
        <v>416</v>
      </c>
      <c r="G2736" s="492" t="s">
        <v>4142</v>
      </c>
      <c r="J2736" s="556">
        <f t="shared" si="94"/>
        <v>0</v>
      </c>
    </row>
    <row r="2737" spans="5:10" hidden="1" x14ac:dyDescent="0.25">
      <c r="F2737" s="499">
        <v>417</v>
      </c>
      <c r="G2737" s="492" t="s">
        <v>4143</v>
      </c>
      <c r="J2737" s="556">
        <f t="shared" si="94"/>
        <v>0</v>
      </c>
    </row>
    <row r="2738" spans="5:10" hidden="1" x14ac:dyDescent="0.25">
      <c r="F2738" s="499">
        <v>418</v>
      </c>
      <c r="G2738" s="492" t="s">
        <v>3775</v>
      </c>
      <c r="J2738" s="556">
        <f t="shared" si="94"/>
        <v>0</v>
      </c>
    </row>
    <row r="2739" spans="5:10" hidden="1" x14ac:dyDescent="0.25">
      <c r="F2739" s="499">
        <v>421</v>
      </c>
      <c r="G2739" s="492" t="s">
        <v>3779</v>
      </c>
      <c r="J2739" s="556">
        <f t="shared" si="94"/>
        <v>0</v>
      </c>
    </row>
    <row r="2740" spans="5:10" hidden="1" x14ac:dyDescent="0.25">
      <c r="F2740" s="499">
        <v>422</v>
      </c>
      <c r="G2740" s="492" t="s">
        <v>3780</v>
      </c>
      <c r="J2740" s="556">
        <f t="shared" si="94"/>
        <v>0</v>
      </c>
    </row>
    <row r="2741" spans="5:10" x14ac:dyDescent="0.25">
      <c r="E2741" s="679">
        <v>92</v>
      </c>
      <c r="F2741" s="499">
        <v>423</v>
      </c>
      <c r="G2741" s="492" t="s">
        <v>3781</v>
      </c>
      <c r="H2741" s="556">
        <v>100000</v>
      </c>
      <c r="J2741" s="556">
        <f t="shared" ref="J2741:J2778" si="95">SUM(H2741:H2741)</f>
        <v>100000</v>
      </c>
    </row>
    <row r="2742" spans="5:10" ht="21.75" customHeight="1" x14ac:dyDescent="0.25">
      <c r="E2742" s="679">
        <v>93</v>
      </c>
      <c r="F2742" s="499">
        <v>424</v>
      </c>
      <c r="G2742" s="766" t="s">
        <v>5263</v>
      </c>
      <c r="H2742" s="556">
        <v>100000</v>
      </c>
      <c r="J2742" s="556">
        <f t="shared" si="95"/>
        <v>100000</v>
      </c>
    </row>
    <row r="2743" spans="5:10" hidden="1" x14ac:dyDescent="0.25">
      <c r="F2743" s="499">
        <v>425</v>
      </c>
      <c r="G2743" s="496" t="s">
        <v>4144</v>
      </c>
      <c r="H2743" s="556"/>
      <c r="J2743" s="556">
        <f t="shared" si="95"/>
        <v>0</v>
      </c>
    </row>
    <row r="2744" spans="5:10" hidden="1" x14ac:dyDescent="0.25">
      <c r="F2744" s="499">
        <v>426</v>
      </c>
      <c r="G2744" s="496" t="s">
        <v>3787</v>
      </c>
      <c r="H2744" s="556"/>
      <c r="J2744" s="556">
        <f t="shared" si="95"/>
        <v>0</v>
      </c>
    </row>
    <row r="2745" spans="5:10" hidden="1" x14ac:dyDescent="0.25">
      <c r="F2745" s="499">
        <v>431</v>
      </c>
      <c r="G2745" s="496" t="s">
        <v>4145</v>
      </c>
      <c r="H2745" s="556"/>
      <c r="J2745" s="556">
        <f t="shared" si="95"/>
        <v>0</v>
      </c>
    </row>
    <row r="2746" spans="5:10" hidden="1" x14ac:dyDescent="0.25">
      <c r="F2746" s="499">
        <v>432</v>
      </c>
      <c r="G2746" s="496" t="s">
        <v>4146</v>
      </c>
      <c r="H2746" s="556"/>
      <c r="J2746" s="556">
        <f t="shared" si="95"/>
        <v>0</v>
      </c>
    </row>
    <row r="2747" spans="5:10" hidden="1" x14ac:dyDescent="0.25">
      <c r="F2747" s="499">
        <v>433</v>
      </c>
      <c r="G2747" s="496" t="s">
        <v>4147</v>
      </c>
      <c r="H2747" s="556"/>
      <c r="J2747" s="556">
        <f t="shared" si="95"/>
        <v>0</v>
      </c>
    </row>
    <row r="2748" spans="5:10" hidden="1" x14ac:dyDescent="0.25">
      <c r="F2748" s="499">
        <v>434</v>
      </c>
      <c r="G2748" s="496" t="s">
        <v>4148</v>
      </c>
      <c r="H2748" s="556"/>
      <c r="J2748" s="556">
        <f t="shared" si="95"/>
        <v>0</v>
      </c>
    </row>
    <row r="2749" spans="5:10" hidden="1" x14ac:dyDescent="0.25">
      <c r="F2749" s="499">
        <v>435</v>
      </c>
      <c r="G2749" s="496" t="s">
        <v>3794</v>
      </c>
      <c r="H2749" s="556"/>
      <c r="J2749" s="556">
        <f t="shared" si="95"/>
        <v>0</v>
      </c>
    </row>
    <row r="2750" spans="5:10" hidden="1" x14ac:dyDescent="0.25">
      <c r="F2750" s="499">
        <v>441</v>
      </c>
      <c r="G2750" s="496" t="s">
        <v>4149</v>
      </c>
      <c r="H2750" s="556"/>
      <c r="J2750" s="556">
        <f t="shared" si="95"/>
        <v>0</v>
      </c>
    </row>
    <row r="2751" spans="5:10" hidden="1" x14ac:dyDescent="0.25">
      <c r="F2751" s="499">
        <v>442</v>
      </c>
      <c r="G2751" s="496" t="s">
        <v>4150</v>
      </c>
      <c r="H2751" s="556"/>
      <c r="J2751" s="556">
        <f t="shared" si="95"/>
        <v>0</v>
      </c>
    </row>
    <row r="2752" spans="5:10" hidden="1" x14ac:dyDescent="0.25">
      <c r="F2752" s="499">
        <v>443</v>
      </c>
      <c r="G2752" s="496" t="s">
        <v>3799</v>
      </c>
      <c r="H2752" s="556"/>
      <c r="J2752" s="556">
        <f t="shared" si="95"/>
        <v>0</v>
      </c>
    </row>
    <row r="2753" spans="6:10" hidden="1" x14ac:dyDescent="0.25">
      <c r="F2753" s="499">
        <v>444</v>
      </c>
      <c r="G2753" s="496" t="s">
        <v>3800</v>
      </c>
      <c r="H2753" s="556"/>
      <c r="J2753" s="556">
        <f t="shared" si="95"/>
        <v>0</v>
      </c>
    </row>
    <row r="2754" spans="6:10" ht="30" hidden="1" x14ac:dyDescent="0.25">
      <c r="F2754" s="499">
        <v>4511</v>
      </c>
      <c r="G2754" s="767" t="s">
        <v>1690</v>
      </c>
      <c r="H2754" s="556"/>
      <c r="J2754" s="556">
        <f t="shared" si="95"/>
        <v>0</v>
      </c>
    </row>
    <row r="2755" spans="6:10" ht="30" hidden="1" x14ac:dyDescent="0.25">
      <c r="F2755" s="499">
        <v>4512</v>
      </c>
      <c r="G2755" s="767" t="s">
        <v>1699</v>
      </c>
      <c r="H2755" s="556"/>
      <c r="J2755" s="556">
        <f t="shared" si="95"/>
        <v>0</v>
      </c>
    </row>
    <row r="2756" spans="6:10" hidden="1" x14ac:dyDescent="0.25">
      <c r="F2756" s="499">
        <v>452</v>
      </c>
      <c r="G2756" s="496" t="s">
        <v>4151</v>
      </c>
      <c r="H2756" s="556"/>
      <c r="J2756" s="556">
        <f t="shared" si="95"/>
        <v>0</v>
      </c>
    </row>
    <row r="2757" spans="6:10" hidden="1" x14ac:dyDescent="0.25">
      <c r="F2757" s="499">
        <v>453</v>
      </c>
      <c r="G2757" s="496" t="s">
        <v>4152</v>
      </c>
      <c r="H2757" s="556"/>
      <c r="J2757" s="556">
        <f t="shared" si="95"/>
        <v>0</v>
      </c>
    </row>
    <row r="2758" spans="6:10" hidden="1" x14ac:dyDescent="0.25">
      <c r="F2758" s="499">
        <v>454</v>
      </c>
      <c r="G2758" s="496" t="s">
        <v>3805</v>
      </c>
      <c r="H2758" s="556"/>
      <c r="J2758" s="556">
        <f t="shared" si="95"/>
        <v>0</v>
      </c>
    </row>
    <row r="2759" spans="6:10" hidden="1" x14ac:dyDescent="0.25">
      <c r="F2759" s="499">
        <v>461</v>
      </c>
      <c r="G2759" s="496" t="s">
        <v>4133</v>
      </c>
      <c r="H2759" s="556"/>
      <c r="J2759" s="556">
        <f t="shared" si="95"/>
        <v>0</v>
      </c>
    </row>
    <row r="2760" spans="6:10" hidden="1" x14ac:dyDescent="0.25">
      <c r="F2760" s="499">
        <v>462</v>
      </c>
      <c r="G2760" s="496" t="s">
        <v>3808</v>
      </c>
      <c r="H2760" s="556"/>
      <c r="J2760" s="556">
        <f t="shared" si="95"/>
        <v>0</v>
      </c>
    </row>
    <row r="2761" spans="6:10" hidden="1" x14ac:dyDescent="0.25">
      <c r="F2761" s="499">
        <v>4631</v>
      </c>
      <c r="G2761" s="496" t="s">
        <v>3809</v>
      </c>
      <c r="H2761" s="556"/>
      <c r="J2761" s="556">
        <f t="shared" si="95"/>
        <v>0</v>
      </c>
    </row>
    <row r="2762" spans="6:10" hidden="1" x14ac:dyDescent="0.25">
      <c r="F2762" s="499">
        <v>4632</v>
      </c>
      <c r="G2762" s="496" t="s">
        <v>3810</v>
      </c>
      <c r="H2762" s="556"/>
      <c r="J2762" s="556">
        <f t="shared" si="95"/>
        <v>0</v>
      </c>
    </row>
    <row r="2763" spans="6:10" hidden="1" x14ac:dyDescent="0.25">
      <c r="F2763" s="499">
        <v>464</v>
      </c>
      <c r="G2763" s="496" t="s">
        <v>3811</v>
      </c>
      <c r="H2763" s="556"/>
      <c r="J2763" s="556">
        <f t="shared" si="95"/>
        <v>0</v>
      </c>
    </row>
    <row r="2764" spans="6:10" hidden="1" x14ac:dyDescent="0.25">
      <c r="F2764" s="499">
        <v>465</v>
      </c>
      <c r="G2764" s="496" t="s">
        <v>4134</v>
      </c>
      <c r="H2764" s="556"/>
      <c r="J2764" s="556">
        <f t="shared" si="95"/>
        <v>0</v>
      </c>
    </row>
    <row r="2765" spans="6:10" hidden="1" x14ac:dyDescent="0.25">
      <c r="F2765" s="499">
        <v>472</v>
      </c>
      <c r="G2765" s="496" t="s">
        <v>3815</v>
      </c>
      <c r="H2765" s="556"/>
      <c r="J2765" s="556">
        <f t="shared" si="95"/>
        <v>0</v>
      </c>
    </row>
    <row r="2766" spans="6:10" hidden="1" x14ac:dyDescent="0.25">
      <c r="F2766" s="499">
        <v>481</v>
      </c>
      <c r="G2766" s="496" t="s">
        <v>4153</v>
      </c>
      <c r="H2766" s="556"/>
      <c r="J2766" s="556">
        <f t="shared" si="95"/>
        <v>0</v>
      </c>
    </row>
    <row r="2767" spans="6:10" hidden="1" x14ac:dyDescent="0.25">
      <c r="F2767" s="499">
        <v>482</v>
      </c>
      <c r="G2767" s="496" t="s">
        <v>4154</v>
      </c>
      <c r="H2767" s="556"/>
      <c r="J2767" s="556">
        <f t="shared" si="95"/>
        <v>0</v>
      </c>
    </row>
    <row r="2768" spans="6:10" hidden="1" x14ac:dyDescent="0.25">
      <c r="F2768" s="499">
        <v>483</v>
      </c>
      <c r="G2768" s="496" t="s">
        <v>4155</v>
      </c>
      <c r="H2768" s="556"/>
      <c r="J2768" s="556">
        <f t="shared" si="95"/>
        <v>0</v>
      </c>
    </row>
    <row r="2769" spans="5:10" ht="30" hidden="1" x14ac:dyDescent="0.25">
      <c r="F2769" s="499">
        <v>484</v>
      </c>
      <c r="G2769" s="496" t="s">
        <v>4156</v>
      </c>
      <c r="H2769" s="556"/>
      <c r="J2769" s="556">
        <f t="shared" si="95"/>
        <v>0</v>
      </c>
    </row>
    <row r="2770" spans="5:10" ht="30" hidden="1" x14ac:dyDescent="0.25">
      <c r="F2770" s="499">
        <v>485</v>
      </c>
      <c r="G2770" s="496" t="s">
        <v>4157</v>
      </c>
      <c r="H2770" s="556"/>
      <c r="J2770" s="556">
        <f t="shared" si="95"/>
        <v>0</v>
      </c>
    </row>
    <row r="2771" spans="5:10" ht="30" hidden="1" x14ac:dyDescent="0.25">
      <c r="F2771" s="499">
        <v>489</v>
      </c>
      <c r="G2771" s="496" t="s">
        <v>3823</v>
      </c>
      <c r="H2771" s="556"/>
      <c r="J2771" s="556">
        <f t="shared" si="95"/>
        <v>0</v>
      </c>
    </row>
    <row r="2772" spans="5:10" hidden="1" x14ac:dyDescent="0.25">
      <c r="F2772" s="499">
        <v>494</v>
      </c>
      <c r="G2772" s="496" t="s">
        <v>4135</v>
      </c>
      <c r="H2772" s="556"/>
      <c r="J2772" s="556">
        <f t="shared" si="95"/>
        <v>0</v>
      </c>
    </row>
    <row r="2773" spans="5:10" ht="30" hidden="1" x14ac:dyDescent="0.25">
      <c r="F2773" s="499">
        <v>495</v>
      </c>
      <c r="G2773" s="496" t="s">
        <v>4136</v>
      </c>
      <c r="H2773" s="556"/>
      <c r="J2773" s="556">
        <f t="shared" si="95"/>
        <v>0</v>
      </c>
    </row>
    <row r="2774" spans="5:10" ht="30" hidden="1" x14ac:dyDescent="0.25">
      <c r="F2774" s="499">
        <v>496</v>
      </c>
      <c r="G2774" s="496" t="s">
        <v>4137</v>
      </c>
      <c r="H2774" s="556"/>
      <c r="J2774" s="556">
        <f t="shared" si="95"/>
        <v>0</v>
      </c>
    </row>
    <row r="2775" spans="5:10" ht="17.25" customHeight="1" x14ac:dyDescent="0.25">
      <c r="E2775" s="679">
        <v>94</v>
      </c>
      <c r="F2775" s="499">
        <v>425</v>
      </c>
      <c r="G2775" s="496" t="s">
        <v>5074</v>
      </c>
      <c r="H2775" s="556">
        <v>2000000</v>
      </c>
      <c r="J2775" s="556">
        <f t="shared" si="95"/>
        <v>2000000</v>
      </c>
    </row>
    <row r="2776" spans="5:10" ht="17.25" customHeight="1" x14ac:dyDescent="0.25">
      <c r="E2776" s="679">
        <v>95</v>
      </c>
      <c r="F2776" s="499">
        <v>426</v>
      </c>
      <c r="G2776" s="496" t="s">
        <v>3787</v>
      </c>
      <c r="H2776" s="556">
        <v>100000</v>
      </c>
      <c r="J2776" s="556">
        <f t="shared" si="95"/>
        <v>100000</v>
      </c>
    </row>
    <row r="2777" spans="5:10" x14ac:dyDescent="0.25">
      <c r="E2777" s="679">
        <v>96</v>
      </c>
      <c r="F2777" s="499">
        <v>511</v>
      </c>
      <c r="G2777" s="496" t="s">
        <v>5266</v>
      </c>
      <c r="H2777" s="556">
        <v>3000000</v>
      </c>
      <c r="J2777" s="556">
        <f t="shared" si="95"/>
        <v>3000000</v>
      </c>
    </row>
    <row r="2778" spans="5:10" ht="15.75" thickBot="1" x14ac:dyDescent="0.3">
      <c r="E2778" s="679">
        <v>97</v>
      </c>
      <c r="F2778" s="499">
        <v>512</v>
      </c>
      <c r="G2778" s="496" t="s">
        <v>4159</v>
      </c>
      <c r="H2778" s="556">
        <v>1100000</v>
      </c>
      <c r="J2778" s="556">
        <f t="shared" si="95"/>
        <v>1100000</v>
      </c>
    </row>
    <row r="2779" spans="5:10" hidden="1" x14ac:dyDescent="0.25">
      <c r="F2779" s="499">
        <v>513</v>
      </c>
      <c r="G2779" s="496" t="s">
        <v>4160</v>
      </c>
      <c r="J2779" s="556">
        <f t="shared" si="94"/>
        <v>0</v>
      </c>
    </row>
    <row r="2780" spans="5:10" hidden="1" x14ac:dyDescent="0.25">
      <c r="F2780" s="499">
        <v>514</v>
      </c>
      <c r="G2780" s="492" t="s">
        <v>4161</v>
      </c>
      <c r="J2780" s="556">
        <f t="shared" si="94"/>
        <v>0</v>
      </c>
    </row>
    <row r="2781" spans="5:10" hidden="1" x14ac:dyDescent="0.25">
      <c r="F2781" s="499">
        <v>515</v>
      </c>
      <c r="G2781" s="492" t="s">
        <v>3834</v>
      </c>
      <c r="J2781" s="556">
        <f t="shared" si="94"/>
        <v>0</v>
      </c>
    </row>
    <row r="2782" spans="5:10" hidden="1" x14ac:dyDescent="0.25">
      <c r="F2782" s="499">
        <v>521</v>
      </c>
      <c r="G2782" s="492" t="s">
        <v>4162</v>
      </c>
      <c r="J2782" s="556">
        <f t="shared" si="94"/>
        <v>0</v>
      </c>
    </row>
    <row r="2783" spans="5:10" hidden="1" x14ac:dyDescent="0.25">
      <c r="F2783" s="499">
        <v>522</v>
      </c>
      <c r="G2783" s="492" t="s">
        <v>4163</v>
      </c>
      <c r="J2783" s="556">
        <f t="shared" si="94"/>
        <v>0</v>
      </c>
    </row>
    <row r="2784" spans="5:10" hidden="1" x14ac:dyDescent="0.25">
      <c r="F2784" s="499">
        <v>523</v>
      </c>
      <c r="G2784" s="492" t="s">
        <v>3839</v>
      </c>
      <c r="J2784" s="556">
        <f t="shared" si="94"/>
        <v>0</v>
      </c>
    </row>
    <row r="2785" spans="5:10" hidden="1" x14ac:dyDescent="0.25">
      <c r="F2785" s="499">
        <v>531</v>
      </c>
      <c r="G2785" s="488" t="s">
        <v>4139</v>
      </c>
      <c r="J2785" s="556">
        <f t="shared" si="94"/>
        <v>0</v>
      </c>
    </row>
    <row r="2786" spans="5:10" hidden="1" x14ac:dyDescent="0.25">
      <c r="F2786" s="499">
        <v>541</v>
      </c>
      <c r="G2786" s="492" t="s">
        <v>4164</v>
      </c>
      <c r="J2786" s="556">
        <f t="shared" si="94"/>
        <v>0</v>
      </c>
    </row>
    <row r="2787" spans="5:10" hidden="1" x14ac:dyDescent="0.25">
      <c r="F2787" s="499">
        <v>542</v>
      </c>
      <c r="G2787" s="492" t="s">
        <v>4165</v>
      </c>
      <c r="J2787" s="556">
        <f t="shared" si="94"/>
        <v>0</v>
      </c>
    </row>
    <row r="2788" spans="5:10" hidden="1" x14ac:dyDescent="0.25">
      <c r="F2788" s="499">
        <v>543</v>
      </c>
      <c r="G2788" s="492" t="s">
        <v>3844</v>
      </c>
      <c r="J2788" s="556">
        <f t="shared" si="94"/>
        <v>0</v>
      </c>
    </row>
    <row r="2789" spans="5:10" ht="30" hidden="1" x14ac:dyDescent="0.25">
      <c r="F2789" s="499">
        <v>551</v>
      </c>
      <c r="G2789" s="492" t="s">
        <v>4140</v>
      </c>
      <c r="J2789" s="556">
        <f t="shared" si="94"/>
        <v>0</v>
      </c>
    </row>
    <row r="2790" spans="5:10" hidden="1" x14ac:dyDescent="0.25">
      <c r="F2790" s="500">
        <v>611</v>
      </c>
      <c r="G2790" s="498" t="s">
        <v>3850</v>
      </c>
      <c r="J2790" s="556">
        <f t="shared" si="94"/>
        <v>0</v>
      </c>
    </row>
    <row r="2791" spans="5:10" ht="15.75" hidden="1" thickBot="1" x14ac:dyDescent="0.3">
      <c r="F2791" s="500">
        <v>620</v>
      </c>
      <c r="G2791" s="498" t="s">
        <v>88</v>
      </c>
      <c r="J2791" s="556">
        <f t="shared" si="94"/>
        <v>0</v>
      </c>
    </row>
    <row r="2792" spans="5:10" x14ac:dyDescent="0.25">
      <c r="E2792" s="489"/>
      <c r="F2792" s="500"/>
      <c r="G2792" s="343" t="s">
        <v>5270</v>
      </c>
      <c r="H2792" s="557"/>
      <c r="I2792" s="583"/>
      <c r="J2792" s="558"/>
    </row>
    <row r="2793" spans="5:10" hidden="1" x14ac:dyDescent="0.25">
      <c r="E2793" s="693"/>
      <c r="F2793" s="597" t="s">
        <v>234</v>
      </c>
      <c r="G2793" s="598" t="s">
        <v>235</v>
      </c>
      <c r="H2793" s="559">
        <v>0</v>
      </c>
      <c r="I2793" s="560"/>
      <c r="J2793" s="560">
        <f t="shared" ref="J2793:J2808" si="96">SUM(H2793:I2793)</f>
        <v>0</v>
      </c>
    </row>
    <row r="2794" spans="5:10" hidden="1" x14ac:dyDescent="0.25">
      <c r="F2794" s="597" t="s">
        <v>236</v>
      </c>
      <c r="G2794" s="598" t="s">
        <v>237</v>
      </c>
      <c r="J2794" s="560">
        <f t="shared" si="96"/>
        <v>0</v>
      </c>
    </row>
    <row r="2795" spans="5:10" hidden="1" x14ac:dyDescent="0.25">
      <c r="F2795" s="597" t="s">
        <v>238</v>
      </c>
      <c r="G2795" s="598" t="s">
        <v>239</v>
      </c>
      <c r="J2795" s="560">
        <f t="shared" si="96"/>
        <v>0</v>
      </c>
    </row>
    <row r="2796" spans="5:10" hidden="1" x14ac:dyDescent="0.25">
      <c r="F2796" s="597" t="s">
        <v>240</v>
      </c>
      <c r="G2796" s="598" t="s">
        <v>241</v>
      </c>
      <c r="J2796" s="560">
        <f t="shared" si="96"/>
        <v>0</v>
      </c>
    </row>
    <row r="2797" spans="5:10" hidden="1" x14ac:dyDescent="0.25">
      <c r="F2797" s="597" t="s">
        <v>242</v>
      </c>
      <c r="G2797" s="598" t="s">
        <v>243</v>
      </c>
      <c r="J2797" s="560">
        <f t="shared" si="96"/>
        <v>0</v>
      </c>
    </row>
    <row r="2798" spans="5:10" hidden="1" x14ac:dyDescent="0.25">
      <c r="F2798" s="597" t="s">
        <v>244</v>
      </c>
      <c r="G2798" s="598" t="s">
        <v>245</v>
      </c>
      <c r="J2798" s="560">
        <f t="shared" si="96"/>
        <v>0</v>
      </c>
    </row>
    <row r="2799" spans="5:10" hidden="1" x14ac:dyDescent="0.25">
      <c r="F2799" s="597" t="s">
        <v>246</v>
      </c>
      <c r="G2799" s="598" t="s">
        <v>4996</v>
      </c>
      <c r="J2799" s="560">
        <f t="shared" si="96"/>
        <v>0</v>
      </c>
    </row>
    <row r="2800" spans="5:10" hidden="1" x14ac:dyDescent="0.25">
      <c r="F2800" s="597" t="s">
        <v>247</v>
      </c>
      <c r="G2800" s="598" t="s">
        <v>4995</v>
      </c>
      <c r="J2800" s="560">
        <f t="shared" si="96"/>
        <v>0</v>
      </c>
    </row>
    <row r="2801" spans="5:10" hidden="1" x14ac:dyDescent="0.25">
      <c r="F2801" s="597" t="s">
        <v>248</v>
      </c>
      <c r="G2801" s="598" t="s">
        <v>57</v>
      </c>
      <c r="J2801" s="560">
        <f t="shared" si="96"/>
        <v>0</v>
      </c>
    </row>
    <row r="2802" spans="5:10" hidden="1" x14ac:dyDescent="0.25">
      <c r="F2802" s="597" t="s">
        <v>249</v>
      </c>
      <c r="G2802" s="598" t="s">
        <v>250</v>
      </c>
      <c r="J2802" s="560">
        <f t="shared" si="96"/>
        <v>0</v>
      </c>
    </row>
    <row r="2803" spans="5:10" hidden="1" x14ac:dyDescent="0.25">
      <c r="F2803" s="597" t="s">
        <v>251</v>
      </c>
      <c r="G2803" s="598" t="s">
        <v>252</v>
      </c>
      <c r="J2803" s="560">
        <f t="shared" si="96"/>
        <v>0</v>
      </c>
    </row>
    <row r="2804" spans="5:10" ht="30" hidden="1" x14ac:dyDescent="0.25">
      <c r="F2804" s="597" t="s">
        <v>253</v>
      </c>
      <c r="G2804" s="598" t="s">
        <v>254</v>
      </c>
      <c r="J2804" s="560">
        <f t="shared" si="96"/>
        <v>0</v>
      </c>
    </row>
    <row r="2805" spans="5:10" ht="15.75" thickBot="1" x14ac:dyDescent="0.3">
      <c r="F2805" s="597" t="s">
        <v>255</v>
      </c>
      <c r="G2805" s="598" t="s">
        <v>256</v>
      </c>
      <c r="H2805" s="556">
        <v>6400000</v>
      </c>
      <c r="J2805" s="560">
        <f>SUM(H2805:H2805)</f>
        <v>6400000</v>
      </c>
    </row>
    <row r="2806" spans="5:10" ht="30" hidden="1" x14ac:dyDescent="0.25">
      <c r="F2806" s="597" t="s">
        <v>257</v>
      </c>
      <c r="G2806" s="598" t="s">
        <v>258</v>
      </c>
      <c r="J2806" s="560">
        <f t="shared" si="96"/>
        <v>0</v>
      </c>
    </row>
    <row r="2807" spans="5:10" hidden="1" x14ac:dyDescent="0.25">
      <c r="F2807" s="597" t="s">
        <v>259</v>
      </c>
      <c r="G2807" s="598" t="s">
        <v>260</v>
      </c>
      <c r="J2807" s="560">
        <f t="shared" si="96"/>
        <v>0</v>
      </c>
    </row>
    <row r="2808" spans="5:10" ht="15.75" hidden="1" thickBot="1" x14ac:dyDescent="0.3">
      <c r="F2808" s="597" t="s">
        <v>261</v>
      </c>
      <c r="G2808" s="598" t="s">
        <v>262</v>
      </c>
      <c r="H2808" s="559"/>
      <c r="I2808" s="560"/>
      <c r="J2808" s="560">
        <f t="shared" si="96"/>
        <v>0</v>
      </c>
    </row>
    <row r="2809" spans="5:10" ht="15.75" thickBot="1" x14ac:dyDescent="0.3">
      <c r="G2809" s="268" t="s">
        <v>5271</v>
      </c>
      <c r="H2809" s="561">
        <f>SUM(H2793:H2808)</f>
        <v>6400000</v>
      </c>
      <c r="I2809" s="562">
        <f>SUM(I2794:I2808)</f>
        <v>0</v>
      </c>
      <c r="J2809" s="562">
        <f>SUM(J2793:J2808)</f>
        <v>6400000</v>
      </c>
    </row>
    <row r="2810" spans="5:10" ht="28.5" collapsed="1" x14ac:dyDescent="0.25">
      <c r="E2810" s="489"/>
      <c r="F2810" s="500"/>
      <c r="G2810" s="270" t="s">
        <v>4951</v>
      </c>
      <c r="H2810" s="563"/>
      <c r="I2810" s="584"/>
      <c r="J2810" s="564"/>
    </row>
    <row r="2811" spans="5:10" hidden="1" x14ac:dyDescent="0.25">
      <c r="E2811" s="693"/>
      <c r="F2811" s="597" t="s">
        <v>234</v>
      </c>
      <c r="G2811" s="598" t="s">
        <v>235</v>
      </c>
      <c r="H2811" s="559">
        <v>0</v>
      </c>
      <c r="I2811" s="560"/>
      <c r="J2811" s="560">
        <f>SUM(H2811:I2811)</f>
        <v>0</v>
      </c>
    </row>
    <row r="2812" spans="5:10" hidden="1" x14ac:dyDescent="0.25">
      <c r="F2812" s="597" t="s">
        <v>236</v>
      </c>
      <c r="G2812" s="598" t="s">
        <v>237</v>
      </c>
      <c r="J2812" s="560">
        <f t="shared" ref="J2812:J2826" si="97">SUM(H2812:I2812)</f>
        <v>0</v>
      </c>
    </row>
    <row r="2813" spans="5:10" hidden="1" x14ac:dyDescent="0.25">
      <c r="F2813" s="597" t="s">
        <v>238</v>
      </c>
      <c r="G2813" s="598" t="s">
        <v>239</v>
      </c>
      <c r="J2813" s="560">
        <f t="shared" si="97"/>
        <v>0</v>
      </c>
    </row>
    <row r="2814" spans="5:10" hidden="1" x14ac:dyDescent="0.25">
      <c r="F2814" s="597" t="s">
        <v>240</v>
      </c>
      <c r="G2814" s="598" t="s">
        <v>241</v>
      </c>
      <c r="J2814" s="560">
        <f t="shared" si="97"/>
        <v>0</v>
      </c>
    </row>
    <row r="2815" spans="5:10" hidden="1" x14ac:dyDescent="0.25">
      <c r="F2815" s="597" t="s">
        <v>242</v>
      </c>
      <c r="G2815" s="598" t="s">
        <v>243</v>
      </c>
      <c r="J2815" s="560">
        <f t="shared" si="97"/>
        <v>0</v>
      </c>
    </row>
    <row r="2816" spans="5:10" hidden="1" x14ac:dyDescent="0.25">
      <c r="F2816" s="597" t="s">
        <v>244</v>
      </c>
      <c r="G2816" s="598" t="s">
        <v>245</v>
      </c>
      <c r="J2816" s="560">
        <f t="shared" si="97"/>
        <v>0</v>
      </c>
    </row>
    <row r="2817" spans="1:25" hidden="1" x14ac:dyDescent="0.25">
      <c r="F2817" s="597" t="s">
        <v>246</v>
      </c>
      <c r="G2817" s="598" t="s">
        <v>4996</v>
      </c>
      <c r="J2817" s="560">
        <f t="shared" si="97"/>
        <v>0</v>
      </c>
    </row>
    <row r="2818" spans="1:25" hidden="1" x14ac:dyDescent="0.25">
      <c r="F2818" s="597" t="s">
        <v>247</v>
      </c>
      <c r="G2818" s="598" t="s">
        <v>4995</v>
      </c>
      <c r="J2818" s="560">
        <f t="shared" si="97"/>
        <v>0</v>
      </c>
    </row>
    <row r="2819" spans="1:25" hidden="1" x14ac:dyDescent="0.25">
      <c r="F2819" s="597" t="s">
        <v>248</v>
      </c>
      <c r="G2819" s="598" t="s">
        <v>57</v>
      </c>
      <c r="J2819" s="560">
        <f t="shared" si="97"/>
        <v>0</v>
      </c>
    </row>
    <row r="2820" spans="1:25" hidden="1" x14ac:dyDescent="0.25">
      <c r="F2820" s="597" t="s">
        <v>249</v>
      </c>
      <c r="G2820" s="598" t="s">
        <v>250</v>
      </c>
      <c r="J2820" s="560">
        <f t="shared" si="97"/>
        <v>0</v>
      </c>
    </row>
    <row r="2821" spans="1:25" hidden="1" x14ac:dyDescent="0.25">
      <c r="F2821" s="597" t="s">
        <v>251</v>
      </c>
      <c r="G2821" s="598" t="s">
        <v>252</v>
      </c>
      <c r="J2821" s="560">
        <f t="shared" si="97"/>
        <v>0</v>
      </c>
    </row>
    <row r="2822" spans="1:25" ht="30" hidden="1" x14ac:dyDescent="0.25">
      <c r="F2822" s="597" t="s">
        <v>253</v>
      </c>
      <c r="G2822" s="598" t="s">
        <v>254</v>
      </c>
      <c r="J2822" s="560">
        <f t="shared" si="97"/>
        <v>0</v>
      </c>
    </row>
    <row r="2823" spans="1:25" ht="15.75" thickBot="1" x14ac:dyDescent="0.3">
      <c r="F2823" s="597" t="s">
        <v>255</v>
      </c>
      <c r="G2823" s="598" t="s">
        <v>256</v>
      </c>
      <c r="H2823" s="556">
        <v>6400000</v>
      </c>
      <c r="J2823" s="560">
        <f>SUM(H2823:H2823)</f>
        <v>6400000</v>
      </c>
    </row>
    <row r="2824" spans="1:25" ht="30" hidden="1" x14ac:dyDescent="0.25">
      <c r="F2824" s="597" t="s">
        <v>257</v>
      </c>
      <c r="G2824" s="598" t="s">
        <v>258</v>
      </c>
      <c r="J2824" s="560">
        <f t="shared" si="97"/>
        <v>0</v>
      </c>
    </row>
    <row r="2825" spans="1:25" hidden="1" x14ac:dyDescent="0.25">
      <c r="F2825" s="597" t="s">
        <v>259</v>
      </c>
      <c r="G2825" s="598" t="s">
        <v>260</v>
      </c>
      <c r="J2825" s="560">
        <f t="shared" si="97"/>
        <v>0</v>
      </c>
    </row>
    <row r="2826" spans="1:25" ht="15.75" hidden="1" thickBot="1" x14ac:dyDescent="0.3">
      <c r="F2826" s="597" t="s">
        <v>261</v>
      </c>
      <c r="G2826" s="598" t="s">
        <v>262</v>
      </c>
      <c r="H2826" s="559"/>
      <c r="I2826" s="560"/>
      <c r="J2826" s="560">
        <f t="shared" si="97"/>
        <v>0</v>
      </c>
    </row>
    <row r="2827" spans="1:25" ht="15" customHeight="1" collapsed="1" thickBot="1" x14ac:dyDescent="0.3">
      <c r="G2827" s="268" t="s">
        <v>4952</v>
      </c>
      <c r="H2827" s="561">
        <f>SUM(H2811:H2826)</f>
        <v>6400000</v>
      </c>
      <c r="I2827" s="562">
        <f>SUM(I2812:I2826)</f>
        <v>0</v>
      </c>
      <c r="J2827" s="562">
        <f>SUM(J2811:J2826)</f>
        <v>6400000</v>
      </c>
    </row>
    <row r="2828" spans="1:25" s="88" customFormat="1" x14ac:dyDescent="0.25">
      <c r="A2828" s="481"/>
      <c r="B2828" s="288"/>
      <c r="C2828" s="334"/>
      <c r="D2828" s="286"/>
      <c r="E2828" s="876"/>
      <c r="F2828" s="500"/>
      <c r="G2828" s="285" t="s">
        <v>4203</v>
      </c>
      <c r="H2828" s="567"/>
      <c r="I2828" s="585"/>
      <c r="J2828" s="568"/>
      <c r="K2828" s="505"/>
      <c r="L2828" s="505"/>
      <c r="M2828" s="505"/>
      <c r="N2828" s="505"/>
      <c r="O2828" s="505"/>
      <c r="P2828" s="505"/>
      <c r="Q2828" s="505"/>
      <c r="R2828" s="505"/>
      <c r="S2828" s="505"/>
      <c r="T2828" s="505"/>
      <c r="U2828" s="505"/>
      <c r="V2828" s="505"/>
      <c r="W2828" s="505"/>
      <c r="X2828" s="505"/>
      <c r="Y2828" s="505"/>
    </row>
    <row r="2829" spans="1:25" s="88" customFormat="1" x14ac:dyDescent="0.25">
      <c r="A2829" s="481"/>
      <c r="B2829" s="288"/>
      <c r="C2829" s="334"/>
      <c r="D2829" s="286"/>
      <c r="E2829" s="876"/>
      <c r="F2829" s="597" t="s">
        <v>234</v>
      </c>
      <c r="G2829" s="598" t="s">
        <v>235</v>
      </c>
      <c r="H2829" s="559">
        <f>SUM(H2712)</f>
        <v>8500000</v>
      </c>
      <c r="I2829" s="560"/>
      <c r="J2829" s="560">
        <f>SUM(H2829:I2829)</f>
        <v>8500000</v>
      </c>
      <c r="K2829" s="505"/>
      <c r="L2829" s="505"/>
      <c r="M2829" s="505"/>
      <c r="N2829" s="505"/>
      <c r="O2829" s="505"/>
      <c r="P2829" s="505"/>
      <c r="Q2829" s="505"/>
      <c r="R2829" s="505"/>
      <c r="S2829" s="505"/>
      <c r="T2829" s="505"/>
      <c r="U2829" s="505"/>
      <c r="V2829" s="505"/>
      <c r="W2829" s="505"/>
      <c r="X2829" s="505"/>
      <c r="Y2829" s="505"/>
    </row>
    <row r="2830" spans="1:25" s="88" customFormat="1" hidden="1" x14ac:dyDescent="0.25">
      <c r="A2830" s="481"/>
      <c r="B2830" s="288"/>
      <c r="C2830" s="334"/>
      <c r="D2830" s="286"/>
      <c r="E2830" s="876"/>
      <c r="F2830" s="597" t="s">
        <v>236</v>
      </c>
      <c r="G2830" s="598" t="s">
        <v>237</v>
      </c>
      <c r="H2830" s="555"/>
      <c r="I2830" s="556"/>
      <c r="J2830" s="560">
        <f t="shared" ref="J2830:J2844" si="98">SUM(H2830:I2830)</f>
        <v>0</v>
      </c>
      <c r="K2830" s="505"/>
      <c r="L2830" s="505"/>
      <c r="M2830" s="505"/>
      <c r="N2830" s="505"/>
      <c r="O2830" s="505"/>
      <c r="P2830" s="505"/>
      <c r="Q2830" s="505"/>
      <c r="R2830" s="505"/>
      <c r="S2830" s="505"/>
      <c r="T2830" s="505"/>
      <c r="U2830" s="505"/>
      <c r="V2830" s="505"/>
      <c r="W2830" s="505"/>
      <c r="X2830" s="505"/>
      <c r="Y2830" s="505"/>
    </row>
    <row r="2831" spans="1:25" s="88" customFormat="1" hidden="1" x14ac:dyDescent="0.25">
      <c r="A2831" s="481"/>
      <c r="B2831" s="288"/>
      <c r="C2831" s="334"/>
      <c r="D2831" s="286"/>
      <c r="E2831" s="876"/>
      <c r="F2831" s="597" t="s">
        <v>238</v>
      </c>
      <c r="G2831" s="598" t="s">
        <v>239</v>
      </c>
      <c r="H2831" s="555"/>
      <c r="I2831" s="556"/>
      <c r="J2831" s="560">
        <f t="shared" si="98"/>
        <v>0</v>
      </c>
      <c r="K2831" s="505"/>
      <c r="L2831" s="505"/>
      <c r="M2831" s="505"/>
      <c r="N2831" s="505"/>
      <c r="O2831" s="505"/>
      <c r="P2831" s="505"/>
      <c r="Q2831" s="505"/>
      <c r="R2831" s="505"/>
      <c r="S2831" s="505"/>
      <c r="T2831" s="505"/>
      <c r="U2831" s="505"/>
      <c r="V2831" s="505"/>
      <c r="W2831" s="505"/>
      <c r="X2831" s="505"/>
      <c r="Y2831" s="505"/>
    </row>
    <row r="2832" spans="1:25" s="88" customFormat="1" hidden="1" x14ac:dyDescent="0.25">
      <c r="A2832" s="481"/>
      <c r="B2832" s="288"/>
      <c r="C2832" s="334"/>
      <c r="D2832" s="286"/>
      <c r="E2832" s="876"/>
      <c r="F2832" s="597" t="s">
        <v>240</v>
      </c>
      <c r="G2832" s="598" t="s">
        <v>241</v>
      </c>
      <c r="H2832" s="555"/>
      <c r="I2832" s="556"/>
      <c r="J2832" s="560">
        <f t="shared" si="98"/>
        <v>0</v>
      </c>
      <c r="K2832" s="505"/>
      <c r="L2832" s="505"/>
      <c r="M2832" s="505"/>
      <c r="N2832" s="505"/>
      <c r="O2832" s="505"/>
      <c r="P2832" s="505"/>
      <c r="Q2832" s="505"/>
      <c r="R2832" s="505"/>
      <c r="S2832" s="505"/>
      <c r="T2832" s="505"/>
      <c r="U2832" s="505"/>
      <c r="V2832" s="505"/>
      <c r="W2832" s="505"/>
      <c r="X2832" s="505"/>
      <c r="Y2832" s="505"/>
    </row>
    <row r="2833" spans="1:25" s="88" customFormat="1" hidden="1" x14ac:dyDescent="0.25">
      <c r="A2833" s="481"/>
      <c r="B2833" s="288"/>
      <c r="C2833" s="334"/>
      <c r="D2833" s="286"/>
      <c r="E2833" s="876"/>
      <c r="F2833" s="597" t="s">
        <v>242</v>
      </c>
      <c r="G2833" s="598" t="s">
        <v>243</v>
      </c>
      <c r="H2833" s="555"/>
      <c r="I2833" s="556"/>
      <c r="J2833" s="560">
        <f t="shared" si="98"/>
        <v>0</v>
      </c>
      <c r="K2833" s="505"/>
      <c r="L2833" s="505"/>
      <c r="M2833" s="505"/>
      <c r="N2833" s="505"/>
      <c r="O2833" s="505"/>
      <c r="P2833" s="505"/>
      <c r="Q2833" s="505"/>
      <c r="R2833" s="505"/>
      <c r="S2833" s="505"/>
      <c r="T2833" s="505"/>
      <c r="U2833" s="505"/>
      <c r="V2833" s="505"/>
      <c r="W2833" s="505"/>
      <c r="X2833" s="505"/>
      <c r="Y2833" s="505"/>
    </row>
    <row r="2834" spans="1:25" s="88" customFormat="1" hidden="1" x14ac:dyDescent="0.25">
      <c r="A2834" s="481"/>
      <c r="B2834" s="288"/>
      <c r="C2834" s="334"/>
      <c r="D2834" s="286"/>
      <c r="E2834" s="876"/>
      <c r="F2834" s="597" t="s">
        <v>244</v>
      </c>
      <c r="G2834" s="598" t="s">
        <v>245</v>
      </c>
      <c r="H2834" s="555"/>
      <c r="I2834" s="556"/>
      <c r="J2834" s="560">
        <f t="shared" si="98"/>
        <v>0</v>
      </c>
      <c r="K2834" s="505"/>
      <c r="L2834" s="505"/>
      <c r="M2834" s="505"/>
      <c r="N2834" s="505"/>
      <c r="O2834" s="505"/>
      <c r="P2834" s="505"/>
      <c r="Q2834" s="505"/>
      <c r="R2834" s="505"/>
      <c r="S2834" s="505"/>
      <c r="T2834" s="505"/>
      <c r="U2834" s="505"/>
      <c r="V2834" s="505"/>
      <c r="W2834" s="505"/>
      <c r="X2834" s="505"/>
      <c r="Y2834" s="505"/>
    </row>
    <row r="2835" spans="1:25" s="88" customFormat="1" hidden="1" x14ac:dyDescent="0.25">
      <c r="A2835" s="481"/>
      <c r="B2835" s="288"/>
      <c r="C2835" s="334"/>
      <c r="D2835" s="286"/>
      <c r="E2835" s="876"/>
      <c r="F2835" s="597" t="s">
        <v>246</v>
      </c>
      <c r="G2835" s="598" t="s">
        <v>4996</v>
      </c>
      <c r="H2835" s="555"/>
      <c r="I2835" s="556"/>
      <c r="J2835" s="560">
        <f t="shared" si="98"/>
        <v>0</v>
      </c>
      <c r="K2835" s="505"/>
      <c r="L2835" s="505"/>
      <c r="M2835" s="505"/>
      <c r="N2835" s="505"/>
      <c r="O2835" s="505"/>
      <c r="P2835" s="505"/>
      <c r="Q2835" s="505"/>
      <c r="R2835" s="505"/>
      <c r="S2835" s="505"/>
      <c r="T2835" s="505"/>
      <c r="U2835" s="505"/>
      <c r="V2835" s="505"/>
      <c r="W2835" s="505"/>
      <c r="X2835" s="505"/>
      <c r="Y2835" s="505"/>
    </row>
    <row r="2836" spans="1:25" s="88" customFormat="1" x14ac:dyDescent="0.25">
      <c r="A2836" s="481"/>
      <c r="B2836" s="288"/>
      <c r="C2836" s="334"/>
      <c r="D2836" s="286"/>
      <c r="E2836" s="876"/>
      <c r="F2836" s="597" t="s">
        <v>247</v>
      </c>
      <c r="G2836" s="598" t="s">
        <v>4995</v>
      </c>
      <c r="H2836" s="555"/>
      <c r="I2836" s="556">
        <v>3265528</v>
      </c>
      <c r="J2836" s="560">
        <f t="shared" si="98"/>
        <v>3265528</v>
      </c>
      <c r="K2836" s="505"/>
      <c r="L2836" s="505"/>
      <c r="M2836" s="505"/>
      <c r="N2836" s="505"/>
      <c r="O2836" s="505"/>
      <c r="P2836" s="505"/>
      <c r="Q2836" s="505"/>
      <c r="R2836" s="505"/>
      <c r="S2836" s="505"/>
      <c r="T2836" s="505"/>
      <c r="U2836" s="505"/>
      <c r="V2836" s="505"/>
      <c r="W2836" s="505"/>
      <c r="X2836" s="505"/>
      <c r="Y2836" s="505"/>
    </row>
    <row r="2837" spans="1:25" s="88" customFormat="1" hidden="1" x14ac:dyDescent="0.25">
      <c r="A2837" s="481"/>
      <c r="B2837" s="288"/>
      <c r="C2837" s="334"/>
      <c r="D2837" s="286"/>
      <c r="E2837" s="876"/>
      <c r="F2837" s="597" t="s">
        <v>248</v>
      </c>
      <c r="G2837" s="598" t="s">
        <v>57</v>
      </c>
      <c r="H2837" s="555"/>
      <c r="I2837" s="556"/>
      <c r="J2837" s="560">
        <f t="shared" si="98"/>
        <v>0</v>
      </c>
      <c r="K2837" s="505"/>
      <c r="L2837" s="505"/>
      <c r="M2837" s="505"/>
      <c r="N2837" s="505"/>
      <c r="O2837" s="505"/>
      <c r="P2837" s="505"/>
      <c r="Q2837" s="505"/>
      <c r="R2837" s="505"/>
      <c r="S2837" s="505"/>
      <c r="T2837" s="505"/>
      <c r="U2837" s="505"/>
      <c r="V2837" s="505"/>
      <c r="W2837" s="505"/>
      <c r="X2837" s="505"/>
      <c r="Y2837" s="505"/>
    </row>
    <row r="2838" spans="1:25" s="88" customFormat="1" hidden="1" x14ac:dyDescent="0.25">
      <c r="A2838" s="481"/>
      <c r="B2838" s="288"/>
      <c r="C2838" s="334"/>
      <c r="D2838" s="286"/>
      <c r="E2838" s="876"/>
      <c r="F2838" s="597" t="s">
        <v>249</v>
      </c>
      <c r="G2838" s="598" t="s">
        <v>250</v>
      </c>
      <c r="H2838" s="555"/>
      <c r="I2838" s="556"/>
      <c r="J2838" s="560">
        <f t="shared" si="98"/>
        <v>0</v>
      </c>
      <c r="K2838" s="505"/>
      <c r="L2838" s="505"/>
      <c r="M2838" s="505"/>
      <c r="N2838" s="505"/>
      <c r="O2838" s="505"/>
      <c r="P2838" s="505"/>
      <c r="Q2838" s="505"/>
      <c r="R2838" s="505"/>
      <c r="S2838" s="505"/>
      <c r="T2838" s="505"/>
      <c r="U2838" s="505"/>
      <c r="V2838" s="505"/>
      <c r="W2838" s="505"/>
      <c r="X2838" s="505"/>
      <c r="Y2838" s="505"/>
    </row>
    <row r="2839" spans="1:25" s="88" customFormat="1" hidden="1" x14ac:dyDescent="0.25">
      <c r="A2839" s="481"/>
      <c r="B2839" s="288"/>
      <c r="C2839" s="334"/>
      <c r="D2839" s="286"/>
      <c r="E2839" s="876"/>
      <c r="F2839" s="597" t="s">
        <v>251</v>
      </c>
      <c r="G2839" s="598" t="s">
        <v>252</v>
      </c>
      <c r="H2839" s="555"/>
      <c r="I2839" s="556"/>
      <c r="J2839" s="560">
        <f t="shared" si="98"/>
        <v>0</v>
      </c>
      <c r="K2839" s="505"/>
      <c r="L2839" s="505"/>
      <c r="M2839" s="505"/>
      <c r="N2839" s="505"/>
      <c r="O2839" s="505"/>
      <c r="P2839" s="505"/>
      <c r="Q2839" s="505"/>
      <c r="R2839" s="505"/>
      <c r="S2839" s="505"/>
      <c r="T2839" s="505"/>
      <c r="U2839" s="505"/>
      <c r="V2839" s="505"/>
      <c r="W2839" s="505"/>
      <c r="X2839" s="505"/>
      <c r="Y2839" s="505"/>
    </row>
    <row r="2840" spans="1:25" s="88" customFormat="1" ht="30" hidden="1" x14ac:dyDescent="0.25">
      <c r="A2840" s="481"/>
      <c r="B2840" s="288"/>
      <c r="C2840" s="334"/>
      <c r="D2840" s="286"/>
      <c r="E2840" s="876"/>
      <c r="F2840" s="597" t="s">
        <v>253</v>
      </c>
      <c r="G2840" s="598" t="s">
        <v>254</v>
      </c>
      <c r="H2840" s="555"/>
      <c r="I2840" s="556"/>
      <c r="J2840" s="560">
        <f t="shared" si="98"/>
        <v>0</v>
      </c>
      <c r="K2840" s="505"/>
      <c r="L2840" s="505"/>
      <c r="M2840" s="505"/>
      <c r="N2840" s="505"/>
      <c r="O2840" s="505"/>
      <c r="P2840" s="505"/>
      <c r="Q2840" s="505"/>
      <c r="R2840" s="505"/>
      <c r="S2840" s="505"/>
      <c r="T2840" s="505"/>
      <c r="U2840" s="505"/>
      <c r="V2840" s="505"/>
      <c r="W2840" s="505"/>
      <c r="X2840" s="505"/>
      <c r="Y2840" s="505"/>
    </row>
    <row r="2841" spans="1:25" s="88" customFormat="1" ht="15.75" thickBot="1" x14ac:dyDescent="0.3">
      <c r="A2841" s="481"/>
      <c r="B2841" s="288"/>
      <c r="C2841" s="334"/>
      <c r="D2841" s="286"/>
      <c r="E2841" s="876"/>
      <c r="F2841" s="597" t="s">
        <v>255</v>
      </c>
      <c r="G2841" s="598" t="s">
        <v>256</v>
      </c>
      <c r="H2841" s="556">
        <f>SUM(H2626+H2724+H2823)</f>
        <v>71000000</v>
      </c>
      <c r="J2841" s="560">
        <f>SUM(H2841:H2841)</f>
        <v>71000000</v>
      </c>
      <c r="K2841" s="505"/>
      <c r="L2841" s="505"/>
      <c r="M2841" s="505"/>
      <c r="N2841" s="505"/>
      <c r="O2841" s="505"/>
      <c r="P2841" s="505"/>
      <c r="Q2841" s="505"/>
      <c r="R2841" s="505"/>
      <c r="S2841" s="505"/>
      <c r="T2841" s="505"/>
      <c r="U2841" s="505"/>
      <c r="V2841" s="505"/>
      <c r="W2841" s="505"/>
      <c r="X2841" s="505"/>
      <c r="Y2841" s="505"/>
    </row>
    <row r="2842" spans="1:25" s="88" customFormat="1" ht="30" hidden="1" x14ac:dyDescent="0.25">
      <c r="A2842" s="481"/>
      <c r="B2842" s="288"/>
      <c r="C2842" s="334"/>
      <c r="D2842" s="286"/>
      <c r="E2842" s="876"/>
      <c r="F2842" s="597" t="s">
        <v>257</v>
      </c>
      <c r="G2842" s="598" t="s">
        <v>258</v>
      </c>
      <c r="H2842" s="555"/>
      <c r="I2842" s="556"/>
      <c r="J2842" s="560">
        <f t="shared" si="98"/>
        <v>0</v>
      </c>
      <c r="K2842" s="505"/>
      <c r="L2842" s="505"/>
      <c r="M2842" s="505"/>
      <c r="N2842" s="505"/>
      <c r="O2842" s="505"/>
      <c r="P2842" s="505"/>
      <c r="Q2842" s="505"/>
      <c r="R2842" s="505"/>
      <c r="S2842" s="505"/>
      <c r="T2842" s="505"/>
      <c r="U2842" s="505"/>
      <c r="V2842" s="505"/>
      <c r="W2842" s="505"/>
      <c r="X2842" s="505"/>
      <c r="Y2842" s="505"/>
    </row>
    <row r="2843" spans="1:25" s="88" customFormat="1" hidden="1" x14ac:dyDescent="0.25">
      <c r="A2843" s="481"/>
      <c r="B2843" s="288"/>
      <c r="C2843" s="334"/>
      <c r="D2843" s="286"/>
      <c r="E2843" s="876"/>
      <c r="F2843" s="597" t="s">
        <v>259</v>
      </c>
      <c r="G2843" s="598" t="s">
        <v>260</v>
      </c>
      <c r="H2843" s="555"/>
      <c r="I2843" s="556"/>
      <c r="J2843" s="560">
        <f t="shared" si="98"/>
        <v>0</v>
      </c>
      <c r="K2843" s="505"/>
      <c r="L2843" s="505"/>
      <c r="M2843" s="505"/>
      <c r="N2843" s="505"/>
      <c r="O2843" s="505"/>
      <c r="P2843" s="505"/>
      <c r="Q2843" s="505"/>
      <c r="R2843" s="505"/>
      <c r="S2843" s="505"/>
      <c r="T2843" s="505"/>
      <c r="U2843" s="505"/>
      <c r="V2843" s="505"/>
      <c r="W2843" s="505"/>
      <c r="X2843" s="505"/>
      <c r="Y2843" s="505"/>
    </row>
    <row r="2844" spans="1:25" s="88" customFormat="1" ht="0.75" hidden="1" customHeight="1" x14ac:dyDescent="0.25">
      <c r="A2844" s="481"/>
      <c r="B2844" s="288"/>
      <c r="C2844" s="334"/>
      <c r="D2844" s="286"/>
      <c r="E2844" s="876"/>
      <c r="F2844" s="597" t="s">
        <v>261</v>
      </c>
      <c r="G2844" s="598" t="s">
        <v>262</v>
      </c>
      <c r="H2844" s="559"/>
      <c r="I2844" s="560"/>
      <c r="J2844" s="560">
        <f t="shared" si="98"/>
        <v>0</v>
      </c>
      <c r="K2844" s="505"/>
      <c r="L2844" s="505"/>
      <c r="M2844" s="505"/>
      <c r="N2844" s="505"/>
      <c r="O2844" s="505"/>
      <c r="P2844" s="505"/>
      <c r="Q2844" s="505"/>
      <c r="R2844" s="505"/>
      <c r="S2844" s="505"/>
      <c r="T2844" s="505"/>
      <c r="U2844" s="505"/>
      <c r="V2844" s="505"/>
      <c r="W2844" s="505"/>
      <c r="X2844" s="505"/>
      <c r="Y2844" s="505"/>
    </row>
    <row r="2845" spans="1:25" s="88" customFormat="1" ht="16.5" hidden="1" customHeight="1" thickBot="1" x14ac:dyDescent="0.3">
      <c r="A2845" s="481"/>
      <c r="B2845" s="288"/>
      <c r="C2845" s="334"/>
      <c r="D2845" s="286"/>
      <c r="E2845" s="876"/>
      <c r="F2845" s="597"/>
      <c r="G2845" s="598"/>
      <c r="H2845" s="559"/>
      <c r="I2845" s="560"/>
      <c r="J2845" s="560"/>
      <c r="K2845" s="505"/>
      <c r="L2845" s="505"/>
      <c r="M2845" s="505"/>
      <c r="N2845" s="505"/>
      <c r="O2845" s="505"/>
      <c r="P2845" s="505"/>
      <c r="Q2845" s="505"/>
      <c r="R2845" s="505"/>
      <c r="S2845" s="505"/>
      <c r="T2845" s="505"/>
      <c r="U2845" s="505"/>
      <c r="V2845" s="505"/>
      <c r="W2845" s="505"/>
      <c r="X2845" s="505"/>
      <c r="Y2845" s="505"/>
    </row>
    <row r="2846" spans="1:25" s="88" customFormat="1" ht="14.25" customHeight="1" thickBot="1" x14ac:dyDescent="0.3">
      <c r="A2846" s="481"/>
      <c r="B2846" s="288"/>
      <c r="C2846" s="334"/>
      <c r="D2846" s="286"/>
      <c r="E2846" s="876"/>
      <c r="F2846" s="258"/>
      <c r="G2846" s="728" t="s">
        <v>4204</v>
      </c>
      <c r="H2846" s="561">
        <f>SUM(H2829:H2845)</f>
        <v>79500000</v>
      </c>
      <c r="I2846" s="562">
        <f>SUM(I2830:I2844)</f>
        <v>3265528</v>
      </c>
      <c r="J2846" s="562">
        <f>SUM(J2829:J2844)</f>
        <v>82765528</v>
      </c>
      <c r="K2846" s="505"/>
      <c r="L2846" s="505"/>
      <c r="M2846" s="505"/>
      <c r="N2846" s="505"/>
      <c r="O2846" s="505"/>
      <c r="P2846" s="505"/>
      <c r="Q2846" s="505"/>
      <c r="R2846" s="505"/>
      <c r="S2846" s="505"/>
      <c r="T2846" s="505"/>
      <c r="U2846" s="505"/>
      <c r="V2846" s="505"/>
      <c r="W2846" s="505"/>
      <c r="X2846" s="505"/>
      <c r="Y2846" s="505"/>
    </row>
    <row r="2847" spans="1:25" s="88" customFormat="1" ht="15.75" customHeight="1" x14ac:dyDescent="0.25">
      <c r="A2847" s="481"/>
      <c r="B2847" s="288"/>
      <c r="C2847" s="334"/>
      <c r="D2847" s="286"/>
      <c r="E2847" s="876"/>
      <c r="F2847" s="289"/>
      <c r="G2847" s="490"/>
      <c r="H2847" s="588"/>
      <c r="I2847" s="571"/>
      <c r="J2847" s="589"/>
      <c r="K2847" s="505"/>
      <c r="L2847" s="505"/>
      <c r="M2847" s="505"/>
      <c r="N2847" s="297"/>
      <c r="O2847" s="505"/>
      <c r="P2847" s="505"/>
      <c r="Q2847" s="505"/>
      <c r="R2847" s="505"/>
      <c r="S2847" s="505"/>
      <c r="T2847" s="505"/>
      <c r="U2847" s="505"/>
      <c r="V2847" s="505"/>
      <c r="W2847" s="505"/>
      <c r="X2847" s="505"/>
      <c r="Y2847" s="505"/>
    </row>
    <row r="2848" spans="1:25" s="88" customFormat="1" ht="28.5" x14ac:dyDescent="0.25">
      <c r="A2848" s="481"/>
      <c r="B2848" s="288"/>
      <c r="C2848" s="267" t="s">
        <v>3593</v>
      </c>
      <c r="D2848" s="259"/>
      <c r="E2848" s="679"/>
      <c r="F2848" s="258"/>
      <c r="G2848" s="490" t="s">
        <v>5063</v>
      </c>
      <c r="H2848" s="555"/>
      <c r="I2848" s="556"/>
      <c r="J2848" s="556"/>
      <c r="K2848" s="505"/>
      <c r="L2848" s="505"/>
      <c r="M2848" s="505"/>
      <c r="N2848" s="505"/>
      <c r="O2848" s="505"/>
      <c r="P2848" s="505"/>
      <c r="Q2848" s="505"/>
      <c r="R2848" s="505"/>
      <c r="S2848" s="505"/>
      <c r="T2848" s="505"/>
      <c r="U2848" s="505"/>
      <c r="V2848" s="505"/>
      <c r="W2848" s="505"/>
      <c r="X2848" s="505"/>
      <c r="Y2848" s="505"/>
    </row>
    <row r="2849" spans="1:25" s="88" customFormat="1" ht="27.75" customHeight="1" x14ac:dyDescent="0.25">
      <c r="A2849" s="481"/>
      <c r="B2849" s="288"/>
      <c r="C2849" s="267" t="s">
        <v>4090</v>
      </c>
      <c r="D2849" s="259"/>
      <c r="E2849" s="679"/>
      <c r="F2849" s="258"/>
      <c r="G2849" s="727" t="s">
        <v>5130</v>
      </c>
      <c r="H2849" s="555"/>
      <c r="I2849" s="556"/>
      <c r="J2849" s="556"/>
      <c r="K2849" s="505"/>
      <c r="L2849" s="505"/>
      <c r="M2849" s="505"/>
      <c r="N2849" s="505"/>
      <c r="O2849" s="505"/>
      <c r="P2849" s="505"/>
      <c r="Q2849" s="505"/>
      <c r="R2849" s="505"/>
      <c r="S2849" s="505"/>
      <c r="T2849" s="505"/>
      <c r="U2849" s="505"/>
      <c r="V2849" s="505"/>
      <c r="W2849" s="505"/>
      <c r="X2849" s="505"/>
      <c r="Y2849" s="505"/>
    </row>
    <row r="2850" spans="1:25" s="88" customFormat="1" x14ac:dyDescent="0.25">
      <c r="A2850" s="481"/>
      <c r="B2850" s="288"/>
      <c r="C2850" s="294"/>
      <c r="D2850" s="348" t="s">
        <v>4005</v>
      </c>
      <c r="E2850" s="871"/>
      <c r="F2850" s="345"/>
      <c r="G2850" s="774" t="s">
        <v>209</v>
      </c>
      <c r="H2850" s="772"/>
      <c r="I2850" s="773"/>
      <c r="J2850" s="573"/>
      <c r="K2850" s="505"/>
      <c r="L2850" s="505"/>
      <c r="M2850" s="505"/>
      <c r="N2850" s="505"/>
      <c r="O2850" s="505"/>
      <c r="P2850" s="505"/>
      <c r="Q2850" s="505"/>
      <c r="R2850" s="505"/>
      <c r="S2850" s="505"/>
      <c r="T2850" s="505"/>
      <c r="U2850" s="505"/>
      <c r="V2850" s="505"/>
      <c r="W2850" s="505"/>
      <c r="X2850" s="505"/>
      <c r="Y2850" s="505"/>
    </row>
    <row r="2851" spans="1:25" s="88" customFormat="1" hidden="1" x14ac:dyDescent="0.25">
      <c r="A2851" s="481"/>
      <c r="B2851" s="288"/>
      <c r="C2851" s="267"/>
      <c r="D2851" s="258"/>
      <c r="E2851" s="679"/>
      <c r="F2851" s="499">
        <v>411</v>
      </c>
      <c r="G2851" s="492" t="s">
        <v>4131</v>
      </c>
      <c r="H2851" s="555"/>
      <c r="I2851" s="556"/>
      <c r="J2851" s="556">
        <f>SUM(H2851:I2851)</f>
        <v>0</v>
      </c>
      <c r="K2851" s="505"/>
      <c r="L2851" s="505"/>
      <c r="M2851" s="505"/>
      <c r="N2851" s="505"/>
      <c r="O2851" s="505"/>
      <c r="P2851" s="505"/>
      <c r="Q2851" s="505"/>
      <c r="R2851" s="505"/>
      <c r="S2851" s="505"/>
      <c r="T2851" s="505"/>
      <c r="U2851" s="505"/>
      <c r="V2851" s="505"/>
      <c r="W2851" s="505"/>
      <c r="X2851" s="505"/>
      <c r="Y2851" s="505"/>
    </row>
    <row r="2852" spans="1:25" s="88" customFormat="1" hidden="1" x14ac:dyDescent="0.25">
      <c r="A2852" s="481"/>
      <c r="B2852" s="288"/>
      <c r="C2852" s="267"/>
      <c r="D2852" s="258"/>
      <c r="E2852" s="679"/>
      <c r="F2852" s="499">
        <v>412</v>
      </c>
      <c r="G2852" s="488" t="s">
        <v>3766</v>
      </c>
      <c r="H2852" s="555"/>
      <c r="I2852" s="556"/>
      <c r="J2852" s="556">
        <f t="shared" ref="J2852:J2886" si="99">SUM(H2852:I2852)</f>
        <v>0</v>
      </c>
      <c r="K2852" s="505"/>
      <c r="L2852" s="505"/>
      <c r="M2852" s="505"/>
      <c r="N2852" s="505"/>
      <c r="O2852" s="505"/>
      <c r="P2852" s="505"/>
      <c r="Q2852" s="505"/>
      <c r="R2852" s="505"/>
      <c r="S2852" s="505"/>
      <c r="T2852" s="505"/>
      <c r="U2852" s="505"/>
      <c r="V2852" s="505"/>
      <c r="W2852" s="505"/>
      <c r="X2852" s="505"/>
      <c r="Y2852" s="505"/>
    </row>
    <row r="2853" spans="1:25" s="88" customFormat="1" hidden="1" x14ac:dyDescent="0.25">
      <c r="A2853" s="481"/>
      <c r="B2853" s="288"/>
      <c r="C2853" s="267"/>
      <c r="D2853" s="258"/>
      <c r="E2853" s="679"/>
      <c r="F2853" s="499">
        <v>413</v>
      </c>
      <c r="G2853" s="492" t="s">
        <v>4132</v>
      </c>
      <c r="H2853" s="555"/>
      <c r="I2853" s="556"/>
      <c r="J2853" s="556">
        <f t="shared" si="99"/>
        <v>0</v>
      </c>
      <c r="K2853" s="505"/>
      <c r="L2853" s="505"/>
      <c r="M2853" s="505"/>
      <c r="N2853" s="505"/>
      <c r="O2853" s="505"/>
      <c r="P2853" s="505"/>
      <c r="Q2853" s="505"/>
      <c r="R2853" s="505"/>
      <c r="S2853" s="505"/>
      <c r="T2853" s="505"/>
      <c r="U2853" s="505"/>
      <c r="V2853" s="505"/>
      <c r="W2853" s="505"/>
      <c r="X2853" s="505"/>
      <c r="Y2853" s="505"/>
    </row>
    <row r="2854" spans="1:25" s="88" customFormat="1" hidden="1" x14ac:dyDescent="0.25">
      <c r="A2854" s="481"/>
      <c r="B2854" s="288"/>
      <c r="C2854" s="267"/>
      <c r="D2854" s="258"/>
      <c r="E2854" s="679"/>
      <c r="F2854" s="499">
        <v>414</v>
      </c>
      <c r="G2854" s="492" t="s">
        <v>3769</v>
      </c>
      <c r="H2854" s="555"/>
      <c r="I2854" s="556"/>
      <c r="J2854" s="556">
        <f t="shared" si="99"/>
        <v>0</v>
      </c>
      <c r="K2854" s="505"/>
      <c r="L2854" s="505"/>
      <c r="M2854" s="505"/>
      <c r="N2854" s="505"/>
      <c r="O2854" s="505"/>
      <c r="P2854" s="505"/>
      <c r="Q2854" s="505"/>
      <c r="R2854" s="505"/>
      <c r="S2854" s="505"/>
      <c r="T2854" s="505"/>
      <c r="U2854" s="505"/>
      <c r="V2854" s="505"/>
      <c r="W2854" s="505"/>
      <c r="X2854" s="505"/>
      <c r="Y2854" s="505"/>
    </row>
    <row r="2855" spans="1:25" s="88" customFormat="1" hidden="1" x14ac:dyDescent="0.25">
      <c r="A2855" s="481"/>
      <c r="B2855" s="288"/>
      <c r="C2855" s="267"/>
      <c r="D2855" s="258"/>
      <c r="E2855" s="679"/>
      <c r="F2855" s="499">
        <v>415</v>
      </c>
      <c r="G2855" s="492" t="s">
        <v>4141</v>
      </c>
      <c r="H2855" s="555"/>
      <c r="I2855" s="556"/>
      <c r="J2855" s="556">
        <f t="shared" si="99"/>
        <v>0</v>
      </c>
      <c r="K2855" s="505"/>
      <c r="L2855" s="505"/>
      <c r="M2855" s="505"/>
      <c r="N2855" s="505"/>
      <c r="O2855" s="505"/>
      <c r="P2855" s="505"/>
      <c r="Q2855" s="505"/>
      <c r="R2855" s="505"/>
      <c r="S2855" s="505"/>
      <c r="T2855" s="505"/>
      <c r="U2855" s="505"/>
      <c r="V2855" s="505"/>
      <c r="W2855" s="505"/>
      <c r="X2855" s="505"/>
      <c r="Y2855" s="505"/>
    </row>
    <row r="2856" spans="1:25" s="88" customFormat="1" hidden="1" x14ac:dyDescent="0.25">
      <c r="A2856" s="481"/>
      <c r="B2856" s="288"/>
      <c r="C2856" s="267"/>
      <c r="D2856" s="258"/>
      <c r="E2856" s="679"/>
      <c r="F2856" s="499">
        <v>416</v>
      </c>
      <c r="G2856" s="492" t="s">
        <v>4142</v>
      </c>
      <c r="H2856" s="555"/>
      <c r="I2856" s="556"/>
      <c r="J2856" s="556">
        <f t="shared" si="99"/>
        <v>0</v>
      </c>
      <c r="K2856" s="505"/>
      <c r="L2856" s="505"/>
      <c r="M2856" s="505"/>
      <c r="N2856" s="505"/>
      <c r="O2856" s="505"/>
      <c r="P2856" s="505"/>
      <c r="Q2856" s="505"/>
      <c r="R2856" s="505"/>
      <c r="S2856" s="505"/>
      <c r="T2856" s="505"/>
      <c r="U2856" s="505"/>
      <c r="V2856" s="505"/>
      <c r="W2856" s="505"/>
      <c r="X2856" s="505"/>
      <c r="Y2856" s="505"/>
    </row>
    <row r="2857" spans="1:25" s="88" customFormat="1" hidden="1" x14ac:dyDescent="0.25">
      <c r="A2857" s="481"/>
      <c r="B2857" s="288"/>
      <c r="C2857" s="267"/>
      <c r="D2857" s="258"/>
      <c r="E2857" s="679"/>
      <c r="F2857" s="499">
        <v>417</v>
      </c>
      <c r="G2857" s="492" t="s">
        <v>4143</v>
      </c>
      <c r="H2857" s="555"/>
      <c r="I2857" s="556"/>
      <c r="J2857" s="556">
        <f t="shared" si="99"/>
        <v>0</v>
      </c>
      <c r="K2857" s="505"/>
      <c r="L2857" s="505"/>
      <c r="M2857" s="505"/>
      <c r="N2857" s="505"/>
      <c r="O2857" s="505"/>
      <c r="P2857" s="505"/>
      <c r="Q2857" s="505"/>
      <c r="R2857" s="505"/>
      <c r="S2857" s="505"/>
      <c r="T2857" s="505"/>
      <c r="U2857" s="505"/>
      <c r="V2857" s="505"/>
      <c r="W2857" s="505"/>
      <c r="X2857" s="505"/>
      <c r="Y2857" s="505"/>
    </row>
    <row r="2858" spans="1:25" s="88" customFormat="1" hidden="1" x14ac:dyDescent="0.25">
      <c r="A2858" s="481"/>
      <c r="B2858" s="288"/>
      <c r="C2858" s="267"/>
      <c r="D2858" s="258"/>
      <c r="E2858" s="679"/>
      <c r="F2858" s="499">
        <v>418</v>
      </c>
      <c r="G2858" s="492" t="s">
        <v>3775</v>
      </c>
      <c r="H2858" s="555"/>
      <c r="I2858" s="556"/>
      <c r="J2858" s="556">
        <f t="shared" si="99"/>
        <v>0</v>
      </c>
      <c r="K2858" s="505"/>
      <c r="L2858" s="505"/>
      <c r="M2858" s="505"/>
      <c r="N2858" s="505"/>
      <c r="O2858" s="505"/>
      <c r="P2858" s="505"/>
      <c r="Q2858" s="505"/>
      <c r="R2858" s="505"/>
      <c r="S2858" s="505"/>
      <c r="T2858" s="505"/>
      <c r="U2858" s="505"/>
      <c r="V2858" s="505"/>
      <c r="W2858" s="505"/>
      <c r="X2858" s="505"/>
      <c r="Y2858" s="505"/>
    </row>
    <row r="2859" spans="1:25" s="88" customFormat="1" hidden="1" x14ac:dyDescent="0.25">
      <c r="A2859" s="481"/>
      <c r="B2859" s="288"/>
      <c r="C2859" s="267"/>
      <c r="D2859" s="258"/>
      <c r="E2859" s="679"/>
      <c r="F2859" s="499">
        <v>421</v>
      </c>
      <c r="G2859" s="492" t="s">
        <v>3779</v>
      </c>
      <c r="H2859" s="555"/>
      <c r="I2859" s="556"/>
      <c r="J2859" s="556">
        <f t="shared" si="99"/>
        <v>0</v>
      </c>
      <c r="K2859" s="505"/>
      <c r="L2859" s="505"/>
      <c r="M2859" s="505"/>
      <c r="N2859" s="505"/>
      <c r="O2859" s="505"/>
      <c r="P2859" s="505"/>
      <c r="Q2859" s="505"/>
      <c r="R2859" s="505"/>
      <c r="S2859" s="505"/>
      <c r="T2859" s="505"/>
      <c r="U2859" s="505"/>
      <c r="V2859" s="505"/>
      <c r="W2859" s="505"/>
      <c r="X2859" s="505"/>
      <c r="Y2859" s="505"/>
    </row>
    <row r="2860" spans="1:25" s="88" customFormat="1" hidden="1" x14ac:dyDescent="0.25">
      <c r="A2860" s="481"/>
      <c r="B2860" s="288"/>
      <c r="C2860" s="267"/>
      <c r="D2860" s="258"/>
      <c r="E2860" s="679"/>
      <c r="F2860" s="499">
        <v>422</v>
      </c>
      <c r="G2860" s="492" t="s">
        <v>3780</v>
      </c>
      <c r="H2860" s="555"/>
      <c r="I2860" s="556"/>
      <c r="J2860" s="556">
        <f t="shared" si="99"/>
        <v>0</v>
      </c>
      <c r="K2860" s="505"/>
      <c r="L2860" s="505"/>
      <c r="M2860" s="505"/>
      <c r="N2860" s="505"/>
      <c r="O2860" s="505"/>
      <c r="P2860" s="505"/>
      <c r="Q2860" s="505"/>
      <c r="R2860" s="505"/>
      <c r="S2860" s="505"/>
      <c r="T2860" s="505"/>
      <c r="U2860" s="505"/>
      <c r="V2860" s="505"/>
      <c r="W2860" s="505"/>
      <c r="X2860" s="505"/>
      <c r="Y2860" s="505"/>
    </row>
    <row r="2861" spans="1:25" s="88" customFormat="1" hidden="1" x14ac:dyDescent="0.25">
      <c r="A2861" s="481"/>
      <c r="B2861" s="288"/>
      <c r="C2861" s="267"/>
      <c r="D2861" s="258"/>
      <c r="E2861" s="679"/>
      <c r="F2861" s="499">
        <v>423</v>
      </c>
      <c r="G2861" s="492" t="s">
        <v>3781</v>
      </c>
      <c r="H2861" s="555"/>
      <c r="I2861" s="556"/>
      <c r="J2861" s="556">
        <f t="shared" si="99"/>
        <v>0</v>
      </c>
      <c r="K2861" s="505"/>
      <c r="L2861" s="505"/>
      <c r="M2861" s="505"/>
      <c r="N2861" s="505"/>
      <c r="O2861" s="505"/>
      <c r="P2861" s="505"/>
      <c r="Q2861" s="505"/>
      <c r="R2861" s="505"/>
      <c r="S2861" s="505"/>
      <c r="T2861" s="505"/>
      <c r="U2861" s="505"/>
      <c r="V2861" s="505"/>
      <c r="W2861" s="505"/>
      <c r="X2861" s="505"/>
      <c r="Y2861" s="505"/>
    </row>
    <row r="2862" spans="1:25" s="88" customFormat="1" hidden="1" x14ac:dyDescent="0.25">
      <c r="A2862" s="481"/>
      <c r="B2862" s="288"/>
      <c r="C2862" s="267"/>
      <c r="D2862" s="258"/>
      <c r="E2862" s="679"/>
      <c r="F2862" s="499">
        <v>424</v>
      </c>
      <c r="G2862" s="492" t="s">
        <v>3783</v>
      </c>
      <c r="H2862" s="555"/>
      <c r="I2862" s="556"/>
      <c r="J2862" s="556">
        <f t="shared" si="99"/>
        <v>0</v>
      </c>
      <c r="K2862" s="505"/>
      <c r="L2862" s="505"/>
      <c r="M2862" s="505"/>
      <c r="N2862" s="505"/>
      <c r="O2862" s="505"/>
      <c r="P2862" s="505"/>
      <c r="Q2862" s="505"/>
      <c r="R2862" s="505"/>
      <c r="S2862" s="505"/>
      <c r="T2862" s="505"/>
      <c r="U2862" s="505"/>
      <c r="V2862" s="505"/>
      <c r="W2862" s="505"/>
      <c r="X2862" s="505"/>
      <c r="Y2862" s="505"/>
    </row>
    <row r="2863" spans="1:25" s="88" customFormat="1" hidden="1" x14ac:dyDescent="0.25">
      <c r="A2863" s="481"/>
      <c r="B2863" s="288"/>
      <c r="C2863" s="267"/>
      <c r="D2863" s="258"/>
      <c r="E2863" s="679"/>
      <c r="F2863" s="499">
        <v>425</v>
      </c>
      <c r="G2863" s="492" t="s">
        <v>4144</v>
      </c>
      <c r="H2863" s="555"/>
      <c r="I2863" s="556"/>
      <c r="J2863" s="556">
        <f t="shared" si="99"/>
        <v>0</v>
      </c>
      <c r="K2863" s="505"/>
      <c r="L2863" s="505"/>
      <c r="M2863" s="505"/>
      <c r="N2863" s="505"/>
      <c r="O2863" s="505"/>
      <c r="P2863" s="505"/>
      <c r="Q2863" s="505"/>
      <c r="R2863" s="505"/>
      <c r="S2863" s="505"/>
      <c r="T2863" s="505"/>
      <c r="U2863" s="505"/>
      <c r="V2863" s="505"/>
      <c r="W2863" s="505"/>
      <c r="X2863" s="505"/>
      <c r="Y2863" s="505"/>
    </row>
    <row r="2864" spans="1:25" s="88" customFormat="1" hidden="1" x14ac:dyDescent="0.25">
      <c r="A2864" s="481"/>
      <c r="B2864" s="288"/>
      <c r="C2864" s="267"/>
      <c r="D2864" s="258"/>
      <c r="E2864" s="679"/>
      <c r="F2864" s="499">
        <v>426</v>
      </c>
      <c r="G2864" s="492" t="s">
        <v>3787</v>
      </c>
      <c r="H2864" s="555"/>
      <c r="I2864" s="556"/>
      <c r="J2864" s="556">
        <f t="shared" si="99"/>
        <v>0</v>
      </c>
      <c r="K2864" s="505"/>
      <c r="L2864" s="505"/>
      <c r="M2864" s="505"/>
      <c r="N2864" s="505"/>
      <c r="O2864" s="505"/>
      <c r="P2864" s="505"/>
      <c r="Q2864" s="505"/>
      <c r="R2864" s="505"/>
      <c r="S2864" s="505"/>
      <c r="T2864" s="505"/>
      <c r="U2864" s="505"/>
      <c r="V2864" s="505"/>
      <c r="W2864" s="505"/>
      <c r="X2864" s="505"/>
      <c r="Y2864" s="505"/>
    </row>
    <row r="2865" spans="1:25" s="88" customFormat="1" hidden="1" x14ac:dyDescent="0.25">
      <c r="A2865" s="481"/>
      <c r="B2865" s="288"/>
      <c r="C2865" s="267"/>
      <c r="D2865" s="258"/>
      <c r="E2865" s="679"/>
      <c r="F2865" s="499">
        <v>431</v>
      </c>
      <c r="G2865" s="492" t="s">
        <v>4145</v>
      </c>
      <c r="H2865" s="555"/>
      <c r="I2865" s="556"/>
      <c r="J2865" s="556">
        <f t="shared" si="99"/>
        <v>0</v>
      </c>
      <c r="K2865" s="505"/>
      <c r="L2865" s="505"/>
      <c r="M2865" s="505"/>
      <c r="N2865" s="505"/>
      <c r="O2865" s="505"/>
      <c r="P2865" s="505"/>
      <c r="Q2865" s="505"/>
      <c r="R2865" s="505"/>
      <c r="S2865" s="505"/>
      <c r="T2865" s="505"/>
      <c r="U2865" s="505"/>
      <c r="V2865" s="505"/>
      <c r="W2865" s="505"/>
      <c r="X2865" s="505"/>
      <c r="Y2865" s="505"/>
    </row>
    <row r="2866" spans="1:25" s="88" customFormat="1" hidden="1" x14ac:dyDescent="0.25">
      <c r="A2866" s="481"/>
      <c r="B2866" s="288"/>
      <c r="C2866" s="267"/>
      <c r="D2866" s="258"/>
      <c r="E2866" s="679"/>
      <c r="F2866" s="499">
        <v>432</v>
      </c>
      <c r="G2866" s="492" t="s">
        <v>4146</v>
      </c>
      <c r="H2866" s="555"/>
      <c r="I2866" s="556"/>
      <c r="J2866" s="556">
        <f t="shared" si="99"/>
        <v>0</v>
      </c>
      <c r="K2866" s="505"/>
      <c r="L2866" s="505"/>
      <c r="M2866" s="505"/>
      <c r="N2866" s="505"/>
      <c r="O2866" s="505"/>
      <c r="P2866" s="505"/>
      <c r="Q2866" s="505"/>
      <c r="R2866" s="505"/>
      <c r="S2866" s="505"/>
      <c r="T2866" s="505"/>
      <c r="U2866" s="505"/>
      <c r="V2866" s="505"/>
      <c r="W2866" s="505"/>
      <c r="X2866" s="505"/>
      <c r="Y2866" s="505"/>
    </row>
    <row r="2867" spans="1:25" s="88" customFormat="1" hidden="1" x14ac:dyDescent="0.25">
      <c r="A2867" s="481"/>
      <c r="B2867" s="288"/>
      <c r="C2867" s="267"/>
      <c r="D2867" s="258"/>
      <c r="E2867" s="679"/>
      <c r="F2867" s="499">
        <v>433</v>
      </c>
      <c r="G2867" s="492" t="s">
        <v>4147</v>
      </c>
      <c r="H2867" s="555"/>
      <c r="I2867" s="556"/>
      <c r="J2867" s="556">
        <f t="shared" si="99"/>
        <v>0</v>
      </c>
      <c r="K2867" s="505"/>
      <c r="L2867" s="505"/>
      <c r="M2867" s="505"/>
      <c r="N2867" s="505"/>
      <c r="O2867" s="505"/>
      <c r="P2867" s="505"/>
      <c r="Q2867" s="505"/>
      <c r="R2867" s="505"/>
      <c r="S2867" s="505"/>
      <c r="T2867" s="505"/>
      <c r="U2867" s="505"/>
      <c r="V2867" s="505"/>
      <c r="W2867" s="505"/>
      <c r="X2867" s="505"/>
      <c r="Y2867" s="505"/>
    </row>
    <row r="2868" spans="1:25" s="88" customFormat="1" hidden="1" x14ac:dyDescent="0.25">
      <c r="A2868" s="481"/>
      <c r="B2868" s="288"/>
      <c r="C2868" s="267"/>
      <c r="D2868" s="258"/>
      <c r="E2868" s="679"/>
      <c r="F2868" s="499">
        <v>434</v>
      </c>
      <c r="G2868" s="492" t="s">
        <v>4148</v>
      </c>
      <c r="H2868" s="555"/>
      <c r="I2868" s="556"/>
      <c r="J2868" s="556">
        <f t="shared" si="99"/>
        <v>0</v>
      </c>
      <c r="K2868" s="505"/>
      <c r="L2868" s="505"/>
      <c r="M2868" s="505"/>
      <c r="N2868" s="505"/>
      <c r="O2868" s="505"/>
      <c r="P2868" s="505"/>
      <c r="Q2868" s="505"/>
      <c r="R2868" s="505"/>
      <c r="S2868" s="505"/>
      <c r="T2868" s="505"/>
      <c r="U2868" s="505"/>
      <c r="V2868" s="505"/>
      <c r="W2868" s="505"/>
      <c r="X2868" s="505"/>
      <c r="Y2868" s="505"/>
    </row>
    <row r="2869" spans="1:25" s="88" customFormat="1" hidden="1" x14ac:dyDescent="0.25">
      <c r="A2869" s="481"/>
      <c r="B2869" s="288"/>
      <c r="C2869" s="267"/>
      <c r="D2869" s="258"/>
      <c r="E2869" s="679"/>
      <c r="F2869" s="499">
        <v>435</v>
      </c>
      <c r="G2869" s="492" t="s">
        <v>3794</v>
      </c>
      <c r="H2869" s="555"/>
      <c r="I2869" s="556"/>
      <c r="J2869" s="556">
        <f t="shared" si="99"/>
        <v>0</v>
      </c>
      <c r="K2869" s="505"/>
      <c r="L2869" s="505"/>
      <c r="M2869" s="505"/>
      <c r="N2869" s="505"/>
      <c r="O2869" s="505"/>
      <c r="P2869" s="505"/>
      <c r="Q2869" s="505"/>
      <c r="R2869" s="505"/>
      <c r="S2869" s="505"/>
      <c r="T2869" s="505"/>
      <c r="U2869" s="505"/>
      <c r="V2869" s="505"/>
      <c r="W2869" s="505"/>
      <c r="X2869" s="505"/>
      <c r="Y2869" s="505"/>
    </row>
    <row r="2870" spans="1:25" s="88" customFormat="1" hidden="1" x14ac:dyDescent="0.25">
      <c r="A2870" s="481"/>
      <c r="B2870" s="288"/>
      <c r="C2870" s="267"/>
      <c r="D2870" s="258"/>
      <c r="E2870" s="679"/>
      <c r="F2870" s="499">
        <v>441</v>
      </c>
      <c r="G2870" s="492" t="s">
        <v>4149</v>
      </c>
      <c r="H2870" s="555"/>
      <c r="I2870" s="556"/>
      <c r="J2870" s="556">
        <f t="shared" si="99"/>
        <v>0</v>
      </c>
      <c r="K2870" s="505"/>
      <c r="L2870" s="505"/>
      <c r="M2870" s="505"/>
      <c r="N2870" s="505"/>
      <c r="O2870" s="505"/>
      <c r="P2870" s="505"/>
      <c r="Q2870" s="505"/>
      <c r="R2870" s="505"/>
      <c r="S2870" s="505"/>
      <c r="T2870" s="505"/>
      <c r="U2870" s="505"/>
      <c r="V2870" s="505"/>
      <c r="W2870" s="505"/>
      <c r="X2870" s="505"/>
      <c r="Y2870" s="505"/>
    </row>
    <row r="2871" spans="1:25" s="88" customFormat="1" hidden="1" x14ac:dyDescent="0.25">
      <c r="A2871" s="481"/>
      <c r="B2871" s="288"/>
      <c r="C2871" s="267"/>
      <c r="D2871" s="258"/>
      <c r="E2871" s="679"/>
      <c r="F2871" s="499">
        <v>442</v>
      </c>
      <c r="G2871" s="492" t="s">
        <v>4150</v>
      </c>
      <c r="H2871" s="555"/>
      <c r="I2871" s="556"/>
      <c r="J2871" s="556">
        <f t="shared" si="99"/>
        <v>0</v>
      </c>
      <c r="K2871" s="505"/>
      <c r="L2871" s="505"/>
      <c r="M2871" s="505"/>
      <c r="N2871" s="505"/>
      <c r="O2871" s="505"/>
      <c r="P2871" s="505"/>
      <c r="Q2871" s="505"/>
      <c r="R2871" s="505"/>
      <c r="S2871" s="505"/>
      <c r="T2871" s="505"/>
      <c r="U2871" s="505"/>
      <c r="V2871" s="505"/>
      <c r="W2871" s="505"/>
      <c r="X2871" s="505"/>
      <c r="Y2871" s="505"/>
    </row>
    <row r="2872" spans="1:25" s="88" customFormat="1" hidden="1" x14ac:dyDescent="0.25">
      <c r="A2872" s="481"/>
      <c r="B2872" s="288"/>
      <c r="C2872" s="267"/>
      <c r="D2872" s="258"/>
      <c r="E2872" s="679"/>
      <c r="F2872" s="499">
        <v>443</v>
      </c>
      <c r="G2872" s="492" t="s">
        <v>3799</v>
      </c>
      <c r="H2872" s="555"/>
      <c r="I2872" s="556"/>
      <c r="J2872" s="556">
        <f t="shared" si="99"/>
        <v>0</v>
      </c>
      <c r="K2872" s="505"/>
      <c r="L2872" s="505"/>
      <c r="M2872" s="505"/>
      <c r="N2872" s="505"/>
      <c r="O2872" s="505"/>
      <c r="P2872" s="505"/>
      <c r="Q2872" s="505"/>
      <c r="R2872" s="505"/>
      <c r="S2872" s="505"/>
      <c r="T2872" s="505"/>
      <c r="U2872" s="505"/>
      <c r="V2872" s="505"/>
      <c r="W2872" s="505"/>
      <c r="X2872" s="505"/>
      <c r="Y2872" s="505"/>
    </row>
    <row r="2873" spans="1:25" s="88" customFormat="1" hidden="1" x14ac:dyDescent="0.25">
      <c r="A2873" s="481"/>
      <c r="B2873" s="288"/>
      <c r="C2873" s="267"/>
      <c r="D2873" s="258"/>
      <c r="E2873" s="679"/>
      <c r="F2873" s="499">
        <v>444</v>
      </c>
      <c r="G2873" s="492" t="s">
        <v>3800</v>
      </c>
      <c r="H2873" s="555"/>
      <c r="I2873" s="556"/>
      <c r="J2873" s="556">
        <f t="shared" si="99"/>
        <v>0</v>
      </c>
      <c r="K2873" s="505"/>
      <c r="L2873" s="505"/>
      <c r="M2873" s="505"/>
      <c r="N2873" s="505"/>
      <c r="O2873" s="505"/>
      <c r="P2873" s="505"/>
      <c r="Q2873" s="505"/>
      <c r="R2873" s="505"/>
      <c r="S2873" s="505"/>
      <c r="T2873" s="505"/>
      <c r="U2873" s="505"/>
      <c r="V2873" s="505"/>
      <c r="W2873" s="505"/>
      <c r="X2873" s="505"/>
      <c r="Y2873" s="505"/>
    </row>
    <row r="2874" spans="1:25" s="88" customFormat="1" ht="30" hidden="1" x14ac:dyDescent="0.25">
      <c r="A2874" s="481"/>
      <c r="B2874" s="288"/>
      <c r="C2874" s="267"/>
      <c r="D2874" s="258"/>
      <c r="E2874" s="679"/>
      <c r="F2874" s="499">
        <v>4511</v>
      </c>
      <c r="G2874" s="765" t="s">
        <v>1690</v>
      </c>
      <c r="H2874" s="555"/>
      <c r="I2874" s="556"/>
      <c r="J2874" s="556">
        <f t="shared" si="99"/>
        <v>0</v>
      </c>
      <c r="K2874" s="505"/>
      <c r="L2874" s="505"/>
      <c r="M2874" s="505"/>
      <c r="N2874" s="505"/>
      <c r="O2874" s="505"/>
      <c r="P2874" s="505"/>
      <c r="Q2874" s="505"/>
      <c r="R2874" s="505"/>
      <c r="S2874" s="505"/>
      <c r="T2874" s="505"/>
      <c r="U2874" s="505"/>
      <c r="V2874" s="505"/>
      <c r="W2874" s="505"/>
      <c r="X2874" s="505"/>
      <c r="Y2874" s="505"/>
    </row>
    <row r="2875" spans="1:25" s="88" customFormat="1" ht="30" hidden="1" x14ac:dyDescent="0.25">
      <c r="A2875" s="481"/>
      <c r="B2875" s="288"/>
      <c r="C2875" s="267"/>
      <c r="D2875" s="258"/>
      <c r="E2875" s="679"/>
      <c r="F2875" s="499">
        <v>4512</v>
      </c>
      <c r="G2875" s="765" t="s">
        <v>1699</v>
      </c>
      <c r="H2875" s="555"/>
      <c r="I2875" s="556"/>
      <c r="J2875" s="556">
        <f t="shared" si="99"/>
        <v>0</v>
      </c>
      <c r="K2875" s="505"/>
      <c r="L2875" s="505"/>
      <c r="M2875" s="505"/>
      <c r="N2875" s="505"/>
      <c r="O2875" s="505"/>
      <c r="P2875" s="505"/>
      <c r="Q2875" s="505"/>
      <c r="R2875" s="505"/>
      <c r="S2875" s="505"/>
      <c r="T2875" s="505"/>
      <c r="U2875" s="505"/>
      <c r="V2875" s="505"/>
      <c r="W2875" s="505"/>
      <c r="X2875" s="505"/>
      <c r="Y2875" s="505"/>
    </row>
    <row r="2876" spans="1:25" s="88" customFormat="1" hidden="1" x14ac:dyDescent="0.25">
      <c r="A2876" s="481"/>
      <c r="B2876" s="288"/>
      <c r="C2876" s="267"/>
      <c r="D2876" s="258"/>
      <c r="E2876" s="679"/>
      <c r="F2876" s="499">
        <v>452</v>
      </c>
      <c r="G2876" s="492" t="s">
        <v>4151</v>
      </c>
      <c r="H2876" s="555"/>
      <c r="I2876" s="556"/>
      <c r="J2876" s="556">
        <f t="shared" si="99"/>
        <v>0</v>
      </c>
      <c r="K2876" s="505"/>
      <c r="L2876" s="505"/>
      <c r="M2876" s="505"/>
      <c r="N2876" s="505"/>
      <c r="O2876" s="505"/>
      <c r="P2876" s="505"/>
      <c r="Q2876" s="505"/>
      <c r="R2876" s="505"/>
      <c r="S2876" s="505"/>
      <c r="T2876" s="505"/>
      <c r="U2876" s="505"/>
      <c r="V2876" s="505"/>
      <c r="W2876" s="505"/>
      <c r="X2876" s="505"/>
      <c r="Y2876" s="505"/>
    </row>
    <row r="2877" spans="1:25" s="88" customFormat="1" hidden="1" x14ac:dyDescent="0.25">
      <c r="A2877" s="481"/>
      <c r="B2877" s="288"/>
      <c r="C2877" s="267"/>
      <c r="D2877" s="258"/>
      <c r="E2877" s="679"/>
      <c r="F2877" s="499">
        <v>453</v>
      </c>
      <c r="G2877" s="492" t="s">
        <v>4152</v>
      </c>
      <c r="H2877" s="555"/>
      <c r="I2877" s="556"/>
      <c r="J2877" s="556">
        <f t="shared" si="99"/>
        <v>0</v>
      </c>
      <c r="K2877" s="505"/>
      <c r="L2877" s="505"/>
      <c r="M2877" s="505"/>
      <c r="N2877" s="505"/>
      <c r="O2877" s="505"/>
      <c r="P2877" s="505"/>
      <c r="Q2877" s="505"/>
      <c r="R2877" s="505"/>
      <c r="S2877" s="505"/>
      <c r="T2877" s="505"/>
      <c r="U2877" s="505"/>
      <c r="V2877" s="505"/>
      <c r="W2877" s="505"/>
      <c r="X2877" s="505"/>
      <c r="Y2877" s="505"/>
    </row>
    <row r="2878" spans="1:25" s="88" customFormat="1" hidden="1" x14ac:dyDescent="0.25">
      <c r="A2878" s="481"/>
      <c r="B2878" s="288"/>
      <c r="C2878" s="267"/>
      <c r="D2878" s="258"/>
      <c r="E2878" s="679"/>
      <c r="F2878" s="499">
        <v>454</v>
      </c>
      <c r="G2878" s="492" t="s">
        <v>3805</v>
      </c>
      <c r="H2878" s="555"/>
      <c r="I2878" s="556"/>
      <c r="J2878" s="556">
        <f t="shared" si="99"/>
        <v>0</v>
      </c>
      <c r="K2878" s="505"/>
      <c r="L2878" s="505"/>
      <c r="M2878" s="505"/>
      <c r="N2878" s="505"/>
      <c r="O2878" s="505"/>
      <c r="P2878" s="505"/>
      <c r="Q2878" s="505"/>
      <c r="R2878" s="505"/>
      <c r="S2878" s="505"/>
      <c r="T2878" s="505"/>
      <c r="U2878" s="505"/>
      <c r="V2878" s="505"/>
      <c r="W2878" s="505"/>
      <c r="X2878" s="505"/>
      <c r="Y2878" s="505"/>
    </row>
    <row r="2879" spans="1:25" s="88" customFormat="1" hidden="1" x14ac:dyDescent="0.25">
      <c r="A2879" s="481"/>
      <c r="B2879" s="288"/>
      <c r="C2879" s="267"/>
      <c r="D2879" s="258"/>
      <c r="E2879" s="679"/>
      <c r="F2879" s="499">
        <v>461</v>
      </c>
      <c r="G2879" s="492" t="s">
        <v>4133</v>
      </c>
      <c r="H2879" s="555"/>
      <c r="I2879" s="556"/>
      <c r="J2879" s="556">
        <f t="shared" si="99"/>
        <v>0</v>
      </c>
      <c r="K2879" s="505"/>
      <c r="L2879" s="505"/>
      <c r="M2879" s="505"/>
      <c r="N2879" s="505"/>
      <c r="O2879" s="505"/>
      <c r="P2879" s="505"/>
      <c r="Q2879" s="505"/>
      <c r="R2879" s="505"/>
      <c r="S2879" s="505"/>
      <c r="T2879" s="505"/>
      <c r="U2879" s="505"/>
      <c r="V2879" s="505"/>
      <c r="W2879" s="505"/>
      <c r="X2879" s="505"/>
      <c r="Y2879" s="505"/>
    </row>
    <row r="2880" spans="1:25" s="88" customFormat="1" hidden="1" x14ac:dyDescent="0.25">
      <c r="A2880" s="481"/>
      <c r="B2880" s="288"/>
      <c r="C2880" s="267"/>
      <c r="D2880" s="258"/>
      <c r="E2880" s="679"/>
      <c r="F2880" s="499">
        <v>462</v>
      </c>
      <c r="G2880" s="492" t="s">
        <v>3808</v>
      </c>
      <c r="H2880" s="555"/>
      <c r="I2880" s="556"/>
      <c r="J2880" s="556">
        <f t="shared" si="99"/>
        <v>0</v>
      </c>
      <c r="K2880" s="505"/>
      <c r="L2880" s="505"/>
      <c r="M2880" s="505"/>
      <c r="N2880" s="505"/>
      <c r="O2880" s="505"/>
      <c r="P2880" s="505"/>
      <c r="Q2880" s="505"/>
      <c r="R2880" s="505"/>
      <c r="S2880" s="505"/>
      <c r="T2880" s="505"/>
      <c r="U2880" s="505"/>
      <c r="V2880" s="505"/>
      <c r="W2880" s="505"/>
      <c r="X2880" s="505"/>
      <c r="Y2880" s="505"/>
    </row>
    <row r="2881" spans="1:25" s="88" customFormat="1" hidden="1" x14ac:dyDescent="0.25">
      <c r="A2881" s="481"/>
      <c r="B2881" s="288"/>
      <c r="C2881" s="267"/>
      <c r="D2881" s="258"/>
      <c r="E2881" s="679"/>
      <c r="F2881" s="499">
        <v>4631</v>
      </c>
      <c r="G2881" s="492" t="s">
        <v>3809</v>
      </c>
      <c r="H2881" s="555"/>
      <c r="I2881" s="556"/>
      <c r="J2881" s="556">
        <f t="shared" si="99"/>
        <v>0</v>
      </c>
      <c r="K2881" s="505"/>
      <c r="L2881" s="505"/>
      <c r="M2881" s="505"/>
      <c r="N2881" s="505"/>
      <c r="O2881" s="505"/>
      <c r="P2881" s="505"/>
      <c r="Q2881" s="505"/>
      <c r="R2881" s="505"/>
      <c r="S2881" s="505"/>
      <c r="T2881" s="505"/>
      <c r="U2881" s="505"/>
      <c r="V2881" s="505"/>
      <c r="W2881" s="505"/>
      <c r="X2881" s="505"/>
      <c r="Y2881" s="505"/>
    </row>
    <row r="2882" spans="1:25" s="88" customFormat="1" hidden="1" x14ac:dyDescent="0.25">
      <c r="A2882" s="481"/>
      <c r="B2882" s="288"/>
      <c r="C2882" s="267"/>
      <c r="D2882" s="258"/>
      <c r="E2882" s="679"/>
      <c r="F2882" s="499">
        <v>4632</v>
      </c>
      <c r="G2882" s="492" t="s">
        <v>3810</v>
      </c>
      <c r="H2882" s="555"/>
      <c r="I2882" s="556"/>
      <c r="J2882" s="556">
        <f t="shared" si="99"/>
        <v>0</v>
      </c>
      <c r="K2882" s="505"/>
      <c r="L2882" s="505"/>
      <c r="M2882" s="505"/>
      <c r="N2882" s="505"/>
      <c r="O2882" s="505"/>
      <c r="P2882" s="505"/>
      <c r="Q2882" s="505"/>
      <c r="R2882" s="505"/>
      <c r="S2882" s="505"/>
      <c r="T2882" s="505"/>
      <c r="U2882" s="505"/>
      <c r="V2882" s="505"/>
      <c r="W2882" s="505"/>
      <c r="X2882" s="505"/>
      <c r="Y2882" s="505"/>
    </row>
    <row r="2883" spans="1:25" s="88" customFormat="1" hidden="1" x14ac:dyDescent="0.25">
      <c r="A2883" s="481"/>
      <c r="B2883" s="288"/>
      <c r="C2883" s="267"/>
      <c r="D2883" s="258"/>
      <c r="E2883" s="679"/>
      <c r="F2883" s="499">
        <v>464</v>
      </c>
      <c r="G2883" s="492" t="s">
        <v>3811</v>
      </c>
      <c r="H2883" s="555"/>
      <c r="I2883" s="556"/>
      <c r="J2883" s="556">
        <f t="shared" si="99"/>
        <v>0</v>
      </c>
      <c r="K2883" s="505"/>
      <c r="L2883" s="505"/>
      <c r="M2883" s="505"/>
      <c r="N2883" s="505"/>
      <c r="O2883" s="505"/>
      <c r="P2883" s="505"/>
      <c r="Q2883" s="505"/>
      <c r="R2883" s="505"/>
      <c r="S2883" s="505"/>
      <c r="T2883" s="505"/>
      <c r="U2883" s="505"/>
      <c r="V2883" s="505"/>
      <c r="W2883" s="505"/>
      <c r="X2883" s="505"/>
      <c r="Y2883" s="505"/>
    </row>
    <row r="2884" spans="1:25" s="88" customFormat="1" hidden="1" x14ac:dyDescent="0.25">
      <c r="A2884" s="481"/>
      <c r="B2884" s="288"/>
      <c r="C2884" s="267"/>
      <c r="D2884" s="258"/>
      <c r="E2884" s="679"/>
      <c r="F2884" s="499">
        <v>465</v>
      </c>
      <c r="G2884" s="492" t="s">
        <v>4134</v>
      </c>
      <c r="H2884" s="555"/>
      <c r="I2884" s="556"/>
      <c r="J2884" s="556">
        <f t="shared" si="99"/>
        <v>0</v>
      </c>
      <c r="K2884" s="505"/>
      <c r="L2884" s="505"/>
      <c r="M2884" s="505"/>
      <c r="N2884" s="505"/>
      <c r="O2884" s="505"/>
      <c r="P2884" s="505"/>
      <c r="Q2884" s="505"/>
      <c r="R2884" s="505"/>
      <c r="S2884" s="505"/>
      <c r="T2884" s="505"/>
      <c r="U2884" s="505"/>
      <c r="V2884" s="505"/>
      <c r="W2884" s="505"/>
      <c r="X2884" s="505"/>
      <c r="Y2884" s="505"/>
    </row>
    <row r="2885" spans="1:25" s="88" customFormat="1" hidden="1" x14ac:dyDescent="0.25">
      <c r="A2885" s="481"/>
      <c r="B2885" s="288"/>
      <c r="C2885" s="267"/>
      <c r="D2885" s="258"/>
      <c r="E2885" s="679"/>
      <c r="F2885" s="499">
        <v>472</v>
      </c>
      <c r="G2885" s="492" t="s">
        <v>3815</v>
      </c>
      <c r="H2885" s="555"/>
      <c r="I2885" s="556"/>
      <c r="J2885" s="556">
        <f t="shared" si="99"/>
        <v>0</v>
      </c>
      <c r="K2885" s="505"/>
      <c r="L2885" s="505"/>
      <c r="M2885" s="505"/>
      <c r="N2885" s="505"/>
      <c r="O2885" s="505"/>
      <c r="P2885" s="505"/>
      <c r="Q2885" s="505"/>
      <c r="R2885" s="505"/>
      <c r="S2885" s="505"/>
      <c r="T2885" s="505"/>
      <c r="U2885" s="505"/>
      <c r="V2885" s="505"/>
      <c r="W2885" s="505"/>
      <c r="X2885" s="505"/>
      <c r="Y2885" s="505"/>
    </row>
    <row r="2886" spans="1:25" s="88" customFormat="1" ht="33.75" customHeight="1" thickBot="1" x14ac:dyDescent="0.3">
      <c r="A2886" s="481"/>
      <c r="B2886" s="288"/>
      <c r="C2886" s="267"/>
      <c r="D2886" s="258"/>
      <c r="E2886" s="679">
        <v>98</v>
      </c>
      <c r="F2886" s="499">
        <v>481</v>
      </c>
      <c r="G2886" s="492" t="s">
        <v>5274</v>
      </c>
      <c r="H2886" s="555">
        <v>1000000</v>
      </c>
      <c r="I2886" s="556"/>
      <c r="J2886" s="556">
        <f t="shared" si="99"/>
        <v>1000000</v>
      </c>
      <c r="K2886" s="505"/>
      <c r="L2886" s="505"/>
      <c r="M2886" s="505"/>
      <c r="N2886" s="505"/>
      <c r="O2886" s="505"/>
      <c r="P2886" s="505"/>
      <c r="Q2886" s="505"/>
      <c r="R2886" s="505"/>
      <c r="S2886" s="505"/>
      <c r="T2886" s="505"/>
      <c r="U2886" s="505"/>
      <c r="V2886" s="505"/>
      <c r="W2886" s="505"/>
      <c r="X2886" s="505"/>
      <c r="Y2886" s="505"/>
    </row>
    <row r="2887" spans="1:25" s="88" customFormat="1" ht="13.5" customHeight="1" x14ac:dyDescent="0.25">
      <c r="A2887" s="481"/>
      <c r="B2887" s="288"/>
      <c r="C2887" s="334"/>
      <c r="D2887" s="258"/>
      <c r="E2887" s="489"/>
      <c r="F2887" s="500"/>
      <c r="G2887" s="342" t="s">
        <v>5273</v>
      </c>
      <c r="H2887" s="557"/>
      <c r="I2887" s="583"/>
      <c r="J2887" s="558"/>
      <c r="K2887" s="505"/>
      <c r="L2887" s="505"/>
      <c r="M2887" s="505"/>
      <c r="N2887" s="505"/>
      <c r="O2887" s="505"/>
      <c r="P2887" s="505"/>
      <c r="Q2887" s="505"/>
      <c r="R2887" s="505"/>
      <c r="S2887" s="505"/>
      <c r="T2887" s="505"/>
      <c r="U2887" s="505"/>
      <c r="V2887" s="505"/>
      <c r="W2887" s="505"/>
      <c r="X2887" s="505"/>
      <c r="Y2887" s="505"/>
    </row>
    <row r="2888" spans="1:25" s="88" customFormat="1" ht="17.25" customHeight="1" thickBot="1" x14ac:dyDescent="0.3">
      <c r="A2888" s="481"/>
      <c r="B2888" s="288"/>
      <c r="C2888" s="334"/>
      <c r="D2888" s="258"/>
      <c r="E2888" s="693"/>
      <c r="F2888" s="597" t="s">
        <v>234</v>
      </c>
      <c r="G2888" s="598" t="s">
        <v>235</v>
      </c>
      <c r="H2888" s="559">
        <f>SUM(H2886)</f>
        <v>1000000</v>
      </c>
      <c r="I2888" s="560"/>
      <c r="J2888" s="560">
        <f>SUM(H2888:I2888)</f>
        <v>1000000</v>
      </c>
      <c r="K2888" s="505"/>
      <c r="L2888" s="505"/>
      <c r="M2888" s="505"/>
      <c r="N2888" s="505"/>
      <c r="O2888" s="505"/>
      <c r="P2888" s="505"/>
      <c r="Q2888" s="505"/>
      <c r="R2888" s="505"/>
      <c r="S2888" s="505"/>
      <c r="T2888" s="505"/>
      <c r="U2888" s="505"/>
      <c r="V2888" s="505"/>
      <c r="W2888" s="505"/>
      <c r="X2888" s="505"/>
      <c r="Y2888" s="505"/>
    </row>
    <row r="2889" spans="1:25" s="88" customFormat="1" hidden="1" x14ac:dyDescent="0.25">
      <c r="A2889" s="481"/>
      <c r="B2889" s="288"/>
      <c r="C2889" s="334"/>
      <c r="D2889" s="258"/>
      <c r="E2889" s="679"/>
      <c r="F2889" s="597" t="s">
        <v>236</v>
      </c>
      <c r="G2889" s="598" t="s">
        <v>237</v>
      </c>
      <c r="H2889" s="555"/>
      <c r="I2889" s="556"/>
      <c r="J2889" s="560">
        <f t="shared" ref="J2889:J2903" si="100">SUM(H2889:I2889)</f>
        <v>0</v>
      </c>
      <c r="K2889" s="505"/>
      <c r="L2889" s="505"/>
      <c r="M2889" s="505"/>
      <c r="N2889" s="505"/>
      <c r="O2889" s="505"/>
      <c r="P2889" s="505"/>
      <c r="Q2889" s="505"/>
      <c r="R2889" s="505"/>
      <c r="S2889" s="505"/>
      <c r="T2889" s="505"/>
      <c r="U2889" s="505"/>
      <c r="V2889" s="505"/>
      <c r="W2889" s="505"/>
      <c r="X2889" s="505"/>
      <c r="Y2889" s="505"/>
    </row>
    <row r="2890" spans="1:25" s="88" customFormat="1" hidden="1" x14ac:dyDescent="0.25">
      <c r="A2890" s="481"/>
      <c r="B2890" s="288"/>
      <c r="C2890" s="334"/>
      <c r="D2890" s="258"/>
      <c r="E2890" s="679"/>
      <c r="F2890" s="597" t="s">
        <v>238</v>
      </c>
      <c r="G2890" s="598" t="s">
        <v>239</v>
      </c>
      <c r="H2890" s="555"/>
      <c r="I2890" s="556"/>
      <c r="J2890" s="560">
        <f t="shared" si="100"/>
        <v>0</v>
      </c>
      <c r="K2890" s="505"/>
      <c r="L2890" s="505"/>
      <c r="M2890" s="505"/>
      <c r="N2890" s="505"/>
      <c r="O2890" s="505"/>
      <c r="P2890" s="505"/>
      <c r="Q2890" s="505"/>
      <c r="R2890" s="505"/>
      <c r="S2890" s="505"/>
      <c r="T2890" s="505"/>
      <c r="U2890" s="505"/>
      <c r="V2890" s="505"/>
      <c r="W2890" s="505"/>
      <c r="X2890" s="505"/>
      <c r="Y2890" s="505"/>
    </row>
    <row r="2891" spans="1:25" s="88" customFormat="1" hidden="1" x14ac:dyDescent="0.25">
      <c r="A2891" s="481"/>
      <c r="B2891" s="288"/>
      <c r="C2891" s="334"/>
      <c r="D2891" s="258"/>
      <c r="E2891" s="679"/>
      <c r="F2891" s="597" t="s">
        <v>240</v>
      </c>
      <c r="G2891" s="598" t="s">
        <v>241</v>
      </c>
      <c r="H2891" s="555"/>
      <c r="I2891" s="556"/>
      <c r="J2891" s="560">
        <f t="shared" si="100"/>
        <v>0</v>
      </c>
      <c r="K2891" s="505"/>
      <c r="L2891" s="505"/>
      <c r="M2891" s="505"/>
      <c r="N2891" s="505"/>
      <c r="O2891" s="505"/>
      <c r="P2891" s="505"/>
      <c r="Q2891" s="505"/>
      <c r="R2891" s="505"/>
      <c r="S2891" s="505"/>
      <c r="T2891" s="505"/>
      <c r="U2891" s="505"/>
      <c r="V2891" s="505"/>
      <c r="W2891" s="505"/>
      <c r="X2891" s="505"/>
      <c r="Y2891" s="505"/>
    </row>
    <row r="2892" spans="1:25" s="88" customFormat="1" hidden="1" x14ac:dyDescent="0.25">
      <c r="A2892" s="481"/>
      <c r="B2892" s="288"/>
      <c r="C2892" s="334"/>
      <c r="D2892" s="258"/>
      <c r="E2892" s="679"/>
      <c r="F2892" s="597" t="s">
        <v>242</v>
      </c>
      <c r="G2892" s="598" t="s">
        <v>243</v>
      </c>
      <c r="H2892" s="555"/>
      <c r="I2892" s="556"/>
      <c r="J2892" s="560">
        <f t="shared" si="100"/>
        <v>0</v>
      </c>
      <c r="K2892" s="505"/>
      <c r="L2892" s="505"/>
      <c r="M2892" s="505"/>
      <c r="N2892" s="505"/>
      <c r="O2892" s="505"/>
      <c r="P2892" s="505"/>
      <c r="Q2892" s="505"/>
      <c r="R2892" s="505"/>
      <c r="S2892" s="505"/>
      <c r="T2892" s="505"/>
      <c r="U2892" s="505"/>
      <c r="V2892" s="505"/>
      <c r="W2892" s="505"/>
      <c r="X2892" s="505"/>
      <c r="Y2892" s="505"/>
    </row>
    <row r="2893" spans="1:25" s="88" customFormat="1" hidden="1" x14ac:dyDescent="0.25">
      <c r="A2893" s="481"/>
      <c r="B2893" s="288"/>
      <c r="C2893" s="334"/>
      <c r="D2893" s="258"/>
      <c r="E2893" s="679"/>
      <c r="F2893" s="597" t="s">
        <v>244</v>
      </c>
      <c r="G2893" s="598" t="s">
        <v>245</v>
      </c>
      <c r="H2893" s="555"/>
      <c r="I2893" s="556"/>
      <c r="J2893" s="560">
        <f t="shared" si="100"/>
        <v>0</v>
      </c>
      <c r="K2893" s="505"/>
      <c r="L2893" s="505"/>
      <c r="M2893" s="505"/>
      <c r="N2893" s="505"/>
      <c r="O2893" s="505"/>
      <c r="P2893" s="505"/>
      <c r="Q2893" s="505"/>
      <c r="R2893" s="505"/>
      <c r="S2893" s="505"/>
      <c r="T2893" s="505"/>
      <c r="U2893" s="505"/>
      <c r="V2893" s="505"/>
      <c r="W2893" s="505"/>
      <c r="X2893" s="505"/>
      <c r="Y2893" s="505"/>
    </row>
    <row r="2894" spans="1:25" s="88" customFormat="1" hidden="1" x14ac:dyDescent="0.25">
      <c r="A2894" s="481"/>
      <c r="B2894" s="288"/>
      <c r="C2894" s="334"/>
      <c r="D2894" s="258"/>
      <c r="E2894" s="679"/>
      <c r="F2894" s="597" t="s">
        <v>246</v>
      </c>
      <c r="G2894" s="598" t="s">
        <v>4996</v>
      </c>
      <c r="H2894" s="555"/>
      <c r="I2894" s="556"/>
      <c r="J2894" s="560">
        <f t="shared" si="100"/>
        <v>0</v>
      </c>
      <c r="K2894" s="505"/>
      <c r="L2894" s="505"/>
      <c r="M2894" s="505"/>
      <c r="N2894" s="505"/>
      <c r="O2894" s="505"/>
      <c r="P2894" s="505"/>
      <c r="Q2894" s="505"/>
      <c r="R2894" s="505"/>
      <c r="S2894" s="505"/>
      <c r="T2894" s="505"/>
      <c r="U2894" s="505"/>
      <c r="V2894" s="505"/>
      <c r="W2894" s="505"/>
      <c r="X2894" s="505"/>
      <c r="Y2894" s="505"/>
    </row>
    <row r="2895" spans="1:25" s="88" customFormat="1" hidden="1" x14ac:dyDescent="0.25">
      <c r="A2895" s="481"/>
      <c r="B2895" s="288"/>
      <c r="C2895" s="334"/>
      <c r="D2895" s="258"/>
      <c r="E2895" s="679"/>
      <c r="F2895" s="597" t="s">
        <v>247</v>
      </c>
      <c r="G2895" s="598" t="s">
        <v>4995</v>
      </c>
      <c r="H2895" s="555"/>
      <c r="I2895" s="556"/>
      <c r="J2895" s="560">
        <f t="shared" si="100"/>
        <v>0</v>
      </c>
      <c r="K2895" s="505"/>
      <c r="L2895" s="505"/>
      <c r="M2895" s="505"/>
      <c r="N2895" s="505"/>
      <c r="O2895" s="505"/>
      <c r="P2895" s="505"/>
      <c r="Q2895" s="505"/>
      <c r="R2895" s="505"/>
      <c r="S2895" s="505"/>
      <c r="T2895" s="505"/>
      <c r="U2895" s="505"/>
      <c r="V2895" s="505"/>
      <c r="W2895" s="505"/>
      <c r="X2895" s="505"/>
      <c r="Y2895" s="505"/>
    </row>
    <row r="2896" spans="1:25" s="88" customFormat="1" hidden="1" x14ac:dyDescent="0.25">
      <c r="A2896" s="481"/>
      <c r="B2896" s="288"/>
      <c r="C2896" s="334"/>
      <c r="D2896" s="258"/>
      <c r="E2896" s="679"/>
      <c r="F2896" s="597" t="s">
        <v>248</v>
      </c>
      <c r="G2896" s="598" t="s">
        <v>57</v>
      </c>
      <c r="H2896" s="555"/>
      <c r="I2896" s="556"/>
      <c r="J2896" s="560">
        <f t="shared" si="100"/>
        <v>0</v>
      </c>
      <c r="K2896" s="505"/>
      <c r="L2896" s="505"/>
      <c r="M2896" s="505"/>
      <c r="N2896" s="505"/>
      <c r="O2896" s="505"/>
      <c r="P2896" s="505"/>
      <c r="Q2896" s="505"/>
      <c r="R2896" s="505"/>
      <c r="S2896" s="505"/>
      <c r="T2896" s="505"/>
      <c r="U2896" s="505"/>
      <c r="V2896" s="505"/>
      <c r="W2896" s="505"/>
      <c r="X2896" s="505"/>
      <c r="Y2896" s="505"/>
    </row>
    <row r="2897" spans="1:25" s="88" customFormat="1" hidden="1" x14ac:dyDescent="0.25">
      <c r="A2897" s="481"/>
      <c r="B2897" s="288"/>
      <c r="C2897" s="334"/>
      <c r="D2897" s="258"/>
      <c r="E2897" s="679"/>
      <c r="F2897" s="597" t="s">
        <v>249</v>
      </c>
      <c r="G2897" s="598" t="s">
        <v>250</v>
      </c>
      <c r="H2897" s="555"/>
      <c r="I2897" s="556"/>
      <c r="J2897" s="560">
        <f t="shared" si="100"/>
        <v>0</v>
      </c>
      <c r="K2897" s="505"/>
      <c r="L2897" s="505"/>
      <c r="M2897" s="505"/>
      <c r="N2897" s="505"/>
      <c r="O2897" s="505"/>
      <c r="P2897" s="505"/>
      <c r="Q2897" s="505"/>
      <c r="R2897" s="505"/>
      <c r="S2897" s="505"/>
      <c r="T2897" s="505"/>
      <c r="U2897" s="505"/>
      <c r="V2897" s="505"/>
      <c r="W2897" s="505"/>
      <c r="X2897" s="505"/>
      <c r="Y2897" s="505"/>
    </row>
    <row r="2898" spans="1:25" s="88" customFormat="1" hidden="1" x14ac:dyDescent="0.25">
      <c r="A2898" s="481"/>
      <c r="B2898" s="288"/>
      <c r="C2898" s="334"/>
      <c r="D2898" s="258"/>
      <c r="E2898" s="679"/>
      <c r="F2898" s="597" t="s">
        <v>251</v>
      </c>
      <c r="G2898" s="598" t="s">
        <v>252</v>
      </c>
      <c r="H2898" s="555"/>
      <c r="I2898" s="556"/>
      <c r="J2898" s="560">
        <f t="shared" si="100"/>
        <v>0</v>
      </c>
      <c r="K2898" s="505"/>
      <c r="L2898" s="505"/>
      <c r="M2898" s="505"/>
      <c r="N2898" s="505"/>
      <c r="O2898" s="505"/>
      <c r="P2898" s="505"/>
      <c r="Q2898" s="505"/>
      <c r="R2898" s="505"/>
      <c r="S2898" s="505"/>
      <c r="T2898" s="505"/>
      <c r="U2898" s="505"/>
      <c r="V2898" s="505"/>
      <c r="W2898" s="505"/>
      <c r="X2898" s="505"/>
      <c r="Y2898" s="505"/>
    </row>
    <row r="2899" spans="1:25" s="88" customFormat="1" ht="30" hidden="1" x14ac:dyDescent="0.25">
      <c r="A2899" s="481"/>
      <c r="B2899" s="288"/>
      <c r="C2899" s="334"/>
      <c r="D2899" s="258"/>
      <c r="E2899" s="679"/>
      <c r="F2899" s="597" t="s">
        <v>253</v>
      </c>
      <c r="G2899" s="598" t="s">
        <v>254</v>
      </c>
      <c r="H2899" s="555"/>
      <c r="I2899" s="556"/>
      <c r="J2899" s="560">
        <f t="shared" si="100"/>
        <v>0</v>
      </c>
      <c r="K2899" s="505"/>
      <c r="L2899" s="505"/>
      <c r="M2899" s="505"/>
      <c r="N2899" s="505"/>
      <c r="O2899" s="505"/>
      <c r="P2899" s="505"/>
      <c r="Q2899" s="505"/>
      <c r="R2899" s="505"/>
      <c r="S2899" s="505"/>
      <c r="T2899" s="505"/>
      <c r="U2899" s="505"/>
      <c r="V2899" s="505"/>
      <c r="W2899" s="505"/>
      <c r="X2899" s="505"/>
      <c r="Y2899" s="505"/>
    </row>
    <row r="2900" spans="1:25" s="88" customFormat="1" hidden="1" x14ac:dyDescent="0.25">
      <c r="A2900" s="481"/>
      <c r="B2900" s="288"/>
      <c r="C2900" s="334"/>
      <c r="D2900" s="258"/>
      <c r="E2900" s="679"/>
      <c r="F2900" s="597" t="s">
        <v>255</v>
      </c>
      <c r="G2900" s="598" t="s">
        <v>256</v>
      </c>
      <c r="H2900" s="555"/>
      <c r="I2900" s="556"/>
      <c r="J2900" s="560">
        <f t="shared" si="100"/>
        <v>0</v>
      </c>
      <c r="K2900" s="505"/>
      <c r="L2900" s="505"/>
      <c r="M2900" s="505"/>
      <c r="N2900" s="505"/>
      <c r="O2900" s="505"/>
      <c r="P2900" s="505"/>
      <c r="Q2900" s="505"/>
      <c r="R2900" s="505"/>
      <c r="S2900" s="505"/>
      <c r="T2900" s="505"/>
      <c r="U2900" s="505"/>
      <c r="V2900" s="505"/>
      <c r="W2900" s="505"/>
      <c r="X2900" s="505"/>
      <c r="Y2900" s="505"/>
    </row>
    <row r="2901" spans="1:25" s="88" customFormat="1" ht="30" hidden="1" x14ac:dyDescent="0.25">
      <c r="A2901" s="481"/>
      <c r="B2901" s="288"/>
      <c r="C2901" s="334"/>
      <c r="D2901" s="258"/>
      <c r="E2901" s="679"/>
      <c r="F2901" s="597" t="s">
        <v>257</v>
      </c>
      <c r="G2901" s="598" t="s">
        <v>258</v>
      </c>
      <c r="H2901" s="555"/>
      <c r="I2901" s="556"/>
      <c r="J2901" s="560">
        <f t="shared" si="100"/>
        <v>0</v>
      </c>
      <c r="K2901" s="505"/>
      <c r="L2901" s="505"/>
      <c r="M2901" s="505"/>
      <c r="N2901" s="505"/>
      <c r="O2901" s="505"/>
      <c r="P2901" s="505"/>
      <c r="Q2901" s="505"/>
      <c r="R2901" s="505"/>
      <c r="S2901" s="505"/>
      <c r="T2901" s="505"/>
      <c r="U2901" s="505"/>
      <c r="V2901" s="505"/>
      <c r="W2901" s="505"/>
      <c r="X2901" s="505"/>
      <c r="Y2901" s="505"/>
    </row>
    <row r="2902" spans="1:25" s="88" customFormat="1" hidden="1" x14ac:dyDescent="0.25">
      <c r="A2902" s="481"/>
      <c r="B2902" s="288"/>
      <c r="C2902" s="334"/>
      <c r="D2902" s="258"/>
      <c r="E2902" s="679"/>
      <c r="F2902" s="597" t="s">
        <v>259</v>
      </c>
      <c r="G2902" s="598" t="s">
        <v>260</v>
      </c>
      <c r="H2902" s="555"/>
      <c r="I2902" s="556"/>
      <c r="J2902" s="560">
        <f t="shared" si="100"/>
        <v>0</v>
      </c>
      <c r="K2902" s="505"/>
      <c r="L2902" s="505"/>
      <c r="M2902" s="505"/>
      <c r="N2902" s="505"/>
      <c r="O2902" s="505"/>
      <c r="P2902" s="505"/>
      <c r="Q2902" s="505"/>
      <c r="R2902" s="505"/>
      <c r="S2902" s="505"/>
      <c r="T2902" s="505"/>
      <c r="U2902" s="505"/>
      <c r="V2902" s="505"/>
      <c r="W2902" s="505"/>
      <c r="X2902" s="505"/>
      <c r="Y2902" s="505"/>
    </row>
    <row r="2903" spans="1:25" s="88" customFormat="1" ht="15.75" hidden="1" thickBot="1" x14ac:dyDescent="0.3">
      <c r="A2903" s="481"/>
      <c r="B2903" s="288"/>
      <c r="C2903" s="334"/>
      <c r="D2903" s="258"/>
      <c r="E2903" s="679"/>
      <c r="F2903" s="597" t="s">
        <v>261</v>
      </c>
      <c r="G2903" s="598" t="s">
        <v>262</v>
      </c>
      <c r="H2903" s="559"/>
      <c r="I2903" s="560"/>
      <c r="J2903" s="560">
        <f t="shared" si="100"/>
        <v>0</v>
      </c>
      <c r="K2903" s="505"/>
      <c r="L2903" s="505"/>
      <c r="M2903" s="505"/>
      <c r="N2903" s="505"/>
      <c r="O2903" s="505"/>
      <c r="P2903" s="505"/>
      <c r="Q2903" s="505"/>
      <c r="R2903" s="505"/>
      <c r="S2903" s="505"/>
      <c r="T2903" s="505"/>
      <c r="U2903" s="505"/>
      <c r="V2903" s="505"/>
      <c r="W2903" s="505"/>
      <c r="X2903" s="505"/>
      <c r="Y2903" s="505"/>
    </row>
    <row r="2904" spans="1:25" s="88" customFormat="1" ht="13.5" customHeight="1" thickBot="1" x14ac:dyDescent="0.3">
      <c r="A2904" s="481"/>
      <c r="B2904" s="288"/>
      <c r="C2904" s="334"/>
      <c r="D2904" s="258"/>
      <c r="E2904" s="679"/>
      <c r="F2904" s="258"/>
      <c r="G2904" s="268" t="s">
        <v>5272</v>
      </c>
      <c r="H2904" s="561">
        <f>SUM(H2888:H2903)</f>
        <v>1000000</v>
      </c>
      <c r="I2904" s="562">
        <f>SUM(I2889:I2903)</f>
        <v>0</v>
      </c>
      <c r="J2904" s="562">
        <f>SUM(J2888:J2903)</f>
        <v>1000000</v>
      </c>
      <c r="K2904" s="505"/>
      <c r="L2904" s="505"/>
      <c r="M2904" s="505"/>
      <c r="N2904" s="505"/>
      <c r="O2904" s="505"/>
      <c r="P2904" s="505"/>
      <c r="Q2904" s="505"/>
      <c r="R2904" s="505"/>
      <c r="S2904" s="505"/>
      <c r="T2904" s="505"/>
      <c r="U2904" s="505"/>
      <c r="V2904" s="505"/>
      <c r="W2904" s="505"/>
      <c r="X2904" s="505"/>
      <c r="Y2904" s="505"/>
    </row>
    <row r="2905" spans="1:25" s="88" customFormat="1" ht="28.5" x14ac:dyDescent="0.25">
      <c r="A2905" s="481"/>
      <c r="B2905" s="288"/>
      <c r="C2905" s="334"/>
      <c r="D2905" s="258"/>
      <c r="E2905" s="489"/>
      <c r="F2905" s="500"/>
      <c r="G2905" s="270" t="s">
        <v>5131</v>
      </c>
      <c r="H2905" s="563"/>
      <c r="I2905" s="584"/>
      <c r="J2905" s="564"/>
      <c r="K2905" s="505"/>
      <c r="L2905" s="505"/>
      <c r="M2905" s="505"/>
      <c r="N2905" s="505"/>
      <c r="O2905" s="505"/>
      <c r="P2905" s="505"/>
      <c r="Q2905" s="505"/>
      <c r="R2905" s="505"/>
      <c r="S2905" s="505"/>
      <c r="T2905" s="505"/>
      <c r="U2905" s="505"/>
      <c r="V2905" s="505"/>
      <c r="W2905" s="505"/>
      <c r="X2905" s="505"/>
      <c r="Y2905" s="505"/>
    </row>
    <row r="2906" spans="1:25" s="88" customFormat="1" ht="15.75" thickBot="1" x14ac:dyDescent="0.3">
      <c r="A2906" s="481"/>
      <c r="B2906" s="288"/>
      <c r="C2906" s="334"/>
      <c r="D2906" s="258"/>
      <c r="E2906" s="693"/>
      <c r="F2906" s="597" t="s">
        <v>234</v>
      </c>
      <c r="G2906" s="598" t="s">
        <v>235</v>
      </c>
      <c r="H2906" s="559">
        <f>SUM(H2904)</f>
        <v>1000000</v>
      </c>
      <c r="I2906" s="560"/>
      <c r="J2906" s="560">
        <f>SUM(H2906:I2906)</f>
        <v>1000000</v>
      </c>
      <c r="K2906" s="505"/>
      <c r="L2906" s="505"/>
      <c r="M2906" s="505"/>
      <c r="N2906" s="505"/>
      <c r="O2906" s="505"/>
      <c r="P2906" s="505"/>
      <c r="Q2906" s="505"/>
      <c r="R2906" s="505"/>
      <c r="S2906" s="505"/>
      <c r="T2906" s="505"/>
      <c r="U2906" s="505"/>
      <c r="V2906" s="505"/>
      <c r="W2906" s="505"/>
      <c r="X2906" s="505"/>
      <c r="Y2906" s="505"/>
    </row>
    <row r="2907" spans="1:25" s="88" customFormat="1" ht="15.75" thickBot="1" x14ac:dyDescent="0.3">
      <c r="A2907" s="481"/>
      <c r="B2907" s="288"/>
      <c r="C2907" s="334"/>
      <c r="D2907" s="286"/>
      <c r="E2907" s="876"/>
      <c r="F2907" s="258"/>
      <c r="G2907" s="268" t="s">
        <v>5132</v>
      </c>
      <c r="H2907" s="561">
        <f>SUM(H2906)</f>
        <v>1000000</v>
      </c>
      <c r="I2907" s="562">
        <f>SUM(I2892:I2906)</f>
        <v>0</v>
      </c>
      <c r="J2907" s="562">
        <f>SUM(H2907)</f>
        <v>1000000</v>
      </c>
      <c r="K2907" s="505"/>
      <c r="L2907" s="505"/>
      <c r="M2907" s="505"/>
      <c r="N2907" s="505"/>
      <c r="O2907" s="505"/>
      <c r="P2907" s="505"/>
      <c r="Q2907" s="505"/>
      <c r="R2907" s="505"/>
      <c r="S2907" s="505"/>
      <c r="T2907" s="505"/>
      <c r="U2907" s="505"/>
      <c r="V2907" s="505"/>
      <c r="W2907" s="505"/>
      <c r="X2907" s="505"/>
      <c r="Y2907" s="505"/>
    </row>
    <row r="2908" spans="1:25" s="88" customFormat="1" ht="27.75" customHeight="1" x14ac:dyDescent="0.25">
      <c r="A2908" s="481"/>
      <c r="B2908" s="288"/>
      <c r="C2908" s="267" t="s">
        <v>4090</v>
      </c>
      <c r="D2908" s="259"/>
      <c r="E2908" s="679"/>
      <c r="F2908" s="258"/>
      <c r="G2908" s="727" t="s">
        <v>5130</v>
      </c>
      <c r="H2908" s="555"/>
      <c r="I2908" s="556"/>
      <c r="J2908" s="556"/>
      <c r="K2908" s="505"/>
      <c r="L2908" s="505"/>
      <c r="M2908" s="505"/>
      <c r="N2908" s="505"/>
      <c r="O2908" s="505"/>
      <c r="P2908" s="505"/>
      <c r="Q2908" s="505"/>
      <c r="R2908" s="505"/>
      <c r="S2908" s="505"/>
      <c r="T2908" s="505"/>
      <c r="U2908" s="505"/>
      <c r="V2908" s="505"/>
      <c r="W2908" s="505"/>
      <c r="X2908" s="505"/>
      <c r="Y2908" s="505"/>
    </row>
    <row r="2909" spans="1:25" s="88" customFormat="1" x14ac:dyDescent="0.25">
      <c r="A2909" s="481"/>
      <c r="B2909" s="288"/>
      <c r="C2909" s="294"/>
      <c r="D2909" s="348" t="s">
        <v>4001</v>
      </c>
      <c r="E2909" s="871"/>
      <c r="F2909" s="345"/>
      <c r="G2909" s="774" t="s">
        <v>207</v>
      </c>
      <c r="H2909" s="572"/>
      <c r="I2909" s="573"/>
      <c r="J2909" s="573"/>
      <c r="K2909" s="505"/>
      <c r="L2909" s="505"/>
      <c r="M2909" s="505"/>
      <c r="N2909" s="505"/>
      <c r="O2909" s="505"/>
      <c r="P2909" s="505"/>
      <c r="Q2909" s="505"/>
      <c r="R2909" s="505"/>
      <c r="S2909" s="505"/>
      <c r="T2909" s="505"/>
      <c r="U2909" s="505"/>
      <c r="V2909" s="505"/>
      <c r="W2909" s="505"/>
      <c r="X2909" s="505"/>
      <c r="Y2909" s="505"/>
    </row>
    <row r="2910" spans="1:25" s="88" customFormat="1" hidden="1" x14ac:dyDescent="0.25">
      <c r="A2910" s="481"/>
      <c r="B2910" s="288"/>
      <c r="C2910" s="267"/>
      <c r="D2910" s="258"/>
      <c r="E2910" s="679"/>
      <c r="F2910" s="499">
        <v>411</v>
      </c>
      <c r="G2910" s="492" t="s">
        <v>4131</v>
      </c>
      <c r="H2910" s="555"/>
      <c r="I2910" s="556"/>
      <c r="J2910" s="556">
        <f>SUM(H2910:I2910)</f>
        <v>0</v>
      </c>
      <c r="K2910" s="505"/>
      <c r="L2910" s="505"/>
      <c r="M2910" s="505"/>
      <c r="N2910" s="505"/>
      <c r="O2910" s="505"/>
      <c r="P2910" s="505"/>
      <c r="Q2910" s="505"/>
      <c r="R2910" s="505"/>
      <c r="S2910" s="505"/>
      <c r="T2910" s="505"/>
      <c r="U2910" s="505"/>
      <c r="V2910" s="505"/>
      <c r="W2910" s="505"/>
      <c r="X2910" s="505"/>
      <c r="Y2910" s="505"/>
    </row>
    <row r="2911" spans="1:25" s="88" customFormat="1" hidden="1" x14ac:dyDescent="0.25">
      <c r="A2911" s="481"/>
      <c r="B2911" s="288"/>
      <c r="C2911" s="267"/>
      <c r="D2911" s="258"/>
      <c r="E2911" s="679"/>
      <c r="F2911" s="499">
        <v>412</v>
      </c>
      <c r="G2911" s="488" t="s">
        <v>3766</v>
      </c>
      <c r="H2911" s="555"/>
      <c r="I2911" s="556"/>
      <c r="J2911" s="556">
        <f t="shared" ref="J2911:J2945" si="101">SUM(H2911:I2911)</f>
        <v>0</v>
      </c>
      <c r="K2911" s="505"/>
      <c r="L2911" s="505"/>
      <c r="M2911" s="505"/>
      <c r="N2911" s="505"/>
      <c r="O2911" s="505"/>
      <c r="P2911" s="505"/>
      <c r="Q2911" s="505"/>
      <c r="R2911" s="505"/>
      <c r="S2911" s="505"/>
      <c r="T2911" s="505"/>
      <c r="U2911" s="505"/>
      <c r="V2911" s="505"/>
      <c r="W2911" s="505"/>
      <c r="X2911" s="505"/>
      <c r="Y2911" s="505"/>
    </row>
    <row r="2912" spans="1:25" s="88" customFormat="1" hidden="1" x14ac:dyDescent="0.25">
      <c r="A2912" s="481"/>
      <c r="B2912" s="288"/>
      <c r="C2912" s="267"/>
      <c r="D2912" s="258"/>
      <c r="E2912" s="679"/>
      <c r="F2912" s="499">
        <v>413</v>
      </c>
      <c r="G2912" s="492" t="s">
        <v>4132</v>
      </c>
      <c r="H2912" s="555"/>
      <c r="I2912" s="556"/>
      <c r="J2912" s="556">
        <f t="shared" si="101"/>
        <v>0</v>
      </c>
      <c r="K2912" s="505"/>
      <c r="L2912" s="505"/>
      <c r="M2912" s="505"/>
      <c r="N2912" s="505"/>
      <c r="O2912" s="505"/>
      <c r="P2912" s="505"/>
      <c r="Q2912" s="505"/>
      <c r="R2912" s="505"/>
      <c r="S2912" s="505"/>
      <c r="T2912" s="505"/>
      <c r="U2912" s="505"/>
      <c r="V2912" s="505"/>
      <c r="W2912" s="505"/>
      <c r="X2912" s="505"/>
      <c r="Y2912" s="505"/>
    </row>
    <row r="2913" spans="1:25" s="88" customFormat="1" hidden="1" x14ac:dyDescent="0.25">
      <c r="A2913" s="481"/>
      <c r="B2913" s="288"/>
      <c r="C2913" s="267"/>
      <c r="D2913" s="258"/>
      <c r="E2913" s="679"/>
      <c r="F2913" s="499">
        <v>414</v>
      </c>
      <c r="G2913" s="492" t="s">
        <v>3769</v>
      </c>
      <c r="H2913" s="555"/>
      <c r="I2913" s="556"/>
      <c r="J2913" s="556">
        <f t="shared" si="101"/>
        <v>0</v>
      </c>
      <c r="K2913" s="505"/>
      <c r="L2913" s="505"/>
      <c r="M2913" s="505"/>
      <c r="N2913" s="505"/>
      <c r="O2913" s="505"/>
      <c r="P2913" s="505"/>
      <c r="Q2913" s="505"/>
      <c r="R2913" s="505"/>
      <c r="S2913" s="505"/>
      <c r="T2913" s="505"/>
      <c r="U2913" s="505"/>
      <c r="V2913" s="505"/>
      <c r="W2913" s="505"/>
      <c r="X2913" s="505"/>
      <c r="Y2913" s="505"/>
    </row>
    <row r="2914" spans="1:25" s="88" customFormat="1" hidden="1" x14ac:dyDescent="0.25">
      <c r="A2914" s="481"/>
      <c r="B2914" s="288"/>
      <c r="C2914" s="267"/>
      <c r="D2914" s="258"/>
      <c r="E2914" s="679"/>
      <c r="F2914" s="499">
        <v>415</v>
      </c>
      <c r="G2914" s="492" t="s">
        <v>4141</v>
      </c>
      <c r="H2914" s="555"/>
      <c r="I2914" s="556"/>
      <c r="J2914" s="556">
        <f t="shared" si="101"/>
        <v>0</v>
      </c>
      <c r="K2914" s="505"/>
      <c r="L2914" s="505"/>
      <c r="M2914" s="505"/>
      <c r="N2914" s="505"/>
      <c r="O2914" s="505"/>
      <c r="P2914" s="505"/>
      <c r="Q2914" s="505"/>
      <c r="R2914" s="505"/>
      <c r="S2914" s="505"/>
      <c r="T2914" s="505"/>
      <c r="U2914" s="505"/>
      <c r="V2914" s="505"/>
      <c r="W2914" s="505"/>
      <c r="X2914" s="505"/>
      <c r="Y2914" s="505"/>
    </row>
    <row r="2915" spans="1:25" s="88" customFormat="1" hidden="1" x14ac:dyDescent="0.25">
      <c r="A2915" s="481"/>
      <c r="B2915" s="288"/>
      <c r="C2915" s="267"/>
      <c r="D2915" s="258"/>
      <c r="E2915" s="679"/>
      <c r="F2915" s="499">
        <v>416</v>
      </c>
      <c r="G2915" s="492" t="s">
        <v>4142</v>
      </c>
      <c r="H2915" s="555"/>
      <c r="I2915" s="556"/>
      <c r="J2915" s="556">
        <f t="shared" si="101"/>
        <v>0</v>
      </c>
      <c r="K2915" s="505"/>
      <c r="L2915" s="505"/>
      <c r="M2915" s="505"/>
      <c r="N2915" s="505"/>
      <c r="O2915" s="505"/>
      <c r="P2915" s="505"/>
      <c r="Q2915" s="505"/>
      <c r="R2915" s="505"/>
      <c r="S2915" s="505"/>
      <c r="T2915" s="505"/>
      <c r="U2915" s="505"/>
      <c r="V2915" s="505"/>
      <c r="W2915" s="505"/>
      <c r="X2915" s="505"/>
      <c r="Y2915" s="505"/>
    </row>
    <row r="2916" spans="1:25" s="88" customFormat="1" hidden="1" x14ac:dyDescent="0.25">
      <c r="A2916" s="481"/>
      <c r="B2916" s="288"/>
      <c r="C2916" s="267"/>
      <c r="D2916" s="258"/>
      <c r="E2916" s="679"/>
      <c r="F2916" s="499">
        <v>417</v>
      </c>
      <c r="G2916" s="492" t="s">
        <v>4143</v>
      </c>
      <c r="H2916" s="555"/>
      <c r="I2916" s="556"/>
      <c r="J2916" s="556">
        <f t="shared" si="101"/>
        <v>0</v>
      </c>
      <c r="K2916" s="505"/>
      <c r="L2916" s="505"/>
      <c r="M2916" s="505"/>
      <c r="N2916" s="505"/>
      <c r="O2916" s="505"/>
      <c r="P2916" s="505"/>
      <c r="Q2916" s="505"/>
      <c r="R2916" s="505"/>
      <c r="S2916" s="505"/>
      <c r="T2916" s="505"/>
      <c r="U2916" s="505"/>
      <c r="V2916" s="505"/>
      <c r="W2916" s="505"/>
      <c r="X2916" s="505"/>
      <c r="Y2916" s="505"/>
    </row>
    <row r="2917" spans="1:25" s="88" customFormat="1" hidden="1" x14ac:dyDescent="0.25">
      <c r="A2917" s="481"/>
      <c r="B2917" s="288"/>
      <c r="C2917" s="267"/>
      <c r="D2917" s="258"/>
      <c r="E2917" s="679"/>
      <c r="F2917" s="499">
        <v>418</v>
      </c>
      <c r="G2917" s="492" t="s">
        <v>3775</v>
      </c>
      <c r="H2917" s="555"/>
      <c r="I2917" s="556"/>
      <c r="J2917" s="556">
        <f t="shared" si="101"/>
        <v>0</v>
      </c>
      <c r="K2917" s="505"/>
      <c r="L2917" s="505"/>
      <c r="M2917" s="505"/>
      <c r="N2917" s="505"/>
      <c r="O2917" s="505"/>
      <c r="P2917" s="505"/>
      <c r="Q2917" s="505"/>
      <c r="R2917" s="505"/>
      <c r="S2917" s="505"/>
      <c r="T2917" s="505"/>
      <c r="U2917" s="505"/>
      <c r="V2917" s="505"/>
      <c r="W2917" s="505"/>
      <c r="X2917" s="505"/>
      <c r="Y2917" s="505"/>
    </row>
    <row r="2918" spans="1:25" s="88" customFormat="1" hidden="1" x14ac:dyDescent="0.25">
      <c r="A2918" s="481"/>
      <c r="B2918" s="288"/>
      <c r="C2918" s="267"/>
      <c r="D2918" s="258"/>
      <c r="E2918" s="679"/>
      <c r="F2918" s="499">
        <v>421</v>
      </c>
      <c r="G2918" s="492" t="s">
        <v>3779</v>
      </c>
      <c r="H2918" s="555"/>
      <c r="I2918" s="556"/>
      <c r="J2918" s="556">
        <f t="shared" si="101"/>
        <v>0</v>
      </c>
      <c r="K2918" s="505"/>
      <c r="L2918" s="505"/>
      <c r="M2918" s="505"/>
      <c r="N2918" s="505"/>
      <c r="O2918" s="505"/>
      <c r="P2918" s="505"/>
      <c r="Q2918" s="505"/>
      <c r="R2918" s="505"/>
      <c r="S2918" s="505"/>
      <c r="T2918" s="505"/>
      <c r="U2918" s="505"/>
      <c r="V2918" s="505"/>
      <c r="W2918" s="505"/>
      <c r="X2918" s="505"/>
      <c r="Y2918" s="505"/>
    </row>
    <row r="2919" spans="1:25" s="88" customFormat="1" hidden="1" x14ac:dyDescent="0.25">
      <c r="A2919" s="481"/>
      <c r="B2919" s="288"/>
      <c r="C2919" s="267"/>
      <c r="D2919" s="258"/>
      <c r="E2919" s="679"/>
      <c r="F2919" s="499">
        <v>422</v>
      </c>
      <c r="G2919" s="492" t="s">
        <v>3780</v>
      </c>
      <c r="H2919" s="555"/>
      <c r="I2919" s="556"/>
      <c r="J2919" s="556">
        <f t="shared" si="101"/>
        <v>0</v>
      </c>
      <c r="K2919" s="505"/>
      <c r="L2919" s="505"/>
      <c r="M2919" s="505"/>
      <c r="N2919" s="505"/>
      <c r="O2919" s="505"/>
      <c r="P2919" s="505"/>
      <c r="Q2919" s="505"/>
      <c r="R2919" s="505"/>
      <c r="S2919" s="505"/>
      <c r="T2919" s="505"/>
      <c r="U2919" s="505"/>
      <c r="V2919" s="505"/>
      <c r="W2919" s="505"/>
      <c r="X2919" s="505"/>
      <c r="Y2919" s="505"/>
    </row>
    <row r="2920" spans="1:25" s="88" customFormat="1" hidden="1" x14ac:dyDescent="0.25">
      <c r="A2920" s="481"/>
      <c r="B2920" s="288"/>
      <c r="C2920" s="267"/>
      <c r="D2920" s="258"/>
      <c r="E2920" s="679"/>
      <c r="F2920" s="499">
        <v>423</v>
      </c>
      <c r="G2920" s="492" t="s">
        <v>3781</v>
      </c>
      <c r="H2920" s="555"/>
      <c r="I2920" s="556"/>
      <c r="J2920" s="556">
        <f t="shared" si="101"/>
        <v>0</v>
      </c>
      <c r="K2920" s="505"/>
      <c r="L2920" s="505"/>
      <c r="M2920" s="505"/>
      <c r="N2920" s="505"/>
      <c r="O2920" s="505"/>
      <c r="P2920" s="505"/>
      <c r="Q2920" s="505"/>
      <c r="R2920" s="505"/>
      <c r="S2920" s="505"/>
      <c r="T2920" s="505"/>
      <c r="U2920" s="505"/>
      <c r="V2920" s="505"/>
      <c r="W2920" s="505"/>
      <c r="X2920" s="505"/>
      <c r="Y2920" s="505"/>
    </row>
    <row r="2921" spans="1:25" s="88" customFormat="1" hidden="1" x14ac:dyDescent="0.25">
      <c r="A2921" s="481"/>
      <c r="B2921" s="288"/>
      <c r="C2921" s="267"/>
      <c r="D2921" s="258"/>
      <c r="E2921" s="679"/>
      <c r="F2921" s="499">
        <v>424</v>
      </c>
      <c r="G2921" s="492" t="s">
        <v>3783</v>
      </c>
      <c r="H2921" s="555"/>
      <c r="I2921" s="556"/>
      <c r="J2921" s="556">
        <f t="shared" si="101"/>
        <v>0</v>
      </c>
      <c r="K2921" s="505"/>
      <c r="L2921" s="505"/>
      <c r="M2921" s="505"/>
      <c r="N2921" s="505"/>
      <c r="O2921" s="505"/>
      <c r="P2921" s="505"/>
      <c r="Q2921" s="505"/>
      <c r="R2921" s="505"/>
      <c r="S2921" s="505"/>
      <c r="T2921" s="505"/>
      <c r="U2921" s="505"/>
      <c r="V2921" s="505"/>
      <c r="W2921" s="505"/>
      <c r="X2921" s="505"/>
      <c r="Y2921" s="505"/>
    </row>
    <row r="2922" spans="1:25" s="88" customFormat="1" hidden="1" x14ac:dyDescent="0.25">
      <c r="A2922" s="481"/>
      <c r="B2922" s="288"/>
      <c r="C2922" s="267"/>
      <c r="D2922" s="258"/>
      <c r="E2922" s="679"/>
      <c r="F2922" s="499">
        <v>425</v>
      </c>
      <c r="G2922" s="492" t="s">
        <v>4144</v>
      </c>
      <c r="H2922" s="555"/>
      <c r="I2922" s="556"/>
      <c r="J2922" s="556">
        <f t="shared" si="101"/>
        <v>0</v>
      </c>
      <c r="K2922" s="505"/>
      <c r="L2922" s="505"/>
      <c r="M2922" s="505"/>
      <c r="N2922" s="505"/>
      <c r="O2922" s="505"/>
      <c r="P2922" s="505"/>
      <c r="Q2922" s="505"/>
      <c r="R2922" s="505"/>
      <c r="S2922" s="505"/>
      <c r="T2922" s="505"/>
      <c r="U2922" s="505"/>
      <c r="V2922" s="505"/>
      <c r="W2922" s="505"/>
      <c r="X2922" s="505"/>
      <c r="Y2922" s="505"/>
    </row>
    <row r="2923" spans="1:25" s="88" customFormat="1" hidden="1" x14ac:dyDescent="0.25">
      <c r="A2923" s="481"/>
      <c r="B2923" s="288"/>
      <c r="C2923" s="267"/>
      <c r="D2923" s="258"/>
      <c r="E2923" s="679"/>
      <c r="F2923" s="499">
        <v>426</v>
      </c>
      <c r="G2923" s="492" t="s">
        <v>3787</v>
      </c>
      <c r="H2923" s="555"/>
      <c r="I2923" s="556"/>
      <c r="J2923" s="556">
        <f t="shared" si="101"/>
        <v>0</v>
      </c>
      <c r="K2923" s="505"/>
      <c r="L2923" s="505"/>
      <c r="M2923" s="505"/>
      <c r="N2923" s="505"/>
      <c r="O2923" s="505"/>
      <c r="P2923" s="505"/>
      <c r="Q2923" s="505"/>
      <c r="R2923" s="505"/>
      <c r="S2923" s="505"/>
      <c r="T2923" s="505"/>
      <c r="U2923" s="505"/>
      <c r="V2923" s="505"/>
      <c r="W2923" s="505"/>
      <c r="X2923" s="505"/>
      <c r="Y2923" s="505"/>
    </row>
    <row r="2924" spans="1:25" s="88" customFormat="1" hidden="1" x14ac:dyDescent="0.25">
      <c r="A2924" s="481"/>
      <c r="B2924" s="288"/>
      <c r="C2924" s="267"/>
      <c r="D2924" s="258"/>
      <c r="E2924" s="679"/>
      <c r="F2924" s="499">
        <v>431</v>
      </c>
      <c r="G2924" s="492" t="s">
        <v>4145</v>
      </c>
      <c r="H2924" s="555"/>
      <c r="I2924" s="556"/>
      <c r="J2924" s="556">
        <f t="shared" si="101"/>
        <v>0</v>
      </c>
      <c r="K2924" s="505"/>
      <c r="L2924" s="505"/>
      <c r="M2924" s="505"/>
      <c r="N2924" s="505"/>
      <c r="O2924" s="505"/>
      <c r="P2924" s="505"/>
      <c r="Q2924" s="505"/>
      <c r="R2924" s="505"/>
      <c r="S2924" s="505"/>
      <c r="T2924" s="505"/>
      <c r="U2924" s="505"/>
      <c r="V2924" s="505"/>
      <c r="W2924" s="505"/>
      <c r="X2924" s="505"/>
      <c r="Y2924" s="505"/>
    </row>
    <row r="2925" spans="1:25" s="88" customFormat="1" hidden="1" x14ac:dyDescent="0.25">
      <c r="A2925" s="481"/>
      <c r="B2925" s="288"/>
      <c r="C2925" s="267"/>
      <c r="D2925" s="258"/>
      <c r="E2925" s="679"/>
      <c r="F2925" s="499">
        <v>432</v>
      </c>
      <c r="G2925" s="492" t="s">
        <v>4146</v>
      </c>
      <c r="H2925" s="555"/>
      <c r="I2925" s="556"/>
      <c r="J2925" s="556">
        <f t="shared" si="101"/>
        <v>0</v>
      </c>
      <c r="K2925" s="505"/>
      <c r="L2925" s="505"/>
      <c r="M2925" s="505"/>
      <c r="N2925" s="505"/>
      <c r="O2925" s="505"/>
      <c r="P2925" s="505"/>
      <c r="Q2925" s="505"/>
      <c r="R2925" s="505"/>
      <c r="S2925" s="505"/>
      <c r="T2925" s="505"/>
      <c r="U2925" s="505"/>
      <c r="V2925" s="505"/>
      <c r="W2925" s="505"/>
      <c r="X2925" s="505"/>
      <c r="Y2925" s="505"/>
    </row>
    <row r="2926" spans="1:25" s="88" customFormat="1" hidden="1" x14ac:dyDescent="0.25">
      <c r="A2926" s="481"/>
      <c r="B2926" s="288"/>
      <c r="C2926" s="267"/>
      <c r="D2926" s="258"/>
      <c r="E2926" s="679"/>
      <c r="F2926" s="499">
        <v>433</v>
      </c>
      <c r="G2926" s="492" t="s">
        <v>4147</v>
      </c>
      <c r="H2926" s="555"/>
      <c r="I2926" s="556"/>
      <c r="J2926" s="556">
        <f t="shared" si="101"/>
        <v>0</v>
      </c>
      <c r="K2926" s="505"/>
      <c r="L2926" s="505"/>
      <c r="M2926" s="505"/>
      <c r="N2926" s="505"/>
      <c r="O2926" s="505"/>
      <c r="P2926" s="505"/>
      <c r="Q2926" s="505"/>
      <c r="R2926" s="505"/>
      <c r="S2926" s="505"/>
      <c r="T2926" s="505"/>
      <c r="U2926" s="505"/>
      <c r="V2926" s="505"/>
      <c r="W2926" s="505"/>
      <c r="X2926" s="505"/>
      <c r="Y2926" s="505"/>
    </row>
    <row r="2927" spans="1:25" s="88" customFormat="1" hidden="1" x14ac:dyDescent="0.25">
      <c r="A2927" s="481"/>
      <c r="B2927" s="288"/>
      <c r="C2927" s="267"/>
      <c r="D2927" s="258"/>
      <c r="E2927" s="679"/>
      <c r="F2927" s="499">
        <v>434</v>
      </c>
      <c r="G2927" s="492" t="s">
        <v>4148</v>
      </c>
      <c r="H2927" s="555"/>
      <c r="I2927" s="556"/>
      <c r="J2927" s="556">
        <f t="shared" si="101"/>
        <v>0</v>
      </c>
      <c r="K2927" s="505"/>
      <c r="L2927" s="505"/>
      <c r="M2927" s="505"/>
      <c r="N2927" s="505"/>
      <c r="O2927" s="505"/>
      <c r="P2927" s="505"/>
      <c r="Q2927" s="505"/>
      <c r="R2927" s="505"/>
      <c r="S2927" s="505"/>
      <c r="T2927" s="505"/>
      <c r="U2927" s="505"/>
      <c r="V2927" s="505"/>
      <c r="W2927" s="505"/>
      <c r="X2927" s="505"/>
      <c r="Y2927" s="505"/>
    </row>
    <row r="2928" spans="1:25" s="88" customFormat="1" hidden="1" x14ac:dyDescent="0.25">
      <c r="A2928" s="481"/>
      <c r="B2928" s="288"/>
      <c r="C2928" s="267"/>
      <c r="D2928" s="258"/>
      <c r="E2928" s="679"/>
      <c r="F2928" s="499">
        <v>435</v>
      </c>
      <c r="G2928" s="492" t="s">
        <v>3794</v>
      </c>
      <c r="H2928" s="555"/>
      <c r="I2928" s="556"/>
      <c r="J2928" s="556">
        <f t="shared" si="101"/>
        <v>0</v>
      </c>
      <c r="K2928" s="505"/>
      <c r="L2928" s="505"/>
      <c r="M2928" s="505"/>
      <c r="N2928" s="505"/>
      <c r="O2928" s="505"/>
      <c r="P2928" s="505"/>
      <c r="Q2928" s="505"/>
      <c r="R2928" s="505"/>
      <c r="S2928" s="505"/>
      <c r="T2928" s="505"/>
      <c r="U2928" s="505"/>
      <c r="V2928" s="505"/>
      <c r="W2928" s="505"/>
      <c r="X2928" s="505"/>
      <c r="Y2928" s="505"/>
    </row>
    <row r="2929" spans="1:25" s="88" customFormat="1" hidden="1" x14ac:dyDescent="0.25">
      <c r="A2929" s="481"/>
      <c r="B2929" s="288"/>
      <c r="C2929" s="267"/>
      <c r="D2929" s="258"/>
      <c r="E2929" s="679"/>
      <c r="F2929" s="499">
        <v>441</v>
      </c>
      <c r="G2929" s="492" t="s">
        <v>4149</v>
      </c>
      <c r="H2929" s="555"/>
      <c r="I2929" s="556"/>
      <c r="J2929" s="556">
        <f t="shared" si="101"/>
        <v>0</v>
      </c>
      <c r="K2929" s="505"/>
      <c r="L2929" s="505"/>
      <c r="M2929" s="505"/>
      <c r="N2929" s="505"/>
      <c r="O2929" s="505"/>
      <c r="P2929" s="505"/>
      <c r="Q2929" s="505"/>
      <c r="R2929" s="505"/>
      <c r="S2929" s="505"/>
      <c r="T2929" s="505"/>
      <c r="U2929" s="505"/>
      <c r="V2929" s="505"/>
      <c r="W2929" s="505"/>
      <c r="X2929" s="505"/>
      <c r="Y2929" s="505"/>
    </row>
    <row r="2930" spans="1:25" s="88" customFormat="1" hidden="1" x14ac:dyDescent="0.25">
      <c r="A2930" s="481"/>
      <c r="B2930" s="288"/>
      <c r="C2930" s="267"/>
      <c r="D2930" s="258"/>
      <c r="E2930" s="679"/>
      <c r="F2930" s="499">
        <v>442</v>
      </c>
      <c r="G2930" s="492" t="s">
        <v>4150</v>
      </c>
      <c r="H2930" s="555"/>
      <c r="I2930" s="556"/>
      <c r="J2930" s="556">
        <f t="shared" si="101"/>
        <v>0</v>
      </c>
      <c r="K2930" s="505"/>
      <c r="L2930" s="505"/>
      <c r="M2930" s="505"/>
      <c r="N2930" s="505"/>
      <c r="O2930" s="505"/>
      <c r="P2930" s="505"/>
      <c r="Q2930" s="505"/>
      <c r="R2930" s="505"/>
      <c r="S2930" s="505"/>
      <c r="T2930" s="505"/>
      <c r="U2930" s="505"/>
      <c r="V2930" s="505"/>
      <c r="W2930" s="505"/>
      <c r="X2930" s="505"/>
      <c r="Y2930" s="505"/>
    </row>
    <row r="2931" spans="1:25" s="88" customFormat="1" hidden="1" x14ac:dyDescent="0.25">
      <c r="A2931" s="481"/>
      <c r="B2931" s="288"/>
      <c r="C2931" s="267"/>
      <c r="D2931" s="258"/>
      <c r="E2931" s="679"/>
      <c r="F2931" s="499">
        <v>443</v>
      </c>
      <c r="G2931" s="492" t="s">
        <v>3799</v>
      </c>
      <c r="H2931" s="555"/>
      <c r="I2931" s="556"/>
      <c r="J2931" s="556">
        <f t="shared" si="101"/>
        <v>0</v>
      </c>
      <c r="K2931" s="505"/>
      <c r="L2931" s="505"/>
      <c r="M2931" s="505"/>
      <c r="N2931" s="505"/>
      <c r="O2931" s="505"/>
      <c r="P2931" s="505"/>
      <c r="Q2931" s="505"/>
      <c r="R2931" s="505"/>
      <c r="S2931" s="505"/>
      <c r="T2931" s="505"/>
      <c r="U2931" s="505"/>
      <c r="V2931" s="505"/>
      <c r="W2931" s="505"/>
      <c r="X2931" s="505"/>
      <c r="Y2931" s="505"/>
    </row>
    <row r="2932" spans="1:25" s="88" customFormat="1" hidden="1" x14ac:dyDescent="0.25">
      <c r="A2932" s="481"/>
      <c r="B2932" s="288"/>
      <c r="C2932" s="267"/>
      <c r="D2932" s="258"/>
      <c r="E2932" s="679"/>
      <c r="F2932" s="499">
        <v>444</v>
      </c>
      <c r="G2932" s="492" t="s">
        <v>3800</v>
      </c>
      <c r="H2932" s="555"/>
      <c r="I2932" s="556"/>
      <c r="J2932" s="556">
        <f t="shared" si="101"/>
        <v>0</v>
      </c>
      <c r="K2932" s="505"/>
      <c r="L2932" s="505"/>
      <c r="M2932" s="505"/>
      <c r="N2932" s="505"/>
      <c r="O2932" s="505"/>
      <c r="P2932" s="505"/>
      <c r="Q2932" s="505"/>
      <c r="R2932" s="505"/>
      <c r="S2932" s="505"/>
      <c r="T2932" s="505"/>
      <c r="U2932" s="505"/>
      <c r="V2932" s="505"/>
      <c r="W2932" s="505"/>
      <c r="X2932" s="505"/>
      <c r="Y2932" s="505"/>
    </row>
    <row r="2933" spans="1:25" s="88" customFormat="1" ht="30" hidden="1" x14ac:dyDescent="0.25">
      <c r="A2933" s="481"/>
      <c r="B2933" s="288"/>
      <c r="C2933" s="267"/>
      <c r="D2933" s="258"/>
      <c r="E2933" s="679"/>
      <c r="F2933" s="499">
        <v>4511</v>
      </c>
      <c r="G2933" s="769" t="s">
        <v>1690</v>
      </c>
      <c r="H2933" s="555"/>
      <c r="I2933" s="556"/>
      <c r="J2933" s="556">
        <f t="shared" si="101"/>
        <v>0</v>
      </c>
      <c r="K2933" s="505"/>
      <c r="L2933" s="505"/>
      <c r="M2933" s="505"/>
      <c r="N2933" s="505"/>
      <c r="O2933" s="505"/>
      <c r="P2933" s="505"/>
      <c r="Q2933" s="505"/>
      <c r="R2933" s="505"/>
      <c r="S2933" s="505"/>
      <c r="T2933" s="505"/>
      <c r="U2933" s="505"/>
      <c r="V2933" s="505"/>
      <c r="W2933" s="505"/>
      <c r="X2933" s="505"/>
      <c r="Y2933" s="505"/>
    </row>
    <row r="2934" spans="1:25" s="88" customFormat="1" ht="30" hidden="1" x14ac:dyDescent="0.25">
      <c r="A2934" s="481"/>
      <c r="B2934" s="288"/>
      <c r="C2934" s="267"/>
      <c r="D2934" s="258"/>
      <c r="E2934" s="679"/>
      <c r="F2934" s="499">
        <v>4512</v>
      </c>
      <c r="G2934" s="769" t="s">
        <v>1699</v>
      </c>
      <c r="H2934" s="555"/>
      <c r="I2934" s="556"/>
      <c r="J2934" s="556">
        <f t="shared" si="101"/>
        <v>0</v>
      </c>
      <c r="K2934" s="505"/>
      <c r="L2934" s="505"/>
      <c r="M2934" s="505"/>
      <c r="N2934" s="505"/>
      <c r="O2934" s="505"/>
      <c r="P2934" s="505"/>
      <c r="Q2934" s="505"/>
      <c r="R2934" s="505"/>
      <c r="S2934" s="505"/>
      <c r="T2934" s="505"/>
      <c r="U2934" s="505"/>
      <c r="V2934" s="505"/>
      <c r="W2934" s="505"/>
      <c r="X2934" s="505"/>
      <c r="Y2934" s="505"/>
    </row>
    <row r="2935" spans="1:25" s="88" customFormat="1" hidden="1" x14ac:dyDescent="0.25">
      <c r="A2935" s="481"/>
      <c r="B2935" s="288"/>
      <c r="C2935" s="267"/>
      <c r="D2935" s="258"/>
      <c r="E2935" s="679"/>
      <c r="F2935" s="499">
        <v>452</v>
      </c>
      <c r="G2935" s="492" t="s">
        <v>4151</v>
      </c>
      <c r="H2935" s="555"/>
      <c r="I2935" s="556"/>
      <c r="J2935" s="556">
        <f t="shared" si="101"/>
        <v>0</v>
      </c>
      <c r="K2935" s="505"/>
      <c r="L2935" s="505"/>
      <c r="M2935" s="505"/>
      <c r="N2935" s="505"/>
      <c r="O2935" s="505"/>
      <c r="P2935" s="505"/>
      <c r="Q2935" s="505"/>
      <c r="R2935" s="505"/>
      <c r="S2935" s="505"/>
      <c r="T2935" s="505"/>
      <c r="U2935" s="505"/>
      <c r="V2935" s="505"/>
      <c r="W2935" s="505"/>
      <c r="X2935" s="505"/>
      <c r="Y2935" s="505"/>
    </row>
    <row r="2936" spans="1:25" s="88" customFormat="1" hidden="1" x14ac:dyDescent="0.25">
      <c r="A2936" s="481"/>
      <c r="B2936" s="288"/>
      <c r="C2936" s="267"/>
      <c r="D2936" s="258"/>
      <c r="E2936" s="679"/>
      <c r="F2936" s="499">
        <v>453</v>
      </c>
      <c r="G2936" s="492" t="s">
        <v>4152</v>
      </c>
      <c r="H2936" s="555"/>
      <c r="I2936" s="556"/>
      <c r="J2936" s="556">
        <f t="shared" si="101"/>
        <v>0</v>
      </c>
      <c r="K2936" s="505"/>
      <c r="L2936" s="505"/>
      <c r="M2936" s="505"/>
      <c r="N2936" s="505"/>
      <c r="O2936" s="505"/>
      <c r="P2936" s="505"/>
      <c r="Q2936" s="505"/>
      <c r="R2936" s="505"/>
      <c r="S2936" s="505"/>
      <c r="T2936" s="505"/>
      <c r="U2936" s="505"/>
      <c r="V2936" s="505"/>
      <c r="W2936" s="505"/>
      <c r="X2936" s="505"/>
      <c r="Y2936" s="505"/>
    </row>
    <row r="2937" spans="1:25" s="88" customFormat="1" hidden="1" x14ac:dyDescent="0.25">
      <c r="A2937" s="481"/>
      <c r="B2937" s="288"/>
      <c r="C2937" s="267"/>
      <c r="D2937" s="258"/>
      <c r="E2937" s="679"/>
      <c r="F2937" s="499">
        <v>454</v>
      </c>
      <c r="G2937" s="492" t="s">
        <v>3805</v>
      </c>
      <c r="H2937" s="555"/>
      <c r="I2937" s="556"/>
      <c r="J2937" s="556">
        <f t="shared" si="101"/>
        <v>0</v>
      </c>
      <c r="K2937" s="505"/>
      <c r="L2937" s="505"/>
      <c r="M2937" s="505"/>
      <c r="N2937" s="505"/>
      <c r="O2937" s="505"/>
      <c r="P2937" s="505"/>
      <c r="Q2937" s="505"/>
      <c r="R2937" s="505"/>
      <c r="S2937" s="505"/>
      <c r="T2937" s="505"/>
      <c r="U2937" s="505"/>
      <c r="V2937" s="505"/>
      <c r="W2937" s="505"/>
      <c r="X2937" s="505"/>
      <c r="Y2937" s="505"/>
    </row>
    <row r="2938" spans="1:25" s="88" customFormat="1" hidden="1" x14ac:dyDescent="0.25">
      <c r="A2938" s="481"/>
      <c r="B2938" s="288"/>
      <c r="C2938" s="267"/>
      <c r="D2938" s="258"/>
      <c r="E2938" s="679"/>
      <c r="F2938" s="499">
        <v>461</v>
      </c>
      <c r="G2938" s="492" t="s">
        <v>4133</v>
      </c>
      <c r="H2938" s="555"/>
      <c r="I2938" s="556"/>
      <c r="J2938" s="556">
        <f t="shared" si="101"/>
        <v>0</v>
      </c>
      <c r="K2938" s="505"/>
      <c r="L2938" s="505"/>
      <c r="M2938" s="505"/>
      <c r="N2938" s="505"/>
      <c r="O2938" s="505"/>
      <c r="P2938" s="505"/>
      <c r="Q2938" s="505"/>
      <c r="R2938" s="505"/>
      <c r="S2938" s="505"/>
      <c r="T2938" s="505"/>
      <c r="U2938" s="505"/>
      <c r="V2938" s="505"/>
      <c r="W2938" s="505"/>
      <c r="X2938" s="505"/>
      <c r="Y2938" s="505"/>
    </row>
    <row r="2939" spans="1:25" s="88" customFormat="1" hidden="1" x14ac:dyDescent="0.25">
      <c r="A2939" s="481"/>
      <c r="B2939" s="288"/>
      <c r="C2939" s="267"/>
      <c r="D2939" s="258"/>
      <c r="E2939" s="679"/>
      <c r="F2939" s="499">
        <v>462</v>
      </c>
      <c r="G2939" s="492" t="s">
        <v>3808</v>
      </c>
      <c r="H2939" s="555"/>
      <c r="I2939" s="556"/>
      <c r="J2939" s="556">
        <f t="shared" si="101"/>
        <v>0</v>
      </c>
      <c r="K2939" s="505"/>
      <c r="L2939" s="505"/>
      <c r="M2939" s="505"/>
      <c r="N2939" s="505"/>
      <c r="O2939" s="505"/>
      <c r="P2939" s="505"/>
      <c r="Q2939" s="505"/>
      <c r="R2939" s="505"/>
      <c r="S2939" s="505"/>
      <c r="T2939" s="505"/>
      <c r="U2939" s="505"/>
      <c r="V2939" s="505"/>
      <c r="W2939" s="505"/>
      <c r="X2939" s="505"/>
      <c r="Y2939" s="505"/>
    </row>
    <row r="2940" spans="1:25" s="88" customFormat="1" hidden="1" x14ac:dyDescent="0.25">
      <c r="A2940" s="481"/>
      <c r="B2940" s="288"/>
      <c r="C2940" s="267"/>
      <c r="D2940" s="258"/>
      <c r="E2940" s="679"/>
      <c r="F2940" s="499">
        <v>4631</v>
      </c>
      <c r="G2940" s="492" t="s">
        <v>3809</v>
      </c>
      <c r="H2940" s="555"/>
      <c r="I2940" s="556"/>
      <c r="J2940" s="556">
        <f t="shared" si="101"/>
        <v>0</v>
      </c>
      <c r="K2940" s="505"/>
      <c r="L2940" s="505"/>
      <c r="M2940" s="505"/>
      <c r="N2940" s="505"/>
      <c r="O2940" s="505"/>
      <c r="P2940" s="505"/>
      <c r="Q2940" s="505"/>
      <c r="R2940" s="505"/>
      <c r="S2940" s="505"/>
      <c r="T2940" s="505"/>
      <c r="U2940" s="505"/>
      <c r="V2940" s="505"/>
      <c r="W2940" s="505"/>
      <c r="X2940" s="505"/>
      <c r="Y2940" s="505"/>
    </row>
    <row r="2941" spans="1:25" s="88" customFormat="1" hidden="1" x14ac:dyDescent="0.25">
      <c r="A2941" s="481"/>
      <c r="B2941" s="288"/>
      <c r="C2941" s="267"/>
      <c r="D2941" s="258"/>
      <c r="E2941" s="679"/>
      <c r="F2941" s="499">
        <v>4632</v>
      </c>
      <c r="G2941" s="492" t="s">
        <v>3810</v>
      </c>
      <c r="H2941" s="555"/>
      <c r="I2941" s="556"/>
      <c r="J2941" s="556">
        <f t="shared" si="101"/>
        <v>0</v>
      </c>
      <c r="K2941" s="505"/>
      <c r="L2941" s="505"/>
      <c r="M2941" s="505"/>
      <c r="N2941" s="505"/>
      <c r="O2941" s="505"/>
      <c r="P2941" s="505"/>
      <c r="Q2941" s="505"/>
      <c r="R2941" s="505"/>
      <c r="S2941" s="505"/>
      <c r="T2941" s="505"/>
      <c r="U2941" s="505"/>
      <c r="V2941" s="505"/>
      <c r="W2941" s="505"/>
      <c r="X2941" s="505"/>
      <c r="Y2941" s="505"/>
    </row>
    <row r="2942" spans="1:25" s="88" customFormat="1" hidden="1" x14ac:dyDescent="0.25">
      <c r="A2942" s="481"/>
      <c r="B2942" s="288"/>
      <c r="C2942" s="267"/>
      <c r="D2942" s="258"/>
      <c r="E2942" s="679"/>
      <c r="F2942" s="499">
        <v>464</v>
      </c>
      <c r="G2942" s="492" t="s">
        <v>3811</v>
      </c>
      <c r="H2942" s="555"/>
      <c r="I2942" s="556"/>
      <c r="J2942" s="556">
        <f t="shared" si="101"/>
        <v>0</v>
      </c>
      <c r="K2942" s="505"/>
      <c r="L2942" s="505"/>
      <c r="M2942" s="505"/>
      <c r="N2942" s="505"/>
      <c r="O2942" s="505"/>
      <c r="P2942" s="505"/>
      <c r="Q2942" s="505"/>
      <c r="R2942" s="505"/>
      <c r="S2942" s="505"/>
      <c r="T2942" s="505"/>
      <c r="U2942" s="505"/>
      <c r="V2942" s="505"/>
      <c r="W2942" s="505"/>
      <c r="X2942" s="505"/>
      <c r="Y2942" s="505"/>
    </row>
    <row r="2943" spans="1:25" s="88" customFormat="1" hidden="1" x14ac:dyDescent="0.25">
      <c r="A2943" s="481"/>
      <c r="B2943" s="288"/>
      <c r="C2943" s="267"/>
      <c r="D2943" s="258"/>
      <c r="E2943" s="679"/>
      <c r="F2943" s="499">
        <v>465</v>
      </c>
      <c r="G2943" s="492" t="s">
        <v>4134</v>
      </c>
      <c r="H2943" s="555"/>
      <c r="I2943" s="556"/>
      <c r="J2943" s="556">
        <f t="shared" si="101"/>
        <v>0</v>
      </c>
      <c r="K2943" s="505"/>
      <c r="L2943" s="505"/>
      <c r="M2943" s="505"/>
      <c r="N2943" s="505"/>
      <c r="O2943" s="505"/>
      <c r="P2943" s="505"/>
      <c r="Q2943" s="505"/>
      <c r="R2943" s="505"/>
      <c r="S2943" s="505"/>
      <c r="T2943" s="505"/>
      <c r="U2943" s="505"/>
      <c r="V2943" s="505"/>
      <c r="W2943" s="505"/>
      <c r="X2943" s="505"/>
      <c r="Y2943" s="505"/>
    </row>
    <row r="2944" spans="1:25" s="88" customFormat="1" hidden="1" x14ac:dyDescent="0.25">
      <c r="A2944" s="481"/>
      <c r="B2944" s="288"/>
      <c r="C2944" s="267"/>
      <c r="D2944" s="258"/>
      <c r="E2944" s="679"/>
      <c r="F2944" s="499">
        <v>472</v>
      </c>
      <c r="G2944" s="492" t="s">
        <v>3815</v>
      </c>
      <c r="H2944" s="555"/>
      <c r="I2944" s="556"/>
      <c r="J2944" s="556">
        <f t="shared" si="101"/>
        <v>0</v>
      </c>
      <c r="K2944" s="505"/>
      <c r="L2944" s="505"/>
      <c r="M2944" s="505"/>
      <c r="N2944" s="505"/>
      <c r="O2944" s="505"/>
      <c r="P2944" s="505"/>
      <c r="Q2944" s="505"/>
      <c r="R2944" s="505"/>
      <c r="S2944" s="505"/>
      <c r="T2944" s="505"/>
      <c r="U2944" s="505"/>
      <c r="V2944" s="505"/>
      <c r="W2944" s="505"/>
      <c r="X2944" s="505"/>
      <c r="Y2944" s="505"/>
    </row>
    <row r="2945" spans="1:25" s="88" customFormat="1" ht="18" customHeight="1" thickBot="1" x14ac:dyDescent="0.3">
      <c r="A2945" s="481"/>
      <c r="B2945" s="288"/>
      <c r="C2945" s="267"/>
      <c r="D2945" s="258"/>
      <c r="E2945" s="679">
        <v>99</v>
      </c>
      <c r="F2945" s="499">
        <v>481</v>
      </c>
      <c r="G2945" s="492" t="s">
        <v>5365</v>
      </c>
      <c r="H2945" s="555">
        <v>1000000</v>
      </c>
      <c r="I2945" s="556"/>
      <c r="J2945" s="556">
        <f t="shared" si="101"/>
        <v>1000000</v>
      </c>
      <c r="K2945" s="505"/>
      <c r="L2945" s="505"/>
      <c r="M2945" s="505"/>
      <c r="N2945" s="505"/>
      <c r="O2945" s="505"/>
      <c r="P2945" s="505"/>
      <c r="Q2945" s="505"/>
      <c r="R2945" s="505"/>
      <c r="S2945" s="505"/>
      <c r="T2945" s="505"/>
      <c r="U2945" s="505"/>
      <c r="V2945" s="505"/>
      <c r="W2945" s="505"/>
      <c r="X2945" s="505"/>
      <c r="Y2945" s="505"/>
    </row>
    <row r="2946" spans="1:25" s="88" customFormat="1" ht="13.5" customHeight="1" x14ac:dyDescent="0.25">
      <c r="A2946" s="481"/>
      <c r="B2946" s="288"/>
      <c r="C2946" s="334"/>
      <c r="D2946" s="258"/>
      <c r="E2946" s="489"/>
      <c r="F2946" s="500"/>
      <c r="G2946" s="342" t="s">
        <v>4356</v>
      </c>
      <c r="H2946" s="557"/>
      <c r="I2946" s="583"/>
      <c r="J2946" s="558"/>
      <c r="K2946" s="505"/>
      <c r="L2946" s="505"/>
      <c r="M2946" s="505"/>
      <c r="N2946" s="505"/>
      <c r="O2946" s="505"/>
      <c r="P2946" s="505"/>
      <c r="Q2946" s="505"/>
      <c r="R2946" s="505"/>
      <c r="S2946" s="505"/>
      <c r="T2946" s="505"/>
      <c r="U2946" s="505"/>
      <c r="V2946" s="505"/>
      <c r="W2946" s="505"/>
      <c r="X2946" s="505"/>
      <c r="Y2946" s="505"/>
    </row>
    <row r="2947" spans="1:25" s="88" customFormat="1" ht="17.25" customHeight="1" thickBot="1" x14ac:dyDescent="0.3">
      <c r="A2947" s="481"/>
      <c r="B2947" s="288"/>
      <c r="C2947" s="334"/>
      <c r="D2947" s="258"/>
      <c r="E2947" s="693"/>
      <c r="F2947" s="597" t="s">
        <v>234</v>
      </c>
      <c r="G2947" s="598" t="s">
        <v>235</v>
      </c>
      <c r="H2947" s="559">
        <f>SUM(H2945)</f>
        <v>1000000</v>
      </c>
      <c r="I2947" s="560"/>
      <c r="J2947" s="560">
        <f>SUM(H2947:I2947)</f>
        <v>1000000</v>
      </c>
      <c r="K2947" s="505"/>
      <c r="L2947" s="505"/>
      <c r="M2947" s="505"/>
      <c r="N2947" s="505"/>
      <c r="O2947" s="505"/>
      <c r="P2947" s="505"/>
      <c r="Q2947" s="505"/>
      <c r="R2947" s="505"/>
      <c r="S2947" s="505"/>
      <c r="T2947" s="505"/>
      <c r="U2947" s="505"/>
      <c r="V2947" s="505"/>
      <c r="W2947" s="505"/>
      <c r="X2947" s="505"/>
      <c r="Y2947" s="505"/>
    </row>
    <row r="2948" spans="1:25" s="88" customFormat="1" hidden="1" x14ac:dyDescent="0.25">
      <c r="A2948" s="481"/>
      <c r="B2948" s="288"/>
      <c r="C2948" s="334"/>
      <c r="D2948" s="258"/>
      <c r="E2948" s="679"/>
      <c r="F2948" s="597" t="s">
        <v>236</v>
      </c>
      <c r="G2948" s="598" t="s">
        <v>237</v>
      </c>
      <c r="H2948" s="555"/>
      <c r="I2948" s="556"/>
      <c r="J2948" s="560">
        <f t="shared" ref="J2948:J2962" si="102">SUM(H2948:I2948)</f>
        <v>0</v>
      </c>
      <c r="K2948" s="505"/>
      <c r="L2948" s="505"/>
      <c r="M2948" s="505"/>
      <c r="N2948" s="505"/>
      <c r="O2948" s="505"/>
      <c r="P2948" s="505"/>
      <c r="Q2948" s="505"/>
      <c r="R2948" s="505"/>
      <c r="S2948" s="505"/>
      <c r="T2948" s="505"/>
      <c r="U2948" s="505"/>
      <c r="V2948" s="505"/>
      <c r="W2948" s="505"/>
      <c r="X2948" s="505"/>
      <c r="Y2948" s="505"/>
    </row>
    <row r="2949" spans="1:25" s="88" customFormat="1" hidden="1" x14ac:dyDescent="0.25">
      <c r="A2949" s="481"/>
      <c r="B2949" s="288"/>
      <c r="C2949" s="334"/>
      <c r="D2949" s="258"/>
      <c r="E2949" s="679"/>
      <c r="F2949" s="597" t="s">
        <v>238</v>
      </c>
      <c r="G2949" s="598" t="s">
        <v>239</v>
      </c>
      <c r="H2949" s="555"/>
      <c r="I2949" s="556"/>
      <c r="J2949" s="560">
        <f t="shared" si="102"/>
        <v>0</v>
      </c>
      <c r="K2949" s="505"/>
      <c r="L2949" s="505"/>
      <c r="M2949" s="505"/>
      <c r="N2949" s="505"/>
      <c r="O2949" s="505"/>
      <c r="P2949" s="505"/>
      <c r="Q2949" s="505"/>
      <c r="R2949" s="505"/>
      <c r="S2949" s="505"/>
      <c r="T2949" s="505"/>
      <c r="U2949" s="505"/>
      <c r="V2949" s="505"/>
      <c r="W2949" s="505"/>
      <c r="X2949" s="505"/>
      <c r="Y2949" s="505"/>
    </row>
    <row r="2950" spans="1:25" s="88" customFormat="1" hidden="1" x14ac:dyDescent="0.25">
      <c r="A2950" s="481"/>
      <c r="B2950" s="288"/>
      <c r="C2950" s="334"/>
      <c r="D2950" s="258"/>
      <c r="E2950" s="679"/>
      <c r="F2950" s="597" t="s">
        <v>240</v>
      </c>
      <c r="G2950" s="598" t="s">
        <v>241</v>
      </c>
      <c r="H2950" s="555"/>
      <c r="I2950" s="556"/>
      <c r="J2950" s="560">
        <f t="shared" si="102"/>
        <v>0</v>
      </c>
      <c r="K2950" s="505"/>
      <c r="L2950" s="505"/>
      <c r="M2950" s="505"/>
      <c r="N2950" s="505"/>
      <c r="O2950" s="505"/>
      <c r="P2950" s="505"/>
      <c r="Q2950" s="505"/>
      <c r="R2950" s="505"/>
      <c r="S2950" s="505"/>
      <c r="T2950" s="505"/>
      <c r="U2950" s="505"/>
      <c r="V2950" s="505"/>
      <c r="W2950" s="505"/>
      <c r="X2950" s="505"/>
      <c r="Y2950" s="505"/>
    </row>
    <row r="2951" spans="1:25" s="88" customFormat="1" hidden="1" x14ac:dyDescent="0.25">
      <c r="A2951" s="481"/>
      <c r="B2951" s="288"/>
      <c r="C2951" s="334"/>
      <c r="D2951" s="258"/>
      <c r="E2951" s="679"/>
      <c r="F2951" s="597" t="s">
        <v>242</v>
      </c>
      <c r="G2951" s="598" t="s">
        <v>243</v>
      </c>
      <c r="H2951" s="555"/>
      <c r="I2951" s="556"/>
      <c r="J2951" s="560">
        <f t="shared" si="102"/>
        <v>0</v>
      </c>
      <c r="K2951" s="505"/>
      <c r="L2951" s="505"/>
      <c r="M2951" s="505"/>
      <c r="N2951" s="505"/>
      <c r="O2951" s="505"/>
      <c r="P2951" s="505"/>
      <c r="Q2951" s="505"/>
      <c r="R2951" s="505"/>
      <c r="S2951" s="505"/>
      <c r="T2951" s="505"/>
      <c r="U2951" s="505"/>
      <c r="V2951" s="505"/>
      <c r="W2951" s="505"/>
      <c r="X2951" s="505"/>
      <c r="Y2951" s="505"/>
    </row>
    <row r="2952" spans="1:25" s="88" customFormat="1" hidden="1" x14ac:dyDescent="0.25">
      <c r="A2952" s="481"/>
      <c r="B2952" s="288"/>
      <c r="C2952" s="334"/>
      <c r="D2952" s="258"/>
      <c r="E2952" s="679"/>
      <c r="F2952" s="597" t="s">
        <v>244</v>
      </c>
      <c r="G2952" s="598" t="s">
        <v>245</v>
      </c>
      <c r="H2952" s="555"/>
      <c r="I2952" s="556"/>
      <c r="J2952" s="560">
        <f t="shared" si="102"/>
        <v>0</v>
      </c>
      <c r="K2952" s="505"/>
      <c r="L2952" s="505"/>
      <c r="M2952" s="505"/>
      <c r="N2952" s="505"/>
      <c r="O2952" s="505"/>
      <c r="P2952" s="505"/>
      <c r="Q2952" s="505"/>
      <c r="R2952" s="505"/>
      <c r="S2952" s="505"/>
      <c r="T2952" s="505"/>
      <c r="U2952" s="505"/>
      <c r="V2952" s="505"/>
      <c r="W2952" s="505"/>
      <c r="X2952" s="505"/>
      <c r="Y2952" s="505"/>
    </row>
    <row r="2953" spans="1:25" s="88" customFormat="1" hidden="1" x14ac:dyDescent="0.25">
      <c r="A2953" s="481"/>
      <c r="B2953" s="288"/>
      <c r="C2953" s="334"/>
      <c r="D2953" s="258"/>
      <c r="E2953" s="679"/>
      <c r="F2953" s="597" t="s">
        <v>246</v>
      </c>
      <c r="G2953" s="598" t="s">
        <v>4996</v>
      </c>
      <c r="H2953" s="555"/>
      <c r="I2953" s="556"/>
      <c r="J2953" s="560">
        <f t="shared" si="102"/>
        <v>0</v>
      </c>
      <c r="K2953" s="505"/>
      <c r="L2953" s="505"/>
      <c r="M2953" s="505"/>
      <c r="N2953" s="505"/>
      <c r="O2953" s="505"/>
      <c r="P2953" s="505"/>
      <c r="Q2953" s="505"/>
      <c r="R2953" s="505"/>
      <c r="S2953" s="505"/>
      <c r="T2953" s="505"/>
      <c r="U2953" s="505"/>
      <c r="V2953" s="505"/>
      <c r="W2953" s="505"/>
      <c r="X2953" s="505"/>
      <c r="Y2953" s="505"/>
    </row>
    <row r="2954" spans="1:25" s="88" customFormat="1" hidden="1" x14ac:dyDescent="0.25">
      <c r="A2954" s="481"/>
      <c r="B2954" s="288"/>
      <c r="C2954" s="334"/>
      <c r="D2954" s="258"/>
      <c r="E2954" s="679"/>
      <c r="F2954" s="597" t="s">
        <v>247</v>
      </c>
      <c r="G2954" s="598" t="s">
        <v>4995</v>
      </c>
      <c r="H2954" s="555"/>
      <c r="I2954" s="556"/>
      <c r="J2954" s="560">
        <f t="shared" si="102"/>
        <v>0</v>
      </c>
      <c r="K2954" s="505"/>
      <c r="L2954" s="505"/>
      <c r="M2954" s="505"/>
      <c r="N2954" s="505"/>
      <c r="O2954" s="505"/>
      <c r="P2954" s="505"/>
      <c r="Q2954" s="505"/>
      <c r="R2954" s="505"/>
      <c r="S2954" s="505"/>
      <c r="T2954" s="505"/>
      <c r="U2954" s="505"/>
      <c r="V2954" s="505"/>
      <c r="W2954" s="505"/>
      <c r="X2954" s="505"/>
      <c r="Y2954" s="505"/>
    </row>
    <row r="2955" spans="1:25" s="88" customFormat="1" hidden="1" x14ac:dyDescent="0.25">
      <c r="A2955" s="481"/>
      <c r="B2955" s="288"/>
      <c r="C2955" s="334"/>
      <c r="D2955" s="258"/>
      <c r="E2955" s="679"/>
      <c r="F2955" s="597" t="s">
        <v>248</v>
      </c>
      <c r="G2955" s="598" t="s">
        <v>57</v>
      </c>
      <c r="H2955" s="555"/>
      <c r="I2955" s="556"/>
      <c r="J2955" s="560">
        <f t="shared" si="102"/>
        <v>0</v>
      </c>
      <c r="K2955" s="505"/>
      <c r="L2955" s="505"/>
      <c r="M2955" s="505"/>
      <c r="N2955" s="505"/>
      <c r="O2955" s="505"/>
      <c r="P2955" s="505"/>
      <c r="Q2955" s="505"/>
      <c r="R2955" s="505"/>
      <c r="S2955" s="505"/>
      <c r="T2955" s="505"/>
      <c r="U2955" s="505"/>
      <c r="V2955" s="505"/>
      <c r="W2955" s="505"/>
      <c r="X2955" s="505"/>
      <c r="Y2955" s="505"/>
    </row>
    <row r="2956" spans="1:25" s="88" customFormat="1" hidden="1" x14ac:dyDescent="0.25">
      <c r="A2956" s="481"/>
      <c r="B2956" s="288"/>
      <c r="C2956" s="334"/>
      <c r="D2956" s="258"/>
      <c r="E2956" s="679"/>
      <c r="F2956" s="597" t="s">
        <v>249</v>
      </c>
      <c r="G2956" s="598" t="s">
        <v>250</v>
      </c>
      <c r="H2956" s="555"/>
      <c r="I2956" s="556"/>
      <c r="J2956" s="560">
        <f t="shared" si="102"/>
        <v>0</v>
      </c>
      <c r="K2956" s="505"/>
      <c r="L2956" s="505"/>
      <c r="M2956" s="505"/>
      <c r="N2956" s="505"/>
      <c r="O2956" s="505"/>
      <c r="P2956" s="505"/>
      <c r="Q2956" s="505"/>
      <c r="R2956" s="505"/>
      <c r="S2956" s="505"/>
      <c r="T2956" s="505"/>
      <c r="U2956" s="505"/>
      <c r="V2956" s="505"/>
      <c r="W2956" s="505"/>
      <c r="X2956" s="505"/>
      <c r="Y2956" s="505"/>
    </row>
    <row r="2957" spans="1:25" s="88" customFormat="1" hidden="1" x14ac:dyDescent="0.25">
      <c r="A2957" s="481"/>
      <c r="B2957" s="288"/>
      <c r="C2957" s="334"/>
      <c r="D2957" s="258"/>
      <c r="E2957" s="679"/>
      <c r="F2957" s="597" t="s">
        <v>251</v>
      </c>
      <c r="G2957" s="598" t="s">
        <v>252</v>
      </c>
      <c r="H2957" s="555"/>
      <c r="I2957" s="556"/>
      <c r="J2957" s="560">
        <f t="shared" si="102"/>
        <v>0</v>
      </c>
      <c r="K2957" s="505"/>
      <c r="L2957" s="505"/>
      <c r="M2957" s="505"/>
      <c r="N2957" s="505"/>
      <c r="O2957" s="505"/>
      <c r="P2957" s="505"/>
      <c r="Q2957" s="505"/>
      <c r="R2957" s="505"/>
      <c r="S2957" s="505"/>
      <c r="T2957" s="505"/>
      <c r="U2957" s="505"/>
      <c r="V2957" s="505"/>
      <c r="W2957" s="505"/>
      <c r="X2957" s="505"/>
      <c r="Y2957" s="505"/>
    </row>
    <row r="2958" spans="1:25" s="88" customFormat="1" ht="30" hidden="1" x14ac:dyDescent="0.25">
      <c r="A2958" s="481"/>
      <c r="B2958" s="288"/>
      <c r="C2958" s="334"/>
      <c r="D2958" s="258"/>
      <c r="E2958" s="679"/>
      <c r="F2958" s="597" t="s">
        <v>253</v>
      </c>
      <c r="G2958" s="598" t="s">
        <v>254</v>
      </c>
      <c r="H2958" s="555"/>
      <c r="I2958" s="556"/>
      <c r="J2958" s="560">
        <f t="shared" si="102"/>
        <v>0</v>
      </c>
      <c r="K2958" s="505"/>
      <c r="L2958" s="505"/>
      <c r="M2958" s="505"/>
      <c r="N2958" s="505"/>
      <c r="O2958" s="505"/>
      <c r="P2958" s="505"/>
      <c r="Q2958" s="505"/>
      <c r="R2958" s="505"/>
      <c r="S2958" s="505"/>
      <c r="T2958" s="505"/>
      <c r="U2958" s="505"/>
      <c r="V2958" s="505"/>
      <c r="W2958" s="505"/>
      <c r="X2958" s="505"/>
      <c r="Y2958" s="505"/>
    </row>
    <row r="2959" spans="1:25" s="88" customFormat="1" hidden="1" x14ac:dyDescent="0.25">
      <c r="A2959" s="481"/>
      <c r="B2959" s="288"/>
      <c r="C2959" s="334"/>
      <c r="D2959" s="258"/>
      <c r="E2959" s="679"/>
      <c r="F2959" s="597" t="s">
        <v>255</v>
      </c>
      <c r="G2959" s="598" t="s">
        <v>256</v>
      </c>
      <c r="H2959" s="555"/>
      <c r="I2959" s="556"/>
      <c r="J2959" s="560">
        <f t="shared" si="102"/>
        <v>0</v>
      </c>
      <c r="K2959" s="505"/>
      <c r="L2959" s="505"/>
      <c r="M2959" s="505"/>
      <c r="N2959" s="505"/>
      <c r="O2959" s="505"/>
      <c r="P2959" s="505"/>
      <c r="Q2959" s="505"/>
      <c r="R2959" s="505"/>
      <c r="S2959" s="505"/>
      <c r="T2959" s="505"/>
      <c r="U2959" s="505"/>
      <c r="V2959" s="505"/>
      <c r="W2959" s="505"/>
      <c r="X2959" s="505"/>
      <c r="Y2959" s="505"/>
    </row>
    <row r="2960" spans="1:25" s="88" customFormat="1" ht="30" hidden="1" x14ac:dyDescent="0.25">
      <c r="A2960" s="481"/>
      <c r="B2960" s="288"/>
      <c r="C2960" s="334"/>
      <c r="D2960" s="258"/>
      <c r="E2960" s="679"/>
      <c r="F2960" s="597" t="s">
        <v>257</v>
      </c>
      <c r="G2960" s="598" t="s">
        <v>258</v>
      </c>
      <c r="H2960" s="555"/>
      <c r="I2960" s="556"/>
      <c r="J2960" s="560">
        <f t="shared" si="102"/>
        <v>0</v>
      </c>
      <c r="K2960" s="505"/>
      <c r="L2960" s="505"/>
      <c r="M2960" s="505"/>
      <c r="N2960" s="505"/>
      <c r="O2960" s="505"/>
      <c r="P2960" s="505"/>
      <c r="Q2960" s="505"/>
      <c r="R2960" s="505"/>
      <c r="S2960" s="505"/>
      <c r="T2960" s="505"/>
      <c r="U2960" s="505"/>
      <c r="V2960" s="505"/>
      <c r="W2960" s="505"/>
      <c r="X2960" s="505"/>
      <c r="Y2960" s="505"/>
    </row>
    <row r="2961" spans="1:25" s="88" customFormat="1" hidden="1" x14ac:dyDescent="0.25">
      <c r="A2961" s="481"/>
      <c r="B2961" s="288"/>
      <c r="C2961" s="334"/>
      <c r="D2961" s="258"/>
      <c r="E2961" s="679"/>
      <c r="F2961" s="597" t="s">
        <v>259</v>
      </c>
      <c r="G2961" s="598" t="s">
        <v>260</v>
      </c>
      <c r="H2961" s="555"/>
      <c r="I2961" s="556"/>
      <c r="J2961" s="560">
        <f t="shared" si="102"/>
        <v>0</v>
      </c>
      <c r="K2961" s="505"/>
      <c r="L2961" s="505"/>
      <c r="M2961" s="505"/>
      <c r="N2961" s="505"/>
      <c r="O2961" s="505"/>
      <c r="P2961" s="505"/>
      <c r="Q2961" s="505"/>
      <c r="R2961" s="505"/>
      <c r="S2961" s="505"/>
      <c r="T2961" s="505"/>
      <c r="U2961" s="505"/>
      <c r="V2961" s="505"/>
      <c r="W2961" s="505"/>
      <c r="X2961" s="505"/>
      <c r="Y2961" s="505"/>
    </row>
    <row r="2962" spans="1:25" s="88" customFormat="1" ht="15.75" hidden="1" thickBot="1" x14ac:dyDescent="0.3">
      <c r="A2962" s="481"/>
      <c r="B2962" s="288"/>
      <c r="C2962" s="334"/>
      <c r="D2962" s="258"/>
      <c r="E2962" s="679"/>
      <c r="F2962" s="597" t="s">
        <v>261</v>
      </c>
      <c r="G2962" s="598" t="s">
        <v>262</v>
      </c>
      <c r="H2962" s="559"/>
      <c r="I2962" s="560"/>
      <c r="J2962" s="560">
        <f t="shared" si="102"/>
        <v>0</v>
      </c>
      <c r="K2962" s="505"/>
      <c r="L2962" s="505"/>
      <c r="M2962" s="505"/>
      <c r="N2962" s="505"/>
      <c r="O2962" s="505"/>
      <c r="P2962" s="505"/>
      <c r="Q2962" s="505"/>
      <c r="R2962" s="505"/>
      <c r="S2962" s="505"/>
      <c r="T2962" s="505"/>
      <c r="U2962" s="505"/>
      <c r="V2962" s="505"/>
      <c r="W2962" s="505"/>
      <c r="X2962" s="505"/>
      <c r="Y2962" s="505"/>
    </row>
    <row r="2963" spans="1:25" s="88" customFormat="1" ht="13.5" customHeight="1" thickBot="1" x14ac:dyDescent="0.3">
      <c r="A2963" s="481"/>
      <c r="B2963" s="288"/>
      <c r="C2963" s="334"/>
      <c r="D2963" s="258"/>
      <c r="E2963" s="679"/>
      <c r="F2963" s="258"/>
      <c r="G2963" s="268" t="s">
        <v>4357</v>
      </c>
      <c r="H2963" s="561">
        <f>SUM(H2947:H2962)</f>
        <v>1000000</v>
      </c>
      <c r="I2963" s="562">
        <f>SUM(I2948:I2962)</f>
        <v>0</v>
      </c>
      <c r="J2963" s="562">
        <f>SUM(J2947:J2962)</f>
        <v>1000000</v>
      </c>
      <c r="K2963" s="505"/>
      <c r="L2963" s="505"/>
      <c r="M2963" s="505"/>
      <c r="N2963" s="505"/>
      <c r="O2963" s="505"/>
      <c r="P2963" s="505"/>
      <c r="Q2963" s="505"/>
      <c r="R2963" s="505"/>
      <c r="S2963" s="505"/>
      <c r="T2963" s="505"/>
      <c r="U2963" s="505"/>
      <c r="V2963" s="505"/>
      <c r="W2963" s="505"/>
      <c r="X2963" s="505"/>
      <c r="Y2963" s="505"/>
    </row>
    <row r="2964" spans="1:25" s="88" customFormat="1" ht="28.5" x14ac:dyDescent="0.25">
      <c r="A2964" s="481"/>
      <c r="B2964" s="288"/>
      <c r="C2964" s="334"/>
      <c r="D2964" s="258"/>
      <c r="E2964" s="489"/>
      <c r="F2964" s="500"/>
      <c r="G2964" s="270" t="s">
        <v>5131</v>
      </c>
      <c r="H2964" s="563"/>
      <c r="I2964" s="584"/>
      <c r="J2964" s="564"/>
      <c r="K2964" s="505"/>
      <c r="L2964" s="505"/>
      <c r="M2964" s="505"/>
      <c r="N2964" s="505"/>
      <c r="O2964" s="505"/>
      <c r="P2964" s="505"/>
      <c r="Q2964" s="505"/>
      <c r="R2964" s="505"/>
      <c r="S2964" s="505"/>
      <c r="T2964" s="505"/>
      <c r="U2964" s="505"/>
      <c r="V2964" s="505"/>
      <c r="W2964" s="505"/>
      <c r="X2964" s="505"/>
      <c r="Y2964" s="505"/>
    </row>
    <row r="2965" spans="1:25" s="88" customFormat="1" ht="15.75" thickBot="1" x14ac:dyDescent="0.3">
      <c r="A2965" s="481"/>
      <c r="B2965" s="288"/>
      <c r="C2965" s="334"/>
      <c r="D2965" s="258"/>
      <c r="E2965" s="693"/>
      <c r="F2965" s="597" t="s">
        <v>234</v>
      </c>
      <c r="G2965" s="598" t="s">
        <v>235</v>
      </c>
      <c r="H2965" s="559">
        <f>SUM(H2963)</f>
        <v>1000000</v>
      </c>
      <c r="I2965" s="560"/>
      <c r="J2965" s="560">
        <f>SUM(H2965:I2965)</f>
        <v>1000000</v>
      </c>
      <c r="K2965" s="505"/>
      <c r="L2965" s="505"/>
      <c r="M2965" s="505"/>
      <c r="N2965" s="505"/>
      <c r="O2965" s="505"/>
      <c r="P2965" s="505"/>
      <c r="Q2965" s="505"/>
      <c r="R2965" s="505"/>
      <c r="S2965" s="505"/>
      <c r="T2965" s="505"/>
      <c r="U2965" s="505"/>
      <c r="V2965" s="505"/>
      <c r="W2965" s="505"/>
      <c r="X2965" s="505"/>
      <c r="Y2965" s="505"/>
    </row>
    <row r="2966" spans="1:25" s="88" customFormat="1" ht="15.75" thickBot="1" x14ac:dyDescent="0.3">
      <c r="A2966" s="481"/>
      <c r="B2966" s="288"/>
      <c r="C2966" s="334"/>
      <c r="D2966" s="286"/>
      <c r="E2966" s="876"/>
      <c r="F2966" s="258"/>
      <c r="G2966" s="268" t="s">
        <v>5132</v>
      </c>
      <c r="H2966" s="561">
        <f>SUM(H2965)</f>
        <v>1000000</v>
      </c>
      <c r="I2966" s="562">
        <f>SUM(I2951:I2965)</f>
        <v>0</v>
      </c>
      <c r="J2966" s="562">
        <f>SUM(H2966)</f>
        <v>1000000</v>
      </c>
      <c r="K2966" s="505"/>
      <c r="L2966" s="505"/>
      <c r="M2966" s="505"/>
      <c r="N2966" s="505"/>
      <c r="O2966" s="505"/>
      <c r="P2966" s="505"/>
      <c r="Q2966" s="505"/>
      <c r="R2966" s="505"/>
      <c r="S2966" s="505"/>
      <c r="T2966" s="505"/>
      <c r="U2966" s="505"/>
      <c r="V2966" s="505"/>
      <c r="W2966" s="505"/>
      <c r="X2966" s="505"/>
      <c r="Y2966" s="505"/>
    </row>
    <row r="2967" spans="1:25" s="88" customFormat="1" ht="27.75" customHeight="1" x14ac:dyDescent="0.25">
      <c r="A2967" s="481"/>
      <c r="B2967" s="288"/>
      <c r="C2967" s="267" t="s">
        <v>4360</v>
      </c>
      <c r="D2967" s="259"/>
      <c r="E2967" s="679"/>
      <c r="F2967" s="258"/>
      <c r="G2967" s="727" t="s">
        <v>5130</v>
      </c>
      <c r="H2967" s="555"/>
      <c r="I2967" s="556"/>
      <c r="J2967" s="556"/>
      <c r="K2967" s="505"/>
      <c r="L2967" s="505"/>
      <c r="M2967" s="505"/>
      <c r="N2967" s="505"/>
      <c r="O2967" s="505"/>
      <c r="P2967" s="505"/>
      <c r="Q2967" s="505"/>
      <c r="R2967" s="505"/>
      <c r="S2967" s="505"/>
      <c r="T2967" s="505"/>
      <c r="U2967" s="505"/>
      <c r="V2967" s="505"/>
      <c r="W2967" s="505"/>
      <c r="X2967" s="505"/>
      <c r="Y2967" s="505"/>
    </row>
    <row r="2968" spans="1:25" s="88" customFormat="1" x14ac:dyDescent="0.25">
      <c r="A2968" s="481"/>
      <c r="B2968" s="288"/>
      <c r="C2968" s="294"/>
      <c r="D2968" s="348" t="s">
        <v>4005</v>
      </c>
      <c r="E2968" s="871"/>
      <c r="F2968" s="345"/>
      <c r="G2968" s="774" t="s">
        <v>209</v>
      </c>
      <c r="H2968" s="572"/>
      <c r="I2968" s="573"/>
      <c r="J2968" s="573"/>
      <c r="K2968" s="505"/>
      <c r="L2968" s="505"/>
      <c r="M2968" s="505"/>
      <c r="N2968" s="505"/>
      <c r="O2968" s="505"/>
      <c r="P2968" s="505"/>
      <c r="Q2968" s="505"/>
      <c r="R2968" s="505"/>
      <c r="S2968" s="505"/>
      <c r="T2968" s="505"/>
      <c r="U2968" s="505"/>
      <c r="V2968" s="505"/>
      <c r="W2968" s="505"/>
      <c r="X2968" s="505"/>
      <c r="Y2968" s="505"/>
    </row>
    <row r="2969" spans="1:25" s="88" customFormat="1" hidden="1" x14ac:dyDescent="0.25">
      <c r="A2969" s="481"/>
      <c r="B2969" s="288"/>
      <c r="C2969" s="267"/>
      <c r="D2969" s="258"/>
      <c r="E2969" s="679"/>
      <c r="F2969" s="499">
        <v>411</v>
      </c>
      <c r="G2969" s="492" t="s">
        <v>4131</v>
      </c>
      <c r="H2969" s="555"/>
      <c r="I2969" s="556"/>
      <c r="J2969" s="556">
        <f>SUM(H2969:I2969)</f>
        <v>0</v>
      </c>
      <c r="K2969" s="505"/>
      <c r="L2969" s="505"/>
      <c r="M2969" s="505"/>
      <c r="N2969" s="505"/>
      <c r="O2969" s="505"/>
      <c r="P2969" s="505"/>
      <c r="Q2969" s="505"/>
      <c r="R2969" s="505"/>
      <c r="S2969" s="505"/>
      <c r="T2969" s="505"/>
      <c r="U2969" s="505"/>
      <c r="V2969" s="505"/>
      <c r="W2969" s="505"/>
      <c r="X2969" s="505"/>
      <c r="Y2969" s="505"/>
    </row>
    <row r="2970" spans="1:25" s="88" customFormat="1" hidden="1" x14ac:dyDescent="0.25">
      <c r="A2970" s="481"/>
      <c r="B2970" s="288"/>
      <c r="C2970" s="267"/>
      <c r="D2970" s="258"/>
      <c r="E2970" s="679"/>
      <c r="F2970" s="499">
        <v>412</v>
      </c>
      <c r="G2970" s="488" t="s">
        <v>3766</v>
      </c>
      <c r="H2970" s="555"/>
      <c r="I2970" s="556"/>
      <c r="J2970" s="556">
        <f t="shared" ref="J2970:J3004" si="103">SUM(H2970:I2970)</f>
        <v>0</v>
      </c>
      <c r="K2970" s="505"/>
      <c r="L2970" s="505" t="s">
        <v>5215</v>
      </c>
      <c r="M2970" s="505"/>
      <c r="N2970" s="505"/>
      <c r="O2970" s="505"/>
      <c r="P2970" s="505"/>
      <c r="Q2970" s="505"/>
      <c r="R2970" s="505"/>
      <c r="S2970" s="505"/>
      <c r="T2970" s="505"/>
      <c r="U2970" s="505"/>
      <c r="V2970" s="505"/>
      <c r="W2970" s="505"/>
      <c r="X2970" s="505"/>
      <c r="Y2970" s="505"/>
    </row>
    <row r="2971" spans="1:25" s="88" customFormat="1" hidden="1" x14ac:dyDescent="0.25">
      <c r="A2971" s="481"/>
      <c r="B2971" s="288"/>
      <c r="C2971" s="267"/>
      <c r="D2971" s="258"/>
      <c r="E2971" s="679"/>
      <c r="F2971" s="499">
        <v>413</v>
      </c>
      <c r="G2971" s="492" t="s">
        <v>4132</v>
      </c>
      <c r="H2971" s="555"/>
      <c r="I2971" s="556"/>
      <c r="J2971" s="556">
        <f t="shared" si="103"/>
        <v>0</v>
      </c>
      <c r="K2971" s="505"/>
      <c r="L2971" s="505"/>
      <c r="M2971" s="505"/>
      <c r="N2971" s="505"/>
      <c r="O2971" s="505"/>
      <c r="P2971" s="505"/>
      <c r="Q2971" s="505"/>
      <c r="R2971" s="505"/>
      <c r="S2971" s="505"/>
      <c r="T2971" s="505"/>
      <c r="U2971" s="505"/>
      <c r="V2971" s="505"/>
      <c r="W2971" s="505"/>
      <c r="X2971" s="505"/>
      <c r="Y2971" s="505"/>
    </row>
    <row r="2972" spans="1:25" s="88" customFormat="1" hidden="1" x14ac:dyDescent="0.25">
      <c r="A2972" s="481"/>
      <c r="B2972" s="288"/>
      <c r="C2972" s="267"/>
      <c r="D2972" s="258"/>
      <c r="E2972" s="679"/>
      <c r="F2972" s="499">
        <v>414</v>
      </c>
      <c r="G2972" s="492" t="s">
        <v>3769</v>
      </c>
      <c r="H2972" s="555"/>
      <c r="I2972" s="556"/>
      <c r="J2972" s="556">
        <f t="shared" si="103"/>
        <v>0</v>
      </c>
      <c r="K2972" s="505"/>
      <c r="L2972" s="505"/>
      <c r="M2972" s="505"/>
      <c r="N2972" s="505"/>
      <c r="O2972" s="505"/>
      <c r="P2972" s="505"/>
      <c r="Q2972" s="505"/>
      <c r="R2972" s="505"/>
      <c r="S2972" s="505"/>
      <c r="T2972" s="505"/>
      <c r="U2972" s="505"/>
      <c r="V2972" s="505"/>
      <c r="W2972" s="505"/>
      <c r="X2972" s="505"/>
      <c r="Y2972" s="505"/>
    </row>
    <row r="2973" spans="1:25" s="88" customFormat="1" hidden="1" x14ac:dyDescent="0.25">
      <c r="A2973" s="481"/>
      <c r="B2973" s="288"/>
      <c r="C2973" s="267"/>
      <c r="D2973" s="258"/>
      <c r="E2973" s="679"/>
      <c r="F2973" s="499">
        <v>415</v>
      </c>
      <c r="G2973" s="492" t="s">
        <v>4141</v>
      </c>
      <c r="H2973" s="555"/>
      <c r="I2973" s="556"/>
      <c r="J2973" s="556">
        <f t="shared" si="103"/>
        <v>0</v>
      </c>
      <c r="K2973" s="505"/>
      <c r="L2973" s="505"/>
      <c r="M2973" s="505"/>
      <c r="N2973" s="505"/>
      <c r="O2973" s="505"/>
      <c r="P2973" s="505"/>
      <c r="Q2973" s="505"/>
      <c r="R2973" s="505"/>
      <c r="S2973" s="505"/>
      <c r="T2973" s="505"/>
      <c r="U2973" s="505"/>
      <c r="V2973" s="505"/>
      <c r="W2973" s="505"/>
      <c r="X2973" s="505"/>
      <c r="Y2973" s="505"/>
    </row>
    <row r="2974" spans="1:25" s="88" customFormat="1" hidden="1" x14ac:dyDescent="0.25">
      <c r="A2974" s="481"/>
      <c r="B2974" s="288"/>
      <c r="C2974" s="267"/>
      <c r="D2974" s="258"/>
      <c r="E2974" s="679"/>
      <c r="F2974" s="499">
        <v>416</v>
      </c>
      <c r="G2974" s="492" t="s">
        <v>4142</v>
      </c>
      <c r="H2974" s="555"/>
      <c r="I2974" s="556"/>
      <c r="J2974" s="556">
        <f t="shared" si="103"/>
        <v>0</v>
      </c>
      <c r="K2974" s="505"/>
      <c r="L2974" s="505"/>
      <c r="M2974" s="505"/>
      <c r="N2974" s="505"/>
      <c r="O2974" s="505"/>
      <c r="P2974" s="505"/>
      <c r="Q2974" s="505"/>
      <c r="R2974" s="505"/>
      <c r="S2974" s="505"/>
      <c r="T2974" s="505"/>
      <c r="U2974" s="505"/>
      <c r="V2974" s="505"/>
      <c r="W2974" s="505"/>
      <c r="X2974" s="505"/>
      <c r="Y2974" s="505"/>
    </row>
    <row r="2975" spans="1:25" s="88" customFormat="1" hidden="1" x14ac:dyDescent="0.25">
      <c r="A2975" s="481"/>
      <c r="B2975" s="288"/>
      <c r="C2975" s="267"/>
      <c r="D2975" s="258"/>
      <c r="E2975" s="679"/>
      <c r="F2975" s="499">
        <v>417</v>
      </c>
      <c r="G2975" s="492" t="s">
        <v>4143</v>
      </c>
      <c r="H2975" s="555"/>
      <c r="I2975" s="556"/>
      <c r="J2975" s="556">
        <f t="shared" si="103"/>
        <v>0</v>
      </c>
      <c r="K2975" s="505"/>
      <c r="L2975" s="505"/>
      <c r="M2975" s="505"/>
      <c r="N2975" s="505"/>
      <c r="O2975" s="505"/>
      <c r="P2975" s="505"/>
      <c r="Q2975" s="505"/>
      <c r="R2975" s="505"/>
      <c r="S2975" s="505"/>
      <c r="T2975" s="505"/>
      <c r="U2975" s="505"/>
      <c r="V2975" s="505"/>
      <c r="W2975" s="505"/>
      <c r="X2975" s="505"/>
      <c r="Y2975" s="505"/>
    </row>
    <row r="2976" spans="1:25" s="88" customFormat="1" hidden="1" x14ac:dyDescent="0.25">
      <c r="A2976" s="481"/>
      <c r="B2976" s="288"/>
      <c r="C2976" s="267"/>
      <c r="D2976" s="258"/>
      <c r="E2976" s="679"/>
      <c r="F2976" s="499">
        <v>418</v>
      </c>
      <c r="G2976" s="492" t="s">
        <v>3775</v>
      </c>
      <c r="H2976" s="555"/>
      <c r="I2976" s="556"/>
      <c r="J2976" s="556">
        <f t="shared" si="103"/>
        <v>0</v>
      </c>
      <c r="K2976" s="505"/>
      <c r="L2976" s="505"/>
      <c r="M2976" s="505"/>
      <c r="N2976" s="505"/>
      <c r="O2976" s="505"/>
      <c r="P2976" s="505"/>
      <c r="Q2976" s="505"/>
      <c r="R2976" s="505"/>
      <c r="S2976" s="505"/>
      <c r="T2976" s="505"/>
      <c r="U2976" s="505"/>
      <c r="V2976" s="505"/>
      <c r="W2976" s="505"/>
      <c r="X2976" s="505"/>
      <c r="Y2976" s="505"/>
    </row>
    <row r="2977" spans="1:25" s="88" customFormat="1" hidden="1" x14ac:dyDescent="0.25">
      <c r="A2977" s="481"/>
      <c r="B2977" s="288"/>
      <c r="C2977" s="267"/>
      <c r="D2977" s="258"/>
      <c r="E2977" s="679"/>
      <c r="F2977" s="499">
        <v>421</v>
      </c>
      <c r="G2977" s="492" t="s">
        <v>3779</v>
      </c>
      <c r="H2977" s="555"/>
      <c r="I2977" s="556"/>
      <c r="J2977" s="556">
        <f t="shared" si="103"/>
        <v>0</v>
      </c>
      <c r="K2977" s="505"/>
      <c r="L2977" s="505"/>
      <c r="M2977" s="505"/>
      <c r="N2977" s="505"/>
      <c r="O2977" s="505"/>
      <c r="P2977" s="505"/>
      <c r="Q2977" s="505"/>
      <c r="R2977" s="505"/>
      <c r="S2977" s="505"/>
      <c r="T2977" s="505"/>
      <c r="U2977" s="505"/>
      <c r="V2977" s="505"/>
      <c r="W2977" s="505"/>
      <c r="X2977" s="505"/>
      <c r="Y2977" s="505"/>
    </row>
    <row r="2978" spans="1:25" s="88" customFormat="1" hidden="1" x14ac:dyDescent="0.25">
      <c r="A2978" s="481"/>
      <c r="B2978" s="288"/>
      <c r="C2978" s="267"/>
      <c r="D2978" s="258"/>
      <c r="E2978" s="679"/>
      <c r="F2978" s="499">
        <v>422</v>
      </c>
      <c r="G2978" s="492" t="s">
        <v>3780</v>
      </c>
      <c r="H2978" s="555"/>
      <c r="I2978" s="556"/>
      <c r="J2978" s="556">
        <f t="shared" si="103"/>
        <v>0</v>
      </c>
      <c r="K2978" s="505"/>
      <c r="L2978" s="505"/>
      <c r="M2978" s="505"/>
      <c r="N2978" s="505"/>
      <c r="O2978" s="505"/>
      <c r="P2978" s="505"/>
      <c r="Q2978" s="505"/>
      <c r="R2978" s="505"/>
      <c r="S2978" s="505"/>
      <c r="T2978" s="505"/>
      <c r="U2978" s="505"/>
      <c r="V2978" s="505"/>
      <c r="W2978" s="505"/>
      <c r="X2978" s="505"/>
      <c r="Y2978" s="505"/>
    </row>
    <row r="2979" spans="1:25" s="88" customFormat="1" hidden="1" x14ac:dyDescent="0.25">
      <c r="A2979" s="481"/>
      <c r="B2979" s="288"/>
      <c r="C2979" s="267"/>
      <c r="D2979" s="258"/>
      <c r="E2979" s="679"/>
      <c r="F2979" s="499">
        <v>423</v>
      </c>
      <c r="G2979" s="492" t="s">
        <v>3781</v>
      </c>
      <c r="H2979" s="555"/>
      <c r="I2979" s="556"/>
      <c r="J2979" s="556">
        <f t="shared" si="103"/>
        <v>0</v>
      </c>
      <c r="K2979" s="505"/>
      <c r="L2979" s="505"/>
      <c r="M2979" s="505"/>
      <c r="N2979" s="505"/>
      <c r="O2979" s="505"/>
      <c r="P2979" s="505"/>
      <c r="Q2979" s="505"/>
      <c r="R2979" s="505"/>
      <c r="S2979" s="505"/>
      <c r="T2979" s="505"/>
      <c r="U2979" s="505"/>
      <c r="V2979" s="505"/>
      <c r="W2979" s="505"/>
      <c r="X2979" s="505"/>
      <c r="Y2979" s="505"/>
    </row>
    <row r="2980" spans="1:25" s="88" customFormat="1" hidden="1" x14ac:dyDescent="0.25">
      <c r="A2980" s="481"/>
      <c r="B2980" s="288"/>
      <c r="C2980" s="267"/>
      <c r="D2980" s="258"/>
      <c r="E2980" s="679"/>
      <c r="F2980" s="499">
        <v>424</v>
      </c>
      <c r="G2980" s="492" t="s">
        <v>3783</v>
      </c>
      <c r="H2980" s="555"/>
      <c r="I2980" s="556"/>
      <c r="J2980" s="556">
        <f t="shared" si="103"/>
        <v>0</v>
      </c>
      <c r="K2980" s="505"/>
      <c r="L2980" s="505"/>
      <c r="M2980" s="505"/>
      <c r="N2980" s="505"/>
      <c r="O2980" s="505"/>
      <c r="P2980" s="505"/>
      <c r="Q2980" s="505"/>
      <c r="R2980" s="505"/>
      <c r="S2980" s="505"/>
      <c r="T2980" s="505"/>
      <c r="U2980" s="505"/>
      <c r="V2980" s="505"/>
      <c r="W2980" s="505"/>
      <c r="X2980" s="505"/>
      <c r="Y2980" s="505"/>
    </row>
    <row r="2981" spans="1:25" s="88" customFormat="1" ht="30.75" thickBot="1" x14ac:dyDescent="0.3">
      <c r="A2981" s="481"/>
      <c r="B2981" s="288"/>
      <c r="C2981" s="267"/>
      <c r="D2981" s="258"/>
      <c r="E2981" s="679" t="s">
        <v>5366</v>
      </c>
      <c r="F2981" s="499">
        <v>425</v>
      </c>
      <c r="G2981" s="492" t="s">
        <v>4144</v>
      </c>
      <c r="H2981" s="555">
        <v>3500000</v>
      </c>
      <c r="I2981" s="556"/>
      <c r="J2981" s="556">
        <f t="shared" si="103"/>
        <v>3500000</v>
      </c>
      <c r="K2981" s="505"/>
      <c r="L2981" s="505"/>
      <c r="M2981" s="505"/>
      <c r="N2981" s="505"/>
      <c r="O2981" s="505"/>
      <c r="P2981" s="505"/>
      <c r="Q2981" s="505"/>
      <c r="R2981" s="505"/>
      <c r="S2981" s="505"/>
      <c r="T2981" s="505"/>
      <c r="U2981" s="505"/>
      <c r="V2981" s="505"/>
      <c r="W2981" s="505"/>
      <c r="X2981" s="505"/>
      <c r="Y2981" s="505"/>
    </row>
    <row r="2982" spans="1:25" s="88" customFormat="1" hidden="1" x14ac:dyDescent="0.25">
      <c r="A2982" s="481"/>
      <c r="B2982" s="288"/>
      <c r="C2982" s="267"/>
      <c r="D2982" s="258"/>
      <c r="E2982" s="679"/>
      <c r="F2982" s="499">
        <v>426</v>
      </c>
      <c r="G2982" s="492" t="s">
        <v>3787</v>
      </c>
      <c r="H2982" s="555"/>
      <c r="I2982" s="556"/>
      <c r="J2982" s="556">
        <f t="shared" si="103"/>
        <v>0</v>
      </c>
      <c r="K2982" s="505"/>
      <c r="L2982" s="505"/>
      <c r="M2982" s="505"/>
      <c r="N2982" s="505"/>
      <c r="O2982" s="505"/>
      <c r="P2982" s="505"/>
      <c r="Q2982" s="505"/>
      <c r="R2982" s="505"/>
      <c r="S2982" s="505"/>
      <c r="T2982" s="505"/>
      <c r="U2982" s="505"/>
      <c r="V2982" s="505"/>
      <c r="W2982" s="505"/>
      <c r="X2982" s="505"/>
      <c r="Y2982" s="505"/>
    </row>
    <row r="2983" spans="1:25" s="88" customFormat="1" hidden="1" x14ac:dyDescent="0.25">
      <c r="A2983" s="481"/>
      <c r="B2983" s="288"/>
      <c r="C2983" s="267"/>
      <c r="D2983" s="258"/>
      <c r="E2983" s="679"/>
      <c r="F2983" s="499">
        <v>431</v>
      </c>
      <c r="G2983" s="492" t="s">
        <v>4145</v>
      </c>
      <c r="H2983" s="555"/>
      <c r="I2983" s="556"/>
      <c r="J2983" s="556">
        <f t="shared" si="103"/>
        <v>0</v>
      </c>
      <c r="K2983" s="505"/>
      <c r="L2983" s="505"/>
      <c r="M2983" s="505"/>
      <c r="N2983" s="505"/>
      <c r="O2983" s="505"/>
      <c r="P2983" s="505"/>
      <c r="Q2983" s="505"/>
      <c r="R2983" s="505"/>
      <c r="S2983" s="505"/>
      <c r="T2983" s="505"/>
      <c r="U2983" s="505"/>
      <c r="V2983" s="505"/>
      <c r="W2983" s="505"/>
      <c r="X2983" s="505"/>
      <c r="Y2983" s="505"/>
    </row>
    <row r="2984" spans="1:25" s="88" customFormat="1" hidden="1" x14ac:dyDescent="0.25">
      <c r="A2984" s="481"/>
      <c r="B2984" s="288"/>
      <c r="C2984" s="267"/>
      <c r="D2984" s="258"/>
      <c r="E2984" s="679"/>
      <c r="F2984" s="499">
        <v>432</v>
      </c>
      <c r="G2984" s="492" t="s">
        <v>4146</v>
      </c>
      <c r="H2984" s="555"/>
      <c r="I2984" s="556"/>
      <c r="J2984" s="556">
        <f t="shared" si="103"/>
        <v>0</v>
      </c>
      <c r="K2984" s="505"/>
      <c r="L2984" s="505"/>
      <c r="M2984" s="505"/>
      <c r="N2984" s="505"/>
      <c r="O2984" s="505"/>
      <c r="P2984" s="505"/>
      <c r="Q2984" s="505"/>
      <c r="R2984" s="505"/>
      <c r="S2984" s="505"/>
      <c r="T2984" s="505"/>
      <c r="U2984" s="505"/>
      <c r="V2984" s="505"/>
      <c r="W2984" s="505"/>
      <c r="X2984" s="505"/>
      <c r="Y2984" s="505"/>
    </row>
    <row r="2985" spans="1:25" s="88" customFormat="1" hidden="1" x14ac:dyDescent="0.25">
      <c r="A2985" s="481"/>
      <c r="B2985" s="288"/>
      <c r="C2985" s="267"/>
      <c r="D2985" s="258"/>
      <c r="E2985" s="679"/>
      <c r="F2985" s="499">
        <v>433</v>
      </c>
      <c r="G2985" s="492" t="s">
        <v>4147</v>
      </c>
      <c r="H2985" s="555"/>
      <c r="I2985" s="556"/>
      <c r="J2985" s="556">
        <f t="shared" si="103"/>
        <v>0</v>
      </c>
      <c r="K2985" s="505"/>
      <c r="L2985" s="505"/>
      <c r="M2985" s="505"/>
      <c r="N2985" s="505"/>
      <c r="O2985" s="505"/>
      <c r="P2985" s="505"/>
      <c r="Q2985" s="505"/>
      <c r="R2985" s="505"/>
      <c r="S2985" s="505"/>
      <c r="T2985" s="505"/>
      <c r="U2985" s="505"/>
      <c r="V2985" s="505"/>
      <c r="W2985" s="505"/>
      <c r="X2985" s="505"/>
      <c r="Y2985" s="505"/>
    </row>
    <row r="2986" spans="1:25" s="88" customFormat="1" hidden="1" x14ac:dyDescent="0.25">
      <c r="A2986" s="481"/>
      <c r="B2986" s="288"/>
      <c r="C2986" s="267"/>
      <c r="D2986" s="258"/>
      <c r="E2986" s="679"/>
      <c r="F2986" s="499">
        <v>434</v>
      </c>
      <c r="G2986" s="492" t="s">
        <v>4148</v>
      </c>
      <c r="H2986" s="555"/>
      <c r="I2986" s="556"/>
      <c r="J2986" s="556">
        <f t="shared" si="103"/>
        <v>0</v>
      </c>
      <c r="K2986" s="505"/>
      <c r="L2986" s="505"/>
      <c r="M2986" s="505"/>
      <c r="N2986" s="505"/>
      <c r="O2986" s="505"/>
      <c r="P2986" s="505"/>
      <c r="Q2986" s="505"/>
      <c r="R2986" s="505"/>
      <c r="S2986" s="505"/>
      <c r="T2986" s="505"/>
      <c r="U2986" s="505"/>
      <c r="V2986" s="505"/>
      <c r="W2986" s="505"/>
      <c r="X2986" s="505"/>
      <c r="Y2986" s="505"/>
    </row>
    <row r="2987" spans="1:25" s="88" customFormat="1" hidden="1" x14ac:dyDescent="0.25">
      <c r="A2987" s="481"/>
      <c r="B2987" s="288"/>
      <c r="C2987" s="267"/>
      <c r="D2987" s="258"/>
      <c r="E2987" s="679"/>
      <c r="F2987" s="499">
        <v>435</v>
      </c>
      <c r="G2987" s="492" t="s">
        <v>3794</v>
      </c>
      <c r="H2987" s="555"/>
      <c r="I2987" s="556"/>
      <c r="J2987" s="556">
        <f t="shared" si="103"/>
        <v>0</v>
      </c>
      <c r="K2987" s="505"/>
      <c r="L2987" s="505"/>
      <c r="M2987" s="505"/>
      <c r="N2987" s="505"/>
      <c r="O2987" s="505"/>
      <c r="P2987" s="505"/>
      <c r="Q2987" s="505"/>
      <c r="R2987" s="505"/>
      <c r="S2987" s="505"/>
      <c r="T2987" s="505"/>
      <c r="U2987" s="505"/>
      <c r="V2987" s="505"/>
      <c r="W2987" s="505"/>
      <c r="X2987" s="505"/>
      <c r="Y2987" s="505"/>
    </row>
    <row r="2988" spans="1:25" s="88" customFormat="1" hidden="1" x14ac:dyDescent="0.25">
      <c r="A2988" s="481"/>
      <c r="B2988" s="288"/>
      <c r="C2988" s="267"/>
      <c r="D2988" s="258"/>
      <c r="E2988" s="679"/>
      <c r="F2988" s="499">
        <v>441</v>
      </c>
      <c r="G2988" s="492" t="s">
        <v>4149</v>
      </c>
      <c r="H2988" s="555"/>
      <c r="I2988" s="556"/>
      <c r="J2988" s="556">
        <f t="shared" si="103"/>
        <v>0</v>
      </c>
      <c r="K2988" s="505"/>
      <c r="L2988" s="505"/>
      <c r="M2988" s="505"/>
      <c r="N2988" s="505"/>
      <c r="O2988" s="505"/>
      <c r="P2988" s="505"/>
      <c r="Q2988" s="505"/>
      <c r="R2988" s="505"/>
      <c r="S2988" s="505"/>
      <c r="T2988" s="505"/>
      <c r="U2988" s="505"/>
      <c r="V2988" s="505"/>
      <c r="W2988" s="505"/>
      <c r="X2988" s="505"/>
      <c r="Y2988" s="505"/>
    </row>
    <row r="2989" spans="1:25" s="88" customFormat="1" hidden="1" x14ac:dyDescent="0.25">
      <c r="A2989" s="481"/>
      <c r="B2989" s="288"/>
      <c r="C2989" s="267"/>
      <c r="D2989" s="258"/>
      <c r="E2989" s="679"/>
      <c r="F2989" s="499">
        <v>442</v>
      </c>
      <c r="G2989" s="492" t="s">
        <v>4150</v>
      </c>
      <c r="H2989" s="555"/>
      <c r="I2989" s="556"/>
      <c r="J2989" s="556">
        <f t="shared" si="103"/>
        <v>0</v>
      </c>
      <c r="K2989" s="505"/>
      <c r="L2989" s="505"/>
      <c r="M2989" s="505"/>
      <c r="N2989" s="505"/>
      <c r="O2989" s="505"/>
      <c r="P2989" s="505"/>
      <c r="Q2989" s="505"/>
      <c r="R2989" s="505"/>
      <c r="S2989" s="505"/>
      <c r="T2989" s="505"/>
      <c r="U2989" s="505"/>
      <c r="V2989" s="505"/>
      <c r="W2989" s="505"/>
      <c r="X2989" s="505"/>
      <c r="Y2989" s="505"/>
    </row>
    <row r="2990" spans="1:25" s="88" customFormat="1" hidden="1" x14ac:dyDescent="0.25">
      <c r="A2990" s="481"/>
      <c r="B2990" s="288"/>
      <c r="C2990" s="267"/>
      <c r="D2990" s="258"/>
      <c r="E2990" s="679"/>
      <c r="F2990" s="499">
        <v>443</v>
      </c>
      <c r="G2990" s="492" t="s">
        <v>3799</v>
      </c>
      <c r="H2990" s="555"/>
      <c r="I2990" s="556"/>
      <c r="J2990" s="556">
        <f t="shared" si="103"/>
        <v>0</v>
      </c>
      <c r="K2990" s="505"/>
      <c r="L2990" s="505"/>
      <c r="M2990" s="505"/>
      <c r="N2990" s="505"/>
      <c r="O2990" s="505"/>
      <c r="P2990" s="505"/>
      <c r="Q2990" s="505"/>
      <c r="R2990" s="505"/>
      <c r="S2990" s="505"/>
      <c r="T2990" s="505"/>
      <c r="U2990" s="505"/>
      <c r="V2990" s="505"/>
      <c r="W2990" s="505"/>
      <c r="X2990" s="505"/>
      <c r="Y2990" s="505"/>
    </row>
    <row r="2991" spans="1:25" s="88" customFormat="1" hidden="1" x14ac:dyDescent="0.25">
      <c r="A2991" s="481"/>
      <c r="B2991" s="288"/>
      <c r="C2991" s="267"/>
      <c r="D2991" s="258"/>
      <c r="E2991" s="679"/>
      <c r="F2991" s="499">
        <v>444</v>
      </c>
      <c r="G2991" s="492" t="s">
        <v>3800</v>
      </c>
      <c r="H2991" s="555"/>
      <c r="I2991" s="556"/>
      <c r="J2991" s="556">
        <f t="shared" si="103"/>
        <v>0</v>
      </c>
      <c r="K2991" s="505"/>
      <c r="L2991" s="505"/>
      <c r="M2991" s="505"/>
      <c r="N2991" s="505"/>
      <c r="O2991" s="505"/>
      <c r="P2991" s="505"/>
      <c r="Q2991" s="505"/>
      <c r="R2991" s="505"/>
      <c r="S2991" s="505"/>
      <c r="T2991" s="505"/>
      <c r="U2991" s="505"/>
      <c r="V2991" s="505"/>
      <c r="W2991" s="505"/>
      <c r="X2991" s="505"/>
      <c r="Y2991" s="505"/>
    </row>
    <row r="2992" spans="1:25" s="88" customFormat="1" ht="30" hidden="1" x14ac:dyDescent="0.25">
      <c r="A2992" s="481"/>
      <c r="B2992" s="288"/>
      <c r="C2992" s="267"/>
      <c r="D2992" s="258"/>
      <c r="E2992" s="679"/>
      <c r="F2992" s="499">
        <v>4511</v>
      </c>
      <c r="G2992" s="769" t="s">
        <v>1690</v>
      </c>
      <c r="H2992" s="555"/>
      <c r="I2992" s="556"/>
      <c r="J2992" s="556">
        <f t="shared" si="103"/>
        <v>0</v>
      </c>
      <c r="K2992" s="505"/>
      <c r="L2992" s="505"/>
      <c r="M2992" s="505"/>
      <c r="N2992" s="505"/>
      <c r="O2992" s="505"/>
      <c r="P2992" s="505"/>
      <c r="Q2992" s="505"/>
      <c r="R2992" s="505"/>
      <c r="S2992" s="505"/>
      <c r="T2992" s="505"/>
      <c r="U2992" s="505"/>
      <c r="V2992" s="505"/>
      <c r="W2992" s="505"/>
      <c r="X2992" s="505"/>
      <c r="Y2992" s="505"/>
    </row>
    <row r="2993" spans="1:25" s="88" customFormat="1" ht="30" hidden="1" x14ac:dyDescent="0.25">
      <c r="A2993" s="481"/>
      <c r="B2993" s="288"/>
      <c r="C2993" s="267"/>
      <c r="D2993" s="258"/>
      <c r="E2993" s="679"/>
      <c r="F2993" s="499">
        <v>4512</v>
      </c>
      <c r="G2993" s="769" t="s">
        <v>1699</v>
      </c>
      <c r="H2993" s="555"/>
      <c r="I2993" s="556"/>
      <c r="J2993" s="556">
        <f t="shared" si="103"/>
        <v>0</v>
      </c>
      <c r="K2993" s="505"/>
      <c r="L2993" s="505"/>
      <c r="M2993" s="505"/>
      <c r="N2993" s="505"/>
      <c r="O2993" s="505"/>
      <c r="P2993" s="505"/>
      <c r="Q2993" s="505"/>
      <c r="R2993" s="505"/>
      <c r="S2993" s="505"/>
      <c r="T2993" s="505"/>
      <c r="U2993" s="505"/>
      <c r="V2993" s="505"/>
      <c r="W2993" s="505"/>
      <c r="X2993" s="505"/>
      <c r="Y2993" s="505"/>
    </row>
    <row r="2994" spans="1:25" s="88" customFormat="1" hidden="1" x14ac:dyDescent="0.25">
      <c r="A2994" s="481"/>
      <c r="B2994" s="288"/>
      <c r="C2994" s="267"/>
      <c r="D2994" s="258"/>
      <c r="E2994" s="679"/>
      <c r="F2994" s="499">
        <v>452</v>
      </c>
      <c r="G2994" s="492" t="s">
        <v>4151</v>
      </c>
      <c r="H2994" s="555"/>
      <c r="I2994" s="556"/>
      <c r="J2994" s="556">
        <f t="shared" si="103"/>
        <v>0</v>
      </c>
      <c r="K2994" s="505"/>
      <c r="L2994" s="505"/>
      <c r="M2994" s="505"/>
      <c r="N2994" s="505"/>
      <c r="O2994" s="505"/>
      <c r="P2994" s="505"/>
      <c r="Q2994" s="505"/>
      <c r="R2994" s="505"/>
      <c r="S2994" s="505"/>
      <c r="T2994" s="505"/>
      <c r="U2994" s="505"/>
      <c r="V2994" s="505"/>
      <c r="W2994" s="505"/>
      <c r="X2994" s="505"/>
      <c r="Y2994" s="505"/>
    </row>
    <row r="2995" spans="1:25" s="88" customFormat="1" hidden="1" x14ac:dyDescent="0.25">
      <c r="A2995" s="481"/>
      <c r="B2995" s="288"/>
      <c r="C2995" s="267"/>
      <c r="D2995" s="258"/>
      <c r="E2995" s="679"/>
      <c r="F2995" s="499">
        <v>453</v>
      </c>
      <c r="G2995" s="492" t="s">
        <v>4152</v>
      </c>
      <c r="H2995" s="555"/>
      <c r="I2995" s="556"/>
      <c r="J2995" s="556">
        <f t="shared" si="103"/>
        <v>0</v>
      </c>
      <c r="K2995" s="505"/>
      <c r="L2995" s="505"/>
      <c r="M2995" s="505"/>
      <c r="N2995" s="505"/>
      <c r="O2995" s="505"/>
      <c r="P2995" s="505"/>
      <c r="Q2995" s="505"/>
      <c r="R2995" s="505"/>
      <c r="S2995" s="505"/>
      <c r="T2995" s="505"/>
      <c r="U2995" s="505"/>
      <c r="V2995" s="505"/>
      <c r="W2995" s="505"/>
      <c r="X2995" s="505"/>
      <c r="Y2995" s="505"/>
    </row>
    <row r="2996" spans="1:25" s="88" customFormat="1" hidden="1" x14ac:dyDescent="0.25">
      <c r="A2996" s="481"/>
      <c r="B2996" s="288"/>
      <c r="C2996" s="267"/>
      <c r="D2996" s="258"/>
      <c r="E2996" s="679"/>
      <c r="F2996" s="499">
        <v>454</v>
      </c>
      <c r="G2996" s="492" t="s">
        <v>3805</v>
      </c>
      <c r="H2996" s="555"/>
      <c r="I2996" s="556"/>
      <c r="J2996" s="556">
        <f t="shared" si="103"/>
        <v>0</v>
      </c>
      <c r="K2996" s="505"/>
      <c r="L2996" s="505"/>
      <c r="M2996" s="505"/>
      <c r="N2996" s="505"/>
      <c r="O2996" s="505"/>
      <c r="P2996" s="505"/>
      <c r="Q2996" s="505"/>
      <c r="R2996" s="505"/>
      <c r="S2996" s="505"/>
      <c r="T2996" s="505"/>
      <c r="U2996" s="505"/>
      <c r="V2996" s="505"/>
      <c r="W2996" s="505"/>
      <c r="X2996" s="505"/>
      <c r="Y2996" s="505"/>
    </row>
    <row r="2997" spans="1:25" s="88" customFormat="1" hidden="1" x14ac:dyDescent="0.25">
      <c r="A2997" s="481"/>
      <c r="B2997" s="288"/>
      <c r="C2997" s="267"/>
      <c r="D2997" s="258"/>
      <c r="E2997" s="679"/>
      <c r="F2997" s="499">
        <v>461</v>
      </c>
      <c r="G2997" s="492" t="s">
        <v>4133</v>
      </c>
      <c r="H2997" s="555"/>
      <c r="I2997" s="556"/>
      <c r="J2997" s="556">
        <f t="shared" si="103"/>
        <v>0</v>
      </c>
      <c r="K2997" s="505"/>
      <c r="L2997" s="505"/>
      <c r="M2997" s="505"/>
      <c r="N2997" s="505"/>
      <c r="O2997" s="505"/>
      <c r="P2997" s="505"/>
      <c r="Q2997" s="505"/>
      <c r="R2997" s="505"/>
      <c r="S2997" s="505"/>
      <c r="T2997" s="505"/>
      <c r="U2997" s="505"/>
      <c r="V2997" s="505"/>
      <c r="W2997" s="505"/>
      <c r="X2997" s="505"/>
      <c r="Y2997" s="505"/>
    </row>
    <row r="2998" spans="1:25" s="88" customFormat="1" hidden="1" x14ac:dyDescent="0.25">
      <c r="A2998" s="481"/>
      <c r="B2998" s="288"/>
      <c r="C2998" s="267"/>
      <c r="D2998" s="258"/>
      <c r="E2998" s="679"/>
      <c r="F2998" s="499">
        <v>462</v>
      </c>
      <c r="G2998" s="492" t="s">
        <v>3808</v>
      </c>
      <c r="H2998" s="555"/>
      <c r="I2998" s="556"/>
      <c r="J2998" s="556">
        <f t="shared" si="103"/>
        <v>0</v>
      </c>
      <c r="K2998" s="505"/>
      <c r="L2998" s="505"/>
      <c r="M2998" s="505"/>
      <c r="N2998" s="505"/>
      <c r="O2998" s="505"/>
      <c r="P2998" s="505"/>
      <c r="Q2998" s="505"/>
      <c r="R2998" s="505"/>
      <c r="S2998" s="505"/>
      <c r="T2998" s="505"/>
      <c r="U2998" s="505"/>
      <c r="V2998" s="505"/>
      <c r="W2998" s="505"/>
      <c r="X2998" s="505"/>
      <c r="Y2998" s="505"/>
    </row>
    <row r="2999" spans="1:25" s="88" customFormat="1" hidden="1" x14ac:dyDescent="0.25">
      <c r="A2999" s="481"/>
      <c r="B2999" s="288"/>
      <c r="C2999" s="267"/>
      <c r="D2999" s="258"/>
      <c r="E2999" s="679"/>
      <c r="F2999" s="499">
        <v>4631</v>
      </c>
      <c r="G2999" s="492" t="s">
        <v>3809</v>
      </c>
      <c r="H2999" s="555"/>
      <c r="I2999" s="556"/>
      <c r="J2999" s="556">
        <f t="shared" si="103"/>
        <v>0</v>
      </c>
      <c r="K2999" s="505"/>
      <c r="L2999" s="505"/>
      <c r="M2999" s="505"/>
      <c r="N2999" s="505"/>
      <c r="O2999" s="505"/>
      <c r="P2999" s="505"/>
      <c r="Q2999" s="505"/>
      <c r="R2999" s="505"/>
      <c r="S2999" s="505"/>
      <c r="T2999" s="505"/>
      <c r="U2999" s="505"/>
      <c r="V2999" s="505"/>
      <c r="W2999" s="505"/>
      <c r="X2999" s="505"/>
      <c r="Y2999" s="505"/>
    </row>
    <row r="3000" spans="1:25" s="88" customFormat="1" hidden="1" x14ac:dyDescent="0.25">
      <c r="A3000" s="481"/>
      <c r="B3000" s="288"/>
      <c r="C3000" s="267"/>
      <c r="D3000" s="258"/>
      <c r="E3000" s="679"/>
      <c r="F3000" s="499">
        <v>4632</v>
      </c>
      <c r="G3000" s="492" t="s">
        <v>3810</v>
      </c>
      <c r="H3000" s="555"/>
      <c r="I3000" s="556"/>
      <c r="J3000" s="556">
        <f t="shared" si="103"/>
        <v>0</v>
      </c>
      <c r="K3000" s="505"/>
      <c r="L3000" s="505"/>
      <c r="M3000" s="505"/>
      <c r="N3000" s="505"/>
      <c r="O3000" s="505"/>
      <c r="P3000" s="505"/>
      <c r="Q3000" s="505"/>
      <c r="R3000" s="505"/>
      <c r="S3000" s="505"/>
      <c r="T3000" s="505"/>
      <c r="U3000" s="505"/>
      <c r="V3000" s="505"/>
      <c r="W3000" s="505"/>
      <c r="X3000" s="505"/>
      <c r="Y3000" s="505"/>
    </row>
    <row r="3001" spans="1:25" s="88" customFormat="1" hidden="1" x14ac:dyDescent="0.25">
      <c r="A3001" s="481"/>
      <c r="B3001" s="288"/>
      <c r="C3001" s="267"/>
      <c r="D3001" s="258"/>
      <c r="E3001" s="679"/>
      <c r="F3001" s="499">
        <v>464</v>
      </c>
      <c r="G3001" s="492" t="s">
        <v>3811</v>
      </c>
      <c r="H3001" s="555"/>
      <c r="I3001" s="556"/>
      <c r="J3001" s="556">
        <f t="shared" si="103"/>
        <v>0</v>
      </c>
      <c r="K3001" s="505"/>
      <c r="L3001" s="505"/>
      <c r="M3001" s="505"/>
      <c r="N3001" s="505"/>
      <c r="O3001" s="505"/>
      <c r="P3001" s="505"/>
      <c r="Q3001" s="505"/>
      <c r="R3001" s="505"/>
      <c r="S3001" s="505"/>
      <c r="T3001" s="505"/>
      <c r="U3001" s="505"/>
      <c r="V3001" s="505"/>
      <c r="W3001" s="505"/>
      <c r="X3001" s="505"/>
      <c r="Y3001" s="505"/>
    </row>
    <row r="3002" spans="1:25" s="88" customFormat="1" hidden="1" x14ac:dyDescent="0.25">
      <c r="A3002" s="481"/>
      <c r="B3002" s="288"/>
      <c r="C3002" s="267"/>
      <c r="D3002" s="258"/>
      <c r="E3002" s="679"/>
      <c r="F3002" s="499">
        <v>465</v>
      </c>
      <c r="G3002" s="492" t="s">
        <v>4134</v>
      </c>
      <c r="H3002" s="555"/>
      <c r="I3002" s="556"/>
      <c r="J3002" s="556">
        <f t="shared" si="103"/>
        <v>0</v>
      </c>
      <c r="K3002" s="505"/>
      <c r="L3002" s="505"/>
      <c r="M3002" s="505"/>
      <c r="N3002" s="505"/>
      <c r="O3002" s="505"/>
      <c r="P3002" s="505"/>
      <c r="Q3002" s="505"/>
      <c r="R3002" s="505"/>
      <c r="S3002" s="505"/>
      <c r="T3002" s="505"/>
      <c r="U3002" s="505"/>
      <c r="V3002" s="505"/>
      <c r="W3002" s="505"/>
      <c r="X3002" s="505"/>
      <c r="Y3002" s="505"/>
    </row>
    <row r="3003" spans="1:25" s="88" customFormat="1" hidden="1" x14ac:dyDescent="0.25">
      <c r="A3003" s="481"/>
      <c r="B3003" s="288"/>
      <c r="C3003" s="267"/>
      <c r="D3003" s="258"/>
      <c r="E3003" s="679"/>
      <c r="F3003" s="499">
        <v>472</v>
      </c>
      <c r="G3003" s="492" t="s">
        <v>3815</v>
      </c>
      <c r="H3003" s="555"/>
      <c r="I3003" s="556"/>
      <c r="J3003" s="556">
        <f t="shared" si="103"/>
        <v>0</v>
      </c>
      <c r="K3003" s="505"/>
      <c r="L3003" s="505"/>
      <c r="M3003" s="505"/>
      <c r="N3003" s="505"/>
      <c r="O3003" s="505"/>
      <c r="P3003" s="505"/>
      <c r="Q3003" s="505"/>
      <c r="R3003" s="505"/>
      <c r="S3003" s="505"/>
      <c r="T3003" s="505"/>
      <c r="U3003" s="505"/>
      <c r="V3003" s="505"/>
      <c r="W3003" s="505"/>
      <c r="X3003" s="505"/>
      <c r="Y3003" s="505"/>
    </row>
    <row r="3004" spans="1:25" s="88" customFormat="1" ht="47.25" hidden="1" customHeight="1" thickBot="1" x14ac:dyDescent="0.3">
      <c r="A3004" s="481"/>
      <c r="B3004" s="288"/>
      <c r="C3004" s="267"/>
      <c r="D3004" s="258"/>
      <c r="E3004" s="679">
        <v>68</v>
      </c>
      <c r="F3004" s="499">
        <v>481</v>
      </c>
      <c r="G3004" s="492" t="s">
        <v>5223</v>
      </c>
      <c r="H3004" s="555">
        <v>0</v>
      </c>
      <c r="I3004" s="556"/>
      <c r="J3004" s="556">
        <f t="shared" si="103"/>
        <v>0</v>
      </c>
      <c r="K3004" s="505"/>
      <c r="L3004" s="505"/>
      <c r="M3004" s="505"/>
      <c r="N3004" s="505"/>
      <c r="O3004" s="505"/>
      <c r="P3004" s="505"/>
      <c r="Q3004" s="505"/>
      <c r="R3004" s="505"/>
      <c r="S3004" s="505"/>
      <c r="T3004" s="505"/>
      <c r="U3004" s="505"/>
      <c r="V3004" s="505"/>
      <c r="W3004" s="505"/>
      <c r="X3004" s="505"/>
      <c r="Y3004" s="505"/>
    </row>
    <row r="3005" spans="1:25" s="88" customFormat="1" ht="13.5" customHeight="1" x14ac:dyDescent="0.25">
      <c r="A3005" s="481"/>
      <c r="B3005" s="288"/>
      <c r="C3005" s="334"/>
      <c r="D3005" s="258"/>
      <c r="E3005" s="489"/>
      <c r="F3005" s="500"/>
      <c r="G3005" s="342" t="s">
        <v>5273</v>
      </c>
      <c r="H3005" s="557"/>
      <c r="I3005" s="583"/>
      <c r="J3005" s="558"/>
      <c r="K3005" s="505"/>
      <c r="L3005" s="505"/>
      <c r="M3005" s="505"/>
      <c r="N3005" s="505"/>
      <c r="O3005" s="505"/>
      <c r="P3005" s="505"/>
      <c r="Q3005" s="505"/>
      <c r="R3005" s="505"/>
      <c r="S3005" s="505"/>
      <c r="T3005" s="505"/>
      <c r="U3005" s="505"/>
      <c r="V3005" s="505"/>
      <c r="W3005" s="505"/>
      <c r="X3005" s="505"/>
      <c r="Y3005" s="505"/>
    </row>
    <row r="3006" spans="1:25" s="88" customFormat="1" ht="17.25" customHeight="1" thickBot="1" x14ac:dyDescent="0.3">
      <c r="A3006" s="481"/>
      <c r="B3006" s="288"/>
      <c r="C3006" s="334"/>
      <c r="D3006" s="258"/>
      <c r="E3006" s="693"/>
      <c r="F3006" s="597" t="s">
        <v>234</v>
      </c>
      <c r="G3006" s="598" t="s">
        <v>235</v>
      </c>
      <c r="H3006" s="559">
        <v>3500000</v>
      </c>
      <c r="I3006" s="560"/>
      <c r="J3006" s="560">
        <f>SUM(H3006:I3006)</f>
        <v>3500000</v>
      </c>
      <c r="K3006" s="505"/>
      <c r="L3006" s="505"/>
      <c r="M3006" s="505"/>
      <c r="N3006" s="505"/>
      <c r="O3006" s="505"/>
      <c r="P3006" s="505"/>
      <c r="Q3006" s="505"/>
      <c r="R3006" s="505"/>
      <c r="S3006" s="505"/>
      <c r="T3006" s="505"/>
      <c r="U3006" s="505"/>
      <c r="V3006" s="505"/>
      <c r="W3006" s="505"/>
      <c r="X3006" s="505"/>
      <c r="Y3006" s="505"/>
    </row>
    <row r="3007" spans="1:25" s="88" customFormat="1" hidden="1" x14ac:dyDescent="0.25">
      <c r="A3007" s="481"/>
      <c r="B3007" s="288"/>
      <c r="C3007" s="334"/>
      <c r="D3007" s="258"/>
      <c r="E3007" s="679"/>
      <c r="F3007" s="597" t="s">
        <v>236</v>
      </c>
      <c r="G3007" s="598" t="s">
        <v>237</v>
      </c>
      <c r="H3007" s="555"/>
      <c r="I3007" s="556"/>
      <c r="J3007" s="560">
        <f t="shared" ref="J3007:J3021" si="104">SUM(H3007:I3007)</f>
        <v>0</v>
      </c>
      <c r="K3007" s="505"/>
      <c r="L3007" s="505"/>
      <c r="M3007" s="505"/>
      <c r="N3007" s="505"/>
      <c r="O3007" s="505"/>
      <c r="P3007" s="505"/>
      <c r="Q3007" s="505"/>
      <c r="R3007" s="505"/>
      <c r="S3007" s="505"/>
      <c r="T3007" s="505"/>
      <c r="U3007" s="505"/>
      <c r="V3007" s="505"/>
      <c r="W3007" s="505"/>
      <c r="X3007" s="505"/>
      <c r="Y3007" s="505"/>
    </row>
    <row r="3008" spans="1:25" s="88" customFormat="1" hidden="1" x14ac:dyDescent="0.25">
      <c r="A3008" s="481"/>
      <c r="B3008" s="288"/>
      <c r="C3008" s="334"/>
      <c r="D3008" s="258"/>
      <c r="E3008" s="679"/>
      <c r="F3008" s="597" t="s">
        <v>238</v>
      </c>
      <c r="G3008" s="598" t="s">
        <v>239</v>
      </c>
      <c r="H3008" s="555"/>
      <c r="I3008" s="556"/>
      <c r="J3008" s="560">
        <f t="shared" si="104"/>
        <v>0</v>
      </c>
      <c r="K3008" s="505"/>
      <c r="L3008" s="505"/>
      <c r="M3008" s="505"/>
      <c r="N3008" s="505"/>
      <c r="O3008" s="505"/>
      <c r="P3008" s="505"/>
      <c r="Q3008" s="505"/>
      <c r="R3008" s="505"/>
      <c r="S3008" s="505"/>
      <c r="T3008" s="505"/>
      <c r="U3008" s="505"/>
      <c r="V3008" s="505"/>
      <c r="W3008" s="505"/>
      <c r="X3008" s="505"/>
      <c r="Y3008" s="505"/>
    </row>
    <row r="3009" spans="1:25" s="88" customFormat="1" hidden="1" x14ac:dyDescent="0.25">
      <c r="A3009" s="481"/>
      <c r="B3009" s="288"/>
      <c r="C3009" s="334"/>
      <c r="D3009" s="258"/>
      <c r="E3009" s="679"/>
      <c r="F3009" s="597" t="s">
        <v>240</v>
      </c>
      <c r="G3009" s="598" t="s">
        <v>241</v>
      </c>
      <c r="H3009" s="555"/>
      <c r="I3009" s="556"/>
      <c r="J3009" s="560">
        <f t="shared" si="104"/>
        <v>0</v>
      </c>
      <c r="K3009" s="505"/>
      <c r="L3009" s="505"/>
      <c r="M3009" s="505"/>
      <c r="N3009" s="505"/>
      <c r="O3009" s="505"/>
      <c r="P3009" s="505"/>
      <c r="Q3009" s="505"/>
      <c r="R3009" s="505"/>
      <c r="S3009" s="505"/>
      <c r="T3009" s="505"/>
      <c r="U3009" s="505"/>
      <c r="V3009" s="505"/>
      <c r="W3009" s="505"/>
      <c r="X3009" s="505"/>
      <c r="Y3009" s="505"/>
    </row>
    <row r="3010" spans="1:25" s="88" customFormat="1" hidden="1" x14ac:dyDescent="0.25">
      <c r="A3010" s="481"/>
      <c r="B3010" s="288"/>
      <c r="C3010" s="334"/>
      <c r="D3010" s="258"/>
      <c r="E3010" s="679"/>
      <c r="F3010" s="597" t="s">
        <v>242</v>
      </c>
      <c r="G3010" s="598" t="s">
        <v>243</v>
      </c>
      <c r="H3010" s="555"/>
      <c r="I3010" s="556"/>
      <c r="J3010" s="560">
        <f t="shared" si="104"/>
        <v>0</v>
      </c>
      <c r="K3010" s="505"/>
      <c r="L3010" s="505"/>
      <c r="M3010" s="505"/>
      <c r="N3010" s="505"/>
      <c r="O3010" s="505"/>
      <c r="P3010" s="505"/>
      <c r="Q3010" s="505"/>
      <c r="R3010" s="505"/>
      <c r="S3010" s="505"/>
      <c r="T3010" s="505"/>
      <c r="U3010" s="505"/>
      <c r="V3010" s="505"/>
      <c r="W3010" s="505"/>
      <c r="X3010" s="505"/>
      <c r="Y3010" s="505"/>
    </row>
    <row r="3011" spans="1:25" s="88" customFormat="1" hidden="1" x14ac:dyDescent="0.25">
      <c r="A3011" s="481"/>
      <c r="B3011" s="288"/>
      <c r="C3011" s="334"/>
      <c r="D3011" s="258"/>
      <c r="E3011" s="679"/>
      <c r="F3011" s="597" t="s">
        <v>244</v>
      </c>
      <c r="G3011" s="598" t="s">
        <v>245</v>
      </c>
      <c r="H3011" s="555"/>
      <c r="I3011" s="556"/>
      <c r="J3011" s="560">
        <f t="shared" si="104"/>
        <v>0</v>
      </c>
      <c r="K3011" s="505"/>
      <c r="L3011" s="505"/>
      <c r="M3011" s="505"/>
      <c r="N3011" s="505"/>
      <c r="O3011" s="505"/>
      <c r="P3011" s="505"/>
      <c r="Q3011" s="505"/>
      <c r="R3011" s="505"/>
      <c r="S3011" s="505"/>
      <c r="T3011" s="505"/>
      <c r="U3011" s="505"/>
      <c r="V3011" s="505"/>
      <c r="W3011" s="505"/>
      <c r="X3011" s="505"/>
      <c r="Y3011" s="505"/>
    </row>
    <row r="3012" spans="1:25" s="88" customFormat="1" hidden="1" x14ac:dyDescent="0.25">
      <c r="A3012" s="481"/>
      <c r="B3012" s="288"/>
      <c r="C3012" s="334"/>
      <c r="D3012" s="258"/>
      <c r="E3012" s="679"/>
      <c r="F3012" s="597" t="s">
        <v>246</v>
      </c>
      <c r="G3012" s="598" t="s">
        <v>4996</v>
      </c>
      <c r="H3012" s="555"/>
      <c r="I3012" s="556"/>
      <c r="J3012" s="560">
        <f t="shared" si="104"/>
        <v>0</v>
      </c>
      <c r="K3012" s="505"/>
      <c r="L3012" s="505"/>
      <c r="M3012" s="505"/>
      <c r="N3012" s="505"/>
      <c r="O3012" s="505"/>
      <c r="P3012" s="505"/>
      <c r="Q3012" s="505"/>
      <c r="R3012" s="505"/>
      <c r="S3012" s="505"/>
      <c r="T3012" s="505"/>
      <c r="U3012" s="505"/>
      <c r="V3012" s="505"/>
      <c r="W3012" s="505"/>
      <c r="X3012" s="505"/>
      <c r="Y3012" s="505"/>
    </row>
    <row r="3013" spans="1:25" s="88" customFormat="1" hidden="1" x14ac:dyDescent="0.25">
      <c r="A3013" s="481"/>
      <c r="B3013" s="288"/>
      <c r="C3013" s="334"/>
      <c r="D3013" s="258"/>
      <c r="E3013" s="679"/>
      <c r="F3013" s="597" t="s">
        <v>247</v>
      </c>
      <c r="G3013" s="598" t="s">
        <v>4995</v>
      </c>
      <c r="H3013" s="555"/>
      <c r="I3013" s="556"/>
      <c r="J3013" s="560">
        <f t="shared" si="104"/>
        <v>0</v>
      </c>
      <c r="K3013" s="505"/>
      <c r="L3013" s="505"/>
      <c r="M3013" s="505"/>
      <c r="N3013" s="505"/>
      <c r="O3013" s="505"/>
      <c r="P3013" s="505"/>
      <c r="Q3013" s="505"/>
      <c r="R3013" s="505"/>
      <c r="S3013" s="505"/>
      <c r="T3013" s="505"/>
      <c r="U3013" s="505"/>
      <c r="V3013" s="505"/>
      <c r="W3013" s="505"/>
      <c r="X3013" s="505"/>
      <c r="Y3013" s="505"/>
    </row>
    <row r="3014" spans="1:25" s="88" customFormat="1" hidden="1" x14ac:dyDescent="0.25">
      <c r="A3014" s="481"/>
      <c r="B3014" s="288"/>
      <c r="C3014" s="334"/>
      <c r="D3014" s="258"/>
      <c r="E3014" s="679"/>
      <c r="F3014" s="597" t="s">
        <v>248</v>
      </c>
      <c r="G3014" s="598" t="s">
        <v>57</v>
      </c>
      <c r="H3014" s="555"/>
      <c r="I3014" s="556"/>
      <c r="J3014" s="560">
        <f t="shared" si="104"/>
        <v>0</v>
      </c>
      <c r="K3014" s="505"/>
      <c r="L3014" s="505"/>
      <c r="M3014" s="505"/>
      <c r="N3014" s="505"/>
      <c r="O3014" s="505"/>
      <c r="P3014" s="505"/>
      <c r="Q3014" s="505"/>
      <c r="R3014" s="505"/>
      <c r="S3014" s="505"/>
      <c r="T3014" s="505"/>
      <c r="U3014" s="505"/>
      <c r="V3014" s="505"/>
      <c r="W3014" s="505"/>
      <c r="X3014" s="505"/>
      <c r="Y3014" s="505"/>
    </row>
    <row r="3015" spans="1:25" s="88" customFormat="1" hidden="1" x14ac:dyDescent="0.25">
      <c r="A3015" s="481"/>
      <c r="B3015" s="288"/>
      <c r="C3015" s="334"/>
      <c r="D3015" s="258"/>
      <c r="E3015" s="679"/>
      <c r="F3015" s="597" t="s">
        <v>249</v>
      </c>
      <c r="G3015" s="598" t="s">
        <v>250</v>
      </c>
      <c r="H3015" s="555"/>
      <c r="I3015" s="556"/>
      <c r="J3015" s="560">
        <f t="shared" si="104"/>
        <v>0</v>
      </c>
      <c r="K3015" s="505"/>
      <c r="L3015" s="505"/>
      <c r="M3015" s="505"/>
      <c r="N3015" s="505"/>
      <c r="O3015" s="505"/>
      <c r="P3015" s="505"/>
      <c r="Q3015" s="505"/>
      <c r="R3015" s="505"/>
      <c r="S3015" s="505"/>
      <c r="T3015" s="505"/>
      <c r="U3015" s="505"/>
      <c r="V3015" s="505"/>
      <c r="W3015" s="505"/>
      <c r="X3015" s="505"/>
      <c r="Y3015" s="505"/>
    </row>
    <row r="3016" spans="1:25" s="88" customFormat="1" hidden="1" x14ac:dyDescent="0.25">
      <c r="A3016" s="481"/>
      <c r="B3016" s="288"/>
      <c r="C3016" s="334"/>
      <c r="D3016" s="258"/>
      <c r="E3016" s="679"/>
      <c r="F3016" s="597" t="s">
        <v>251</v>
      </c>
      <c r="G3016" s="598" t="s">
        <v>252</v>
      </c>
      <c r="H3016" s="555"/>
      <c r="I3016" s="556"/>
      <c r="J3016" s="560">
        <f t="shared" si="104"/>
        <v>0</v>
      </c>
      <c r="K3016" s="505"/>
      <c r="L3016" s="505"/>
      <c r="M3016" s="505"/>
      <c r="N3016" s="505"/>
      <c r="O3016" s="505"/>
      <c r="P3016" s="505"/>
      <c r="Q3016" s="505"/>
      <c r="R3016" s="505"/>
      <c r="S3016" s="505"/>
      <c r="T3016" s="505"/>
      <c r="U3016" s="505"/>
      <c r="V3016" s="505"/>
      <c r="W3016" s="505"/>
      <c r="X3016" s="505"/>
      <c r="Y3016" s="505"/>
    </row>
    <row r="3017" spans="1:25" s="88" customFormat="1" ht="30" hidden="1" x14ac:dyDescent="0.25">
      <c r="A3017" s="481"/>
      <c r="B3017" s="288"/>
      <c r="C3017" s="334"/>
      <c r="D3017" s="258"/>
      <c r="E3017" s="679"/>
      <c r="F3017" s="597" t="s">
        <v>253</v>
      </c>
      <c r="G3017" s="598" t="s">
        <v>254</v>
      </c>
      <c r="H3017" s="555"/>
      <c r="I3017" s="556"/>
      <c r="J3017" s="560">
        <f t="shared" si="104"/>
        <v>0</v>
      </c>
      <c r="K3017" s="505"/>
      <c r="L3017" s="505"/>
      <c r="M3017" s="505"/>
      <c r="N3017" s="505"/>
      <c r="O3017" s="505"/>
      <c r="P3017" s="505"/>
      <c r="Q3017" s="505"/>
      <c r="R3017" s="505"/>
      <c r="S3017" s="505"/>
      <c r="T3017" s="505"/>
      <c r="U3017" s="505"/>
      <c r="V3017" s="505"/>
      <c r="W3017" s="505"/>
      <c r="X3017" s="505"/>
      <c r="Y3017" s="505"/>
    </row>
    <row r="3018" spans="1:25" s="88" customFormat="1" hidden="1" x14ac:dyDescent="0.25">
      <c r="A3018" s="481"/>
      <c r="B3018" s="288"/>
      <c r="C3018" s="334"/>
      <c r="D3018" s="258"/>
      <c r="E3018" s="679"/>
      <c r="F3018" s="597" t="s">
        <v>255</v>
      </c>
      <c r="G3018" s="598" t="s">
        <v>256</v>
      </c>
      <c r="H3018" s="555"/>
      <c r="I3018" s="556"/>
      <c r="J3018" s="560">
        <f t="shared" si="104"/>
        <v>0</v>
      </c>
      <c r="K3018" s="505"/>
      <c r="L3018" s="505"/>
      <c r="M3018" s="505"/>
      <c r="N3018" s="505"/>
      <c r="O3018" s="505"/>
      <c r="P3018" s="505"/>
      <c r="Q3018" s="505"/>
      <c r="R3018" s="505"/>
      <c r="S3018" s="505"/>
      <c r="T3018" s="505"/>
      <c r="U3018" s="505"/>
      <c r="V3018" s="505"/>
      <c r="W3018" s="505"/>
      <c r="X3018" s="505"/>
      <c r="Y3018" s="505"/>
    </row>
    <row r="3019" spans="1:25" s="88" customFormat="1" ht="30" hidden="1" x14ac:dyDescent="0.25">
      <c r="A3019" s="481"/>
      <c r="B3019" s="288"/>
      <c r="C3019" s="334"/>
      <c r="D3019" s="258"/>
      <c r="E3019" s="679"/>
      <c r="F3019" s="597" t="s">
        <v>257</v>
      </c>
      <c r="G3019" s="598" t="s">
        <v>258</v>
      </c>
      <c r="H3019" s="555"/>
      <c r="I3019" s="556"/>
      <c r="J3019" s="560">
        <f t="shared" si="104"/>
        <v>0</v>
      </c>
      <c r="K3019" s="505"/>
      <c r="L3019" s="505"/>
      <c r="M3019" s="505"/>
      <c r="N3019" s="505"/>
      <c r="O3019" s="505"/>
      <c r="P3019" s="505"/>
      <c r="Q3019" s="505"/>
      <c r="R3019" s="505"/>
      <c r="S3019" s="505"/>
      <c r="T3019" s="505"/>
      <c r="U3019" s="505"/>
      <c r="V3019" s="505"/>
      <c r="W3019" s="505"/>
      <c r="X3019" s="505"/>
      <c r="Y3019" s="505"/>
    </row>
    <row r="3020" spans="1:25" s="88" customFormat="1" hidden="1" x14ac:dyDescent="0.25">
      <c r="A3020" s="481"/>
      <c r="B3020" s="288"/>
      <c r="C3020" s="334"/>
      <c r="D3020" s="258"/>
      <c r="E3020" s="679"/>
      <c r="F3020" s="597" t="s">
        <v>259</v>
      </c>
      <c r="G3020" s="598" t="s">
        <v>260</v>
      </c>
      <c r="H3020" s="555"/>
      <c r="I3020" s="556"/>
      <c r="J3020" s="560">
        <f t="shared" si="104"/>
        <v>0</v>
      </c>
      <c r="K3020" s="505"/>
      <c r="L3020" s="505"/>
      <c r="M3020" s="505"/>
      <c r="N3020" s="505"/>
      <c r="O3020" s="505"/>
      <c r="P3020" s="505"/>
      <c r="Q3020" s="505"/>
      <c r="R3020" s="505"/>
      <c r="S3020" s="505"/>
      <c r="T3020" s="505"/>
      <c r="U3020" s="505"/>
      <c r="V3020" s="505"/>
      <c r="W3020" s="505"/>
      <c r="X3020" s="505"/>
      <c r="Y3020" s="505"/>
    </row>
    <row r="3021" spans="1:25" s="88" customFormat="1" ht="15.75" hidden="1" thickBot="1" x14ac:dyDescent="0.3">
      <c r="A3021" s="481"/>
      <c r="B3021" s="288"/>
      <c r="C3021" s="334"/>
      <c r="D3021" s="258"/>
      <c r="E3021" s="679"/>
      <c r="F3021" s="597" t="s">
        <v>261</v>
      </c>
      <c r="G3021" s="598" t="s">
        <v>262</v>
      </c>
      <c r="H3021" s="559"/>
      <c r="I3021" s="560"/>
      <c r="J3021" s="560">
        <f t="shared" si="104"/>
        <v>0</v>
      </c>
      <c r="K3021" s="505"/>
      <c r="L3021" s="505"/>
      <c r="M3021" s="505"/>
      <c r="N3021" s="505"/>
      <c r="O3021" s="505"/>
      <c r="P3021" s="505"/>
      <c r="Q3021" s="505"/>
      <c r="R3021" s="505"/>
      <c r="S3021" s="505"/>
      <c r="T3021" s="505"/>
      <c r="U3021" s="505"/>
      <c r="V3021" s="505"/>
      <c r="W3021" s="505"/>
      <c r="X3021" s="505"/>
      <c r="Y3021" s="505"/>
    </row>
    <row r="3022" spans="1:25" s="88" customFormat="1" ht="13.5" customHeight="1" thickBot="1" x14ac:dyDescent="0.3">
      <c r="A3022" s="481"/>
      <c r="B3022" s="288"/>
      <c r="C3022" s="334"/>
      <c r="D3022" s="258"/>
      <c r="E3022" s="679"/>
      <c r="F3022" s="258"/>
      <c r="G3022" s="268" t="s">
        <v>5272</v>
      </c>
      <c r="H3022" s="561">
        <f>SUM(H3006:H3021)</f>
        <v>3500000</v>
      </c>
      <c r="I3022" s="562">
        <f>SUM(I3007:I3021)</f>
        <v>0</v>
      </c>
      <c r="J3022" s="562">
        <f>SUM(J3006:J3021)</f>
        <v>3500000</v>
      </c>
      <c r="K3022" s="505"/>
      <c r="L3022" s="505"/>
      <c r="M3022" s="505"/>
      <c r="N3022" s="505"/>
      <c r="O3022" s="505"/>
      <c r="P3022" s="505"/>
      <c r="Q3022" s="505"/>
      <c r="R3022" s="505"/>
      <c r="S3022" s="505"/>
      <c r="T3022" s="505"/>
      <c r="U3022" s="505"/>
      <c r="V3022" s="505"/>
      <c r="W3022" s="505"/>
      <c r="X3022" s="505"/>
      <c r="Y3022" s="505"/>
    </row>
    <row r="3023" spans="1:25" s="88" customFormat="1" ht="28.5" x14ac:dyDescent="0.25">
      <c r="A3023" s="481"/>
      <c r="B3023" s="288"/>
      <c r="C3023" s="334"/>
      <c r="D3023" s="258"/>
      <c r="E3023" s="489"/>
      <c r="F3023" s="500"/>
      <c r="G3023" s="270" t="s">
        <v>5275</v>
      </c>
      <c r="H3023" s="563"/>
      <c r="I3023" s="584"/>
      <c r="J3023" s="564"/>
      <c r="K3023" s="505"/>
      <c r="L3023" s="505"/>
      <c r="M3023" s="505"/>
      <c r="N3023" s="505"/>
      <c r="O3023" s="505"/>
      <c r="P3023" s="505"/>
      <c r="Q3023" s="505"/>
      <c r="R3023" s="505"/>
      <c r="S3023" s="505"/>
      <c r="T3023" s="505"/>
      <c r="U3023" s="505"/>
      <c r="V3023" s="505"/>
      <c r="W3023" s="505"/>
      <c r="X3023" s="505"/>
      <c r="Y3023" s="505"/>
    </row>
    <row r="3024" spans="1:25" s="88" customFormat="1" ht="15.75" thickBot="1" x14ac:dyDescent="0.3">
      <c r="A3024" s="481"/>
      <c r="B3024" s="288"/>
      <c r="C3024" s="334"/>
      <c r="D3024" s="258"/>
      <c r="E3024" s="693"/>
      <c r="F3024" s="597" t="s">
        <v>234</v>
      </c>
      <c r="G3024" s="598" t="s">
        <v>235</v>
      </c>
      <c r="H3024" s="559">
        <f>SUM(H3022)</f>
        <v>3500000</v>
      </c>
      <c r="I3024" s="560"/>
      <c r="J3024" s="560">
        <f>SUM(H3024:I3024)</f>
        <v>3500000</v>
      </c>
      <c r="K3024" s="505"/>
      <c r="L3024" s="505"/>
      <c r="M3024" s="505"/>
      <c r="N3024" s="505"/>
      <c r="O3024" s="505"/>
      <c r="P3024" s="505"/>
      <c r="Q3024" s="505"/>
      <c r="R3024" s="505"/>
      <c r="S3024" s="505"/>
      <c r="T3024" s="505"/>
      <c r="U3024" s="505"/>
      <c r="V3024" s="505"/>
      <c r="W3024" s="505"/>
      <c r="X3024" s="505"/>
      <c r="Y3024" s="505"/>
    </row>
    <row r="3025" spans="1:25" s="88" customFormat="1" ht="15.75" thickBot="1" x14ac:dyDescent="0.3">
      <c r="A3025" s="481"/>
      <c r="B3025" s="288"/>
      <c r="C3025" s="334"/>
      <c r="D3025" s="286"/>
      <c r="E3025" s="876"/>
      <c r="F3025" s="258"/>
      <c r="G3025" s="268" t="s">
        <v>5276</v>
      </c>
      <c r="H3025" s="561">
        <f>SUM(H3024)</f>
        <v>3500000</v>
      </c>
      <c r="I3025" s="562">
        <f>SUM(I3010:I3024)</f>
        <v>0</v>
      </c>
      <c r="J3025" s="562">
        <f>SUM(H3025)</f>
        <v>3500000</v>
      </c>
      <c r="K3025" s="505"/>
      <c r="L3025" s="505"/>
      <c r="M3025" s="505"/>
      <c r="N3025" s="505"/>
      <c r="O3025" s="505"/>
      <c r="P3025" s="505"/>
      <c r="Q3025" s="505"/>
      <c r="R3025" s="505"/>
      <c r="S3025" s="505"/>
      <c r="T3025" s="505"/>
      <c r="U3025" s="505"/>
      <c r="V3025" s="505"/>
      <c r="W3025" s="505"/>
      <c r="X3025" s="505"/>
      <c r="Y3025" s="505"/>
    </row>
    <row r="3026" spans="1:25" s="88" customFormat="1" ht="18" customHeight="1" x14ac:dyDescent="0.25">
      <c r="A3026" s="481"/>
      <c r="B3026" s="288"/>
      <c r="C3026" s="267" t="s">
        <v>4361</v>
      </c>
      <c r="D3026" s="259"/>
      <c r="E3026" s="679"/>
      <c r="F3026" s="258"/>
      <c r="G3026" s="727" t="s">
        <v>5277</v>
      </c>
      <c r="H3026" s="555"/>
      <c r="I3026" s="556"/>
      <c r="J3026" s="556"/>
      <c r="K3026" s="505"/>
      <c r="L3026" s="505"/>
      <c r="M3026" s="505"/>
      <c r="N3026" s="505"/>
      <c r="O3026" s="505"/>
      <c r="P3026" s="505"/>
      <c r="Q3026" s="505"/>
      <c r="R3026" s="505"/>
      <c r="S3026" s="505"/>
      <c r="T3026" s="505"/>
      <c r="U3026" s="505"/>
      <c r="V3026" s="505"/>
      <c r="W3026" s="505"/>
      <c r="X3026" s="505"/>
      <c r="Y3026" s="505"/>
    </row>
    <row r="3027" spans="1:25" s="88" customFormat="1" x14ac:dyDescent="0.25">
      <c r="A3027" s="481"/>
      <c r="B3027" s="288"/>
      <c r="C3027" s="294"/>
      <c r="D3027" s="348" t="s">
        <v>4003</v>
      </c>
      <c r="E3027" s="871"/>
      <c r="F3027" s="345"/>
      <c r="G3027" s="346" t="s">
        <v>5036</v>
      </c>
      <c r="H3027" s="572"/>
      <c r="I3027" s="573"/>
      <c r="J3027" s="573"/>
      <c r="K3027" s="505"/>
      <c r="L3027" s="505"/>
      <c r="M3027" s="505"/>
      <c r="N3027" s="505"/>
      <c r="O3027" s="505"/>
      <c r="P3027" s="505"/>
      <c r="Q3027" s="505"/>
      <c r="R3027" s="505"/>
      <c r="S3027" s="505"/>
      <c r="T3027" s="505"/>
      <c r="U3027" s="505"/>
      <c r="V3027" s="505"/>
      <c r="W3027" s="505"/>
      <c r="X3027" s="505"/>
      <c r="Y3027" s="505"/>
    </row>
    <row r="3028" spans="1:25" s="88" customFormat="1" hidden="1" x14ac:dyDescent="0.25">
      <c r="A3028" s="481"/>
      <c r="B3028" s="288"/>
      <c r="C3028" s="267"/>
      <c r="D3028" s="258"/>
      <c r="E3028" s="679"/>
      <c r="F3028" s="499">
        <v>411</v>
      </c>
      <c r="G3028" s="492" t="s">
        <v>4131</v>
      </c>
      <c r="H3028" s="555"/>
      <c r="I3028" s="556"/>
      <c r="J3028" s="556">
        <f>SUM(H3028:I3028)</f>
        <v>0</v>
      </c>
      <c r="K3028" s="505"/>
      <c r="L3028" s="505"/>
      <c r="M3028" s="505"/>
      <c r="N3028" s="505"/>
      <c r="O3028" s="505"/>
      <c r="P3028" s="505"/>
      <c r="Q3028" s="505"/>
      <c r="R3028" s="505"/>
      <c r="S3028" s="505"/>
      <c r="T3028" s="505"/>
      <c r="U3028" s="505"/>
      <c r="V3028" s="505"/>
      <c r="W3028" s="505"/>
      <c r="X3028" s="505"/>
      <c r="Y3028" s="505"/>
    </row>
    <row r="3029" spans="1:25" s="88" customFormat="1" hidden="1" x14ac:dyDescent="0.25">
      <c r="A3029" s="481"/>
      <c r="B3029" s="288"/>
      <c r="C3029" s="267"/>
      <c r="D3029" s="258"/>
      <c r="E3029" s="679"/>
      <c r="F3029" s="499">
        <v>412</v>
      </c>
      <c r="G3029" s="488" t="s">
        <v>3766</v>
      </c>
      <c r="H3029" s="555"/>
      <c r="I3029" s="556"/>
      <c r="J3029" s="556">
        <f t="shared" ref="J3029:J3063" si="105">SUM(H3029:I3029)</f>
        <v>0</v>
      </c>
      <c r="K3029" s="505"/>
      <c r="L3029" s="505"/>
      <c r="M3029" s="505"/>
      <c r="N3029" s="505"/>
      <c r="O3029" s="505"/>
      <c r="P3029" s="505"/>
      <c r="Q3029" s="505"/>
      <c r="R3029" s="505"/>
      <c r="S3029" s="505"/>
      <c r="T3029" s="505"/>
      <c r="U3029" s="505"/>
      <c r="V3029" s="505"/>
      <c r="W3029" s="505"/>
      <c r="X3029" s="505"/>
      <c r="Y3029" s="505"/>
    </row>
    <row r="3030" spans="1:25" s="88" customFormat="1" hidden="1" x14ac:dyDescent="0.25">
      <c r="A3030" s="481"/>
      <c r="B3030" s="288"/>
      <c r="C3030" s="267"/>
      <c r="D3030" s="258"/>
      <c r="E3030" s="679"/>
      <c r="F3030" s="499">
        <v>413</v>
      </c>
      <c r="G3030" s="492" t="s">
        <v>4132</v>
      </c>
      <c r="H3030" s="555"/>
      <c r="I3030" s="556"/>
      <c r="J3030" s="556">
        <f t="shared" si="105"/>
        <v>0</v>
      </c>
      <c r="K3030" s="505"/>
      <c r="L3030" s="505"/>
      <c r="M3030" s="505"/>
      <c r="N3030" s="505"/>
      <c r="O3030" s="505"/>
      <c r="P3030" s="505"/>
      <c r="Q3030" s="505"/>
      <c r="R3030" s="505"/>
      <c r="S3030" s="505"/>
      <c r="T3030" s="505"/>
      <c r="U3030" s="505"/>
      <c r="V3030" s="505"/>
      <c r="W3030" s="505"/>
      <c r="X3030" s="505"/>
      <c r="Y3030" s="505"/>
    </row>
    <row r="3031" spans="1:25" s="88" customFormat="1" hidden="1" x14ac:dyDescent="0.25">
      <c r="A3031" s="481"/>
      <c r="B3031" s="288"/>
      <c r="C3031" s="267"/>
      <c r="D3031" s="258"/>
      <c r="E3031" s="679"/>
      <c r="F3031" s="499">
        <v>414</v>
      </c>
      <c r="G3031" s="492" t="s">
        <v>3769</v>
      </c>
      <c r="H3031" s="555"/>
      <c r="I3031" s="556"/>
      <c r="J3031" s="556">
        <f t="shared" si="105"/>
        <v>0</v>
      </c>
      <c r="K3031" s="505"/>
      <c r="L3031" s="505"/>
      <c r="M3031" s="505"/>
      <c r="N3031" s="505"/>
      <c r="O3031" s="505"/>
      <c r="P3031" s="505"/>
      <c r="Q3031" s="505"/>
      <c r="R3031" s="505"/>
      <c r="S3031" s="505"/>
      <c r="T3031" s="505"/>
      <c r="U3031" s="505"/>
      <c r="V3031" s="505"/>
      <c r="W3031" s="505"/>
      <c r="X3031" s="505"/>
      <c r="Y3031" s="505"/>
    </row>
    <row r="3032" spans="1:25" s="88" customFormat="1" hidden="1" x14ac:dyDescent="0.25">
      <c r="A3032" s="481"/>
      <c r="B3032" s="288"/>
      <c r="C3032" s="267"/>
      <c r="D3032" s="258"/>
      <c r="E3032" s="679"/>
      <c r="F3032" s="499">
        <v>415</v>
      </c>
      <c r="G3032" s="492" t="s">
        <v>4141</v>
      </c>
      <c r="H3032" s="555"/>
      <c r="I3032" s="556"/>
      <c r="J3032" s="556">
        <f t="shared" si="105"/>
        <v>0</v>
      </c>
      <c r="K3032" s="505"/>
      <c r="L3032" s="505"/>
      <c r="M3032" s="505"/>
      <c r="N3032" s="505"/>
      <c r="O3032" s="505"/>
      <c r="P3032" s="505"/>
      <c r="Q3032" s="505"/>
      <c r="R3032" s="505"/>
      <c r="S3032" s="505"/>
      <c r="T3032" s="505"/>
      <c r="U3032" s="505"/>
      <c r="V3032" s="505"/>
      <c r="W3032" s="505"/>
      <c r="X3032" s="505"/>
      <c r="Y3032" s="505"/>
    </row>
    <row r="3033" spans="1:25" s="88" customFormat="1" hidden="1" x14ac:dyDescent="0.25">
      <c r="A3033" s="481"/>
      <c r="B3033" s="288"/>
      <c r="C3033" s="267"/>
      <c r="D3033" s="258"/>
      <c r="E3033" s="679"/>
      <c r="F3033" s="499">
        <v>416</v>
      </c>
      <c r="G3033" s="492" t="s">
        <v>4142</v>
      </c>
      <c r="H3033" s="555"/>
      <c r="I3033" s="556"/>
      <c r="J3033" s="556">
        <f t="shared" si="105"/>
        <v>0</v>
      </c>
      <c r="K3033" s="505"/>
      <c r="L3033" s="505"/>
      <c r="M3033" s="505"/>
      <c r="N3033" s="505"/>
      <c r="O3033" s="505"/>
      <c r="P3033" s="505"/>
      <c r="Q3033" s="505"/>
      <c r="R3033" s="505"/>
      <c r="S3033" s="505"/>
      <c r="T3033" s="505"/>
      <c r="U3033" s="505"/>
      <c r="V3033" s="505"/>
      <c r="W3033" s="505"/>
      <c r="X3033" s="505"/>
      <c r="Y3033" s="505"/>
    </row>
    <row r="3034" spans="1:25" s="88" customFormat="1" hidden="1" x14ac:dyDescent="0.25">
      <c r="A3034" s="481"/>
      <c r="B3034" s="288"/>
      <c r="C3034" s="267"/>
      <c r="D3034" s="258"/>
      <c r="E3034" s="679"/>
      <c r="F3034" s="499">
        <v>417</v>
      </c>
      <c r="G3034" s="492" t="s">
        <v>4143</v>
      </c>
      <c r="H3034" s="555"/>
      <c r="I3034" s="556"/>
      <c r="J3034" s="556">
        <f t="shared" si="105"/>
        <v>0</v>
      </c>
      <c r="K3034" s="505"/>
      <c r="L3034" s="505"/>
      <c r="M3034" s="505"/>
      <c r="N3034" s="505"/>
      <c r="O3034" s="505"/>
      <c r="P3034" s="505"/>
      <c r="Q3034" s="505"/>
      <c r="R3034" s="505"/>
      <c r="S3034" s="505"/>
      <c r="T3034" s="505"/>
      <c r="U3034" s="505"/>
      <c r="V3034" s="505"/>
      <c r="W3034" s="505"/>
      <c r="X3034" s="505"/>
      <c r="Y3034" s="505"/>
    </row>
    <row r="3035" spans="1:25" s="88" customFormat="1" hidden="1" x14ac:dyDescent="0.25">
      <c r="A3035" s="481"/>
      <c r="B3035" s="288"/>
      <c r="C3035" s="267"/>
      <c r="D3035" s="258"/>
      <c r="E3035" s="679"/>
      <c r="F3035" s="499">
        <v>418</v>
      </c>
      <c r="G3035" s="492" t="s">
        <v>3775</v>
      </c>
      <c r="H3035" s="555"/>
      <c r="I3035" s="556"/>
      <c r="J3035" s="556">
        <f t="shared" si="105"/>
        <v>0</v>
      </c>
      <c r="K3035" s="505"/>
      <c r="L3035" s="505"/>
      <c r="M3035" s="505"/>
      <c r="N3035" s="505"/>
      <c r="O3035" s="505"/>
      <c r="P3035" s="505"/>
      <c r="Q3035" s="505"/>
      <c r="R3035" s="505"/>
      <c r="S3035" s="505"/>
      <c r="T3035" s="505"/>
      <c r="U3035" s="505"/>
      <c r="V3035" s="505"/>
      <c r="W3035" s="505"/>
      <c r="X3035" s="505"/>
      <c r="Y3035" s="505"/>
    </row>
    <row r="3036" spans="1:25" s="88" customFormat="1" hidden="1" x14ac:dyDescent="0.25">
      <c r="A3036" s="481"/>
      <c r="B3036" s="288"/>
      <c r="C3036" s="267"/>
      <c r="D3036" s="258"/>
      <c r="E3036" s="679"/>
      <c r="F3036" s="499">
        <v>421</v>
      </c>
      <c r="G3036" s="492" t="s">
        <v>3779</v>
      </c>
      <c r="H3036" s="555"/>
      <c r="I3036" s="556"/>
      <c r="J3036" s="556">
        <f t="shared" si="105"/>
        <v>0</v>
      </c>
      <c r="K3036" s="505"/>
      <c r="L3036" s="505"/>
      <c r="M3036" s="505"/>
      <c r="N3036" s="505"/>
      <c r="O3036" s="505"/>
      <c r="P3036" s="505"/>
      <c r="Q3036" s="505"/>
      <c r="R3036" s="505"/>
      <c r="S3036" s="505"/>
      <c r="T3036" s="505"/>
      <c r="U3036" s="505"/>
      <c r="V3036" s="505"/>
      <c r="W3036" s="505"/>
      <c r="X3036" s="505"/>
      <c r="Y3036" s="505"/>
    </row>
    <row r="3037" spans="1:25" s="88" customFormat="1" hidden="1" x14ac:dyDescent="0.25">
      <c r="A3037" s="481"/>
      <c r="B3037" s="288"/>
      <c r="C3037" s="267"/>
      <c r="D3037" s="258"/>
      <c r="E3037" s="679"/>
      <c r="F3037" s="499">
        <v>422</v>
      </c>
      <c r="G3037" s="492" t="s">
        <v>3780</v>
      </c>
      <c r="H3037" s="555"/>
      <c r="I3037" s="556"/>
      <c r="J3037" s="556">
        <f t="shared" si="105"/>
        <v>0</v>
      </c>
      <c r="K3037" s="505"/>
      <c r="L3037" s="505"/>
      <c r="M3037" s="505"/>
      <c r="N3037" s="505"/>
      <c r="O3037" s="505"/>
      <c r="P3037" s="505"/>
      <c r="Q3037" s="505"/>
      <c r="R3037" s="505"/>
      <c r="S3037" s="505"/>
      <c r="T3037" s="505"/>
      <c r="U3037" s="505"/>
      <c r="V3037" s="505"/>
      <c r="W3037" s="505"/>
      <c r="X3037" s="505"/>
      <c r="Y3037" s="505"/>
    </row>
    <row r="3038" spans="1:25" s="88" customFormat="1" x14ac:dyDescent="0.25">
      <c r="A3038" s="481"/>
      <c r="B3038" s="288"/>
      <c r="C3038" s="267"/>
      <c r="D3038" s="258"/>
      <c r="E3038" s="679">
        <v>102</v>
      </c>
      <c r="F3038" s="499">
        <v>423</v>
      </c>
      <c r="G3038" s="492" t="s">
        <v>3781</v>
      </c>
      <c r="H3038" s="555">
        <v>1000000</v>
      </c>
      <c r="I3038" s="556"/>
      <c r="J3038" s="556">
        <f t="shared" si="105"/>
        <v>1000000</v>
      </c>
      <c r="K3038" s="505"/>
      <c r="L3038" s="505"/>
      <c r="M3038" s="505"/>
      <c r="N3038" s="505"/>
      <c r="O3038" s="505"/>
      <c r="P3038" s="505"/>
      <c r="Q3038" s="505"/>
      <c r="R3038" s="505"/>
      <c r="S3038" s="505"/>
      <c r="T3038" s="505"/>
      <c r="U3038" s="505"/>
      <c r="V3038" s="505"/>
      <c r="W3038" s="505"/>
      <c r="X3038" s="505"/>
      <c r="Y3038" s="505"/>
    </row>
    <row r="3039" spans="1:25" s="88" customFormat="1" hidden="1" x14ac:dyDescent="0.25">
      <c r="A3039" s="481"/>
      <c r="B3039" s="288"/>
      <c r="C3039" s="267"/>
      <c r="D3039" s="258"/>
      <c r="E3039" s="679"/>
      <c r="F3039" s="499">
        <v>424</v>
      </c>
      <c r="G3039" s="492" t="s">
        <v>3783</v>
      </c>
      <c r="H3039" s="555"/>
      <c r="I3039" s="556"/>
      <c r="J3039" s="556">
        <f t="shared" si="105"/>
        <v>0</v>
      </c>
      <c r="K3039" s="505"/>
      <c r="L3039" s="505"/>
      <c r="M3039" s="505"/>
      <c r="N3039" s="505"/>
      <c r="O3039" s="505"/>
      <c r="P3039" s="505"/>
      <c r="Q3039" s="505"/>
      <c r="R3039" s="505"/>
      <c r="S3039" s="505"/>
      <c r="T3039" s="505"/>
      <c r="U3039" s="505"/>
      <c r="V3039" s="505"/>
      <c r="W3039" s="505"/>
      <c r="X3039" s="505"/>
      <c r="Y3039" s="505"/>
    </row>
    <row r="3040" spans="1:25" s="88" customFormat="1" hidden="1" x14ac:dyDescent="0.25">
      <c r="A3040" s="481"/>
      <c r="B3040" s="288"/>
      <c r="C3040" s="267"/>
      <c r="D3040" s="258"/>
      <c r="E3040" s="679"/>
      <c r="F3040" s="499">
        <v>425</v>
      </c>
      <c r="G3040" s="492" t="s">
        <v>4144</v>
      </c>
      <c r="H3040" s="555"/>
      <c r="I3040" s="556"/>
      <c r="J3040" s="556">
        <f t="shared" si="105"/>
        <v>0</v>
      </c>
      <c r="K3040" s="505"/>
      <c r="L3040" s="505"/>
      <c r="M3040" s="505"/>
      <c r="N3040" s="505"/>
      <c r="O3040" s="505"/>
      <c r="P3040" s="505"/>
      <c r="Q3040" s="505"/>
      <c r="R3040" s="505"/>
      <c r="S3040" s="505"/>
      <c r="T3040" s="505"/>
      <c r="U3040" s="505"/>
      <c r="V3040" s="505"/>
      <c r="W3040" s="505"/>
      <c r="X3040" s="505"/>
      <c r="Y3040" s="505"/>
    </row>
    <row r="3041" spans="1:25" s="88" customFormat="1" hidden="1" x14ac:dyDescent="0.25">
      <c r="A3041" s="481"/>
      <c r="B3041" s="288"/>
      <c r="C3041" s="267"/>
      <c r="D3041" s="258"/>
      <c r="E3041" s="679"/>
      <c r="F3041" s="499">
        <v>426</v>
      </c>
      <c r="G3041" s="492" t="s">
        <v>3787</v>
      </c>
      <c r="H3041" s="555"/>
      <c r="I3041" s="556"/>
      <c r="J3041" s="556">
        <f t="shared" si="105"/>
        <v>0</v>
      </c>
      <c r="K3041" s="505"/>
      <c r="L3041" s="505"/>
      <c r="M3041" s="505"/>
      <c r="N3041" s="505"/>
      <c r="O3041" s="505"/>
      <c r="P3041" s="505"/>
      <c r="Q3041" s="505"/>
      <c r="R3041" s="505"/>
      <c r="S3041" s="505"/>
      <c r="T3041" s="505"/>
      <c r="U3041" s="505"/>
      <c r="V3041" s="505"/>
      <c r="W3041" s="505"/>
      <c r="X3041" s="505"/>
      <c r="Y3041" s="505"/>
    </row>
    <row r="3042" spans="1:25" s="88" customFormat="1" hidden="1" x14ac:dyDescent="0.25">
      <c r="A3042" s="481"/>
      <c r="B3042" s="288"/>
      <c r="C3042" s="267"/>
      <c r="D3042" s="258"/>
      <c r="E3042" s="679"/>
      <c r="F3042" s="499">
        <v>431</v>
      </c>
      <c r="G3042" s="492" t="s">
        <v>4145</v>
      </c>
      <c r="H3042" s="555"/>
      <c r="I3042" s="556"/>
      <c r="J3042" s="556">
        <f t="shared" si="105"/>
        <v>0</v>
      </c>
      <c r="K3042" s="505"/>
      <c r="L3042" s="505"/>
      <c r="M3042" s="505"/>
      <c r="N3042" s="505"/>
      <c r="O3042" s="505"/>
      <c r="P3042" s="505"/>
      <c r="Q3042" s="505"/>
      <c r="R3042" s="505"/>
      <c r="S3042" s="505"/>
      <c r="T3042" s="505"/>
      <c r="U3042" s="505"/>
      <c r="V3042" s="505"/>
      <c r="W3042" s="505"/>
      <c r="X3042" s="505"/>
      <c r="Y3042" s="505"/>
    </row>
    <row r="3043" spans="1:25" s="88" customFormat="1" hidden="1" x14ac:dyDescent="0.25">
      <c r="A3043" s="481"/>
      <c r="B3043" s="288"/>
      <c r="C3043" s="267"/>
      <c r="D3043" s="258"/>
      <c r="E3043" s="679"/>
      <c r="F3043" s="499">
        <v>432</v>
      </c>
      <c r="G3043" s="492" t="s">
        <v>4146</v>
      </c>
      <c r="H3043" s="555"/>
      <c r="I3043" s="556"/>
      <c r="J3043" s="556">
        <f t="shared" si="105"/>
        <v>0</v>
      </c>
      <c r="K3043" s="505"/>
      <c r="L3043" s="505"/>
      <c r="M3043" s="505"/>
      <c r="N3043" s="505"/>
      <c r="O3043" s="505"/>
      <c r="P3043" s="505"/>
      <c r="Q3043" s="505"/>
      <c r="R3043" s="505"/>
      <c r="S3043" s="505"/>
      <c r="T3043" s="505"/>
      <c r="U3043" s="505"/>
      <c r="V3043" s="505"/>
      <c r="W3043" s="505"/>
      <c r="X3043" s="505"/>
      <c r="Y3043" s="505"/>
    </row>
    <row r="3044" spans="1:25" s="88" customFormat="1" hidden="1" x14ac:dyDescent="0.25">
      <c r="A3044" s="481"/>
      <c r="B3044" s="288"/>
      <c r="C3044" s="267"/>
      <c r="D3044" s="258"/>
      <c r="E3044" s="679"/>
      <c r="F3044" s="499">
        <v>433</v>
      </c>
      <c r="G3044" s="492" t="s">
        <v>4147</v>
      </c>
      <c r="H3044" s="555"/>
      <c r="I3044" s="556"/>
      <c r="J3044" s="556">
        <f t="shared" si="105"/>
        <v>0</v>
      </c>
      <c r="K3044" s="505"/>
      <c r="L3044" s="505"/>
      <c r="M3044" s="505"/>
      <c r="N3044" s="505"/>
      <c r="O3044" s="505"/>
      <c r="P3044" s="505"/>
      <c r="Q3044" s="505"/>
      <c r="R3044" s="505"/>
      <c r="S3044" s="505"/>
      <c r="T3044" s="505"/>
      <c r="U3044" s="505"/>
      <c r="V3044" s="505"/>
      <c r="W3044" s="505"/>
      <c r="X3044" s="505"/>
      <c r="Y3044" s="505"/>
    </row>
    <row r="3045" spans="1:25" s="88" customFormat="1" hidden="1" x14ac:dyDescent="0.25">
      <c r="A3045" s="481"/>
      <c r="B3045" s="288"/>
      <c r="C3045" s="267"/>
      <c r="D3045" s="258"/>
      <c r="E3045" s="679"/>
      <c r="F3045" s="499">
        <v>434</v>
      </c>
      <c r="G3045" s="492" t="s">
        <v>4148</v>
      </c>
      <c r="H3045" s="555"/>
      <c r="I3045" s="556"/>
      <c r="J3045" s="556">
        <f t="shared" si="105"/>
        <v>0</v>
      </c>
      <c r="K3045" s="505"/>
      <c r="L3045" s="505"/>
      <c r="M3045" s="505"/>
      <c r="N3045" s="505"/>
      <c r="O3045" s="505"/>
      <c r="P3045" s="505"/>
      <c r="Q3045" s="505"/>
      <c r="R3045" s="505"/>
      <c r="S3045" s="505"/>
      <c r="T3045" s="505"/>
      <c r="U3045" s="505"/>
      <c r="V3045" s="505"/>
      <c r="W3045" s="505"/>
      <c r="X3045" s="505"/>
      <c r="Y3045" s="505"/>
    </row>
    <row r="3046" spans="1:25" s="88" customFormat="1" hidden="1" x14ac:dyDescent="0.25">
      <c r="A3046" s="481"/>
      <c r="B3046" s="288"/>
      <c r="C3046" s="267"/>
      <c r="D3046" s="258"/>
      <c r="E3046" s="679"/>
      <c r="F3046" s="499">
        <v>435</v>
      </c>
      <c r="G3046" s="492" t="s">
        <v>3794</v>
      </c>
      <c r="H3046" s="555"/>
      <c r="I3046" s="556"/>
      <c r="J3046" s="556">
        <f t="shared" si="105"/>
        <v>0</v>
      </c>
      <c r="K3046" s="505"/>
      <c r="L3046" s="505"/>
      <c r="M3046" s="505"/>
      <c r="N3046" s="505"/>
      <c r="O3046" s="505"/>
      <c r="P3046" s="505"/>
      <c r="Q3046" s="505"/>
      <c r="R3046" s="505"/>
      <c r="S3046" s="505"/>
      <c r="T3046" s="505"/>
      <c r="U3046" s="505"/>
      <c r="V3046" s="505"/>
      <c r="W3046" s="505"/>
      <c r="X3046" s="505"/>
      <c r="Y3046" s="505"/>
    </row>
    <row r="3047" spans="1:25" s="88" customFormat="1" hidden="1" x14ac:dyDescent="0.25">
      <c r="A3047" s="481"/>
      <c r="B3047" s="288"/>
      <c r="C3047" s="267"/>
      <c r="D3047" s="258"/>
      <c r="E3047" s="679"/>
      <c r="F3047" s="499">
        <v>441</v>
      </c>
      <c r="G3047" s="492" t="s">
        <v>4149</v>
      </c>
      <c r="H3047" s="555"/>
      <c r="I3047" s="556"/>
      <c r="J3047" s="556">
        <f t="shared" si="105"/>
        <v>0</v>
      </c>
      <c r="K3047" s="505"/>
      <c r="L3047" s="505"/>
      <c r="M3047" s="505"/>
      <c r="N3047" s="505"/>
      <c r="O3047" s="505"/>
      <c r="P3047" s="505"/>
      <c r="Q3047" s="505"/>
      <c r="R3047" s="505"/>
      <c r="S3047" s="505"/>
      <c r="T3047" s="505"/>
      <c r="U3047" s="505"/>
      <c r="V3047" s="505"/>
      <c r="W3047" s="505"/>
      <c r="X3047" s="505"/>
      <c r="Y3047" s="505"/>
    </row>
    <row r="3048" spans="1:25" s="88" customFormat="1" hidden="1" x14ac:dyDescent="0.25">
      <c r="A3048" s="481"/>
      <c r="B3048" s="288"/>
      <c r="C3048" s="267"/>
      <c r="D3048" s="258"/>
      <c r="E3048" s="679"/>
      <c r="F3048" s="499">
        <v>442</v>
      </c>
      <c r="G3048" s="492" t="s">
        <v>4150</v>
      </c>
      <c r="H3048" s="555"/>
      <c r="I3048" s="556"/>
      <c r="J3048" s="556">
        <f t="shared" si="105"/>
        <v>0</v>
      </c>
      <c r="K3048" s="505"/>
      <c r="L3048" s="505"/>
      <c r="M3048" s="505"/>
      <c r="N3048" s="505"/>
      <c r="O3048" s="505"/>
      <c r="P3048" s="505"/>
      <c r="Q3048" s="505"/>
      <c r="R3048" s="505"/>
      <c r="S3048" s="505"/>
      <c r="T3048" s="505"/>
      <c r="U3048" s="505"/>
      <c r="V3048" s="505"/>
      <c r="W3048" s="505"/>
      <c r="X3048" s="505"/>
      <c r="Y3048" s="505"/>
    </row>
    <row r="3049" spans="1:25" s="88" customFormat="1" hidden="1" x14ac:dyDescent="0.25">
      <c r="A3049" s="481"/>
      <c r="B3049" s="288"/>
      <c r="C3049" s="267"/>
      <c r="D3049" s="258"/>
      <c r="E3049" s="679"/>
      <c r="F3049" s="499">
        <v>443</v>
      </c>
      <c r="G3049" s="492" t="s">
        <v>3799</v>
      </c>
      <c r="H3049" s="555"/>
      <c r="I3049" s="556"/>
      <c r="J3049" s="556">
        <f t="shared" si="105"/>
        <v>0</v>
      </c>
      <c r="K3049" s="505"/>
      <c r="L3049" s="505"/>
      <c r="M3049" s="505"/>
      <c r="N3049" s="505"/>
      <c r="O3049" s="505"/>
      <c r="P3049" s="505"/>
      <c r="Q3049" s="505"/>
      <c r="R3049" s="505"/>
      <c r="S3049" s="505"/>
      <c r="T3049" s="505"/>
      <c r="U3049" s="505"/>
      <c r="V3049" s="505"/>
      <c r="W3049" s="505"/>
      <c r="X3049" s="505"/>
      <c r="Y3049" s="505"/>
    </row>
    <row r="3050" spans="1:25" s="88" customFormat="1" hidden="1" x14ac:dyDescent="0.25">
      <c r="A3050" s="481"/>
      <c r="B3050" s="288"/>
      <c r="C3050" s="267"/>
      <c r="D3050" s="258"/>
      <c r="E3050" s="679"/>
      <c r="F3050" s="499">
        <v>444</v>
      </c>
      <c r="G3050" s="492" t="s">
        <v>3800</v>
      </c>
      <c r="H3050" s="555"/>
      <c r="I3050" s="556"/>
      <c r="J3050" s="556">
        <f t="shared" si="105"/>
        <v>0</v>
      </c>
      <c r="K3050" s="505"/>
      <c r="L3050" s="505"/>
      <c r="M3050" s="505"/>
      <c r="N3050" s="505"/>
      <c r="O3050" s="505"/>
      <c r="P3050" s="505"/>
      <c r="Q3050" s="505"/>
      <c r="R3050" s="505"/>
      <c r="S3050" s="505"/>
      <c r="T3050" s="505"/>
      <c r="U3050" s="505"/>
      <c r="V3050" s="505"/>
      <c r="W3050" s="505"/>
      <c r="X3050" s="505"/>
      <c r="Y3050" s="505"/>
    </row>
    <row r="3051" spans="1:25" s="88" customFormat="1" ht="27.75" customHeight="1" thickBot="1" x14ac:dyDescent="0.3">
      <c r="A3051" s="481"/>
      <c r="B3051" s="288"/>
      <c r="C3051" s="267"/>
      <c r="D3051" s="258"/>
      <c r="E3051" s="679">
        <v>103</v>
      </c>
      <c r="F3051" s="499">
        <v>4511</v>
      </c>
      <c r="G3051" s="769" t="s">
        <v>1690</v>
      </c>
      <c r="H3051" s="555">
        <v>1000000</v>
      </c>
      <c r="I3051" s="556"/>
      <c r="J3051" s="556">
        <f t="shared" si="105"/>
        <v>1000000</v>
      </c>
      <c r="K3051" s="505"/>
      <c r="L3051" s="505"/>
      <c r="M3051" s="505"/>
      <c r="N3051" s="505"/>
      <c r="O3051" s="505"/>
      <c r="P3051" s="505"/>
      <c r="Q3051" s="505"/>
      <c r="R3051" s="505"/>
      <c r="S3051" s="505"/>
      <c r="T3051" s="505"/>
      <c r="U3051" s="505"/>
      <c r="V3051" s="505"/>
      <c r="W3051" s="505"/>
      <c r="X3051" s="505"/>
      <c r="Y3051" s="505"/>
    </row>
    <row r="3052" spans="1:25" s="88" customFormat="1" ht="30" hidden="1" x14ac:dyDescent="0.25">
      <c r="A3052" s="481"/>
      <c r="B3052" s="288"/>
      <c r="C3052" s="267"/>
      <c r="D3052" s="258"/>
      <c r="E3052" s="679"/>
      <c r="F3052" s="499">
        <v>4512</v>
      </c>
      <c r="G3052" s="769" t="s">
        <v>1699</v>
      </c>
      <c r="H3052" s="555"/>
      <c r="I3052" s="556"/>
      <c r="J3052" s="556">
        <f t="shared" si="105"/>
        <v>0</v>
      </c>
      <c r="K3052" s="505"/>
      <c r="L3052" s="505"/>
      <c r="M3052" s="505"/>
      <c r="N3052" s="505"/>
      <c r="O3052" s="505"/>
      <c r="P3052" s="505"/>
      <c r="Q3052" s="505"/>
      <c r="R3052" s="505"/>
      <c r="S3052" s="505"/>
      <c r="T3052" s="505"/>
      <c r="U3052" s="505"/>
      <c r="V3052" s="505"/>
      <c r="W3052" s="505"/>
      <c r="X3052" s="505"/>
      <c r="Y3052" s="505"/>
    </row>
    <row r="3053" spans="1:25" s="88" customFormat="1" hidden="1" x14ac:dyDescent="0.25">
      <c r="A3053" s="481"/>
      <c r="B3053" s="288"/>
      <c r="C3053" s="267"/>
      <c r="D3053" s="258"/>
      <c r="E3053" s="679"/>
      <c r="F3053" s="499">
        <v>452</v>
      </c>
      <c r="G3053" s="492" t="s">
        <v>4151</v>
      </c>
      <c r="H3053" s="555"/>
      <c r="I3053" s="556"/>
      <c r="J3053" s="556">
        <f t="shared" si="105"/>
        <v>0</v>
      </c>
      <c r="K3053" s="505"/>
      <c r="L3053" s="505"/>
      <c r="M3053" s="505"/>
      <c r="N3053" s="505"/>
      <c r="O3053" s="505"/>
      <c r="P3053" s="505"/>
      <c r="Q3053" s="505"/>
      <c r="R3053" s="505"/>
      <c r="S3053" s="505"/>
      <c r="T3053" s="505"/>
      <c r="U3053" s="505"/>
      <c r="V3053" s="505"/>
      <c r="W3053" s="505"/>
      <c r="X3053" s="505"/>
      <c r="Y3053" s="505"/>
    </row>
    <row r="3054" spans="1:25" s="88" customFormat="1" hidden="1" x14ac:dyDescent="0.25">
      <c r="A3054" s="481"/>
      <c r="B3054" s="288"/>
      <c r="C3054" s="267"/>
      <c r="D3054" s="258"/>
      <c r="E3054" s="679"/>
      <c r="F3054" s="499">
        <v>453</v>
      </c>
      <c r="G3054" s="492" t="s">
        <v>4152</v>
      </c>
      <c r="H3054" s="555"/>
      <c r="I3054" s="556"/>
      <c r="J3054" s="556">
        <f t="shared" si="105"/>
        <v>0</v>
      </c>
      <c r="K3054" s="505"/>
      <c r="L3054" s="505"/>
      <c r="M3054" s="505"/>
      <c r="N3054" s="505"/>
      <c r="O3054" s="505"/>
      <c r="P3054" s="505"/>
      <c r="Q3054" s="505"/>
      <c r="R3054" s="505"/>
      <c r="S3054" s="505"/>
      <c r="T3054" s="505"/>
      <c r="U3054" s="505"/>
      <c r="V3054" s="505"/>
      <c r="W3054" s="505"/>
      <c r="X3054" s="505"/>
      <c r="Y3054" s="505"/>
    </row>
    <row r="3055" spans="1:25" s="88" customFormat="1" hidden="1" x14ac:dyDescent="0.25">
      <c r="A3055" s="481"/>
      <c r="B3055" s="288"/>
      <c r="C3055" s="267"/>
      <c r="D3055" s="258"/>
      <c r="E3055" s="679"/>
      <c r="F3055" s="499">
        <v>454</v>
      </c>
      <c r="G3055" s="492" t="s">
        <v>3805</v>
      </c>
      <c r="H3055" s="555"/>
      <c r="I3055" s="556"/>
      <c r="J3055" s="556">
        <f t="shared" si="105"/>
        <v>0</v>
      </c>
      <c r="K3055" s="505"/>
      <c r="L3055" s="505"/>
      <c r="M3055" s="505"/>
      <c r="N3055" s="505"/>
      <c r="O3055" s="505"/>
      <c r="P3055" s="505"/>
      <c r="Q3055" s="505"/>
      <c r="R3055" s="505"/>
      <c r="S3055" s="505"/>
      <c r="T3055" s="505"/>
      <c r="U3055" s="505"/>
      <c r="V3055" s="505"/>
      <c r="W3055" s="505"/>
      <c r="X3055" s="505"/>
      <c r="Y3055" s="505"/>
    </row>
    <row r="3056" spans="1:25" s="88" customFormat="1" hidden="1" x14ac:dyDescent="0.25">
      <c r="A3056" s="481"/>
      <c r="B3056" s="288"/>
      <c r="C3056" s="267"/>
      <c r="D3056" s="258"/>
      <c r="E3056" s="679"/>
      <c r="F3056" s="499">
        <v>461</v>
      </c>
      <c r="G3056" s="492" t="s">
        <v>4133</v>
      </c>
      <c r="H3056" s="555"/>
      <c r="I3056" s="556"/>
      <c r="J3056" s="556">
        <f t="shared" si="105"/>
        <v>0</v>
      </c>
      <c r="K3056" s="505"/>
      <c r="L3056" s="505"/>
      <c r="M3056" s="505"/>
      <c r="N3056" s="505"/>
      <c r="O3056" s="505"/>
      <c r="P3056" s="505"/>
      <c r="Q3056" s="505"/>
      <c r="R3056" s="505"/>
      <c r="S3056" s="505"/>
      <c r="T3056" s="505"/>
      <c r="U3056" s="505"/>
      <c r="V3056" s="505"/>
      <c r="W3056" s="505"/>
      <c r="X3056" s="505"/>
      <c r="Y3056" s="505"/>
    </row>
    <row r="3057" spans="1:25" s="88" customFormat="1" hidden="1" x14ac:dyDescent="0.25">
      <c r="A3057" s="481"/>
      <c r="B3057" s="288"/>
      <c r="C3057" s="267"/>
      <c r="D3057" s="258"/>
      <c r="E3057" s="679"/>
      <c r="F3057" s="499">
        <v>462</v>
      </c>
      <c r="G3057" s="492" t="s">
        <v>3808</v>
      </c>
      <c r="H3057" s="555"/>
      <c r="I3057" s="556"/>
      <c r="J3057" s="556">
        <f t="shared" si="105"/>
        <v>0</v>
      </c>
      <c r="K3057" s="505"/>
      <c r="L3057" s="505"/>
      <c r="M3057" s="505"/>
      <c r="N3057" s="505"/>
      <c r="O3057" s="505"/>
      <c r="P3057" s="505"/>
      <c r="Q3057" s="505"/>
      <c r="R3057" s="505"/>
      <c r="S3057" s="505"/>
      <c r="T3057" s="505"/>
      <c r="U3057" s="505"/>
      <c r="V3057" s="505"/>
      <c r="W3057" s="505"/>
      <c r="X3057" s="505"/>
      <c r="Y3057" s="505"/>
    </row>
    <row r="3058" spans="1:25" s="88" customFormat="1" hidden="1" x14ac:dyDescent="0.25">
      <c r="A3058" s="481"/>
      <c r="B3058" s="288"/>
      <c r="C3058" s="267"/>
      <c r="D3058" s="258"/>
      <c r="E3058" s="679"/>
      <c r="F3058" s="499">
        <v>4631</v>
      </c>
      <c r="G3058" s="492" t="s">
        <v>3809</v>
      </c>
      <c r="H3058" s="555"/>
      <c r="I3058" s="556"/>
      <c r="J3058" s="556">
        <f t="shared" si="105"/>
        <v>0</v>
      </c>
      <c r="K3058" s="505"/>
      <c r="L3058" s="505"/>
      <c r="M3058" s="505"/>
      <c r="N3058" s="505"/>
      <c r="O3058" s="505"/>
      <c r="P3058" s="505"/>
      <c r="Q3058" s="505"/>
      <c r="R3058" s="505"/>
      <c r="S3058" s="505"/>
      <c r="T3058" s="505"/>
      <c r="U3058" s="505"/>
      <c r="V3058" s="505"/>
      <c r="W3058" s="505"/>
      <c r="X3058" s="505"/>
      <c r="Y3058" s="505"/>
    </row>
    <row r="3059" spans="1:25" s="88" customFormat="1" hidden="1" x14ac:dyDescent="0.25">
      <c r="A3059" s="481"/>
      <c r="B3059" s="288"/>
      <c r="C3059" s="267"/>
      <c r="D3059" s="258"/>
      <c r="E3059" s="679"/>
      <c r="F3059" s="499">
        <v>4632</v>
      </c>
      <c r="G3059" s="492" t="s">
        <v>3810</v>
      </c>
      <c r="H3059" s="555"/>
      <c r="I3059" s="556"/>
      <c r="J3059" s="556">
        <f t="shared" si="105"/>
        <v>0</v>
      </c>
      <c r="K3059" s="505"/>
      <c r="L3059" s="505"/>
      <c r="M3059" s="505"/>
      <c r="N3059" s="505"/>
      <c r="O3059" s="505"/>
      <c r="P3059" s="505"/>
      <c r="Q3059" s="505"/>
      <c r="R3059" s="505"/>
      <c r="S3059" s="505"/>
      <c r="T3059" s="505"/>
      <c r="U3059" s="505"/>
      <c r="V3059" s="505"/>
      <c r="W3059" s="505"/>
      <c r="X3059" s="505"/>
      <c r="Y3059" s="505"/>
    </row>
    <row r="3060" spans="1:25" s="88" customFormat="1" hidden="1" x14ac:dyDescent="0.25">
      <c r="A3060" s="481"/>
      <c r="B3060" s="288"/>
      <c r="C3060" s="267"/>
      <c r="D3060" s="258"/>
      <c r="E3060" s="679"/>
      <c r="F3060" s="499">
        <v>464</v>
      </c>
      <c r="G3060" s="492" t="s">
        <v>3811</v>
      </c>
      <c r="H3060" s="555"/>
      <c r="I3060" s="556"/>
      <c r="J3060" s="556">
        <f t="shared" si="105"/>
        <v>0</v>
      </c>
      <c r="K3060" s="505"/>
      <c r="L3060" s="505"/>
      <c r="M3060" s="505"/>
      <c r="N3060" s="505"/>
      <c r="O3060" s="505"/>
      <c r="P3060" s="505"/>
      <c r="Q3060" s="505"/>
      <c r="R3060" s="505"/>
      <c r="S3060" s="505"/>
      <c r="T3060" s="505"/>
      <c r="U3060" s="505"/>
      <c r="V3060" s="505"/>
      <c r="W3060" s="505"/>
      <c r="X3060" s="505"/>
      <c r="Y3060" s="505"/>
    </row>
    <row r="3061" spans="1:25" s="88" customFormat="1" hidden="1" x14ac:dyDescent="0.25">
      <c r="A3061" s="481"/>
      <c r="B3061" s="288"/>
      <c r="C3061" s="267"/>
      <c r="D3061" s="258"/>
      <c r="E3061" s="679"/>
      <c r="F3061" s="499">
        <v>465</v>
      </c>
      <c r="G3061" s="492" t="s">
        <v>4134</v>
      </c>
      <c r="H3061" s="555"/>
      <c r="I3061" s="556"/>
      <c r="J3061" s="556">
        <f t="shared" si="105"/>
        <v>0</v>
      </c>
      <c r="K3061" s="505"/>
      <c r="L3061" s="505"/>
      <c r="M3061" s="505"/>
      <c r="N3061" s="505"/>
      <c r="O3061" s="505"/>
      <c r="P3061" s="505"/>
      <c r="Q3061" s="505"/>
      <c r="R3061" s="505"/>
      <c r="S3061" s="505"/>
      <c r="T3061" s="505"/>
      <c r="U3061" s="505"/>
      <c r="V3061" s="505"/>
      <c r="W3061" s="505"/>
      <c r="X3061" s="505"/>
      <c r="Y3061" s="505"/>
    </row>
    <row r="3062" spans="1:25" s="88" customFormat="1" hidden="1" x14ac:dyDescent="0.25">
      <c r="A3062" s="481"/>
      <c r="B3062" s="288"/>
      <c r="C3062" s="267"/>
      <c r="D3062" s="258"/>
      <c r="E3062" s="679"/>
      <c r="F3062" s="499">
        <v>472</v>
      </c>
      <c r="G3062" s="492" t="s">
        <v>3815</v>
      </c>
      <c r="H3062" s="555"/>
      <c r="I3062" s="556"/>
      <c r="J3062" s="556">
        <f t="shared" si="105"/>
        <v>0</v>
      </c>
      <c r="K3062" s="505"/>
      <c r="L3062" s="505"/>
      <c r="M3062" s="505"/>
      <c r="N3062" s="505"/>
      <c r="O3062" s="505"/>
      <c r="P3062" s="505"/>
      <c r="Q3062" s="505"/>
      <c r="R3062" s="505"/>
      <c r="S3062" s="505"/>
      <c r="T3062" s="505"/>
      <c r="U3062" s="505"/>
      <c r="V3062" s="505"/>
      <c r="W3062" s="505"/>
      <c r="X3062" s="505"/>
      <c r="Y3062" s="505"/>
    </row>
    <row r="3063" spans="1:25" s="88" customFormat="1" ht="18.75" hidden="1" customHeight="1" thickBot="1" x14ac:dyDescent="0.3">
      <c r="A3063" s="481"/>
      <c r="B3063" s="288"/>
      <c r="C3063" s="267"/>
      <c r="D3063" s="258"/>
      <c r="E3063" s="679">
        <v>68</v>
      </c>
      <c r="F3063" s="499">
        <v>481</v>
      </c>
      <c r="G3063" s="492" t="s">
        <v>5223</v>
      </c>
      <c r="H3063" s="555">
        <v>0</v>
      </c>
      <c r="I3063" s="556"/>
      <c r="J3063" s="556">
        <f t="shared" si="105"/>
        <v>0</v>
      </c>
      <c r="K3063" s="505"/>
      <c r="L3063" s="505"/>
      <c r="M3063" s="505"/>
      <c r="N3063" s="505"/>
      <c r="O3063" s="505"/>
      <c r="P3063" s="505"/>
      <c r="Q3063" s="505"/>
      <c r="R3063" s="505"/>
      <c r="S3063" s="505"/>
      <c r="T3063" s="505"/>
      <c r="U3063" s="505"/>
      <c r="V3063" s="505"/>
      <c r="W3063" s="505"/>
      <c r="X3063" s="505"/>
      <c r="Y3063" s="505"/>
    </row>
    <row r="3064" spans="1:25" s="88" customFormat="1" ht="13.5" customHeight="1" x14ac:dyDescent="0.25">
      <c r="A3064" s="481"/>
      <c r="B3064" s="288"/>
      <c r="C3064" s="334"/>
      <c r="D3064" s="258"/>
      <c r="E3064" s="489"/>
      <c r="F3064" s="500"/>
      <c r="G3064" s="342" t="s">
        <v>4320</v>
      </c>
      <c r="H3064" s="557"/>
      <c r="I3064" s="583"/>
      <c r="J3064" s="558"/>
      <c r="K3064" s="505"/>
      <c r="L3064" s="505"/>
      <c r="M3064" s="505"/>
      <c r="N3064" s="505"/>
      <c r="O3064" s="505"/>
      <c r="P3064" s="505"/>
      <c r="Q3064" s="505"/>
      <c r="R3064" s="505"/>
      <c r="S3064" s="505"/>
      <c r="T3064" s="505"/>
      <c r="U3064" s="505"/>
      <c r="V3064" s="505"/>
      <c r="W3064" s="505"/>
      <c r="X3064" s="505"/>
      <c r="Y3064" s="505"/>
    </row>
    <row r="3065" spans="1:25" s="88" customFormat="1" ht="17.25" customHeight="1" thickBot="1" x14ac:dyDescent="0.3">
      <c r="A3065" s="481"/>
      <c r="B3065" s="288"/>
      <c r="C3065" s="334"/>
      <c r="D3065" s="258"/>
      <c r="E3065" s="693"/>
      <c r="F3065" s="597" t="s">
        <v>234</v>
      </c>
      <c r="G3065" s="598" t="s">
        <v>235</v>
      </c>
      <c r="H3065" s="559">
        <v>2000000</v>
      </c>
      <c r="I3065" s="560"/>
      <c r="J3065" s="560">
        <f>SUM(H3065:I3065)</f>
        <v>2000000</v>
      </c>
      <c r="K3065" s="505"/>
      <c r="L3065" s="505"/>
      <c r="M3065" s="505"/>
      <c r="N3065" s="505"/>
      <c r="O3065" s="505"/>
      <c r="P3065" s="505"/>
      <c r="Q3065" s="505"/>
      <c r="R3065" s="505"/>
      <c r="S3065" s="505"/>
      <c r="T3065" s="505"/>
      <c r="U3065" s="505"/>
      <c r="V3065" s="505"/>
      <c r="W3065" s="505"/>
      <c r="X3065" s="505"/>
      <c r="Y3065" s="505"/>
    </row>
    <row r="3066" spans="1:25" s="88" customFormat="1" hidden="1" x14ac:dyDescent="0.25">
      <c r="A3066" s="481"/>
      <c r="B3066" s="288"/>
      <c r="C3066" s="334"/>
      <c r="D3066" s="258"/>
      <c r="E3066" s="679"/>
      <c r="F3066" s="597" t="s">
        <v>236</v>
      </c>
      <c r="G3066" s="598" t="s">
        <v>237</v>
      </c>
      <c r="H3066" s="555"/>
      <c r="I3066" s="556"/>
      <c r="J3066" s="560">
        <f t="shared" ref="J3066:J3080" si="106">SUM(H3066:I3066)</f>
        <v>0</v>
      </c>
      <c r="K3066" s="505"/>
      <c r="L3066" s="505"/>
      <c r="M3066" s="505"/>
      <c r="N3066" s="505"/>
      <c r="O3066" s="505"/>
      <c r="P3066" s="505"/>
      <c r="Q3066" s="505"/>
      <c r="R3066" s="505"/>
      <c r="S3066" s="505"/>
      <c r="T3066" s="505"/>
      <c r="U3066" s="505"/>
      <c r="V3066" s="505"/>
      <c r="W3066" s="505"/>
      <c r="X3066" s="505"/>
      <c r="Y3066" s="505"/>
    </row>
    <row r="3067" spans="1:25" s="88" customFormat="1" hidden="1" x14ac:dyDescent="0.25">
      <c r="A3067" s="481"/>
      <c r="B3067" s="288"/>
      <c r="C3067" s="334"/>
      <c r="D3067" s="258"/>
      <c r="E3067" s="679"/>
      <c r="F3067" s="597" t="s">
        <v>238</v>
      </c>
      <c r="G3067" s="598" t="s">
        <v>239</v>
      </c>
      <c r="H3067" s="555"/>
      <c r="I3067" s="556"/>
      <c r="J3067" s="560">
        <f t="shared" si="106"/>
        <v>0</v>
      </c>
      <c r="K3067" s="505"/>
      <c r="L3067" s="505"/>
      <c r="M3067" s="505"/>
      <c r="N3067" s="505"/>
      <c r="O3067" s="505"/>
      <c r="P3067" s="505"/>
      <c r="Q3067" s="505"/>
      <c r="R3067" s="505"/>
      <c r="S3067" s="505"/>
      <c r="T3067" s="505"/>
      <c r="U3067" s="505"/>
      <c r="V3067" s="505"/>
      <c r="W3067" s="505"/>
      <c r="X3067" s="505"/>
      <c r="Y3067" s="505"/>
    </row>
    <row r="3068" spans="1:25" s="88" customFormat="1" hidden="1" x14ac:dyDescent="0.25">
      <c r="A3068" s="481"/>
      <c r="B3068" s="288"/>
      <c r="C3068" s="334"/>
      <c r="D3068" s="258"/>
      <c r="E3068" s="679"/>
      <c r="F3068" s="597" t="s">
        <v>240</v>
      </c>
      <c r="G3068" s="598" t="s">
        <v>241</v>
      </c>
      <c r="H3068" s="555"/>
      <c r="I3068" s="556"/>
      <c r="J3068" s="560">
        <f t="shared" si="106"/>
        <v>0</v>
      </c>
      <c r="K3068" s="505"/>
      <c r="L3068" s="505"/>
      <c r="M3068" s="505"/>
      <c r="N3068" s="505"/>
      <c r="O3068" s="505"/>
      <c r="P3068" s="505"/>
      <c r="Q3068" s="505"/>
      <c r="R3068" s="505"/>
      <c r="S3068" s="505"/>
      <c r="T3068" s="505"/>
      <c r="U3068" s="505"/>
      <c r="V3068" s="505"/>
      <c r="W3068" s="505"/>
      <c r="X3068" s="505"/>
      <c r="Y3068" s="505"/>
    </row>
    <row r="3069" spans="1:25" s="88" customFormat="1" hidden="1" x14ac:dyDescent="0.25">
      <c r="A3069" s="481"/>
      <c r="B3069" s="288"/>
      <c r="C3069" s="334"/>
      <c r="D3069" s="258"/>
      <c r="E3069" s="679"/>
      <c r="F3069" s="597" t="s">
        <v>242</v>
      </c>
      <c r="G3069" s="598" t="s">
        <v>243</v>
      </c>
      <c r="H3069" s="555"/>
      <c r="I3069" s="556"/>
      <c r="J3069" s="560">
        <f t="shared" si="106"/>
        <v>0</v>
      </c>
      <c r="K3069" s="505"/>
      <c r="L3069" s="505"/>
      <c r="M3069" s="505"/>
      <c r="N3069" s="505"/>
      <c r="O3069" s="505"/>
      <c r="P3069" s="505"/>
      <c r="Q3069" s="505"/>
      <c r="R3069" s="505"/>
      <c r="S3069" s="505"/>
      <c r="T3069" s="505"/>
      <c r="U3069" s="505"/>
      <c r="V3069" s="505"/>
      <c r="W3069" s="505"/>
      <c r="X3069" s="505"/>
      <c r="Y3069" s="505"/>
    </row>
    <row r="3070" spans="1:25" s="88" customFormat="1" hidden="1" x14ac:dyDescent="0.25">
      <c r="A3070" s="481"/>
      <c r="B3070" s="288"/>
      <c r="C3070" s="334"/>
      <c r="D3070" s="258"/>
      <c r="E3070" s="679"/>
      <c r="F3070" s="597" t="s">
        <v>244</v>
      </c>
      <c r="G3070" s="598" t="s">
        <v>245</v>
      </c>
      <c r="H3070" s="555"/>
      <c r="I3070" s="556"/>
      <c r="J3070" s="560">
        <f t="shared" si="106"/>
        <v>0</v>
      </c>
      <c r="K3070" s="505"/>
      <c r="L3070" s="505"/>
      <c r="M3070" s="505"/>
      <c r="N3070" s="505"/>
      <c r="O3070" s="505"/>
      <c r="P3070" s="505"/>
      <c r="Q3070" s="505"/>
      <c r="R3070" s="505"/>
      <c r="S3070" s="505"/>
      <c r="T3070" s="505"/>
      <c r="U3070" s="505"/>
      <c r="V3070" s="505"/>
      <c r="W3070" s="505"/>
      <c r="X3070" s="505"/>
      <c r="Y3070" s="505"/>
    </row>
    <row r="3071" spans="1:25" s="88" customFormat="1" hidden="1" x14ac:dyDescent="0.25">
      <c r="A3071" s="481"/>
      <c r="B3071" s="288"/>
      <c r="C3071" s="334"/>
      <c r="D3071" s="258"/>
      <c r="E3071" s="679"/>
      <c r="F3071" s="597" t="s">
        <v>246</v>
      </c>
      <c r="G3071" s="598" t="s">
        <v>4996</v>
      </c>
      <c r="H3071" s="555"/>
      <c r="I3071" s="556"/>
      <c r="J3071" s="560">
        <f t="shared" si="106"/>
        <v>0</v>
      </c>
      <c r="K3071" s="505"/>
      <c r="L3071" s="505"/>
      <c r="M3071" s="505"/>
      <c r="N3071" s="505"/>
      <c r="O3071" s="505"/>
      <c r="P3071" s="505"/>
      <c r="Q3071" s="505"/>
      <c r="R3071" s="505"/>
      <c r="S3071" s="505"/>
      <c r="T3071" s="505"/>
      <c r="U3071" s="505"/>
      <c r="V3071" s="505"/>
      <c r="W3071" s="505"/>
      <c r="X3071" s="505"/>
      <c r="Y3071" s="505"/>
    </row>
    <row r="3072" spans="1:25" s="88" customFormat="1" hidden="1" x14ac:dyDescent="0.25">
      <c r="A3072" s="481"/>
      <c r="B3072" s="288"/>
      <c r="C3072" s="334"/>
      <c r="D3072" s="258"/>
      <c r="E3072" s="679"/>
      <c r="F3072" s="597" t="s">
        <v>247</v>
      </c>
      <c r="G3072" s="598" t="s">
        <v>4995</v>
      </c>
      <c r="H3072" s="555"/>
      <c r="I3072" s="556"/>
      <c r="J3072" s="560">
        <f t="shared" si="106"/>
        <v>0</v>
      </c>
      <c r="K3072" s="505"/>
      <c r="L3072" s="505"/>
      <c r="M3072" s="505"/>
      <c r="N3072" s="505"/>
      <c r="O3072" s="505"/>
      <c r="P3072" s="505"/>
      <c r="Q3072" s="505"/>
      <c r="R3072" s="505"/>
      <c r="S3072" s="505"/>
      <c r="T3072" s="505"/>
      <c r="U3072" s="505"/>
      <c r="V3072" s="505"/>
      <c r="W3072" s="505"/>
      <c r="X3072" s="505"/>
      <c r="Y3072" s="505"/>
    </row>
    <row r="3073" spans="1:25" s="88" customFormat="1" hidden="1" x14ac:dyDescent="0.25">
      <c r="A3073" s="481"/>
      <c r="B3073" s="288"/>
      <c r="C3073" s="334"/>
      <c r="D3073" s="258"/>
      <c r="E3073" s="679"/>
      <c r="F3073" s="597" t="s">
        <v>248</v>
      </c>
      <c r="G3073" s="598" t="s">
        <v>57</v>
      </c>
      <c r="H3073" s="555"/>
      <c r="I3073" s="556"/>
      <c r="J3073" s="560">
        <f t="shared" si="106"/>
        <v>0</v>
      </c>
      <c r="K3073" s="505"/>
      <c r="L3073" s="505"/>
      <c r="M3073" s="505"/>
      <c r="N3073" s="505"/>
      <c r="O3073" s="505"/>
      <c r="P3073" s="505"/>
      <c r="Q3073" s="505"/>
      <c r="R3073" s="505"/>
      <c r="S3073" s="505"/>
      <c r="T3073" s="505"/>
      <c r="U3073" s="505"/>
      <c r="V3073" s="505"/>
      <c r="W3073" s="505"/>
      <c r="X3073" s="505"/>
      <c r="Y3073" s="505"/>
    </row>
    <row r="3074" spans="1:25" s="88" customFormat="1" hidden="1" x14ac:dyDescent="0.25">
      <c r="A3074" s="481"/>
      <c r="B3074" s="288"/>
      <c r="C3074" s="334"/>
      <c r="D3074" s="258"/>
      <c r="E3074" s="679"/>
      <c r="F3074" s="597" t="s">
        <v>249</v>
      </c>
      <c r="G3074" s="598" t="s">
        <v>250</v>
      </c>
      <c r="H3074" s="555"/>
      <c r="I3074" s="556"/>
      <c r="J3074" s="560">
        <f t="shared" si="106"/>
        <v>0</v>
      </c>
      <c r="K3074" s="505"/>
      <c r="L3074" s="505"/>
      <c r="M3074" s="505"/>
      <c r="N3074" s="505"/>
      <c r="O3074" s="505"/>
      <c r="P3074" s="505"/>
      <c r="Q3074" s="505"/>
      <c r="R3074" s="505"/>
      <c r="S3074" s="505"/>
      <c r="T3074" s="505"/>
      <c r="U3074" s="505"/>
      <c r="V3074" s="505"/>
      <c r="W3074" s="505"/>
      <c r="X3074" s="505"/>
      <c r="Y3074" s="505"/>
    </row>
    <row r="3075" spans="1:25" s="88" customFormat="1" hidden="1" x14ac:dyDescent="0.25">
      <c r="A3075" s="481"/>
      <c r="B3075" s="288"/>
      <c r="C3075" s="334"/>
      <c r="D3075" s="258"/>
      <c r="E3075" s="679"/>
      <c r="F3075" s="597" t="s">
        <v>251</v>
      </c>
      <c r="G3075" s="598" t="s">
        <v>252</v>
      </c>
      <c r="H3075" s="555"/>
      <c r="I3075" s="556"/>
      <c r="J3075" s="560">
        <f t="shared" si="106"/>
        <v>0</v>
      </c>
      <c r="K3075" s="505"/>
      <c r="L3075" s="505"/>
      <c r="M3075" s="505"/>
      <c r="N3075" s="505"/>
      <c r="O3075" s="505"/>
      <c r="P3075" s="505"/>
      <c r="Q3075" s="505"/>
      <c r="R3075" s="505"/>
      <c r="S3075" s="505"/>
      <c r="T3075" s="505"/>
      <c r="U3075" s="505"/>
      <c r="V3075" s="505"/>
      <c r="W3075" s="505"/>
      <c r="X3075" s="505"/>
      <c r="Y3075" s="505"/>
    </row>
    <row r="3076" spans="1:25" s="88" customFormat="1" ht="30" hidden="1" x14ac:dyDescent="0.25">
      <c r="A3076" s="481"/>
      <c r="B3076" s="288"/>
      <c r="C3076" s="334"/>
      <c r="D3076" s="258"/>
      <c r="E3076" s="679"/>
      <c r="F3076" s="597" t="s">
        <v>253</v>
      </c>
      <c r="G3076" s="598" t="s">
        <v>254</v>
      </c>
      <c r="H3076" s="555"/>
      <c r="I3076" s="556"/>
      <c r="J3076" s="560">
        <f t="shared" si="106"/>
        <v>0</v>
      </c>
      <c r="K3076" s="505"/>
      <c r="L3076" s="505"/>
      <c r="M3076" s="505"/>
      <c r="N3076" s="505"/>
      <c r="O3076" s="505"/>
      <c r="P3076" s="505"/>
      <c r="Q3076" s="505"/>
      <c r="R3076" s="505"/>
      <c r="S3076" s="505"/>
      <c r="T3076" s="505"/>
      <c r="U3076" s="505"/>
      <c r="V3076" s="505"/>
      <c r="W3076" s="505"/>
      <c r="X3076" s="505"/>
      <c r="Y3076" s="505"/>
    </row>
    <row r="3077" spans="1:25" s="88" customFormat="1" hidden="1" x14ac:dyDescent="0.25">
      <c r="A3077" s="481"/>
      <c r="B3077" s="288"/>
      <c r="C3077" s="334"/>
      <c r="D3077" s="258"/>
      <c r="E3077" s="679"/>
      <c r="F3077" s="597" t="s">
        <v>255</v>
      </c>
      <c r="G3077" s="598" t="s">
        <v>256</v>
      </c>
      <c r="H3077" s="555"/>
      <c r="I3077" s="556"/>
      <c r="J3077" s="560">
        <f t="shared" si="106"/>
        <v>0</v>
      </c>
      <c r="K3077" s="505"/>
      <c r="L3077" s="505"/>
      <c r="M3077" s="505"/>
      <c r="N3077" s="505"/>
      <c r="O3077" s="505"/>
      <c r="P3077" s="505"/>
      <c r="Q3077" s="505"/>
      <c r="R3077" s="505"/>
      <c r="S3077" s="505"/>
      <c r="T3077" s="505"/>
      <c r="U3077" s="505"/>
      <c r="V3077" s="505"/>
      <c r="W3077" s="505"/>
      <c r="X3077" s="505"/>
      <c r="Y3077" s="505"/>
    </row>
    <row r="3078" spans="1:25" s="88" customFormat="1" ht="30" hidden="1" x14ac:dyDescent="0.25">
      <c r="A3078" s="481"/>
      <c r="B3078" s="288"/>
      <c r="C3078" s="334"/>
      <c r="D3078" s="258"/>
      <c r="E3078" s="679"/>
      <c r="F3078" s="597" t="s">
        <v>257</v>
      </c>
      <c r="G3078" s="598" t="s">
        <v>258</v>
      </c>
      <c r="H3078" s="555"/>
      <c r="I3078" s="556"/>
      <c r="J3078" s="560">
        <f t="shared" si="106"/>
        <v>0</v>
      </c>
      <c r="K3078" s="505"/>
      <c r="L3078" s="505"/>
      <c r="M3078" s="505"/>
      <c r="N3078" s="505"/>
      <c r="O3078" s="505"/>
      <c r="P3078" s="505"/>
      <c r="Q3078" s="505"/>
      <c r="R3078" s="505"/>
      <c r="S3078" s="505"/>
      <c r="T3078" s="505"/>
      <c r="U3078" s="505"/>
      <c r="V3078" s="505"/>
      <c r="W3078" s="505"/>
      <c r="X3078" s="505"/>
      <c r="Y3078" s="505"/>
    </row>
    <row r="3079" spans="1:25" s="88" customFormat="1" hidden="1" x14ac:dyDescent="0.25">
      <c r="A3079" s="481"/>
      <c r="B3079" s="288"/>
      <c r="C3079" s="334"/>
      <c r="D3079" s="258"/>
      <c r="E3079" s="679"/>
      <c r="F3079" s="597" t="s">
        <v>259</v>
      </c>
      <c r="G3079" s="598" t="s">
        <v>260</v>
      </c>
      <c r="H3079" s="555"/>
      <c r="I3079" s="556"/>
      <c r="J3079" s="560">
        <f t="shared" si="106"/>
        <v>0</v>
      </c>
      <c r="K3079" s="505"/>
      <c r="L3079" s="505"/>
      <c r="M3079" s="505"/>
      <c r="N3079" s="505"/>
      <c r="O3079" s="505"/>
      <c r="P3079" s="505"/>
      <c r="Q3079" s="505"/>
      <c r="R3079" s="505"/>
      <c r="S3079" s="505"/>
      <c r="T3079" s="505"/>
      <c r="U3079" s="505"/>
      <c r="V3079" s="505"/>
      <c r="W3079" s="505"/>
      <c r="X3079" s="505"/>
      <c r="Y3079" s="505"/>
    </row>
    <row r="3080" spans="1:25" s="88" customFormat="1" ht="15.75" hidden="1" thickBot="1" x14ac:dyDescent="0.3">
      <c r="A3080" s="481"/>
      <c r="B3080" s="288"/>
      <c r="C3080" s="334"/>
      <c r="D3080" s="258"/>
      <c r="E3080" s="679"/>
      <c r="F3080" s="597" t="s">
        <v>261</v>
      </c>
      <c r="G3080" s="598" t="s">
        <v>262</v>
      </c>
      <c r="H3080" s="559"/>
      <c r="I3080" s="560"/>
      <c r="J3080" s="560">
        <f t="shared" si="106"/>
        <v>0</v>
      </c>
      <c r="K3080" s="505"/>
      <c r="L3080" s="505"/>
      <c r="M3080" s="505"/>
      <c r="N3080" s="505"/>
      <c r="O3080" s="505"/>
      <c r="P3080" s="505"/>
      <c r="Q3080" s="505"/>
      <c r="R3080" s="505"/>
      <c r="S3080" s="505"/>
      <c r="T3080" s="505"/>
      <c r="U3080" s="505"/>
      <c r="V3080" s="505"/>
      <c r="W3080" s="505"/>
      <c r="X3080" s="505"/>
      <c r="Y3080" s="505"/>
    </row>
    <row r="3081" spans="1:25" s="88" customFormat="1" ht="13.5" customHeight="1" thickBot="1" x14ac:dyDescent="0.3">
      <c r="A3081" s="481"/>
      <c r="B3081" s="288"/>
      <c r="C3081" s="334"/>
      <c r="D3081" s="258"/>
      <c r="E3081" s="679"/>
      <c r="F3081" s="258"/>
      <c r="G3081" s="268" t="s">
        <v>4321</v>
      </c>
      <c r="H3081" s="561">
        <f>SUM(H3065:H3080)</f>
        <v>2000000</v>
      </c>
      <c r="I3081" s="562">
        <f>SUM(I3066:I3080)</f>
        <v>0</v>
      </c>
      <c r="J3081" s="562">
        <f>SUM(J3065:J3080)</f>
        <v>2000000</v>
      </c>
      <c r="K3081" s="505"/>
      <c r="L3081" s="505"/>
      <c r="M3081" s="505"/>
      <c r="N3081" s="505"/>
      <c r="O3081" s="505"/>
      <c r="P3081" s="505"/>
      <c r="Q3081" s="505"/>
      <c r="R3081" s="505"/>
      <c r="S3081" s="505"/>
      <c r="T3081" s="505"/>
      <c r="U3081" s="505"/>
      <c r="V3081" s="505"/>
      <c r="W3081" s="505"/>
      <c r="X3081" s="505"/>
      <c r="Y3081" s="505"/>
    </row>
    <row r="3082" spans="1:25" s="88" customFormat="1" ht="28.5" x14ac:dyDescent="0.25">
      <c r="A3082" s="481"/>
      <c r="B3082" s="288"/>
      <c r="C3082" s="334"/>
      <c r="D3082" s="258"/>
      <c r="E3082" s="489"/>
      <c r="F3082" s="500"/>
      <c r="G3082" s="270" t="s">
        <v>5278</v>
      </c>
      <c r="H3082" s="563"/>
      <c r="I3082" s="584"/>
      <c r="J3082" s="564"/>
      <c r="K3082" s="505"/>
      <c r="L3082" s="505"/>
      <c r="M3082" s="505"/>
      <c r="N3082" s="505"/>
      <c r="O3082" s="505"/>
      <c r="P3082" s="505"/>
      <c r="Q3082" s="505"/>
      <c r="R3082" s="505"/>
      <c r="S3082" s="505"/>
      <c r="T3082" s="505"/>
      <c r="U3082" s="505"/>
      <c r="V3082" s="505"/>
      <c r="W3082" s="505"/>
      <c r="X3082" s="505"/>
      <c r="Y3082" s="505"/>
    </row>
    <row r="3083" spans="1:25" s="88" customFormat="1" ht="15.75" thickBot="1" x14ac:dyDescent="0.3">
      <c r="A3083" s="481"/>
      <c r="B3083" s="288"/>
      <c r="C3083" s="334"/>
      <c r="D3083" s="258"/>
      <c r="E3083" s="693"/>
      <c r="F3083" s="597" t="s">
        <v>234</v>
      </c>
      <c r="G3083" s="598" t="s">
        <v>235</v>
      </c>
      <c r="H3083" s="559">
        <f>SUM(H3081)</f>
        <v>2000000</v>
      </c>
      <c r="I3083" s="560"/>
      <c r="J3083" s="560">
        <f>SUM(H3083:I3083)</f>
        <v>2000000</v>
      </c>
      <c r="K3083" s="505"/>
      <c r="L3083" s="505"/>
      <c r="M3083" s="505"/>
      <c r="N3083" s="505"/>
      <c r="O3083" s="505"/>
      <c r="P3083" s="505"/>
      <c r="Q3083" s="505"/>
      <c r="R3083" s="505"/>
      <c r="S3083" s="505"/>
      <c r="T3083" s="505"/>
      <c r="U3083" s="505"/>
      <c r="V3083" s="505"/>
      <c r="W3083" s="505"/>
      <c r="X3083" s="505"/>
      <c r="Y3083" s="505"/>
    </row>
    <row r="3084" spans="1:25" s="88" customFormat="1" ht="15.75" thickBot="1" x14ac:dyDescent="0.3">
      <c r="A3084" s="481"/>
      <c r="B3084" s="288"/>
      <c r="C3084" s="334"/>
      <c r="D3084" s="286"/>
      <c r="E3084" s="876"/>
      <c r="F3084" s="258"/>
      <c r="G3084" s="268" t="s">
        <v>5279</v>
      </c>
      <c r="H3084" s="561">
        <f>SUM(H3083)</f>
        <v>2000000</v>
      </c>
      <c r="I3084" s="562">
        <f>SUM(I3069:I3083)</f>
        <v>0</v>
      </c>
      <c r="J3084" s="562">
        <f>SUM(H3084)</f>
        <v>2000000</v>
      </c>
      <c r="K3084" s="505"/>
      <c r="L3084" s="505"/>
      <c r="M3084" s="505"/>
      <c r="N3084" s="505"/>
      <c r="O3084" s="505"/>
      <c r="P3084" s="505"/>
      <c r="Q3084" s="505"/>
      <c r="R3084" s="505"/>
      <c r="S3084" s="505"/>
      <c r="T3084" s="505"/>
      <c r="U3084" s="505"/>
      <c r="V3084" s="505"/>
      <c r="W3084" s="505"/>
      <c r="X3084" s="505"/>
      <c r="Y3084" s="505"/>
    </row>
    <row r="3085" spans="1:25" s="88" customFormat="1" x14ac:dyDescent="0.25">
      <c r="A3085" s="481"/>
      <c r="B3085" s="288"/>
      <c r="C3085" s="334"/>
      <c r="D3085" s="286"/>
      <c r="E3085" s="876"/>
      <c r="F3085" s="500"/>
      <c r="G3085" s="285" t="s">
        <v>4270</v>
      </c>
      <c r="H3085" s="567"/>
      <c r="I3085" s="585"/>
      <c r="J3085" s="568"/>
      <c r="K3085" s="505"/>
      <c r="L3085" s="505"/>
      <c r="M3085" s="505"/>
      <c r="N3085" s="505"/>
      <c r="O3085" s="505"/>
      <c r="P3085" s="505"/>
      <c r="Q3085" s="505"/>
      <c r="R3085" s="505"/>
      <c r="S3085" s="505"/>
      <c r="T3085" s="505"/>
      <c r="U3085" s="505"/>
      <c r="V3085" s="505"/>
      <c r="W3085" s="505"/>
      <c r="X3085" s="505"/>
      <c r="Y3085" s="505"/>
    </row>
    <row r="3086" spans="1:25" s="88" customFormat="1" x14ac:dyDescent="0.25">
      <c r="A3086" s="481"/>
      <c r="B3086" s="288"/>
      <c r="C3086" s="334"/>
      <c r="D3086" s="286"/>
      <c r="E3086" s="876"/>
      <c r="F3086" s="597" t="s">
        <v>234</v>
      </c>
      <c r="G3086" s="598" t="s">
        <v>235</v>
      </c>
      <c r="H3086" s="559">
        <f>SUM(H3083+H3024+H2965+H2906)</f>
        <v>7500000</v>
      </c>
      <c r="I3086" s="560"/>
      <c r="J3086" s="560">
        <f>SUM(H3086:I3086)</f>
        <v>7500000</v>
      </c>
      <c r="K3086" s="505"/>
      <c r="L3086" s="505"/>
      <c r="M3086" s="505"/>
      <c r="N3086" s="505"/>
      <c r="O3086" s="505"/>
      <c r="P3086" s="505"/>
      <c r="Q3086" s="505"/>
      <c r="R3086" s="505"/>
      <c r="S3086" s="505"/>
      <c r="T3086" s="505"/>
      <c r="U3086" s="505"/>
      <c r="V3086" s="505"/>
      <c r="W3086" s="505"/>
      <c r="X3086" s="505"/>
      <c r="Y3086" s="505"/>
    </row>
    <row r="3087" spans="1:25" s="88" customFormat="1" hidden="1" x14ac:dyDescent="0.25">
      <c r="A3087" s="481"/>
      <c r="B3087" s="288"/>
      <c r="C3087" s="334"/>
      <c r="D3087" s="286"/>
      <c r="E3087" s="876"/>
      <c r="F3087" s="597" t="s">
        <v>236</v>
      </c>
      <c r="G3087" s="598" t="s">
        <v>237</v>
      </c>
      <c r="H3087" s="555"/>
      <c r="I3087" s="556"/>
      <c r="J3087" s="560">
        <f t="shared" ref="J3087:J3101" si="107">SUM(H3087:I3087)</f>
        <v>0</v>
      </c>
      <c r="K3087" s="505"/>
      <c r="L3087" s="505"/>
      <c r="M3087" s="505"/>
      <c r="N3087" s="505"/>
      <c r="O3087" s="505"/>
      <c r="P3087" s="505"/>
      <c r="Q3087" s="505"/>
      <c r="R3087" s="505"/>
      <c r="S3087" s="505"/>
      <c r="T3087" s="505"/>
      <c r="U3087" s="505"/>
      <c r="V3087" s="505"/>
      <c r="W3087" s="505"/>
      <c r="X3087" s="505"/>
      <c r="Y3087" s="505"/>
    </row>
    <row r="3088" spans="1:25" s="88" customFormat="1" hidden="1" x14ac:dyDescent="0.25">
      <c r="A3088" s="481"/>
      <c r="B3088" s="288"/>
      <c r="C3088" s="334"/>
      <c r="D3088" s="286"/>
      <c r="E3088" s="876"/>
      <c r="F3088" s="597" t="s">
        <v>238</v>
      </c>
      <c r="G3088" s="598" t="s">
        <v>239</v>
      </c>
      <c r="H3088" s="555"/>
      <c r="I3088" s="556"/>
      <c r="J3088" s="560">
        <f t="shared" si="107"/>
        <v>0</v>
      </c>
      <c r="K3088" s="505"/>
      <c r="L3088" s="505"/>
      <c r="M3088" s="505"/>
      <c r="N3088" s="505"/>
      <c r="O3088" s="505"/>
      <c r="P3088" s="505"/>
      <c r="Q3088" s="505"/>
      <c r="R3088" s="505"/>
      <c r="S3088" s="505"/>
      <c r="T3088" s="505"/>
      <c r="U3088" s="505"/>
      <c r="V3088" s="505"/>
      <c r="W3088" s="505"/>
      <c r="X3088" s="505"/>
      <c r="Y3088" s="505"/>
    </row>
    <row r="3089" spans="1:25" s="88" customFormat="1" hidden="1" x14ac:dyDescent="0.25">
      <c r="A3089" s="481"/>
      <c r="B3089" s="288"/>
      <c r="C3089" s="334"/>
      <c r="D3089" s="286"/>
      <c r="E3089" s="876"/>
      <c r="F3089" s="597" t="s">
        <v>240</v>
      </c>
      <c r="G3089" s="598" t="s">
        <v>241</v>
      </c>
      <c r="H3089" s="555"/>
      <c r="I3089" s="556"/>
      <c r="J3089" s="560">
        <f t="shared" si="107"/>
        <v>0</v>
      </c>
      <c r="K3089" s="505"/>
      <c r="L3089" s="505"/>
      <c r="M3089" s="505"/>
      <c r="N3089" s="505"/>
      <c r="O3089" s="505"/>
      <c r="P3089" s="505"/>
      <c r="Q3089" s="505"/>
      <c r="R3089" s="505"/>
      <c r="S3089" s="505"/>
      <c r="T3089" s="505"/>
      <c r="U3089" s="505"/>
      <c r="V3089" s="505"/>
      <c r="W3089" s="505"/>
      <c r="X3089" s="505"/>
      <c r="Y3089" s="505"/>
    </row>
    <row r="3090" spans="1:25" s="88" customFormat="1" hidden="1" x14ac:dyDescent="0.25">
      <c r="A3090" s="481"/>
      <c r="B3090" s="288"/>
      <c r="C3090" s="334"/>
      <c r="D3090" s="286"/>
      <c r="E3090" s="876"/>
      <c r="F3090" s="597" t="s">
        <v>242</v>
      </c>
      <c r="G3090" s="598" t="s">
        <v>243</v>
      </c>
      <c r="H3090" s="555"/>
      <c r="I3090" s="556"/>
      <c r="J3090" s="560">
        <f t="shared" si="107"/>
        <v>0</v>
      </c>
      <c r="K3090" s="505"/>
      <c r="L3090" s="505"/>
      <c r="M3090" s="505"/>
      <c r="N3090" s="505"/>
      <c r="O3090" s="505"/>
      <c r="P3090" s="505"/>
      <c r="Q3090" s="505"/>
      <c r="R3090" s="505"/>
      <c r="S3090" s="505"/>
      <c r="T3090" s="505"/>
      <c r="U3090" s="505"/>
      <c r="V3090" s="505"/>
      <c r="W3090" s="505"/>
      <c r="X3090" s="505"/>
      <c r="Y3090" s="505"/>
    </row>
    <row r="3091" spans="1:25" s="88" customFormat="1" hidden="1" x14ac:dyDescent="0.25">
      <c r="A3091" s="481"/>
      <c r="B3091" s="288"/>
      <c r="C3091" s="334"/>
      <c r="D3091" s="286"/>
      <c r="E3091" s="876"/>
      <c r="F3091" s="597" t="s">
        <v>244</v>
      </c>
      <c r="G3091" s="598" t="s">
        <v>245</v>
      </c>
      <c r="H3091" s="555"/>
      <c r="I3091" s="556"/>
      <c r="J3091" s="560">
        <f t="shared" si="107"/>
        <v>0</v>
      </c>
      <c r="K3091" s="505"/>
      <c r="L3091" s="505"/>
      <c r="M3091" s="505"/>
      <c r="N3091" s="505"/>
      <c r="O3091" s="505"/>
      <c r="P3091" s="505"/>
      <c r="Q3091" s="505"/>
      <c r="R3091" s="505"/>
      <c r="S3091" s="505"/>
      <c r="T3091" s="505"/>
      <c r="U3091" s="505"/>
      <c r="V3091" s="505"/>
      <c r="W3091" s="505"/>
      <c r="X3091" s="505"/>
      <c r="Y3091" s="505"/>
    </row>
    <row r="3092" spans="1:25" s="88" customFormat="1" hidden="1" x14ac:dyDescent="0.25">
      <c r="A3092" s="481"/>
      <c r="B3092" s="288"/>
      <c r="C3092" s="334"/>
      <c r="D3092" s="286"/>
      <c r="E3092" s="876"/>
      <c r="F3092" s="597" t="s">
        <v>246</v>
      </c>
      <c r="G3092" s="598" t="s">
        <v>4996</v>
      </c>
      <c r="H3092" s="555"/>
      <c r="I3092" s="556"/>
      <c r="J3092" s="560">
        <f t="shared" si="107"/>
        <v>0</v>
      </c>
      <c r="K3092" s="505"/>
      <c r="L3092" s="505"/>
      <c r="M3092" s="505"/>
      <c r="N3092" s="505"/>
      <c r="O3092" s="505"/>
      <c r="P3092" s="505"/>
      <c r="Q3092" s="505"/>
      <c r="R3092" s="505"/>
      <c r="S3092" s="505"/>
      <c r="T3092" s="505"/>
      <c r="U3092" s="505"/>
      <c r="V3092" s="505"/>
      <c r="W3092" s="505"/>
      <c r="X3092" s="505"/>
      <c r="Y3092" s="505"/>
    </row>
    <row r="3093" spans="1:25" s="88" customFormat="1" hidden="1" x14ac:dyDescent="0.25">
      <c r="A3093" s="481"/>
      <c r="B3093" s="288"/>
      <c r="C3093" s="334"/>
      <c r="D3093" s="286"/>
      <c r="E3093" s="876"/>
      <c r="F3093" s="597" t="s">
        <v>247</v>
      </c>
      <c r="G3093" s="598" t="s">
        <v>4995</v>
      </c>
      <c r="H3093" s="555"/>
      <c r="I3093" s="556"/>
      <c r="J3093" s="560">
        <f t="shared" si="107"/>
        <v>0</v>
      </c>
      <c r="K3093" s="505"/>
      <c r="L3093" s="505"/>
      <c r="M3093" s="505"/>
      <c r="N3093" s="505"/>
      <c r="O3093" s="505"/>
      <c r="P3093" s="505"/>
      <c r="Q3093" s="505"/>
      <c r="R3093" s="505"/>
      <c r="S3093" s="505"/>
      <c r="T3093" s="505"/>
      <c r="U3093" s="505"/>
      <c r="V3093" s="505"/>
      <c r="W3093" s="505"/>
      <c r="X3093" s="505"/>
      <c r="Y3093" s="505"/>
    </row>
    <row r="3094" spans="1:25" s="88" customFormat="1" hidden="1" x14ac:dyDescent="0.25">
      <c r="A3094" s="481"/>
      <c r="B3094" s="288"/>
      <c r="C3094" s="334"/>
      <c r="D3094" s="286"/>
      <c r="E3094" s="876"/>
      <c r="F3094" s="597" t="s">
        <v>248</v>
      </c>
      <c r="G3094" s="598" t="s">
        <v>57</v>
      </c>
      <c r="H3094" s="555"/>
      <c r="I3094" s="556"/>
      <c r="J3094" s="560">
        <f t="shared" si="107"/>
        <v>0</v>
      </c>
      <c r="K3094" s="505"/>
      <c r="L3094" s="505"/>
      <c r="M3094" s="505"/>
      <c r="N3094" s="505"/>
      <c r="O3094" s="505"/>
      <c r="P3094" s="505"/>
      <c r="Q3094" s="505"/>
      <c r="R3094" s="505"/>
      <c r="S3094" s="505"/>
      <c r="T3094" s="505"/>
      <c r="U3094" s="505"/>
      <c r="V3094" s="505"/>
      <c r="W3094" s="505"/>
      <c r="X3094" s="505"/>
      <c r="Y3094" s="505"/>
    </row>
    <row r="3095" spans="1:25" s="88" customFormat="1" hidden="1" x14ac:dyDescent="0.25">
      <c r="A3095" s="481"/>
      <c r="B3095" s="288"/>
      <c r="C3095" s="334"/>
      <c r="D3095" s="286"/>
      <c r="E3095" s="876"/>
      <c r="F3095" s="597" t="s">
        <v>249</v>
      </c>
      <c r="G3095" s="598" t="s">
        <v>250</v>
      </c>
      <c r="H3095" s="555"/>
      <c r="I3095" s="556"/>
      <c r="J3095" s="560">
        <f t="shared" si="107"/>
        <v>0</v>
      </c>
      <c r="K3095" s="505"/>
      <c r="L3095" s="505"/>
      <c r="M3095" s="505"/>
      <c r="N3095" s="505"/>
      <c r="O3095" s="505"/>
      <c r="P3095" s="505"/>
      <c r="Q3095" s="505"/>
      <c r="R3095" s="505"/>
      <c r="S3095" s="505"/>
      <c r="T3095" s="505"/>
      <c r="U3095" s="505"/>
      <c r="V3095" s="505"/>
      <c r="W3095" s="505"/>
      <c r="X3095" s="505"/>
      <c r="Y3095" s="505"/>
    </row>
    <row r="3096" spans="1:25" s="88" customFormat="1" hidden="1" x14ac:dyDescent="0.25">
      <c r="A3096" s="481"/>
      <c r="B3096" s="288"/>
      <c r="C3096" s="334"/>
      <c r="D3096" s="286"/>
      <c r="E3096" s="876"/>
      <c r="F3096" s="597" t="s">
        <v>251</v>
      </c>
      <c r="G3096" s="598" t="s">
        <v>252</v>
      </c>
      <c r="H3096" s="555"/>
      <c r="I3096" s="556"/>
      <c r="J3096" s="560">
        <f t="shared" si="107"/>
        <v>0</v>
      </c>
      <c r="K3096" s="505"/>
      <c r="L3096" s="505"/>
      <c r="M3096" s="505"/>
      <c r="N3096" s="505"/>
      <c r="O3096" s="505"/>
      <c r="P3096" s="505"/>
      <c r="Q3096" s="505"/>
      <c r="R3096" s="505"/>
      <c r="S3096" s="505"/>
      <c r="T3096" s="505"/>
      <c r="U3096" s="505"/>
      <c r="V3096" s="505"/>
      <c r="W3096" s="505"/>
      <c r="X3096" s="505"/>
      <c r="Y3096" s="505"/>
    </row>
    <row r="3097" spans="1:25" s="88" customFormat="1" ht="30" hidden="1" x14ac:dyDescent="0.25">
      <c r="A3097" s="481"/>
      <c r="B3097" s="288"/>
      <c r="C3097" s="334"/>
      <c r="D3097" s="286"/>
      <c r="E3097" s="876"/>
      <c r="F3097" s="597" t="s">
        <v>253</v>
      </c>
      <c r="G3097" s="598" t="s">
        <v>254</v>
      </c>
      <c r="H3097" s="555"/>
      <c r="I3097" s="556"/>
      <c r="J3097" s="560">
        <f t="shared" si="107"/>
        <v>0</v>
      </c>
      <c r="K3097" s="505"/>
      <c r="L3097" s="505"/>
      <c r="M3097" s="505"/>
      <c r="N3097" s="505"/>
      <c r="O3097" s="505"/>
      <c r="P3097" s="505"/>
      <c r="Q3097" s="505"/>
      <c r="R3097" s="505"/>
      <c r="S3097" s="505"/>
      <c r="T3097" s="505"/>
      <c r="U3097" s="505"/>
      <c r="V3097" s="505"/>
      <c r="W3097" s="505"/>
      <c r="X3097" s="505"/>
      <c r="Y3097" s="505"/>
    </row>
    <row r="3098" spans="1:25" s="88" customFormat="1" x14ac:dyDescent="0.25">
      <c r="A3098" s="481"/>
      <c r="B3098" s="288"/>
      <c r="C3098" s="334"/>
      <c r="D3098" s="286"/>
      <c r="E3098" s="876"/>
      <c r="F3098" s="597" t="s">
        <v>255</v>
      </c>
      <c r="G3098" s="598" t="s">
        <v>256</v>
      </c>
      <c r="H3098" s="555"/>
      <c r="I3098" s="556">
        <f>SUM(I2883+I2981+I3080)</f>
        <v>0</v>
      </c>
      <c r="J3098" s="560">
        <f t="shared" si="107"/>
        <v>0</v>
      </c>
      <c r="K3098" s="505"/>
      <c r="L3098" s="505"/>
      <c r="M3098" s="505"/>
      <c r="N3098" s="505"/>
      <c r="O3098" s="505"/>
      <c r="P3098" s="505"/>
      <c r="Q3098" s="505"/>
      <c r="R3098" s="505"/>
      <c r="S3098" s="505"/>
      <c r="T3098" s="505"/>
      <c r="U3098" s="505"/>
      <c r="V3098" s="505"/>
      <c r="W3098" s="505"/>
      <c r="X3098" s="505"/>
      <c r="Y3098" s="505"/>
    </row>
    <row r="3099" spans="1:25" s="88" customFormat="1" ht="30" hidden="1" x14ac:dyDescent="0.25">
      <c r="A3099" s="481"/>
      <c r="B3099" s="288"/>
      <c r="C3099" s="334"/>
      <c r="D3099" s="286"/>
      <c r="E3099" s="876"/>
      <c r="F3099" s="597" t="s">
        <v>257</v>
      </c>
      <c r="G3099" s="598" t="s">
        <v>258</v>
      </c>
      <c r="H3099" s="555"/>
      <c r="I3099" s="556"/>
      <c r="J3099" s="560">
        <f t="shared" si="107"/>
        <v>0</v>
      </c>
      <c r="K3099" s="505"/>
      <c r="L3099" s="505"/>
      <c r="M3099" s="505"/>
      <c r="N3099" s="505"/>
      <c r="O3099" s="505"/>
      <c r="P3099" s="505"/>
      <c r="Q3099" s="505"/>
      <c r="R3099" s="505"/>
      <c r="S3099" s="505"/>
      <c r="T3099" s="505"/>
      <c r="U3099" s="505"/>
      <c r="V3099" s="505"/>
      <c r="W3099" s="505"/>
      <c r="X3099" s="505"/>
      <c r="Y3099" s="505"/>
    </row>
    <row r="3100" spans="1:25" s="88" customFormat="1" hidden="1" x14ac:dyDescent="0.25">
      <c r="A3100" s="481"/>
      <c r="B3100" s="288"/>
      <c r="C3100" s="334"/>
      <c r="D3100" s="286"/>
      <c r="E3100" s="876"/>
      <c r="F3100" s="597" t="s">
        <v>259</v>
      </c>
      <c r="G3100" s="598" t="s">
        <v>260</v>
      </c>
      <c r="H3100" s="555"/>
      <c r="I3100" s="556"/>
      <c r="J3100" s="560">
        <f t="shared" si="107"/>
        <v>0</v>
      </c>
      <c r="K3100" s="505"/>
      <c r="L3100" s="505"/>
      <c r="M3100" s="505"/>
      <c r="N3100" s="505"/>
      <c r="O3100" s="505"/>
      <c r="P3100" s="505"/>
      <c r="Q3100" s="505"/>
      <c r="R3100" s="505"/>
      <c r="S3100" s="505"/>
      <c r="T3100" s="505"/>
      <c r="U3100" s="505"/>
      <c r="V3100" s="505"/>
      <c r="W3100" s="505"/>
      <c r="X3100" s="505"/>
      <c r="Y3100" s="505"/>
    </row>
    <row r="3101" spans="1:25" s="88" customFormat="1" ht="0.75" customHeight="1" x14ac:dyDescent="0.25">
      <c r="A3101" s="481"/>
      <c r="B3101" s="288"/>
      <c r="C3101" s="334"/>
      <c r="D3101" s="286"/>
      <c r="E3101" s="876"/>
      <c r="F3101" s="597" t="s">
        <v>261</v>
      </c>
      <c r="G3101" s="598" t="s">
        <v>262</v>
      </c>
      <c r="H3101" s="559"/>
      <c r="I3101" s="560"/>
      <c r="J3101" s="560">
        <f t="shared" si="107"/>
        <v>0</v>
      </c>
      <c r="K3101" s="505"/>
      <c r="L3101" s="505"/>
      <c r="M3101" s="505"/>
      <c r="N3101" s="505"/>
      <c r="O3101" s="505"/>
      <c r="P3101" s="505"/>
      <c r="Q3101" s="505"/>
      <c r="R3101" s="505"/>
      <c r="S3101" s="505"/>
      <c r="T3101" s="505"/>
      <c r="U3101" s="505"/>
      <c r="V3101" s="505"/>
      <c r="W3101" s="505"/>
      <c r="X3101" s="505"/>
      <c r="Y3101" s="505"/>
    </row>
    <row r="3102" spans="1:25" s="88" customFormat="1" ht="9.75" customHeight="1" thickBot="1" x14ac:dyDescent="0.3">
      <c r="A3102" s="481"/>
      <c r="B3102" s="288"/>
      <c r="C3102" s="334"/>
      <c r="D3102" s="286"/>
      <c r="E3102" s="876"/>
      <c r="F3102" s="597"/>
      <c r="G3102" s="598"/>
      <c r="H3102" s="559"/>
      <c r="I3102" s="560"/>
      <c r="J3102" s="560"/>
      <c r="K3102" s="505"/>
      <c r="L3102" s="505"/>
      <c r="M3102" s="505"/>
      <c r="N3102" s="505"/>
      <c r="O3102" s="505"/>
      <c r="P3102" s="505"/>
      <c r="Q3102" s="505"/>
      <c r="R3102" s="505"/>
      <c r="S3102" s="505"/>
      <c r="T3102" s="505"/>
      <c r="U3102" s="505"/>
      <c r="V3102" s="505"/>
      <c r="W3102" s="505"/>
      <c r="X3102" s="505"/>
      <c r="Y3102" s="505"/>
    </row>
    <row r="3103" spans="1:25" s="88" customFormat="1" ht="14.25" customHeight="1" thickBot="1" x14ac:dyDescent="0.3">
      <c r="A3103" s="481"/>
      <c r="B3103" s="288"/>
      <c r="C3103" s="334"/>
      <c r="D3103" s="286"/>
      <c r="E3103" s="876"/>
      <c r="F3103" s="258"/>
      <c r="G3103" s="728" t="s">
        <v>4271</v>
      </c>
      <c r="H3103" s="561">
        <f>SUM(H3086)</f>
        <v>7500000</v>
      </c>
      <c r="I3103" s="562">
        <f>SUM(I3087:I3101)</f>
        <v>0</v>
      </c>
      <c r="J3103" s="562">
        <f>SUM(J3086:J3101)</f>
        <v>7500000</v>
      </c>
      <c r="K3103" s="505"/>
      <c r="L3103" s="505"/>
      <c r="M3103" s="505"/>
      <c r="N3103" s="505"/>
      <c r="O3103" s="505"/>
      <c r="P3103" s="505"/>
      <c r="Q3103" s="505"/>
      <c r="R3103" s="505"/>
      <c r="S3103" s="505"/>
      <c r="T3103" s="505"/>
      <c r="U3103" s="505"/>
      <c r="V3103" s="505"/>
      <c r="W3103" s="505"/>
      <c r="X3103" s="505"/>
      <c r="Y3103" s="505"/>
    </row>
    <row r="3104" spans="1:25" s="88" customFormat="1" x14ac:dyDescent="0.25">
      <c r="A3104" s="481"/>
      <c r="B3104" s="288"/>
      <c r="C3104" s="334"/>
      <c r="D3104" s="286"/>
      <c r="E3104" s="876"/>
      <c r="F3104" s="258"/>
      <c r="G3104" s="312"/>
      <c r="H3104" s="565"/>
      <c r="I3104" s="566"/>
      <c r="J3104" s="566"/>
      <c r="K3104" s="505"/>
      <c r="L3104" s="505"/>
      <c r="M3104" s="505"/>
      <c r="N3104" s="505"/>
      <c r="O3104" s="505"/>
      <c r="P3104" s="505"/>
      <c r="Q3104" s="505"/>
      <c r="R3104" s="505"/>
      <c r="S3104" s="505"/>
      <c r="T3104" s="505"/>
      <c r="U3104" s="505"/>
      <c r="V3104" s="505"/>
      <c r="W3104" s="505"/>
      <c r="X3104" s="505"/>
      <c r="Y3104" s="505"/>
    </row>
    <row r="3105" spans="1:25" s="88" customFormat="1" x14ac:dyDescent="0.25">
      <c r="A3105" s="258"/>
      <c r="B3105" s="258"/>
      <c r="C3105" s="267" t="s">
        <v>5082</v>
      </c>
      <c r="D3105" s="258"/>
      <c r="E3105" s="679"/>
      <c r="F3105" s="258"/>
      <c r="G3105" s="393" t="s">
        <v>5154</v>
      </c>
      <c r="H3105" s="555"/>
      <c r="I3105" s="556"/>
      <c r="J3105" s="567"/>
      <c r="K3105" s="505"/>
      <c r="L3105" s="505"/>
      <c r="M3105" s="505"/>
      <c r="N3105" s="505"/>
      <c r="O3105" s="505"/>
      <c r="P3105" s="505"/>
      <c r="Q3105" s="505"/>
      <c r="R3105" s="505"/>
      <c r="S3105" s="505"/>
      <c r="T3105" s="505"/>
      <c r="U3105" s="505"/>
      <c r="V3105" s="505"/>
      <c r="W3105" s="505"/>
      <c r="X3105" s="505"/>
      <c r="Y3105" s="505"/>
    </row>
    <row r="3106" spans="1:25" s="88" customFormat="1" ht="17.25" customHeight="1" x14ac:dyDescent="0.25">
      <c r="A3106" s="481"/>
      <c r="B3106" s="288"/>
      <c r="C3106" s="302" t="s">
        <v>5093</v>
      </c>
      <c r="D3106" s="259"/>
      <c r="E3106" s="702"/>
      <c r="F3106" s="303"/>
      <c r="G3106" s="406" t="s">
        <v>5094</v>
      </c>
      <c r="H3106" s="588"/>
      <c r="I3106" s="571"/>
      <c r="K3106" s="505"/>
      <c r="L3106" s="505"/>
      <c r="M3106" s="505"/>
      <c r="N3106" s="505"/>
      <c r="O3106" s="505"/>
      <c r="P3106" s="505"/>
      <c r="Q3106" s="505"/>
      <c r="R3106" s="505"/>
      <c r="S3106" s="505"/>
      <c r="T3106" s="505"/>
      <c r="U3106" s="505"/>
      <c r="V3106" s="505"/>
      <c r="W3106" s="505"/>
      <c r="X3106" s="505"/>
      <c r="Y3106" s="505"/>
    </row>
    <row r="3107" spans="1:25" s="88" customFormat="1" ht="13.5" customHeight="1" x14ac:dyDescent="0.25">
      <c r="A3107" s="258"/>
      <c r="B3107" s="258"/>
      <c r="C3107" s="267"/>
      <c r="D3107" s="331">
        <v>660</v>
      </c>
      <c r="E3107" s="869"/>
      <c r="F3107" s="331"/>
      <c r="G3107" s="332" t="s">
        <v>186</v>
      </c>
      <c r="H3107" s="555"/>
      <c r="I3107" s="556"/>
      <c r="J3107" s="556"/>
      <c r="K3107" s="505"/>
      <c r="L3107" s="505"/>
      <c r="M3107" s="505"/>
      <c r="N3107" s="505"/>
      <c r="O3107" s="505"/>
      <c r="P3107" s="505"/>
      <c r="Q3107" s="505"/>
      <c r="R3107" s="505"/>
      <c r="S3107" s="505"/>
      <c r="T3107" s="505"/>
      <c r="U3107" s="505"/>
      <c r="V3107" s="505"/>
      <c r="W3107" s="505"/>
      <c r="X3107" s="505"/>
      <c r="Y3107" s="505"/>
    </row>
    <row r="3108" spans="1:25" s="88" customFormat="1" hidden="1" x14ac:dyDescent="0.25">
      <c r="A3108" s="258"/>
      <c r="B3108" s="258"/>
      <c r="C3108" s="261"/>
      <c r="D3108" s="258"/>
      <c r="E3108" s="679"/>
      <c r="F3108" s="499">
        <v>411</v>
      </c>
      <c r="G3108" s="492" t="s">
        <v>4131</v>
      </c>
      <c r="H3108" s="555"/>
      <c r="I3108" s="556"/>
      <c r="J3108" s="556">
        <f>SUM(H3108:I3108)</f>
        <v>0</v>
      </c>
      <c r="K3108" s="505"/>
      <c r="L3108" s="505"/>
      <c r="M3108" s="505"/>
      <c r="N3108" s="505"/>
      <c r="O3108" s="505"/>
      <c r="P3108" s="505"/>
      <c r="Q3108" s="505"/>
      <c r="R3108" s="505"/>
      <c r="S3108" s="505"/>
      <c r="T3108" s="505"/>
      <c r="U3108" s="505"/>
      <c r="V3108" s="505"/>
      <c r="W3108" s="505"/>
      <c r="X3108" s="505"/>
      <c r="Y3108" s="505"/>
    </row>
    <row r="3109" spans="1:25" s="88" customFormat="1" hidden="1" x14ac:dyDescent="0.25">
      <c r="A3109" s="258"/>
      <c r="B3109" s="258"/>
      <c r="C3109" s="261"/>
      <c r="D3109" s="258"/>
      <c r="E3109" s="679"/>
      <c r="F3109" s="499">
        <v>412</v>
      </c>
      <c r="G3109" s="488" t="s">
        <v>3766</v>
      </c>
      <c r="H3109" s="555"/>
      <c r="I3109" s="556"/>
      <c r="J3109" s="556">
        <f t="shared" ref="J3109:J3167" si="108">SUM(H3109:I3109)</f>
        <v>0</v>
      </c>
      <c r="K3109" s="505"/>
      <c r="L3109" s="505"/>
      <c r="M3109" s="505"/>
      <c r="N3109" s="505"/>
      <c r="O3109" s="505"/>
      <c r="P3109" s="505"/>
      <c r="Q3109" s="505"/>
      <c r="R3109" s="505"/>
      <c r="S3109" s="505"/>
      <c r="T3109" s="505"/>
      <c r="U3109" s="505"/>
      <c r="V3109" s="505"/>
      <c r="W3109" s="505"/>
      <c r="X3109" s="505"/>
      <c r="Y3109" s="505"/>
    </row>
    <row r="3110" spans="1:25" s="88" customFormat="1" hidden="1" x14ac:dyDescent="0.25">
      <c r="A3110" s="258"/>
      <c r="B3110" s="258"/>
      <c r="C3110" s="261"/>
      <c r="D3110" s="258"/>
      <c r="E3110" s="679"/>
      <c r="F3110" s="499">
        <v>413</v>
      </c>
      <c r="G3110" s="492" t="s">
        <v>4132</v>
      </c>
      <c r="H3110" s="555"/>
      <c r="I3110" s="556"/>
      <c r="J3110" s="556">
        <f t="shared" si="108"/>
        <v>0</v>
      </c>
      <c r="K3110" s="505"/>
      <c r="L3110" s="505"/>
      <c r="M3110" s="505"/>
      <c r="N3110" s="505"/>
      <c r="O3110" s="505"/>
      <c r="P3110" s="505"/>
      <c r="Q3110" s="505"/>
      <c r="R3110" s="505"/>
      <c r="S3110" s="505"/>
      <c r="T3110" s="505"/>
      <c r="U3110" s="505"/>
      <c r="V3110" s="505"/>
      <c r="W3110" s="505"/>
      <c r="X3110" s="505"/>
      <c r="Y3110" s="505"/>
    </row>
    <row r="3111" spans="1:25" s="88" customFormat="1" hidden="1" x14ac:dyDescent="0.25">
      <c r="A3111" s="258"/>
      <c r="B3111" s="258"/>
      <c r="C3111" s="261"/>
      <c r="D3111" s="258"/>
      <c r="E3111" s="679"/>
      <c r="F3111" s="499">
        <v>414</v>
      </c>
      <c r="G3111" s="492" t="s">
        <v>3769</v>
      </c>
      <c r="H3111" s="555"/>
      <c r="I3111" s="556"/>
      <c r="J3111" s="556">
        <f t="shared" si="108"/>
        <v>0</v>
      </c>
      <c r="K3111" s="505"/>
      <c r="L3111" s="505"/>
      <c r="M3111" s="505"/>
      <c r="N3111" s="505"/>
      <c r="O3111" s="505"/>
      <c r="P3111" s="505"/>
      <c r="Q3111" s="505"/>
      <c r="R3111" s="505"/>
      <c r="S3111" s="505"/>
      <c r="T3111" s="505"/>
      <c r="U3111" s="505"/>
      <c r="V3111" s="505"/>
      <c r="W3111" s="505"/>
      <c r="X3111" s="505"/>
      <c r="Y3111" s="505"/>
    </row>
    <row r="3112" spans="1:25" s="88" customFormat="1" hidden="1" x14ac:dyDescent="0.25">
      <c r="A3112" s="258"/>
      <c r="B3112" s="258"/>
      <c r="C3112" s="261"/>
      <c r="D3112" s="258"/>
      <c r="E3112" s="679"/>
      <c r="F3112" s="499">
        <v>415</v>
      </c>
      <c r="G3112" s="492" t="s">
        <v>4141</v>
      </c>
      <c r="H3112" s="555"/>
      <c r="I3112" s="556"/>
      <c r="J3112" s="556">
        <f t="shared" si="108"/>
        <v>0</v>
      </c>
      <c r="K3112" s="505"/>
      <c r="L3112" s="505"/>
      <c r="M3112" s="505"/>
      <c r="N3112" s="505"/>
      <c r="O3112" s="505"/>
      <c r="P3112" s="505"/>
      <c r="Q3112" s="505"/>
      <c r="R3112" s="505"/>
      <c r="S3112" s="505"/>
      <c r="T3112" s="505"/>
      <c r="U3112" s="505"/>
      <c r="V3112" s="505"/>
      <c r="W3112" s="505"/>
      <c r="X3112" s="505"/>
      <c r="Y3112" s="505"/>
    </row>
    <row r="3113" spans="1:25" s="88" customFormat="1" hidden="1" x14ac:dyDescent="0.25">
      <c r="A3113" s="258"/>
      <c r="B3113" s="258"/>
      <c r="C3113" s="261"/>
      <c r="D3113" s="258"/>
      <c r="E3113" s="679"/>
      <c r="F3113" s="499">
        <v>416</v>
      </c>
      <c r="G3113" s="492" t="s">
        <v>4142</v>
      </c>
      <c r="H3113" s="555"/>
      <c r="I3113" s="556"/>
      <c r="J3113" s="556">
        <f t="shared" si="108"/>
        <v>0</v>
      </c>
      <c r="K3113" s="505"/>
      <c r="L3113" s="505"/>
      <c r="M3113" s="505"/>
      <c r="N3113" s="505"/>
      <c r="O3113" s="505"/>
      <c r="P3113" s="505"/>
      <c r="Q3113" s="505"/>
      <c r="R3113" s="505"/>
      <c r="S3113" s="505"/>
      <c r="T3113" s="505"/>
      <c r="U3113" s="505"/>
      <c r="V3113" s="505"/>
      <c r="W3113" s="505"/>
      <c r="X3113" s="505"/>
      <c r="Y3113" s="505"/>
    </row>
    <row r="3114" spans="1:25" s="88" customFormat="1" hidden="1" x14ac:dyDescent="0.25">
      <c r="A3114" s="258"/>
      <c r="B3114" s="258"/>
      <c r="C3114" s="261"/>
      <c r="D3114" s="258"/>
      <c r="E3114" s="679"/>
      <c r="F3114" s="499">
        <v>417</v>
      </c>
      <c r="G3114" s="492" t="s">
        <v>4143</v>
      </c>
      <c r="H3114" s="555"/>
      <c r="I3114" s="556"/>
      <c r="J3114" s="556">
        <f t="shared" si="108"/>
        <v>0</v>
      </c>
      <c r="K3114" s="505"/>
      <c r="L3114" s="505"/>
      <c r="M3114" s="505"/>
      <c r="N3114" s="505"/>
      <c r="O3114" s="505"/>
      <c r="P3114" s="505"/>
      <c r="Q3114" s="505"/>
      <c r="R3114" s="505"/>
      <c r="S3114" s="505"/>
      <c r="T3114" s="505"/>
      <c r="U3114" s="505"/>
      <c r="V3114" s="505"/>
      <c r="W3114" s="505"/>
      <c r="X3114" s="505"/>
      <c r="Y3114" s="505"/>
    </row>
    <row r="3115" spans="1:25" s="88" customFormat="1" hidden="1" x14ac:dyDescent="0.25">
      <c r="A3115" s="258"/>
      <c r="B3115" s="258"/>
      <c r="C3115" s="261"/>
      <c r="D3115" s="258"/>
      <c r="E3115" s="679"/>
      <c r="F3115" s="499">
        <v>418</v>
      </c>
      <c r="G3115" s="492" t="s">
        <v>3775</v>
      </c>
      <c r="H3115" s="555"/>
      <c r="I3115" s="556"/>
      <c r="J3115" s="556">
        <f t="shared" si="108"/>
        <v>0</v>
      </c>
      <c r="K3115" s="505"/>
      <c r="L3115" s="505"/>
      <c r="M3115" s="505"/>
      <c r="N3115" s="505"/>
      <c r="O3115" s="505"/>
      <c r="P3115" s="505"/>
      <c r="Q3115" s="505"/>
      <c r="R3115" s="505"/>
      <c r="S3115" s="505"/>
      <c r="T3115" s="505"/>
      <c r="U3115" s="505"/>
      <c r="V3115" s="505"/>
      <c r="W3115" s="505"/>
      <c r="X3115" s="505"/>
      <c r="Y3115" s="505"/>
    </row>
    <row r="3116" spans="1:25" s="88" customFormat="1" x14ac:dyDescent="0.25">
      <c r="A3116" s="258"/>
      <c r="B3116" s="258"/>
      <c r="C3116" s="261"/>
      <c r="D3116" s="258"/>
      <c r="E3116" s="679">
        <v>104</v>
      </c>
      <c r="F3116" s="499">
        <v>421</v>
      </c>
      <c r="G3116" s="492" t="s">
        <v>3779</v>
      </c>
      <c r="H3116" s="555">
        <v>600000</v>
      </c>
      <c r="I3116" s="556"/>
      <c r="J3116" s="556">
        <f t="shared" si="108"/>
        <v>600000</v>
      </c>
      <c r="K3116" s="505"/>
      <c r="L3116" s="505"/>
      <c r="M3116" s="505"/>
      <c r="N3116" s="505"/>
      <c r="O3116" s="505"/>
      <c r="P3116" s="505"/>
      <c r="Q3116" s="505"/>
      <c r="R3116" s="505"/>
      <c r="S3116" s="505"/>
      <c r="T3116" s="505"/>
      <c r="U3116" s="505"/>
      <c r="V3116" s="505"/>
      <c r="W3116" s="505"/>
      <c r="X3116" s="505"/>
      <c r="Y3116" s="505"/>
    </row>
    <row r="3117" spans="1:25" s="88" customFormat="1" hidden="1" x14ac:dyDescent="0.25">
      <c r="A3117" s="258"/>
      <c r="B3117" s="258"/>
      <c r="C3117" s="261"/>
      <c r="D3117" s="258"/>
      <c r="E3117" s="679"/>
      <c r="F3117" s="499">
        <v>422</v>
      </c>
      <c r="G3117" s="492" t="s">
        <v>3780</v>
      </c>
      <c r="H3117" s="555"/>
      <c r="I3117" s="556"/>
      <c r="J3117" s="556">
        <f t="shared" si="108"/>
        <v>0</v>
      </c>
      <c r="K3117" s="505"/>
      <c r="L3117" s="505"/>
      <c r="M3117" s="505"/>
      <c r="N3117" s="505"/>
      <c r="O3117" s="505"/>
      <c r="P3117" s="505"/>
      <c r="Q3117" s="505"/>
      <c r="R3117" s="505"/>
      <c r="S3117" s="505"/>
      <c r="T3117" s="505"/>
      <c r="U3117" s="505"/>
      <c r="V3117" s="505"/>
      <c r="W3117" s="505"/>
      <c r="X3117" s="505"/>
      <c r="Y3117" s="505"/>
    </row>
    <row r="3118" spans="1:25" s="88" customFormat="1" hidden="1" x14ac:dyDescent="0.25">
      <c r="A3118" s="258"/>
      <c r="B3118" s="258"/>
      <c r="C3118" s="261"/>
      <c r="D3118" s="258"/>
      <c r="E3118" s="679"/>
      <c r="F3118" s="499">
        <v>423</v>
      </c>
      <c r="G3118" s="492" t="s">
        <v>3781</v>
      </c>
      <c r="H3118" s="555"/>
      <c r="I3118" s="556"/>
      <c r="J3118" s="556">
        <f t="shared" si="108"/>
        <v>0</v>
      </c>
      <c r="K3118" s="505"/>
      <c r="L3118" s="505"/>
      <c r="M3118" s="505"/>
      <c r="N3118" s="505"/>
      <c r="O3118" s="505"/>
      <c r="P3118" s="505"/>
      <c r="Q3118" s="505"/>
      <c r="R3118" s="505"/>
      <c r="S3118" s="505"/>
      <c r="T3118" s="505"/>
      <c r="U3118" s="505"/>
      <c r="V3118" s="505"/>
      <c r="W3118" s="505"/>
      <c r="X3118" s="505"/>
      <c r="Y3118" s="505"/>
    </row>
    <row r="3119" spans="1:25" s="88" customFormat="1" ht="27" customHeight="1" x14ac:dyDescent="0.25">
      <c r="A3119" s="258"/>
      <c r="B3119" s="258"/>
      <c r="C3119" s="261"/>
      <c r="D3119" s="258"/>
      <c r="E3119" s="679">
        <v>105</v>
      </c>
      <c r="F3119" s="499">
        <v>424</v>
      </c>
      <c r="G3119" s="492" t="s">
        <v>5407</v>
      </c>
      <c r="H3119" s="555">
        <v>1500000</v>
      </c>
      <c r="I3119" s="556"/>
      <c r="J3119" s="556">
        <v>0</v>
      </c>
      <c r="K3119" s="505"/>
      <c r="L3119" s="505"/>
      <c r="M3119" s="505"/>
      <c r="N3119" s="505"/>
      <c r="O3119" s="505"/>
      <c r="P3119" s="505"/>
      <c r="Q3119" s="505"/>
      <c r="R3119" s="505"/>
      <c r="S3119" s="505"/>
      <c r="T3119" s="505"/>
      <c r="U3119" s="505"/>
      <c r="V3119" s="505"/>
      <c r="W3119" s="505"/>
      <c r="X3119" s="505"/>
      <c r="Y3119" s="505"/>
    </row>
    <row r="3120" spans="1:25" s="88" customFormat="1" ht="12" hidden="1" customHeight="1" x14ac:dyDescent="0.25">
      <c r="A3120" s="258"/>
      <c r="B3120" s="258"/>
      <c r="C3120" s="261"/>
      <c r="D3120" s="258"/>
      <c r="E3120" s="679"/>
      <c r="F3120" s="499">
        <v>425</v>
      </c>
      <c r="G3120" s="492" t="s">
        <v>4144</v>
      </c>
      <c r="H3120" s="555"/>
      <c r="I3120" s="556"/>
      <c r="J3120" s="556">
        <f t="shared" si="108"/>
        <v>0</v>
      </c>
      <c r="K3120" s="505"/>
      <c r="L3120" s="505"/>
      <c r="M3120" s="505"/>
      <c r="N3120" s="505"/>
      <c r="O3120" s="505"/>
      <c r="P3120" s="505"/>
      <c r="Q3120" s="505"/>
      <c r="R3120" s="505"/>
      <c r="S3120" s="505"/>
      <c r="T3120" s="505"/>
      <c r="U3120" s="505"/>
      <c r="V3120" s="505"/>
      <c r="W3120" s="505"/>
      <c r="X3120" s="505"/>
      <c r="Y3120" s="505"/>
    </row>
    <row r="3121" spans="1:25" s="88" customFormat="1" hidden="1" x14ac:dyDescent="0.25">
      <c r="A3121" s="258"/>
      <c r="B3121" s="258"/>
      <c r="C3121" s="261"/>
      <c r="D3121" s="258"/>
      <c r="E3121" s="679"/>
      <c r="F3121" s="499">
        <v>426</v>
      </c>
      <c r="G3121" s="492" t="s">
        <v>3787</v>
      </c>
      <c r="H3121" s="555"/>
      <c r="I3121" s="556"/>
      <c r="J3121" s="556">
        <f t="shared" si="108"/>
        <v>0</v>
      </c>
      <c r="K3121" s="505"/>
      <c r="L3121" s="505"/>
      <c r="M3121" s="505"/>
      <c r="N3121" s="505"/>
      <c r="O3121" s="505"/>
      <c r="P3121" s="505"/>
      <c r="Q3121" s="505"/>
      <c r="R3121" s="505"/>
      <c r="S3121" s="505"/>
      <c r="T3121" s="505"/>
      <c r="U3121" s="505"/>
      <c r="V3121" s="505"/>
      <c r="W3121" s="505"/>
      <c r="X3121" s="505"/>
      <c r="Y3121" s="505"/>
    </row>
    <row r="3122" spans="1:25" s="88" customFormat="1" hidden="1" x14ac:dyDescent="0.25">
      <c r="A3122" s="258"/>
      <c r="B3122" s="258"/>
      <c r="C3122" s="261"/>
      <c r="D3122" s="258"/>
      <c r="E3122" s="679"/>
      <c r="F3122" s="499">
        <v>431</v>
      </c>
      <c r="G3122" s="492" t="s">
        <v>4145</v>
      </c>
      <c r="H3122" s="555"/>
      <c r="I3122" s="556"/>
      <c r="J3122" s="556">
        <f t="shared" si="108"/>
        <v>0</v>
      </c>
      <c r="K3122" s="505"/>
      <c r="L3122" s="505"/>
      <c r="M3122" s="505"/>
      <c r="N3122" s="505"/>
      <c r="O3122" s="505"/>
      <c r="P3122" s="505"/>
      <c r="Q3122" s="505"/>
      <c r="R3122" s="505"/>
      <c r="S3122" s="505"/>
      <c r="T3122" s="505"/>
      <c r="U3122" s="505"/>
      <c r="V3122" s="505"/>
      <c r="W3122" s="505"/>
      <c r="X3122" s="505"/>
      <c r="Y3122" s="505"/>
    </row>
    <row r="3123" spans="1:25" s="88" customFormat="1" hidden="1" x14ac:dyDescent="0.25">
      <c r="A3123" s="258"/>
      <c r="B3123" s="258"/>
      <c r="C3123" s="261"/>
      <c r="D3123" s="258"/>
      <c r="E3123" s="679"/>
      <c r="F3123" s="499">
        <v>432</v>
      </c>
      <c r="G3123" s="492" t="s">
        <v>4146</v>
      </c>
      <c r="H3123" s="555"/>
      <c r="I3123" s="556"/>
      <c r="J3123" s="556">
        <f t="shared" si="108"/>
        <v>0</v>
      </c>
      <c r="K3123" s="505"/>
      <c r="L3123" s="505"/>
      <c r="M3123" s="505"/>
      <c r="N3123" s="505"/>
      <c r="O3123" s="505"/>
      <c r="P3123" s="505"/>
      <c r="Q3123" s="505"/>
      <c r="R3123" s="505"/>
      <c r="S3123" s="505"/>
      <c r="T3123" s="505"/>
      <c r="U3123" s="505"/>
      <c r="V3123" s="505"/>
      <c r="W3123" s="505"/>
      <c r="X3123" s="505"/>
      <c r="Y3123" s="505"/>
    </row>
    <row r="3124" spans="1:25" s="88" customFormat="1" hidden="1" x14ac:dyDescent="0.25">
      <c r="A3124" s="258"/>
      <c r="B3124" s="258"/>
      <c r="C3124" s="261"/>
      <c r="D3124" s="258"/>
      <c r="E3124" s="679"/>
      <c r="F3124" s="499">
        <v>433</v>
      </c>
      <c r="G3124" s="492" t="s">
        <v>4147</v>
      </c>
      <c r="H3124" s="555"/>
      <c r="I3124" s="556"/>
      <c r="J3124" s="556">
        <f t="shared" si="108"/>
        <v>0</v>
      </c>
      <c r="K3124" s="505"/>
      <c r="L3124" s="505"/>
      <c r="M3124" s="505"/>
      <c r="N3124" s="505"/>
      <c r="O3124" s="505"/>
      <c r="P3124" s="505"/>
      <c r="Q3124" s="505"/>
      <c r="R3124" s="505"/>
      <c r="S3124" s="505"/>
      <c r="T3124" s="505"/>
      <c r="U3124" s="505"/>
      <c r="V3124" s="505"/>
      <c r="W3124" s="505"/>
      <c r="X3124" s="505"/>
      <c r="Y3124" s="505"/>
    </row>
    <row r="3125" spans="1:25" s="88" customFormat="1" hidden="1" x14ac:dyDescent="0.25">
      <c r="A3125" s="258"/>
      <c r="B3125" s="258"/>
      <c r="C3125" s="261"/>
      <c r="D3125" s="258"/>
      <c r="E3125" s="679"/>
      <c r="F3125" s="499">
        <v>434</v>
      </c>
      <c r="G3125" s="492" t="s">
        <v>4148</v>
      </c>
      <c r="H3125" s="555"/>
      <c r="I3125" s="556"/>
      <c r="J3125" s="556">
        <f t="shared" si="108"/>
        <v>0</v>
      </c>
      <c r="K3125" s="505"/>
      <c r="L3125" s="505"/>
      <c r="M3125" s="505"/>
      <c r="N3125" s="505"/>
      <c r="O3125" s="505"/>
      <c r="P3125" s="505"/>
      <c r="Q3125" s="505"/>
      <c r="R3125" s="505"/>
      <c r="S3125" s="505"/>
      <c r="T3125" s="505"/>
      <c r="U3125" s="505"/>
      <c r="V3125" s="505"/>
      <c r="W3125" s="505"/>
      <c r="X3125" s="505"/>
      <c r="Y3125" s="505"/>
    </row>
    <row r="3126" spans="1:25" s="88" customFormat="1" hidden="1" x14ac:dyDescent="0.25">
      <c r="A3126" s="258"/>
      <c r="B3126" s="258"/>
      <c r="C3126" s="261"/>
      <c r="D3126" s="258"/>
      <c r="E3126" s="679"/>
      <c r="F3126" s="499">
        <v>435</v>
      </c>
      <c r="G3126" s="492" t="s">
        <v>3794</v>
      </c>
      <c r="H3126" s="555"/>
      <c r="I3126" s="556"/>
      <c r="J3126" s="556">
        <f t="shared" si="108"/>
        <v>0</v>
      </c>
      <c r="K3126" s="505"/>
      <c r="L3126" s="505"/>
      <c r="M3126" s="505"/>
      <c r="N3126" s="505"/>
      <c r="O3126" s="505"/>
      <c r="P3126" s="505"/>
      <c r="Q3126" s="505"/>
      <c r="R3126" s="505"/>
      <c r="S3126" s="505"/>
      <c r="T3126" s="505"/>
      <c r="U3126" s="505"/>
      <c r="V3126" s="505"/>
      <c r="W3126" s="505"/>
      <c r="X3126" s="505"/>
      <c r="Y3126" s="505"/>
    </row>
    <row r="3127" spans="1:25" s="88" customFormat="1" hidden="1" x14ac:dyDescent="0.25">
      <c r="A3127" s="258"/>
      <c r="B3127" s="258"/>
      <c r="C3127" s="261"/>
      <c r="D3127" s="258"/>
      <c r="E3127" s="679"/>
      <c r="F3127" s="499">
        <v>441</v>
      </c>
      <c r="G3127" s="492" t="s">
        <v>4149</v>
      </c>
      <c r="H3127" s="555"/>
      <c r="I3127" s="556"/>
      <c r="J3127" s="556">
        <f t="shared" si="108"/>
        <v>0</v>
      </c>
      <c r="K3127" s="505"/>
      <c r="L3127" s="505"/>
      <c r="M3127" s="505"/>
      <c r="N3127" s="505"/>
      <c r="O3127" s="505"/>
      <c r="P3127" s="505"/>
      <c r="Q3127" s="505"/>
      <c r="R3127" s="505"/>
      <c r="S3127" s="505"/>
      <c r="T3127" s="505"/>
      <c r="U3127" s="505"/>
      <c r="V3127" s="505"/>
      <c r="W3127" s="505"/>
      <c r="X3127" s="505"/>
      <c r="Y3127" s="505"/>
    </row>
    <row r="3128" spans="1:25" s="88" customFormat="1" hidden="1" x14ac:dyDescent="0.25">
      <c r="A3128" s="258"/>
      <c r="B3128" s="258"/>
      <c r="C3128" s="261"/>
      <c r="D3128" s="258"/>
      <c r="E3128" s="679"/>
      <c r="F3128" s="499">
        <v>442</v>
      </c>
      <c r="G3128" s="492" t="s">
        <v>4150</v>
      </c>
      <c r="H3128" s="555"/>
      <c r="I3128" s="556"/>
      <c r="J3128" s="556">
        <f t="shared" si="108"/>
        <v>0</v>
      </c>
      <c r="K3128" s="505"/>
      <c r="L3128" s="505"/>
      <c r="M3128" s="505"/>
      <c r="N3128" s="505"/>
      <c r="O3128" s="505"/>
      <c r="P3128" s="505"/>
      <c r="Q3128" s="505"/>
      <c r="R3128" s="505"/>
      <c r="S3128" s="505"/>
      <c r="T3128" s="505"/>
      <c r="U3128" s="505"/>
      <c r="V3128" s="505"/>
      <c r="W3128" s="505"/>
      <c r="X3128" s="505"/>
      <c r="Y3128" s="505"/>
    </row>
    <row r="3129" spans="1:25" s="88" customFormat="1" hidden="1" x14ac:dyDescent="0.25">
      <c r="A3129" s="258"/>
      <c r="B3129" s="258"/>
      <c r="C3129" s="261"/>
      <c r="D3129" s="258"/>
      <c r="E3129" s="679"/>
      <c r="F3129" s="499">
        <v>443</v>
      </c>
      <c r="G3129" s="492" t="s">
        <v>3799</v>
      </c>
      <c r="H3129" s="555"/>
      <c r="I3129" s="556"/>
      <c r="J3129" s="556">
        <f t="shared" si="108"/>
        <v>0</v>
      </c>
      <c r="K3129" s="505"/>
      <c r="L3129" s="505"/>
      <c r="M3129" s="505"/>
      <c r="N3129" s="505"/>
      <c r="O3129" s="505"/>
      <c r="P3129" s="505"/>
      <c r="Q3129" s="505"/>
      <c r="R3129" s="505"/>
      <c r="S3129" s="505"/>
      <c r="T3129" s="505"/>
      <c r="U3129" s="505"/>
      <c r="V3129" s="505"/>
      <c r="W3129" s="505"/>
      <c r="X3129" s="505"/>
      <c r="Y3129" s="505"/>
    </row>
    <row r="3130" spans="1:25" s="88" customFormat="1" hidden="1" x14ac:dyDescent="0.25">
      <c r="A3130" s="258"/>
      <c r="B3130" s="258"/>
      <c r="C3130" s="261"/>
      <c r="D3130" s="258"/>
      <c r="E3130" s="679"/>
      <c r="F3130" s="499">
        <v>444</v>
      </c>
      <c r="G3130" s="492" t="s">
        <v>3800</v>
      </c>
      <c r="H3130" s="555"/>
      <c r="I3130" s="556"/>
      <c r="J3130" s="556">
        <f t="shared" si="108"/>
        <v>0</v>
      </c>
      <c r="K3130" s="505"/>
      <c r="L3130" s="505"/>
      <c r="M3130" s="505"/>
      <c r="N3130" s="505"/>
      <c r="O3130" s="505"/>
      <c r="P3130" s="505"/>
      <c r="Q3130" s="505"/>
      <c r="R3130" s="505"/>
      <c r="S3130" s="505"/>
      <c r="T3130" s="505"/>
      <c r="U3130" s="505"/>
      <c r="V3130" s="505"/>
      <c r="W3130" s="505"/>
      <c r="X3130" s="505"/>
      <c r="Y3130" s="505"/>
    </row>
    <row r="3131" spans="1:25" s="88" customFormat="1" ht="30" hidden="1" x14ac:dyDescent="0.25">
      <c r="A3131" s="258"/>
      <c r="B3131" s="258"/>
      <c r="C3131" s="261"/>
      <c r="D3131" s="258"/>
      <c r="E3131" s="679"/>
      <c r="F3131" s="499">
        <v>4511</v>
      </c>
      <c r="G3131" s="771" t="s">
        <v>1690</v>
      </c>
      <c r="H3131" s="555"/>
      <c r="I3131" s="556"/>
      <c r="J3131" s="556">
        <f t="shared" si="108"/>
        <v>0</v>
      </c>
      <c r="K3131" s="505"/>
      <c r="L3131" s="505"/>
      <c r="M3131" s="505"/>
      <c r="N3131" s="505"/>
      <c r="O3131" s="505"/>
      <c r="P3131" s="505"/>
      <c r="Q3131" s="505"/>
      <c r="R3131" s="505"/>
      <c r="S3131" s="505"/>
      <c r="T3131" s="505"/>
      <c r="U3131" s="505"/>
      <c r="V3131" s="505"/>
      <c r="W3131" s="505"/>
      <c r="X3131" s="505"/>
      <c r="Y3131" s="505"/>
    </row>
    <row r="3132" spans="1:25" s="88" customFormat="1" ht="30" hidden="1" x14ac:dyDescent="0.25">
      <c r="A3132" s="258"/>
      <c r="B3132" s="258"/>
      <c r="C3132" s="261"/>
      <c r="D3132" s="258"/>
      <c r="E3132" s="679"/>
      <c r="F3132" s="499">
        <v>4512</v>
      </c>
      <c r="G3132" s="771" t="s">
        <v>1699</v>
      </c>
      <c r="H3132" s="555"/>
      <c r="I3132" s="556"/>
      <c r="J3132" s="556">
        <f t="shared" si="108"/>
        <v>0</v>
      </c>
      <c r="K3132" s="505"/>
      <c r="L3132" s="505"/>
      <c r="M3132" s="505"/>
      <c r="N3132" s="505"/>
      <c r="O3132" s="505"/>
      <c r="P3132" s="505"/>
      <c r="Q3132" s="505"/>
      <c r="R3132" s="505"/>
      <c r="S3132" s="505"/>
      <c r="T3132" s="505"/>
      <c r="U3132" s="505"/>
      <c r="V3132" s="505"/>
      <c r="W3132" s="505"/>
      <c r="X3132" s="505"/>
      <c r="Y3132" s="505"/>
    </row>
    <row r="3133" spans="1:25" s="88" customFormat="1" hidden="1" x14ac:dyDescent="0.25">
      <c r="A3133" s="258"/>
      <c r="B3133" s="258"/>
      <c r="C3133" s="261"/>
      <c r="D3133" s="258"/>
      <c r="E3133" s="679"/>
      <c r="F3133" s="499">
        <v>452</v>
      </c>
      <c r="G3133" s="492" t="s">
        <v>4151</v>
      </c>
      <c r="H3133" s="555"/>
      <c r="I3133" s="556"/>
      <c r="J3133" s="556">
        <f t="shared" si="108"/>
        <v>0</v>
      </c>
      <c r="K3133" s="505"/>
      <c r="L3133" s="505"/>
      <c r="M3133" s="505"/>
      <c r="N3133" s="505"/>
      <c r="O3133" s="505"/>
      <c r="P3133" s="505"/>
      <c r="Q3133" s="505"/>
      <c r="R3133" s="505"/>
      <c r="S3133" s="505"/>
      <c r="T3133" s="505"/>
      <c r="U3133" s="505"/>
      <c r="V3133" s="505"/>
      <c r="W3133" s="505"/>
      <c r="X3133" s="505"/>
      <c r="Y3133" s="505"/>
    </row>
    <row r="3134" spans="1:25" s="88" customFormat="1" hidden="1" x14ac:dyDescent="0.25">
      <c r="A3134" s="258"/>
      <c r="B3134" s="258"/>
      <c r="C3134" s="261"/>
      <c r="D3134" s="258"/>
      <c r="E3134" s="679"/>
      <c r="F3134" s="499">
        <v>453</v>
      </c>
      <c r="G3134" s="492" t="s">
        <v>4152</v>
      </c>
      <c r="H3134" s="555"/>
      <c r="I3134" s="556"/>
      <c r="J3134" s="556">
        <f t="shared" si="108"/>
        <v>0</v>
      </c>
      <c r="K3134" s="505"/>
      <c r="L3134" s="505"/>
      <c r="M3134" s="505"/>
      <c r="N3134" s="505"/>
      <c r="O3134" s="505"/>
      <c r="P3134" s="505"/>
      <c r="Q3134" s="505"/>
      <c r="R3134" s="505"/>
      <c r="S3134" s="505"/>
      <c r="T3134" s="505"/>
      <c r="U3134" s="505"/>
      <c r="V3134" s="505"/>
      <c r="W3134" s="505"/>
      <c r="X3134" s="505"/>
      <c r="Y3134" s="505"/>
    </row>
    <row r="3135" spans="1:25" s="88" customFormat="1" hidden="1" x14ac:dyDescent="0.25">
      <c r="A3135" s="258"/>
      <c r="B3135" s="258"/>
      <c r="C3135" s="261"/>
      <c r="D3135" s="258"/>
      <c r="E3135" s="679"/>
      <c r="F3135" s="499">
        <v>454</v>
      </c>
      <c r="G3135" s="492" t="s">
        <v>3805</v>
      </c>
      <c r="H3135" s="555"/>
      <c r="I3135" s="556"/>
      <c r="J3135" s="556">
        <f t="shared" si="108"/>
        <v>0</v>
      </c>
      <c r="K3135" s="505"/>
      <c r="L3135" s="505"/>
      <c r="M3135" s="505"/>
      <c r="N3135" s="505"/>
      <c r="O3135" s="505"/>
      <c r="P3135" s="505"/>
      <c r="Q3135" s="505"/>
      <c r="R3135" s="505"/>
      <c r="S3135" s="505"/>
      <c r="T3135" s="505"/>
      <c r="U3135" s="505"/>
      <c r="V3135" s="505"/>
      <c r="W3135" s="505"/>
      <c r="X3135" s="505"/>
      <c r="Y3135" s="505"/>
    </row>
    <row r="3136" spans="1:25" s="88" customFormat="1" hidden="1" x14ac:dyDescent="0.25">
      <c r="A3136" s="258"/>
      <c r="B3136" s="258"/>
      <c r="C3136" s="261"/>
      <c r="D3136" s="258"/>
      <c r="E3136" s="679"/>
      <c r="F3136" s="499">
        <v>461</v>
      </c>
      <c r="G3136" s="492" t="s">
        <v>4133</v>
      </c>
      <c r="H3136" s="555"/>
      <c r="I3136" s="556"/>
      <c r="J3136" s="556">
        <f t="shared" si="108"/>
        <v>0</v>
      </c>
      <c r="K3136" s="505"/>
      <c r="L3136" s="505"/>
      <c r="M3136" s="505"/>
      <c r="N3136" s="505"/>
      <c r="O3136" s="505"/>
      <c r="P3136" s="505"/>
      <c r="Q3136" s="505"/>
      <c r="R3136" s="505"/>
      <c r="S3136" s="505"/>
      <c r="T3136" s="505"/>
      <c r="U3136" s="505"/>
      <c r="V3136" s="505"/>
      <c r="W3136" s="505"/>
      <c r="X3136" s="505"/>
      <c r="Y3136" s="505"/>
    </row>
    <row r="3137" spans="1:25" s="88" customFormat="1" hidden="1" x14ac:dyDescent="0.25">
      <c r="A3137" s="258"/>
      <c r="B3137" s="258"/>
      <c r="C3137" s="261"/>
      <c r="D3137" s="258"/>
      <c r="E3137" s="679"/>
      <c r="F3137" s="499">
        <v>462</v>
      </c>
      <c r="G3137" s="492" t="s">
        <v>3808</v>
      </c>
      <c r="H3137" s="555"/>
      <c r="I3137" s="556"/>
      <c r="J3137" s="556">
        <f t="shared" si="108"/>
        <v>0</v>
      </c>
      <c r="K3137" s="505"/>
      <c r="L3137" s="505"/>
      <c r="M3137" s="505"/>
      <c r="N3137" s="505"/>
      <c r="O3137" s="505"/>
      <c r="P3137" s="505"/>
      <c r="Q3137" s="505"/>
      <c r="R3137" s="505"/>
      <c r="S3137" s="505"/>
      <c r="T3137" s="505"/>
      <c r="U3137" s="505"/>
      <c r="V3137" s="505"/>
      <c r="W3137" s="505"/>
      <c r="X3137" s="505"/>
      <c r="Y3137" s="505"/>
    </row>
    <row r="3138" spans="1:25" s="88" customFormat="1" hidden="1" x14ac:dyDescent="0.25">
      <c r="A3138" s="258"/>
      <c r="B3138" s="258"/>
      <c r="C3138" s="261"/>
      <c r="D3138" s="258"/>
      <c r="E3138" s="679"/>
      <c r="F3138" s="499">
        <v>4631</v>
      </c>
      <c r="G3138" s="492" t="s">
        <v>3809</v>
      </c>
      <c r="H3138" s="555"/>
      <c r="I3138" s="556"/>
      <c r="J3138" s="556">
        <f t="shared" si="108"/>
        <v>0</v>
      </c>
      <c r="K3138" s="505"/>
      <c r="L3138" s="505"/>
      <c r="M3138" s="505"/>
      <c r="N3138" s="505"/>
      <c r="O3138" s="505"/>
      <c r="P3138" s="505"/>
      <c r="Q3138" s="505"/>
      <c r="R3138" s="505"/>
      <c r="S3138" s="505"/>
      <c r="T3138" s="505"/>
      <c r="U3138" s="505"/>
      <c r="V3138" s="505"/>
      <c r="W3138" s="505"/>
      <c r="X3138" s="505"/>
      <c r="Y3138" s="505"/>
    </row>
    <row r="3139" spans="1:25" s="88" customFormat="1" hidden="1" x14ac:dyDescent="0.25">
      <c r="A3139" s="258"/>
      <c r="B3139" s="258"/>
      <c r="C3139" s="261"/>
      <c r="D3139" s="258"/>
      <c r="E3139" s="679"/>
      <c r="F3139" s="499">
        <v>4632</v>
      </c>
      <c r="G3139" s="492" t="s">
        <v>3810</v>
      </c>
      <c r="H3139" s="555"/>
      <c r="I3139" s="556"/>
      <c r="J3139" s="556">
        <f t="shared" si="108"/>
        <v>0</v>
      </c>
      <c r="K3139" s="505"/>
      <c r="L3139" s="505"/>
      <c r="M3139" s="505"/>
      <c r="N3139" s="505"/>
      <c r="O3139" s="505"/>
      <c r="P3139" s="505"/>
      <c r="Q3139" s="505"/>
      <c r="R3139" s="505"/>
      <c r="S3139" s="505"/>
      <c r="T3139" s="505"/>
      <c r="U3139" s="505"/>
      <c r="V3139" s="505"/>
      <c r="W3139" s="505"/>
      <c r="X3139" s="505"/>
      <c r="Y3139" s="505"/>
    </row>
    <row r="3140" spans="1:25" s="88" customFormat="1" hidden="1" x14ac:dyDescent="0.25">
      <c r="A3140" s="258"/>
      <c r="B3140" s="258"/>
      <c r="C3140" s="261"/>
      <c r="D3140" s="258"/>
      <c r="E3140" s="679"/>
      <c r="F3140" s="499">
        <v>464</v>
      </c>
      <c r="G3140" s="492" t="s">
        <v>3811</v>
      </c>
      <c r="H3140" s="555"/>
      <c r="I3140" s="556"/>
      <c r="J3140" s="556">
        <f t="shared" si="108"/>
        <v>0</v>
      </c>
      <c r="K3140" s="505"/>
      <c r="L3140" s="505"/>
      <c r="M3140" s="505"/>
      <c r="N3140" s="505"/>
      <c r="O3140" s="505"/>
      <c r="P3140" s="505"/>
      <c r="Q3140" s="505"/>
      <c r="R3140" s="505"/>
      <c r="S3140" s="505"/>
      <c r="T3140" s="505"/>
      <c r="U3140" s="505"/>
      <c r="V3140" s="505"/>
      <c r="W3140" s="505"/>
      <c r="X3140" s="505"/>
      <c r="Y3140" s="505"/>
    </row>
    <row r="3141" spans="1:25" s="88" customFormat="1" hidden="1" x14ac:dyDescent="0.25">
      <c r="A3141" s="258"/>
      <c r="B3141" s="258"/>
      <c r="C3141" s="261"/>
      <c r="D3141" s="258"/>
      <c r="E3141" s="679"/>
      <c r="F3141" s="499">
        <v>465</v>
      </c>
      <c r="G3141" s="492" t="s">
        <v>4134</v>
      </c>
      <c r="H3141" s="555"/>
      <c r="I3141" s="556"/>
      <c r="J3141" s="556">
        <f t="shared" si="108"/>
        <v>0</v>
      </c>
      <c r="K3141" s="505"/>
      <c r="L3141" s="505"/>
      <c r="M3141" s="505"/>
      <c r="N3141" s="505"/>
      <c r="O3141" s="505"/>
      <c r="P3141" s="505"/>
      <c r="Q3141" s="505"/>
      <c r="R3141" s="505"/>
      <c r="S3141" s="505"/>
      <c r="T3141" s="505"/>
      <c r="U3141" s="505"/>
      <c r="V3141" s="505"/>
      <c r="W3141" s="505"/>
      <c r="X3141" s="505"/>
      <c r="Y3141" s="505"/>
    </row>
    <row r="3142" spans="1:25" s="88" customFormat="1" hidden="1" x14ac:dyDescent="0.25">
      <c r="A3142" s="258"/>
      <c r="B3142" s="258"/>
      <c r="C3142" s="261"/>
      <c r="D3142" s="258"/>
      <c r="E3142" s="679"/>
      <c r="F3142" s="499">
        <v>472</v>
      </c>
      <c r="G3142" s="492" t="s">
        <v>3815</v>
      </c>
      <c r="H3142" s="555"/>
      <c r="I3142" s="556"/>
      <c r="J3142" s="556">
        <f t="shared" si="108"/>
        <v>0</v>
      </c>
      <c r="K3142" s="505"/>
      <c r="L3142" s="505"/>
      <c r="M3142" s="505"/>
      <c r="N3142" s="505"/>
      <c r="O3142" s="505"/>
      <c r="P3142" s="505"/>
      <c r="Q3142" s="505"/>
      <c r="R3142" s="505"/>
      <c r="S3142" s="505"/>
      <c r="T3142" s="505"/>
      <c r="U3142" s="505"/>
      <c r="V3142" s="505"/>
      <c r="W3142" s="505"/>
      <c r="X3142" s="505"/>
      <c r="Y3142" s="505"/>
    </row>
    <row r="3143" spans="1:25" s="88" customFormat="1" hidden="1" x14ac:dyDescent="0.25">
      <c r="A3143" s="258"/>
      <c r="B3143" s="258"/>
      <c r="C3143" s="261"/>
      <c r="D3143" s="258"/>
      <c r="E3143" s="679"/>
      <c r="F3143" s="499">
        <v>481</v>
      </c>
      <c r="G3143" s="492" t="s">
        <v>4153</v>
      </c>
      <c r="H3143" s="555"/>
      <c r="I3143" s="556"/>
      <c r="J3143" s="556">
        <f t="shared" si="108"/>
        <v>0</v>
      </c>
      <c r="K3143" s="505"/>
      <c r="L3143" s="505"/>
      <c r="M3143" s="505"/>
      <c r="N3143" s="505"/>
      <c r="O3143" s="505"/>
      <c r="P3143" s="505"/>
      <c r="Q3143" s="505"/>
      <c r="R3143" s="505"/>
      <c r="S3143" s="505"/>
      <c r="T3143" s="505"/>
      <c r="U3143" s="505"/>
      <c r="V3143" s="505"/>
      <c r="W3143" s="505"/>
      <c r="X3143" s="505"/>
      <c r="Y3143" s="505"/>
    </row>
    <row r="3144" spans="1:25" s="88" customFormat="1" hidden="1" x14ac:dyDescent="0.25">
      <c r="A3144" s="258"/>
      <c r="B3144" s="258"/>
      <c r="C3144" s="261"/>
      <c r="D3144" s="258"/>
      <c r="E3144" s="679"/>
      <c r="F3144" s="499">
        <v>482</v>
      </c>
      <c r="G3144" s="492" t="s">
        <v>4154</v>
      </c>
      <c r="H3144" s="555"/>
      <c r="I3144" s="556"/>
      <c r="J3144" s="556">
        <f t="shared" si="108"/>
        <v>0</v>
      </c>
      <c r="K3144" s="505"/>
      <c r="L3144" s="505"/>
      <c r="M3144" s="505"/>
      <c r="N3144" s="505"/>
      <c r="O3144" s="505"/>
      <c r="P3144" s="505"/>
      <c r="Q3144" s="505"/>
      <c r="R3144" s="505"/>
      <c r="S3144" s="505"/>
      <c r="T3144" s="505"/>
      <c r="U3144" s="505"/>
      <c r="V3144" s="505"/>
      <c r="W3144" s="505"/>
      <c r="X3144" s="505"/>
      <c r="Y3144" s="505"/>
    </row>
    <row r="3145" spans="1:25" s="88" customFormat="1" hidden="1" x14ac:dyDescent="0.25">
      <c r="A3145" s="258"/>
      <c r="B3145" s="258"/>
      <c r="C3145" s="261"/>
      <c r="D3145" s="258"/>
      <c r="E3145" s="679"/>
      <c r="F3145" s="499">
        <v>483</v>
      </c>
      <c r="G3145" s="496" t="s">
        <v>4155</v>
      </c>
      <c r="H3145" s="555"/>
      <c r="I3145" s="556"/>
      <c r="J3145" s="556">
        <f t="shared" si="108"/>
        <v>0</v>
      </c>
      <c r="K3145" s="505"/>
      <c r="L3145" s="505"/>
      <c r="M3145" s="505"/>
      <c r="N3145" s="505"/>
      <c r="O3145" s="505"/>
      <c r="P3145" s="505"/>
      <c r="Q3145" s="505"/>
      <c r="R3145" s="505"/>
      <c r="S3145" s="505"/>
      <c r="T3145" s="505"/>
      <c r="U3145" s="505"/>
      <c r="V3145" s="505"/>
      <c r="W3145" s="505"/>
      <c r="X3145" s="505"/>
      <c r="Y3145" s="505"/>
    </row>
    <row r="3146" spans="1:25" s="88" customFormat="1" ht="14.25" hidden="1" customHeight="1" x14ac:dyDescent="0.25">
      <c r="A3146" s="258"/>
      <c r="B3146" s="258"/>
      <c r="C3146" s="261"/>
      <c r="D3146" s="258"/>
      <c r="E3146" s="679"/>
      <c r="F3146" s="499">
        <v>484</v>
      </c>
      <c r="G3146" s="492" t="s">
        <v>4156</v>
      </c>
      <c r="H3146" s="555"/>
      <c r="I3146" s="556"/>
      <c r="J3146" s="556">
        <f t="shared" si="108"/>
        <v>0</v>
      </c>
      <c r="K3146" s="505"/>
      <c r="L3146" s="505"/>
      <c r="M3146" s="505"/>
      <c r="N3146" s="505"/>
      <c r="O3146" s="505"/>
      <c r="P3146" s="505"/>
      <c r="Q3146" s="505"/>
      <c r="R3146" s="505"/>
      <c r="S3146" s="505"/>
      <c r="T3146" s="505"/>
      <c r="U3146" s="505"/>
      <c r="V3146" s="505"/>
      <c r="W3146" s="505"/>
      <c r="X3146" s="505"/>
      <c r="Y3146" s="505"/>
    </row>
    <row r="3147" spans="1:25" s="88" customFormat="1" ht="31.5" customHeight="1" thickBot="1" x14ac:dyDescent="0.3">
      <c r="A3147" s="258"/>
      <c r="B3147" s="258"/>
      <c r="C3147" s="261"/>
      <c r="D3147" s="258"/>
      <c r="E3147" s="679">
        <v>106</v>
      </c>
      <c r="F3147" s="499">
        <v>485</v>
      </c>
      <c r="G3147" s="492" t="s">
        <v>4157</v>
      </c>
      <c r="H3147" s="555">
        <v>500000</v>
      </c>
      <c r="I3147" s="556"/>
      <c r="J3147" s="556">
        <f t="shared" si="108"/>
        <v>500000</v>
      </c>
      <c r="K3147" s="505"/>
      <c r="L3147" s="505"/>
      <c r="M3147" s="505"/>
      <c r="N3147" s="505"/>
      <c r="O3147" s="505"/>
      <c r="P3147" s="505"/>
      <c r="Q3147" s="505"/>
      <c r="R3147" s="505"/>
      <c r="S3147" s="505"/>
      <c r="T3147" s="505"/>
      <c r="U3147" s="505"/>
      <c r="V3147" s="505"/>
      <c r="W3147" s="505"/>
      <c r="X3147" s="505"/>
      <c r="Y3147" s="505"/>
    </row>
    <row r="3148" spans="1:25" s="88" customFormat="1" ht="12.75" hidden="1" customHeight="1" x14ac:dyDescent="0.25">
      <c r="A3148" s="258"/>
      <c r="B3148" s="258"/>
      <c r="C3148" s="261"/>
      <c r="D3148" s="258"/>
      <c r="E3148" s="679"/>
      <c r="F3148" s="499">
        <v>489</v>
      </c>
      <c r="G3148" s="492" t="s">
        <v>3823</v>
      </c>
      <c r="H3148" s="555"/>
      <c r="I3148" s="556"/>
      <c r="J3148" s="556">
        <f t="shared" si="108"/>
        <v>0</v>
      </c>
      <c r="K3148" s="505"/>
      <c r="L3148" s="505"/>
      <c r="M3148" s="505"/>
      <c r="N3148" s="505"/>
      <c r="O3148" s="505"/>
      <c r="P3148" s="505"/>
      <c r="Q3148" s="505"/>
      <c r="R3148" s="505"/>
      <c r="S3148" s="505"/>
      <c r="T3148" s="505"/>
      <c r="U3148" s="505"/>
      <c r="V3148" s="505"/>
      <c r="W3148" s="505"/>
      <c r="X3148" s="505"/>
      <c r="Y3148" s="505"/>
    </row>
    <row r="3149" spans="1:25" s="88" customFormat="1" hidden="1" x14ac:dyDescent="0.25">
      <c r="A3149" s="258"/>
      <c r="B3149" s="258"/>
      <c r="C3149" s="261"/>
      <c r="D3149" s="258"/>
      <c r="E3149" s="679"/>
      <c r="F3149" s="499">
        <v>494</v>
      </c>
      <c r="G3149" s="492" t="s">
        <v>4135</v>
      </c>
      <c r="H3149" s="555"/>
      <c r="I3149" s="556"/>
      <c r="J3149" s="556">
        <f t="shared" si="108"/>
        <v>0</v>
      </c>
      <c r="K3149" s="505"/>
      <c r="L3149" s="505"/>
      <c r="M3149" s="505"/>
      <c r="N3149" s="505"/>
      <c r="O3149" s="505"/>
      <c r="P3149" s="505"/>
      <c r="Q3149" s="505"/>
      <c r="R3149" s="505"/>
      <c r="S3149" s="505"/>
      <c r="T3149" s="505"/>
      <c r="U3149" s="505"/>
      <c r="V3149" s="505"/>
      <c r="W3149" s="505"/>
      <c r="X3149" s="505"/>
      <c r="Y3149" s="505"/>
    </row>
    <row r="3150" spans="1:25" s="88" customFormat="1" ht="30" hidden="1" x14ac:dyDescent="0.25">
      <c r="A3150" s="258"/>
      <c r="B3150" s="258"/>
      <c r="C3150" s="261"/>
      <c r="D3150" s="258"/>
      <c r="E3150" s="679"/>
      <c r="F3150" s="499">
        <v>495</v>
      </c>
      <c r="G3150" s="492" t="s">
        <v>4136</v>
      </c>
      <c r="H3150" s="555"/>
      <c r="I3150" s="556"/>
      <c r="J3150" s="556">
        <f t="shared" si="108"/>
        <v>0</v>
      </c>
      <c r="K3150" s="505"/>
      <c r="L3150" s="505"/>
      <c r="M3150" s="505"/>
      <c r="N3150" s="505"/>
      <c r="O3150" s="505"/>
      <c r="P3150" s="505"/>
      <c r="Q3150" s="505"/>
      <c r="R3150" s="505"/>
      <c r="S3150" s="505"/>
      <c r="T3150" s="505"/>
      <c r="U3150" s="505"/>
      <c r="V3150" s="505"/>
      <c r="W3150" s="505"/>
      <c r="X3150" s="505"/>
      <c r="Y3150" s="505"/>
    </row>
    <row r="3151" spans="1:25" s="88" customFormat="1" ht="30" hidden="1" x14ac:dyDescent="0.25">
      <c r="A3151" s="258"/>
      <c r="B3151" s="258"/>
      <c r="C3151" s="261"/>
      <c r="D3151" s="258"/>
      <c r="E3151" s="679"/>
      <c r="F3151" s="499">
        <v>496</v>
      </c>
      <c r="G3151" s="492" t="s">
        <v>4137</v>
      </c>
      <c r="H3151" s="555"/>
      <c r="I3151" s="556"/>
      <c r="J3151" s="556">
        <f t="shared" si="108"/>
        <v>0</v>
      </c>
      <c r="K3151" s="505"/>
      <c r="L3151" s="505"/>
      <c r="M3151" s="505"/>
      <c r="N3151" s="505"/>
      <c r="O3151" s="505"/>
      <c r="P3151" s="505"/>
      <c r="Q3151" s="505"/>
      <c r="R3151" s="505"/>
      <c r="S3151" s="505"/>
      <c r="T3151" s="505"/>
      <c r="U3151" s="505"/>
      <c r="V3151" s="505"/>
      <c r="W3151" s="505"/>
      <c r="X3151" s="505"/>
      <c r="Y3151" s="505"/>
    </row>
    <row r="3152" spans="1:25" s="88" customFormat="1" ht="30" hidden="1" x14ac:dyDescent="0.25">
      <c r="A3152" s="258"/>
      <c r="B3152" s="258"/>
      <c r="C3152" s="261"/>
      <c r="D3152" s="258"/>
      <c r="E3152" s="679"/>
      <c r="F3152" s="499">
        <v>499</v>
      </c>
      <c r="G3152" s="492" t="s">
        <v>4138</v>
      </c>
      <c r="H3152" s="555"/>
      <c r="I3152" s="556"/>
      <c r="J3152" s="556">
        <f t="shared" si="108"/>
        <v>0</v>
      </c>
      <c r="K3152" s="505"/>
      <c r="L3152" s="505"/>
      <c r="M3152" s="505"/>
      <c r="N3152" s="505"/>
      <c r="O3152" s="505"/>
      <c r="P3152" s="505"/>
      <c r="Q3152" s="505"/>
      <c r="R3152" s="505"/>
      <c r="S3152" s="505"/>
      <c r="T3152" s="505"/>
      <c r="U3152" s="505"/>
      <c r="V3152" s="505"/>
      <c r="W3152" s="505"/>
      <c r="X3152" s="505"/>
      <c r="Y3152" s="505"/>
    </row>
    <row r="3153" spans="1:25" s="88" customFormat="1" hidden="1" x14ac:dyDescent="0.25">
      <c r="A3153" s="258"/>
      <c r="B3153" s="258"/>
      <c r="C3153" s="261"/>
      <c r="D3153" s="258"/>
      <c r="E3153" s="679"/>
      <c r="F3153" s="499">
        <v>511</v>
      </c>
      <c r="G3153" s="496" t="s">
        <v>4158</v>
      </c>
      <c r="H3153" s="555"/>
      <c r="I3153" s="556"/>
      <c r="J3153" s="556">
        <f t="shared" si="108"/>
        <v>0</v>
      </c>
      <c r="K3153" s="505"/>
      <c r="L3153" s="505"/>
      <c r="M3153" s="505"/>
      <c r="N3153" s="505"/>
      <c r="O3153" s="505"/>
      <c r="P3153" s="505"/>
      <c r="Q3153" s="505"/>
      <c r="R3153" s="505"/>
      <c r="S3153" s="505"/>
      <c r="T3153" s="505"/>
      <c r="U3153" s="505"/>
      <c r="V3153" s="505"/>
      <c r="W3153" s="505"/>
      <c r="X3153" s="505"/>
      <c r="Y3153" s="505"/>
    </row>
    <row r="3154" spans="1:25" s="88" customFormat="1" hidden="1" x14ac:dyDescent="0.25">
      <c r="A3154" s="258"/>
      <c r="B3154" s="258"/>
      <c r="C3154" s="261"/>
      <c r="D3154" s="258"/>
      <c r="E3154" s="679"/>
      <c r="F3154" s="499">
        <v>512</v>
      </c>
      <c r="G3154" s="496" t="s">
        <v>4159</v>
      </c>
      <c r="H3154" s="555"/>
      <c r="I3154" s="556"/>
      <c r="J3154" s="556">
        <f t="shared" si="108"/>
        <v>0</v>
      </c>
      <c r="K3154" s="505"/>
      <c r="L3154" s="505"/>
      <c r="M3154" s="505"/>
      <c r="N3154" s="505"/>
      <c r="O3154" s="505"/>
      <c r="P3154" s="505"/>
      <c r="Q3154" s="505"/>
      <c r="R3154" s="505"/>
      <c r="S3154" s="505"/>
      <c r="T3154" s="505"/>
      <c r="U3154" s="505"/>
      <c r="V3154" s="505"/>
      <c r="W3154" s="505"/>
      <c r="X3154" s="505"/>
      <c r="Y3154" s="505"/>
    </row>
    <row r="3155" spans="1:25" s="88" customFormat="1" hidden="1" x14ac:dyDescent="0.25">
      <c r="A3155" s="258"/>
      <c r="B3155" s="258"/>
      <c r="C3155" s="261"/>
      <c r="D3155" s="258"/>
      <c r="E3155" s="679"/>
      <c r="F3155" s="499">
        <v>513</v>
      </c>
      <c r="G3155" s="496" t="s">
        <v>4160</v>
      </c>
      <c r="H3155" s="555"/>
      <c r="I3155" s="556"/>
      <c r="J3155" s="556">
        <f t="shared" si="108"/>
        <v>0</v>
      </c>
      <c r="K3155" s="505"/>
      <c r="L3155" s="505"/>
      <c r="M3155" s="505"/>
      <c r="N3155" s="505"/>
      <c r="O3155" s="505"/>
      <c r="P3155" s="505"/>
      <c r="Q3155" s="505"/>
      <c r="R3155" s="505"/>
      <c r="S3155" s="505"/>
      <c r="T3155" s="505"/>
      <c r="U3155" s="505"/>
      <c r="V3155" s="505"/>
      <c r="W3155" s="505"/>
      <c r="X3155" s="505"/>
      <c r="Y3155" s="505"/>
    </row>
    <row r="3156" spans="1:25" s="88" customFormat="1" hidden="1" x14ac:dyDescent="0.25">
      <c r="A3156" s="258"/>
      <c r="B3156" s="258"/>
      <c r="C3156" s="261"/>
      <c r="D3156" s="258"/>
      <c r="E3156" s="679"/>
      <c r="F3156" s="499">
        <v>514</v>
      </c>
      <c r="G3156" s="492" t="s">
        <v>4161</v>
      </c>
      <c r="H3156" s="555"/>
      <c r="I3156" s="556"/>
      <c r="J3156" s="556">
        <f t="shared" si="108"/>
        <v>0</v>
      </c>
      <c r="K3156" s="505"/>
      <c r="L3156" s="505"/>
      <c r="M3156" s="505"/>
      <c r="N3156" s="505"/>
      <c r="O3156" s="505"/>
      <c r="P3156" s="505"/>
      <c r="Q3156" s="505"/>
      <c r="R3156" s="505"/>
      <c r="S3156" s="505"/>
      <c r="T3156" s="505"/>
      <c r="U3156" s="505"/>
      <c r="V3156" s="505"/>
      <c r="W3156" s="505"/>
      <c r="X3156" s="505"/>
      <c r="Y3156" s="505"/>
    </row>
    <row r="3157" spans="1:25" s="88" customFormat="1" hidden="1" x14ac:dyDescent="0.25">
      <c r="A3157" s="258"/>
      <c r="B3157" s="258"/>
      <c r="C3157" s="261"/>
      <c r="D3157" s="258"/>
      <c r="E3157" s="679"/>
      <c r="F3157" s="499">
        <v>515</v>
      </c>
      <c r="G3157" s="492" t="s">
        <v>3834</v>
      </c>
      <c r="H3157" s="555"/>
      <c r="I3157" s="556"/>
      <c r="J3157" s="556">
        <f t="shared" si="108"/>
        <v>0</v>
      </c>
      <c r="K3157" s="505"/>
      <c r="L3157" s="505"/>
      <c r="M3157" s="505"/>
      <c r="N3157" s="505"/>
      <c r="O3157" s="505"/>
      <c r="P3157" s="505"/>
      <c r="Q3157" s="505"/>
      <c r="R3157" s="505"/>
      <c r="S3157" s="505"/>
      <c r="T3157" s="505"/>
      <c r="U3157" s="505"/>
      <c r="V3157" s="505"/>
      <c r="W3157" s="505"/>
      <c r="X3157" s="505"/>
      <c r="Y3157" s="505"/>
    </row>
    <row r="3158" spans="1:25" s="88" customFormat="1" hidden="1" x14ac:dyDescent="0.25">
      <c r="A3158" s="258"/>
      <c r="B3158" s="258"/>
      <c r="C3158" s="261"/>
      <c r="D3158" s="258"/>
      <c r="E3158" s="679"/>
      <c r="F3158" s="499">
        <v>521</v>
      </c>
      <c r="G3158" s="492" t="s">
        <v>4162</v>
      </c>
      <c r="H3158" s="555"/>
      <c r="I3158" s="556"/>
      <c r="J3158" s="556">
        <f t="shared" si="108"/>
        <v>0</v>
      </c>
      <c r="K3158" s="505"/>
      <c r="L3158" s="505"/>
      <c r="M3158" s="505"/>
      <c r="N3158" s="505"/>
      <c r="O3158" s="505"/>
      <c r="P3158" s="505"/>
      <c r="Q3158" s="505"/>
      <c r="R3158" s="505"/>
      <c r="S3158" s="505"/>
      <c r="T3158" s="505"/>
      <c r="U3158" s="505"/>
      <c r="V3158" s="505"/>
      <c r="W3158" s="505"/>
      <c r="X3158" s="505"/>
      <c r="Y3158" s="505"/>
    </row>
    <row r="3159" spans="1:25" s="88" customFormat="1" hidden="1" x14ac:dyDescent="0.25">
      <c r="A3159" s="258"/>
      <c r="B3159" s="258"/>
      <c r="C3159" s="261"/>
      <c r="D3159" s="258"/>
      <c r="E3159" s="679"/>
      <c r="F3159" s="499">
        <v>522</v>
      </c>
      <c r="G3159" s="492" t="s">
        <v>4163</v>
      </c>
      <c r="H3159" s="555"/>
      <c r="I3159" s="556"/>
      <c r="J3159" s="556">
        <f t="shared" si="108"/>
        <v>0</v>
      </c>
      <c r="K3159" s="505"/>
      <c r="L3159" s="505"/>
      <c r="M3159" s="505"/>
      <c r="N3159" s="505"/>
      <c r="O3159" s="505"/>
      <c r="P3159" s="505"/>
      <c r="Q3159" s="505"/>
      <c r="R3159" s="505"/>
      <c r="S3159" s="505"/>
      <c r="T3159" s="505"/>
      <c r="U3159" s="505"/>
      <c r="V3159" s="505"/>
      <c r="W3159" s="505"/>
      <c r="X3159" s="505"/>
      <c r="Y3159" s="505"/>
    </row>
    <row r="3160" spans="1:25" s="88" customFormat="1" hidden="1" x14ac:dyDescent="0.25">
      <c r="A3160" s="258"/>
      <c r="B3160" s="258"/>
      <c r="C3160" s="261"/>
      <c r="D3160" s="258"/>
      <c r="E3160" s="679"/>
      <c r="F3160" s="499">
        <v>523</v>
      </c>
      <c r="G3160" s="492" t="s">
        <v>3839</v>
      </c>
      <c r="H3160" s="555"/>
      <c r="I3160" s="556"/>
      <c r="J3160" s="556">
        <f t="shared" si="108"/>
        <v>0</v>
      </c>
      <c r="K3160" s="505"/>
      <c r="L3160" s="505"/>
      <c r="M3160" s="505"/>
      <c r="N3160" s="505"/>
      <c r="O3160" s="505"/>
      <c r="P3160" s="505"/>
      <c r="Q3160" s="505"/>
      <c r="R3160" s="505"/>
      <c r="S3160" s="505"/>
      <c r="T3160" s="505"/>
      <c r="U3160" s="505"/>
      <c r="V3160" s="505"/>
      <c r="W3160" s="505"/>
      <c r="X3160" s="505"/>
      <c r="Y3160" s="505"/>
    </row>
    <row r="3161" spans="1:25" s="88" customFormat="1" hidden="1" x14ac:dyDescent="0.25">
      <c r="A3161" s="258"/>
      <c r="B3161" s="258"/>
      <c r="C3161" s="261"/>
      <c r="D3161" s="258"/>
      <c r="E3161" s="679"/>
      <c r="F3161" s="499">
        <v>531</v>
      </c>
      <c r="G3161" s="488" t="s">
        <v>4139</v>
      </c>
      <c r="H3161" s="555"/>
      <c r="I3161" s="556"/>
      <c r="J3161" s="556">
        <f t="shared" si="108"/>
        <v>0</v>
      </c>
      <c r="K3161" s="505"/>
      <c r="L3161" s="505"/>
      <c r="M3161" s="505"/>
      <c r="N3161" s="505"/>
      <c r="O3161" s="505"/>
      <c r="P3161" s="505"/>
      <c r="Q3161" s="505"/>
      <c r="R3161" s="505"/>
      <c r="S3161" s="505"/>
      <c r="T3161" s="505"/>
      <c r="U3161" s="505"/>
      <c r="V3161" s="505"/>
      <c r="W3161" s="505"/>
      <c r="X3161" s="505"/>
      <c r="Y3161" s="505"/>
    </row>
    <row r="3162" spans="1:25" s="88" customFormat="1" hidden="1" x14ac:dyDescent="0.25">
      <c r="A3162" s="258"/>
      <c r="B3162" s="258"/>
      <c r="C3162" s="261"/>
      <c r="D3162" s="258"/>
      <c r="E3162" s="679"/>
      <c r="F3162" s="499">
        <v>541</v>
      </c>
      <c r="G3162" s="492" t="s">
        <v>4164</v>
      </c>
      <c r="H3162" s="555"/>
      <c r="I3162" s="556"/>
      <c r="J3162" s="556">
        <f t="shared" si="108"/>
        <v>0</v>
      </c>
      <c r="K3162" s="505"/>
      <c r="L3162" s="505"/>
      <c r="M3162" s="505"/>
      <c r="N3162" s="505"/>
      <c r="O3162" s="505"/>
      <c r="P3162" s="505"/>
      <c r="Q3162" s="505"/>
      <c r="R3162" s="505"/>
      <c r="S3162" s="505"/>
      <c r="T3162" s="505"/>
      <c r="U3162" s="505"/>
      <c r="V3162" s="505"/>
      <c r="W3162" s="505"/>
      <c r="X3162" s="505"/>
      <c r="Y3162" s="505"/>
    </row>
    <row r="3163" spans="1:25" s="88" customFormat="1" hidden="1" x14ac:dyDescent="0.25">
      <c r="A3163" s="258"/>
      <c r="B3163" s="258"/>
      <c r="C3163" s="261"/>
      <c r="D3163" s="258"/>
      <c r="E3163" s="679"/>
      <c r="F3163" s="499">
        <v>542</v>
      </c>
      <c r="G3163" s="492" t="s">
        <v>4165</v>
      </c>
      <c r="H3163" s="555"/>
      <c r="I3163" s="556"/>
      <c r="J3163" s="556">
        <f t="shared" si="108"/>
        <v>0</v>
      </c>
      <c r="K3163" s="505"/>
      <c r="L3163" s="505"/>
      <c r="M3163" s="505"/>
      <c r="N3163" s="505"/>
      <c r="O3163" s="505"/>
      <c r="P3163" s="505"/>
      <c r="Q3163" s="505"/>
      <c r="R3163" s="505"/>
      <c r="S3163" s="505"/>
      <c r="T3163" s="505"/>
      <c r="U3163" s="505"/>
      <c r="V3163" s="505"/>
      <c r="W3163" s="505"/>
      <c r="X3163" s="505"/>
      <c r="Y3163" s="505"/>
    </row>
    <row r="3164" spans="1:25" s="88" customFormat="1" hidden="1" x14ac:dyDescent="0.25">
      <c r="A3164" s="258"/>
      <c r="B3164" s="258"/>
      <c r="C3164" s="261"/>
      <c r="D3164" s="258"/>
      <c r="E3164" s="679"/>
      <c r="F3164" s="499">
        <v>543</v>
      </c>
      <c r="G3164" s="492" t="s">
        <v>3844</v>
      </c>
      <c r="H3164" s="555"/>
      <c r="I3164" s="556"/>
      <c r="J3164" s="556">
        <f t="shared" si="108"/>
        <v>0</v>
      </c>
      <c r="K3164" s="505"/>
      <c r="L3164" s="505"/>
      <c r="M3164" s="505"/>
      <c r="N3164" s="505"/>
      <c r="O3164" s="505"/>
      <c r="P3164" s="505"/>
      <c r="Q3164" s="505"/>
      <c r="R3164" s="505"/>
      <c r="S3164" s="505"/>
      <c r="T3164" s="505"/>
      <c r="U3164" s="505"/>
      <c r="V3164" s="505"/>
      <c r="W3164" s="505"/>
      <c r="X3164" s="505"/>
      <c r="Y3164" s="505"/>
    </row>
    <row r="3165" spans="1:25" s="88" customFormat="1" ht="30" hidden="1" x14ac:dyDescent="0.25">
      <c r="A3165" s="258"/>
      <c r="B3165" s="258"/>
      <c r="C3165" s="261"/>
      <c r="D3165" s="258"/>
      <c r="E3165" s="679"/>
      <c r="F3165" s="499">
        <v>551</v>
      </c>
      <c r="G3165" s="492" t="s">
        <v>4140</v>
      </c>
      <c r="H3165" s="555"/>
      <c r="I3165" s="556"/>
      <c r="J3165" s="556">
        <f t="shared" si="108"/>
        <v>0</v>
      </c>
      <c r="K3165" s="505"/>
      <c r="L3165" s="505"/>
      <c r="M3165" s="505"/>
      <c r="N3165" s="505"/>
      <c r="O3165" s="505"/>
      <c r="P3165" s="505"/>
      <c r="Q3165" s="505"/>
      <c r="R3165" s="505"/>
      <c r="S3165" s="505"/>
      <c r="T3165" s="505"/>
      <c r="U3165" s="505"/>
      <c r="V3165" s="505"/>
      <c r="W3165" s="505"/>
      <c r="X3165" s="505"/>
      <c r="Y3165" s="505"/>
    </row>
    <row r="3166" spans="1:25" s="88" customFormat="1" hidden="1" x14ac:dyDescent="0.25">
      <c r="A3166" s="258"/>
      <c r="B3166" s="258"/>
      <c r="C3166" s="261"/>
      <c r="D3166" s="258"/>
      <c r="E3166" s="679"/>
      <c r="F3166" s="500">
        <v>611</v>
      </c>
      <c r="G3166" s="498" t="s">
        <v>3850</v>
      </c>
      <c r="H3166" s="555"/>
      <c r="I3166" s="556"/>
      <c r="J3166" s="556">
        <f t="shared" si="108"/>
        <v>0</v>
      </c>
      <c r="K3166" s="505"/>
      <c r="L3166" s="505"/>
      <c r="M3166" s="505"/>
      <c r="N3166" s="505"/>
      <c r="O3166" s="505"/>
      <c r="P3166" s="505"/>
      <c r="Q3166" s="505"/>
      <c r="R3166" s="505"/>
      <c r="S3166" s="505"/>
      <c r="T3166" s="505"/>
      <c r="U3166" s="505"/>
      <c r="V3166" s="505"/>
      <c r="W3166" s="505"/>
      <c r="X3166" s="505"/>
      <c r="Y3166" s="505"/>
    </row>
    <row r="3167" spans="1:25" s="88" customFormat="1" ht="15.75" hidden="1" thickBot="1" x14ac:dyDescent="0.3">
      <c r="A3167" s="258"/>
      <c r="B3167" s="258"/>
      <c r="C3167" s="261"/>
      <c r="D3167" s="258"/>
      <c r="E3167" s="679"/>
      <c r="F3167" s="500">
        <v>620</v>
      </c>
      <c r="G3167" s="498" t="s">
        <v>88</v>
      </c>
      <c r="H3167" s="555"/>
      <c r="I3167" s="556"/>
      <c r="J3167" s="556">
        <f t="shared" si="108"/>
        <v>0</v>
      </c>
      <c r="K3167" s="505"/>
      <c r="L3167" s="505"/>
      <c r="M3167" s="505"/>
      <c r="N3167" s="505"/>
      <c r="O3167" s="505"/>
      <c r="P3167" s="505"/>
      <c r="Q3167" s="505"/>
      <c r="R3167" s="505"/>
      <c r="S3167" s="505"/>
      <c r="T3167" s="505"/>
      <c r="U3167" s="505"/>
      <c r="V3167" s="505"/>
      <c r="W3167" s="505"/>
      <c r="X3167" s="505"/>
      <c r="Y3167" s="505"/>
    </row>
    <row r="3168" spans="1:25" s="88" customFormat="1" x14ac:dyDescent="0.25">
      <c r="A3168" s="258"/>
      <c r="B3168" s="258"/>
      <c r="C3168" s="261"/>
      <c r="D3168" s="258"/>
      <c r="E3168" s="489"/>
      <c r="F3168" s="500"/>
      <c r="G3168" s="343" t="s">
        <v>4337</v>
      </c>
      <c r="H3168" s="557"/>
      <c r="I3168" s="583"/>
      <c r="J3168" s="558"/>
      <c r="K3168" s="505"/>
      <c r="L3168" s="505"/>
      <c r="M3168" s="505"/>
      <c r="N3168" s="505"/>
      <c r="O3168" s="505"/>
      <c r="P3168" s="505"/>
      <c r="Q3168" s="505"/>
      <c r="R3168" s="505"/>
      <c r="S3168" s="505"/>
      <c r="T3168" s="505"/>
      <c r="U3168" s="505"/>
      <c r="V3168" s="505"/>
      <c r="W3168" s="505"/>
      <c r="X3168" s="505"/>
      <c r="Y3168" s="505"/>
    </row>
    <row r="3169" spans="1:25" s="88" customFormat="1" ht="15" customHeight="1" thickBot="1" x14ac:dyDescent="0.3">
      <c r="A3169" s="258"/>
      <c r="B3169" s="258"/>
      <c r="C3169" s="261"/>
      <c r="D3169" s="258"/>
      <c r="E3169" s="693"/>
      <c r="F3169" s="597" t="s">
        <v>234</v>
      </c>
      <c r="G3169" s="598" t="s">
        <v>235</v>
      </c>
      <c r="H3169" s="559">
        <f>SUM(H3108:H3167)</f>
        <v>2600000</v>
      </c>
      <c r="I3169" s="560"/>
      <c r="J3169" s="560">
        <f t="shared" ref="J3169:J3184" si="109">SUM(H3169:I3169)</f>
        <v>2600000</v>
      </c>
      <c r="K3169" s="505"/>
      <c r="L3169" s="505"/>
      <c r="M3169" s="505"/>
      <c r="N3169" s="505"/>
      <c r="O3169" s="505"/>
      <c r="P3169" s="505"/>
      <c r="Q3169" s="505"/>
      <c r="R3169" s="505"/>
      <c r="S3169" s="505"/>
      <c r="T3169" s="505"/>
      <c r="U3169" s="505"/>
      <c r="V3169" s="505"/>
      <c r="W3169" s="505"/>
      <c r="X3169" s="505"/>
      <c r="Y3169" s="505"/>
    </row>
    <row r="3170" spans="1:25" s="88" customFormat="1" hidden="1" x14ac:dyDescent="0.25">
      <c r="A3170" s="258"/>
      <c r="B3170" s="258"/>
      <c r="C3170" s="261"/>
      <c r="D3170" s="258"/>
      <c r="E3170" s="679"/>
      <c r="F3170" s="597" t="s">
        <v>236</v>
      </c>
      <c r="G3170" s="598" t="s">
        <v>237</v>
      </c>
      <c r="H3170" s="555"/>
      <c r="I3170" s="556"/>
      <c r="J3170" s="560">
        <f t="shared" si="109"/>
        <v>0</v>
      </c>
      <c r="K3170" s="505"/>
      <c r="L3170" s="505"/>
      <c r="M3170" s="505"/>
      <c r="N3170" s="505"/>
      <c r="O3170" s="505"/>
      <c r="P3170" s="505"/>
      <c r="Q3170" s="505"/>
      <c r="R3170" s="505"/>
      <c r="S3170" s="505"/>
      <c r="T3170" s="505"/>
      <c r="U3170" s="505"/>
      <c r="V3170" s="505"/>
      <c r="W3170" s="505"/>
      <c r="X3170" s="505"/>
      <c r="Y3170" s="505"/>
    </row>
    <row r="3171" spans="1:25" s="88" customFormat="1" hidden="1" x14ac:dyDescent="0.25">
      <c r="A3171" s="258"/>
      <c r="B3171" s="258"/>
      <c r="C3171" s="261"/>
      <c r="D3171" s="258"/>
      <c r="E3171" s="679"/>
      <c r="F3171" s="597" t="s">
        <v>238</v>
      </c>
      <c r="G3171" s="598" t="s">
        <v>239</v>
      </c>
      <c r="H3171" s="555"/>
      <c r="I3171" s="556"/>
      <c r="J3171" s="560">
        <f t="shared" si="109"/>
        <v>0</v>
      </c>
      <c r="K3171" s="505"/>
      <c r="L3171" s="505"/>
      <c r="M3171" s="505"/>
      <c r="N3171" s="505"/>
      <c r="O3171" s="505"/>
      <c r="P3171" s="505"/>
      <c r="Q3171" s="505"/>
      <c r="R3171" s="505"/>
      <c r="S3171" s="505"/>
      <c r="T3171" s="505"/>
      <c r="U3171" s="505"/>
      <c r="V3171" s="505"/>
      <c r="W3171" s="505"/>
      <c r="X3171" s="505"/>
      <c r="Y3171" s="505"/>
    </row>
    <row r="3172" spans="1:25" s="88" customFormat="1" hidden="1" x14ac:dyDescent="0.25">
      <c r="A3172" s="258"/>
      <c r="B3172" s="258"/>
      <c r="C3172" s="261"/>
      <c r="D3172" s="258"/>
      <c r="E3172" s="679"/>
      <c r="F3172" s="597" t="s">
        <v>240</v>
      </c>
      <c r="G3172" s="598" t="s">
        <v>241</v>
      </c>
      <c r="H3172" s="555"/>
      <c r="I3172" s="556"/>
      <c r="J3172" s="560">
        <f t="shared" si="109"/>
        <v>0</v>
      </c>
      <c r="K3172" s="505"/>
      <c r="L3172" s="505"/>
      <c r="M3172" s="505"/>
      <c r="N3172" s="505"/>
      <c r="O3172" s="505"/>
      <c r="P3172" s="505"/>
      <c r="Q3172" s="505"/>
      <c r="R3172" s="505"/>
      <c r="S3172" s="505"/>
      <c r="T3172" s="505"/>
      <c r="U3172" s="505"/>
      <c r="V3172" s="505"/>
      <c r="W3172" s="505"/>
      <c r="X3172" s="505"/>
      <c r="Y3172" s="505"/>
    </row>
    <row r="3173" spans="1:25" s="88" customFormat="1" hidden="1" x14ac:dyDescent="0.25">
      <c r="A3173" s="258"/>
      <c r="B3173" s="258"/>
      <c r="C3173" s="261"/>
      <c r="D3173" s="258"/>
      <c r="E3173" s="679"/>
      <c r="F3173" s="597" t="s">
        <v>242</v>
      </c>
      <c r="G3173" s="598" t="s">
        <v>243</v>
      </c>
      <c r="H3173" s="555"/>
      <c r="I3173" s="556"/>
      <c r="J3173" s="560">
        <f t="shared" si="109"/>
        <v>0</v>
      </c>
      <c r="K3173" s="505"/>
      <c r="L3173" s="505"/>
      <c r="M3173" s="505"/>
      <c r="N3173" s="505"/>
      <c r="O3173" s="505"/>
      <c r="P3173" s="505"/>
      <c r="Q3173" s="505"/>
      <c r="R3173" s="505"/>
      <c r="S3173" s="505"/>
      <c r="T3173" s="505"/>
      <c r="U3173" s="505"/>
      <c r="V3173" s="505"/>
      <c r="W3173" s="505"/>
      <c r="X3173" s="505"/>
      <c r="Y3173" s="505"/>
    </row>
    <row r="3174" spans="1:25" s="88" customFormat="1" hidden="1" x14ac:dyDescent="0.25">
      <c r="A3174" s="258"/>
      <c r="B3174" s="258"/>
      <c r="C3174" s="261"/>
      <c r="D3174" s="258"/>
      <c r="E3174" s="679"/>
      <c r="F3174" s="597" t="s">
        <v>244</v>
      </c>
      <c r="G3174" s="598" t="s">
        <v>245</v>
      </c>
      <c r="H3174" s="555"/>
      <c r="I3174" s="556"/>
      <c r="J3174" s="560">
        <f t="shared" si="109"/>
        <v>0</v>
      </c>
      <c r="K3174" s="505"/>
      <c r="L3174" s="505"/>
      <c r="M3174" s="505"/>
      <c r="N3174" s="505"/>
      <c r="O3174" s="505"/>
      <c r="P3174" s="505"/>
      <c r="Q3174" s="505"/>
      <c r="R3174" s="505"/>
      <c r="S3174" s="505"/>
      <c r="T3174" s="505"/>
      <c r="U3174" s="505"/>
      <c r="V3174" s="505"/>
      <c r="W3174" s="505"/>
      <c r="X3174" s="505"/>
      <c r="Y3174" s="505"/>
    </row>
    <row r="3175" spans="1:25" s="88" customFormat="1" hidden="1" x14ac:dyDescent="0.25">
      <c r="A3175" s="258"/>
      <c r="B3175" s="258"/>
      <c r="C3175" s="261"/>
      <c r="D3175" s="258"/>
      <c r="E3175" s="679"/>
      <c r="F3175" s="597" t="s">
        <v>246</v>
      </c>
      <c r="G3175" s="598" t="s">
        <v>4996</v>
      </c>
      <c r="H3175" s="555"/>
      <c r="I3175" s="556"/>
      <c r="J3175" s="560">
        <f t="shared" si="109"/>
        <v>0</v>
      </c>
      <c r="K3175" s="505"/>
      <c r="L3175" s="505"/>
      <c r="M3175" s="505"/>
      <c r="N3175" s="505"/>
      <c r="O3175" s="505"/>
      <c r="P3175" s="505"/>
      <c r="Q3175" s="505"/>
      <c r="R3175" s="505"/>
      <c r="S3175" s="505"/>
      <c r="T3175" s="505"/>
      <c r="U3175" s="505"/>
      <c r="V3175" s="505"/>
      <c r="W3175" s="505"/>
      <c r="X3175" s="505"/>
      <c r="Y3175" s="505"/>
    </row>
    <row r="3176" spans="1:25" s="88" customFormat="1" hidden="1" x14ac:dyDescent="0.25">
      <c r="A3176" s="258"/>
      <c r="B3176" s="258"/>
      <c r="C3176" s="261"/>
      <c r="D3176" s="258"/>
      <c r="E3176" s="679"/>
      <c r="F3176" s="597" t="s">
        <v>247</v>
      </c>
      <c r="G3176" s="598" t="s">
        <v>4995</v>
      </c>
      <c r="H3176" s="555"/>
      <c r="I3176" s="556"/>
      <c r="J3176" s="560">
        <f t="shared" si="109"/>
        <v>0</v>
      </c>
      <c r="K3176" s="505"/>
      <c r="L3176" s="505"/>
      <c r="M3176" s="505"/>
      <c r="N3176" s="505"/>
      <c r="O3176" s="505"/>
      <c r="P3176" s="505"/>
      <c r="Q3176" s="505"/>
      <c r="R3176" s="505"/>
      <c r="S3176" s="505"/>
      <c r="T3176" s="505"/>
      <c r="U3176" s="505"/>
      <c r="V3176" s="505"/>
      <c r="W3176" s="505"/>
      <c r="X3176" s="505"/>
      <c r="Y3176" s="505"/>
    </row>
    <row r="3177" spans="1:25" s="88" customFormat="1" hidden="1" x14ac:dyDescent="0.25">
      <c r="A3177" s="258"/>
      <c r="B3177" s="258"/>
      <c r="C3177" s="261"/>
      <c r="D3177" s="258"/>
      <c r="E3177" s="679"/>
      <c r="F3177" s="597" t="s">
        <v>248</v>
      </c>
      <c r="G3177" s="598" t="s">
        <v>57</v>
      </c>
      <c r="H3177" s="555"/>
      <c r="I3177" s="556"/>
      <c r="J3177" s="560">
        <f t="shared" si="109"/>
        <v>0</v>
      </c>
      <c r="K3177" s="505"/>
      <c r="L3177" s="505"/>
      <c r="M3177" s="505"/>
      <c r="N3177" s="505"/>
      <c r="O3177" s="505"/>
      <c r="P3177" s="505"/>
      <c r="Q3177" s="505"/>
      <c r="R3177" s="505"/>
      <c r="S3177" s="505"/>
      <c r="T3177" s="505"/>
      <c r="U3177" s="505"/>
      <c r="V3177" s="505"/>
      <c r="W3177" s="505"/>
      <c r="X3177" s="505"/>
      <c r="Y3177" s="505"/>
    </row>
    <row r="3178" spans="1:25" s="88" customFormat="1" hidden="1" x14ac:dyDescent="0.25">
      <c r="A3178" s="258"/>
      <c r="B3178" s="258"/>
      <c r="C3178" s="261"/>
      <c r="D3178" s="258"/>
      <c r="E3178" s="679"/>
      <c r="F3178" s="597" t="s">
        <v>249</v>
      </c>
      <c r="G3178" s="598" t="s">
        <v>250</v>
      </c>
      <c r="H3178" s="555"/>
      <c r="I3178" s="556"/>
      <c r="J3178" s="560">
        <f t="shared" si="109"/>
        <v>0</v>
      </c>
      <c r="K3178" s="505"/>
      <c r="L3178" s="505"/>
      <c r="M3178" s="505"/>
      <c r="N3178" s="505"/>
      <c r="O3178" s="505"/>
      <c r="P3178" s="505"/>
      <c r="Q3178" s="505"/>
      <c r="R3178" s="505"/>
      <c r="S3178" s="505"/>
      <c r="T3178" s="505"/>
      <c r="U3178" s="505"/>
      <c r="V3178" s="505"/>
      <c r="W3178" s="505"/>
      <c r="X3178" s="505"/>
      <c r="Y3178" s="505"/>
    </row>
    <row r="3179" spans="1:25" s="88" customFormat="1" hidden="1" x14ac:dyDescent="0.25">
      <c r="A3179" s="258"/>
      <c r="B3179" s="258"/>
      <c r="C3179" s="261"/>
      <c r="D3179" s="258"/>
      <c r="E3179" s="679"/>
      <c r="F3179" s="597" t="s">
        <v>251</v>
      </c>
      <c r="G3179" s="598" t="s">
        <v>252</v>
      </c>
      <c r="H3179" s="555"/>
      <c r="I3179" s="556"/>
      <c r="J3179" s="560">
        <f t="shared" si="109"/>
        <v>0</v>
      </c>
      <c r="K3179" s="505"/>
      <c r="L3179" s="505"/>
      <c r="M3179" s="505"/>
      <c r="N3179" s="505"/>
      <c r="O3179" s="505"/>
      <c r="P3179" s="505"/>
      <c r="Q3179" s="505"/>
      <c r="R3179" s="505"/>
      <c r="S3179" s="505"/>
      <c r="T3179" s="505"/>
      <c r="U3179" s="505"/>
      <c r="V3179" s="505"/>
      <c r="W3179" s="505"/>
      <c r="X3179" s="505"/>
      <c r="Y3179" s="505"/>
    </row>
    <row r="3180" spans="1:25" s="88" customFormat="1" ht="30" hidden="1" x14ac:dyDescent="0.25">
      <c r="A3180" s="258"/>
      <c r="B3180" s="258"/>
      <c r="C3180" s="261"/>
      <c r="D3180" s="258"/>
      <c r="E3180" s="679"/>
      <c r="F3180" s="597" t="s">
        <v>253</v>
      </c>
      <c r="G3180" s="598" t="s">
        <v>254</v>
      </c>
      <c r="H3180" s="555"/>
      <c r="I3180" s="556"/>
      <c r="J3180" s="560">
        <f t="shared" si="109"/>
        <v>0</v>
      </c>
      <c r="K3180" s="505"/>
      <c r="L3180" s="505"/>
      <c r="M3180" s="505"/>
      <c r="N3180" s="505"/>
      <c r="O3180" s="505"/>
      <c r="P3180" s="505"/>
      <c r="Q3180" s="505"/>
      <c r="R3180" s="505"/>
      <c r="S3180" s="505"/>
      <c r="T3180" s="505"/>
      <c r="U3180" s="505"/>
      <c r="V3180" s="505"/>
      <c r="W3180" s="505"/>
      <c r="X3180" s="505"/>
      <c r="Y3180" s="505"/>
    </row>
    <row r="3181" spans="1:25" s="88" customFormat="1" hidden="1" x14ac:dyDescent="0.25">
      <c r="A3181" s="258"/>
      <c r="B3181" s="258"/>
      <c r="C3181" s="261"/>
      <c r="D3181" s="258"/>
      <c r="E3181" s="679"/>
      <c r="F3181" s="597" t="s">
        <v>255</v>
      </c>
      <c r="G3181" s="598" t="s">
        <v>256</v>
      </c>
      <c r="H3181" s="555"/>
      <c r="I3181" s="556"/>
      <c r="J3181" s="560">
        <f t="shared" si="109"/>
        <v>0</v>
      </c>
      <c r="K3181" s="505"/>
      <c r="L3181" s="505"/>
      <c r="M3181" s="505"/>
      <c r="N3181" s="505"/>
      <c r="O3181" s="505"/>
      <c r="P3181" s="505"/>
      <c r="Q3181" s="505"/>
      <c r="R3181" s="505"/>
      <c r="S3181" s="505"/>
      <c r="T3181" s="505"/>
      <c r="U3181" s="505"/>
      <c r="V3181" s="505"/>
      <c r="W3181" s="505"/>
      <c r="X3181" s="505"/>
      <c r="Y3181" s="505"/>
    </row>
    <row r="3182" spans="1:25" s="88" customFormat="1" ht="30" hidden="1" x14ac:dyDescent="0.25">
      <c r="A3182" s="258"/>
      <c r="B3182" s="258"/>
      <c r="C3182" s="261"/>
      <c r="D3182" s="258"/>
      <c r="E3182" s="679"/>
      <c r="F3182" s="597" t="s">
        <v>257</v>
      </c>
      <c r="G3182" s="598" t="s">
        <v>258</v>
      </c>
      <c r="H3182" s="555"/>
      <c r="I3182" s="556"/>
      <c r="J3182" s="560">
        <f t="shared" si="109"/>
        <v>0</v>
      </c>
      <c r="K3182" s="505"/>
      <c r="L3182" s="505"/>
      <c r="M3182" s="505"/>
      <c r="N3182" s="505"/>
      <c r="O3182" s="505"/>
      <c r="P3182" s="505"/>
      <c r="Q3182" s="505"/>
      <c r="R3182" s="505"/>
      <c r="S3182" s="505"/>
      <c r="T3182" s="505"/>
      <c r="U3182" s="505"/>
      <c r="V3182" s="505"/>
      <c r="W3182" s="505"/>
      <c r="X3182" s="505"/>
      <c r="Y3182" s="505"/>
    </row>
    <row r="3183" spans="1:25" s="88" customFormat="1" hidden="1" x14ac:dyDescent="0.25">
      <c r="A3183" s="258"/>
      <c r="B3183" s="258"/>
      <c r="C3183" s="261"/>
      <c r="D3183" s="258"/>
      <c r="E3183" s="679"/>
      <c r="F3183" s="597" t="s">
        <v>259</v>
      </c>
      <c r="G3183" s="598" t="s">
        <v>260</v>
      </c>
      <c r="H3183" s="555"/>
      <c r="I3183" s="556"/>
      <c r="J3183" s="560">
        <f t="shared" si="109"/>
        <v>0</v>
      </c>
      <c r="K3183" s="505"/>
      <c r="L3183" s="505"/>
      <c r="M3183" s="505"/>
      <c r="N3183" s="505"/>
      <c r="O3183" s="505"/>
      <c r="P3183" s="505"/>
      <c r="Q3183" s="505"/>
      <c r="R3183" s="505"/>
      <c r="S3183" s="505"/>
      <c r="T3183" s="505"/>
      <c r="U3183" s="505"/>
      <c r="V3183" s="505"/>
      <c r="W3183" s="505"/>
      <c r="X3183" s="505"/>
      <c r="Y3183" s="505"/>
    </row>
    <row r="3184" spans="1:25" s="88" customFormat="1" ht="15.75" hidden="1" thickBot="1" x14ac:dyDescent="0.3">
      <c r="A3184" s="258"/>
      <c r="B3184" s="258"/>
      <c r="C3184" s="261"/>
      <c r="D3184" s="258"/>
      <c r="E3184" s="679"/>
      <c r="F3184" s="597" t="s">
        <v>261</v>
      </c>
      <c r="G3184" s="598" t="s">
        <v>262</v>
      </c>
      <c r="H3184" s="559"/>
      <c r="I3184" s="560"/>
      <c r="J3184" s="560">
        <f t="shared" si="109"/>
        <v>0</v>
      </c>
      <c r="K3184" s="505"/>
      <c r="L3184" s="505"/>
      <c r="M3184" s="505"/>
      <c r="N3184" s="505"/>
      <c r="O3184" s="505"/>
      <c r="P3184" s="505"/>
      <c r="Q3184" s="505"/>
      <c r="R3184" s="505"/>
      <c r="S3184" s="505"/>
      <c r="T3184" s="505"/>
      <c r="U3184" s="505"/>
      <c r="V3184" s="505"/>
      <c r="W3184" s="505"/>
      <c r="X3184" s="505"/>
      <c r="Y3184" s="505"/>
    </row>
    <row r="3185" spans="1:25" s="88" customFormat="1" ht="14.25" customHeight="1" thickBot="1" x14ac:dyDescent="0.3">
      <c r="A3185" s="258"/>
      <c r="B3185" s="258"/>
      <c r="C3185" s="261"/>
      <c r="D3185" s="258"/>
      <c r="E3185" s="679"/>
      <c r="F3185" s="258"/>
      <c r="G3185" s="728" t="s">
        <v>4338</v>
      </c>
      <c r="H3185" s="561">
        <f>SUM(H3169:H3184)</f>
        <v>2600000</v>
      </c>
      <c r="I3185" s="562">
        <f>SUM(I3170:I3184)</f>
        <v>0</v>
      </c>
      <c r="J3185" s="562">
        <f>SUM(J3169:J3184)</f>
        <v>2600000</v>
      </c>
      <c r="K3185" s="505"/>
      <c r="L3185" s="505"/>
      <c r="M3185" s="505"/>
      <c r="N3185" s="505"/>
      <c r="O3185" s="505"/>
      <c r="P3185" s="505"/>
      <c r="Q3185" s="505"/>
      <c r="R3185" s="505"/>
      <c r="S3185" s="505"/>
      <c r="T3185" s="505"/>
      <c r="U3185" s="505"/>
      <c r="V3185" s="505"/>
      <c r="W3185" s="505"/>
      <c r="X3185" s="505"/>
      <c r="Y3185" s="505"/>
    </row>
    <row r="3186" spans="1:25" s="88" customFormat="1" ht="15" customHeight="1" x14ac:dyDescent="0.25">
      <c r="A3186" s="258"/>
      <c r="B3186" s="258"/>
      <c r="C3186" s="261"/>
      <c r="D3186" s="258"/>
      <c r="E3186" s="489"/>
      <c r="F3186" s="500"/>
      <c r="G3186" s="270" t="s">
        <v>5280</v>
      </c>
      <c r="H3186" s="563"/>
      <c r="I3186" s="584"/>
      <c r="J3186" s="564"/>
      <c r="K3186" s="505"/>
      <c r="L3186" s="505"/>
      <c r="M3186" s="505"/>
      <c r="N3186" s="505"/>
      <c r="O3186" s="505"/>
      <c r="P3186" s="505"/>
      <c r="Q3186" s="505"/>
      <c r="R3186" s="505"/>
      <c r="S3186" s="505"/>
      <c r="T3186" s="505"/>
      <c r="U3186" s="505"/>
      <c r="V3186" s="505"/>
      <c r="W3186" s="505"/>
      <c r="X3186" s="505"/>
      <c r="Y3186" s="505"/>
    </row>
    <row r="3187" spans="1:25" s="88" customFormat="1" ht="16.5" customHeight="1" thickBot="1" x14ac:dyDescent="0.3">
      <c r="A3187" s="258"/>
      <c r="B3187" s="258"/>
      <c r="C3187" s="261"/>
      <c r="D3187" s="258"/>
      <c r="E3187" s="693"/>
      <c r="F3187" s="597" t="s">
        <v>234</v>
      </c>
      <c r="G3187" s="598" t="s">
        <v>235</v>
      </c>
      <c r="H3187" s="559">
        <f>SUM(H3108:H3167)</f>
        <v>2600000</v>
      </c>
      <c r="I3187" s="560"/>
      <c r="J3187" s="560">
        <f>SUM(H3187:I3187)</f>
        <v>2600000</v>
      </c>
      <c r="K3187" s="505"/>
      <c r="L3187" s="505"/>
      <c r="M3187" s="505"/>
      <c r="N3187" s="505"/>
      <c r="O3187" s="505"/>
      <c r="P3187" s="505"/>
      <c r="Q3187" s="505"/>
      <c r="R3187" s="505"/>
      <c r="S3187" s="505"/>
      <c r="T3187" s="505"/>
      <c r="U3187" s="505"/>
      <c r="V3187" s="505"/>
      <c r="W3187" s="505"/>
      <c r="X3187" s="505"/>
      <c r="Y3187" s="505"/>
    </row>
    <row r="3188" spans="1:25" s="88" customFormat="1" hidden="1" x14ac:dyDescent="0.25">
      <c r="A3188" s="258"/>
      <c r="B3188" s="258"/>
      <c r="C3188" s="261"/>
      <c r="D3188" s="258"/>
      <c r="E3188" s="679"/>
      <c r="F3188" s="597" t="s">
        <v>236</v>
      </c>
      <c r="G3188" s="598" t="s">
        <v>237</v>
      </c>
      <c r="H3188" s="555"/>
      <c r="I3188" s="556"/>
      <c r="J3188" s="560">
        <f t="shared" ref="J3188:J3202" si="110">SUM(H3188:I3188)</f>
        <v>0</v>
      </c>
      <c r="K3188" s="505"/>
      <c r="L3188" s="505"/>
      <c r="M3188" s="505"/>
      <c r="N3188" s="505"/>
      <c r="O3188" s="505"/>
      <c r="P3188" s="505"/>
      <c r="Q3188" s="505"/>
      <c r="R3188" s="505"/>
      <c r="S3188" s="505"/>
      <c r="T3188" s="505"/>
      <c r="U3188" s="505"/>
      <c r="V3188" s="505"/>
      <c r="W3188" s="505"/>
      <c r="X3188" s="505"/>
      <c r="Y3188" s="505"/>
    </row>
    <row r="3189" spans="1:25" s="88" customFormat="1" hidden="1" x14ac:dyDescent="0.25">
      <c r="A3189" s="258"/>
      <c r="B3189" s="258"/>
      <c r="C3189" s="261"/>
      <c r="D3189" s="258"/>
      <c r="E3189" s="679"/>
      <c r="F3189" s="597" t="s">
        <v>238</v>
      </c>
      <c r="G3189" s="598" t="s">
        <v>239</v>
      </c>
      <c r="H3189" s="555"/>
      <c r="I3189" s="556"/>
      <c r="J3189" s="560">
        <f t="shared" si="110"/>
        <v>0</v>
      </c>
      <c r="K3189" s="505"/>
      <c r="L3189" s="505"/>
      <c r="M3189" s="505"/>
      <c r="N3189" s="505"/>
      <c r="O3189" s="505"/>
      <c r="P3189" s="505"/>
      <c r="Q3189" s="505"/>
      <c r="R3189" s="505"/>
      <c r="S3189" s="505"/>
      <c r="T3189" s="505"/>
      <c r="U3189" s="505"/>
      <c r="V3189" s="505"/>
      <c r="W3189" s="505"/>
      <c r="X3189" s="505"/>
      <c r="Y3189" s="505"/>
    </row>
    <row r="3190" spans="1:25" s="88" customFormat="1" hidden="1" x14ac:dyDescent="0.25">
      <c r="A3190" s="258"/>
      <c r="B3190" s="258"/>
      <c r="C3190" s="261"/>
      <c r="D3190" s="258"/>
      <c r="E3190" s="679"/>
      <c r="F3190" s="597" t="s">
        <v>240</v>
      </c>
      <c r="G3190" s="598" t="s">
        <v>241</v>
      </c>
      <c r="H3190" s="555"/>
      <c r="I3190" s="556"/>
      <c r="J3190" s="560">
        <f t="shared" si="110"/>
        <v>0</v>
      </c>
      <c r="K3190" s="505"/>
      <c r="L3190" s="505"/>
      <c r="M3190" s="505"/>
      <c r="N3190" s="505"/>
      <c r="O3190" s="505"/>
      <c r="P3190" s="505"/>
      <c r="Q3190" s="505"/>
      <c r="R3190" s="505"/>
      <c r="S3190" s="505"/>
      <c r="T3190" s="505"/>
      <c r="U3190" s="505"/>
      <c r="V3190" s="505"/>
      <c r="W3190" s="505"/>
      <c r="X3190" s="505"/>
      <c r="Y3190" s="505"/>
    </row>
    <row r="3191" spans="1:25" s="88" customFormat="1" hidden="1" x14ac:dyDescent="0.25">
      <c r="A3191" s="258"/>
      <c r="B3191" s="258"/>
      <c r="C3191" s="261"/>
      <c r="D3191" s="258"/>
      <c r="E3191" s="679"/>
      <c r="F3191" s="597" t="s">
        <v>242</v>
      </c>
      <c r="G3191" s="598" t="s">
        <v>243</v>
      </c>
      <c r="H3191" s="555"/>
      <c r="I3191" s="556"/>
      <c r="J3191" s="560">
        <f t="shared" si="110"/>
        <v>0</v>
      </c>
      <c r="K3191" s="505"/>
      <c r="L3191" s="505"/>
      <c r="M3191" s="505"/>
      <c r="N3191" s="505"/>
      <c r="O3191" s="505"/>
      <c r="P3191" s="505"/>
      <c r="Q3191" s="505"/>
      <c r="R3191" s="505"/>
      <c r="S3191" s="505"/>
      <c r="T3191" s="505"/>
      <c r="U3191" s="505"/>
      <c r="V3191" s="505"/>
      <c r="W3191" s="505"/>
      <c r="X3191" s="505"/>
      <c r="Y3191" s="505"/>
    </row>
    <row r="3192" spans="1:25" s="88" customFormat="1" hidden="1" x14ac:dyDescent="0.25">
      <c r="A3192" s="258"/>
      <c r="B3192" s="258"/>
      <c r="C3192" s="261"/>
      <c r="D3192" s="258"/>
      <c r="E3192" s="679"/>
      <c r="F3192" s="597" t="s">
        <v>244</v>
      </c>
      <c r="G3192" s="598" t="s">
        <v>245</v>
      </c>
      <c r="H3192" s="555"/>
      <c r="I3192" s="556"/>
      <c r="J3192" s="560">
        <f t="shared" si="110"/>
        <v>0</v>
      </c>
      <c r="K3192" s="505"/>
      <c r="L3192" s="505"/>
      <c r="M3192" s="505"/>
      <c r="N3192" s="505"/>
      <c r="O3192" s="505"/>
      <c r="P3192" s="505"/>
      <c r="Q3192" s="505"/>
      <c r="R3192" s="505"/>
      <c r="S3192" s="505"/>
      <c r="T3192" s="505"/>
      <c r="U3192" s="505"/>
      <c r="V3192" s="505"/>
      <c r="W3192" s="505"/>
      <c r="X3192" s="505"/>
      <c r="Y3192" s="505"/>
    </row>
    <row r="3193" spans="1:25" s="88" customFormat="1" hidden="1" x14ac:dyDescent="0.25">
      <c r="A3193" s="258"/>
      <c r="B3193" s="258"/>
      <c r="C3193" s="261"/>
      <c r="D3193" s="258"/>
      <c r="E3193" s="679"/>
      <c r="F3193" s="597" t="s">
        <v>246</v>
      </c>
      <c r="G3193" s="598" t="s">
        <v>4996</v>
      </c>
      <c r="H3193" s="555"/>
      <c r="I3193" s="556"/>
      <c r="J3193" s="560">
        <f t="shared" si="110"/>
        <v>0</v>
      </c>
      <c r="K3193" s="505"/>
      <c r="L3193" s="505"/>
      <c r="M3193" s="505"/>
      <c r="N3193" s="505"/>
      <c r="O3193" s="505"/>
      <c r="P3193" s="505"/>
      <c r="Q3193" s="505"/>
      <c r="R3193" s="505"/>
      <c r="S3193" s="505"/>
      <c r="T3193" s="505"/>
      <c r="U3193" s="505"/>
      <c r="V3193" s="505"/>
      <c r="W3193" s="505"/>
      <c r="X3193" s="505"/>
      <c r="Y3193" s="505"/>
    </row>
    <row r="3194" spans="1:25" s="88" customFormat="1" hidden="1" x14ac:dyDescent="0.25">
      <c r="A3194" s="258"/>
      <c r="B3194" s="258"/>
      <c r="C3194" s="261"/>
      <c r="D3194" s="258"/>
      <c r="E3194" s="679"/>
      <c r="F3194" s="597" t="s">
        <v>247</v>
      </c>
      <c r="G3194" s="598" t="s">
        <v>4995</v>
      </c>
      <c r="H3194" s="555"/>
      <c r="I3194" s="556"/>
      <c r="J3194" s="560">
        <f t="shared" si="110"/>
        <v>0</v>
      </c>
      <c r="K3194" s="505"/>
      <c r="L3194" s="505"/>
      <c r="M3194" s="505"/>
      <c r="N3194" s="505"/>
      <c r="O3194" s="505"/>
      <c r="P3194" s="505"/>
      <c r="Q3194" s="505"/>
      <c r="R3194" s="505"/>
      <c r="S3194" s="505"/>
      <c r="T3194" s="505"/>
      <c r="U3194" s="505"/>
      <c r="V3194" s="505"/>
      <c r="W3194" s="505"/>
      <c r="X3194" s="505"/>
      <c r="Y3194" s="505"/>
    </row>
    <row r="3195" spans="1:25" s="88" customFormat="1" hidden="1" x14ac:dyDescent="0.25">
      <c r="A3195" s="258"/>
      <c r="B3195" s="258"/>
      <c r="C3195" s="261"/>
      <c r="D3195" s="258"/>
      <c r="E3195" s="679"/>
      <c r="F3195" s="597" t="s">
        <v>248</v>
      </c>
      <c r="G3195" s="598" t="s">
        <v>57</v>
      </c>
      <c r="H3195" s="555"/>
      <c r="I3195" s="556"/>
      <c r="J3195" s="560">
        <f t="shared" si="110"/>
        <v>0</v>
      </c>
      <c r="K3195" s="505"/>
      <c r="L3195" s="505"/>
      <c r="M3195" s="505"/>
      <c r="N3195" s="505"/>
      <c r="O3195" s="505"/>
      <c r="P3195" s="505"/>
      <c r="Q3195" s="505"/>
      <c r="R3195" s="505"/>
      <c r="S3195" s="505"/>
      <c r="T3195" s="505"/>
      <c r="U3195" s="505"/>
      <c r="V3195" s="505"/>
      <c r="W3195" s="505"/>
      <c r="X3195" s="505"/>
      <c r="Y3195" s="505"/>
    </row>
    <row r="3196" spans="1:25" s="88" customFormat="1" hidden="1" x14ac:dyDescent="0.25">
      <c r="A3196" s="258"/>
      <c r="B3196" s="258"/>
      <c r="C3196" s="261"/>
      <c r="D3196" s="258"/>
      <c r="E3196" s="679"/>
      <c r="F3196" s="597" t="s">
        <v>249</v>
      </c>
      <c r="G3196" s="598" t="s">
        <v>250</v>
      </c>
      <c r="H3196" s="555"/>
      <c r="I3196" s="556"/>
      <c r="J3196" s="560">
        <f t="shared" si="110"/>
        <v>0</v>
      </c>
      <c r="K3196" s="505"/>
      <c r="L3196" s="505"/>
      <c r="M3196" s="505"/>
      <c r="N3196" s="505"/>
      <c r="O3196" s="505"/>
      <c r="P3196" s="505"/>
      <c r="Q3196" s="505"/>
      <c r="R3196" s="505"/>
      <c r="S3196" s="505"/>
      <c r="T3196" s="505"/>
      <c r="U3196" s="505"/>
      <c r="V3196" s="505"/>
      <c r="W3196" s="505"/>
      <c r="X3196" s="505"/>
      <c r="Y3196" s="505"/>
    </row>
    <row r="3197" spans="1:25" s="88" customFormat="1" hidden="1" x14ac:dyDescent="0.25">
      <c r="A3197" s="258"/>
      <c r="B3197" s="258"/>
      <c r="C3197" s="261"/>
      <c r="D3197" s="258"/>
      <c r="E3197" s="679"/>
      <c r="F3197" s="597" t="s">
        <v>251</v>
      </c>
      <c r="G3197" s="598" t="s">
        <v>252</v>
      </c>
      <c r="H3197" s="555"/>
      <c r="I3197" s="556"/>
      <c r="J3197" s="560">
        <f t="shared" si="110"/>
        <v>0</v>
      </c>
      <c r="K3197" s="505"/>
      <c r="L3197" s="505"/>
      <c r="M3197" s="505"/>
      <c r="N3197" s="505"/>
      <c r="O3197" s="505"/>
      <c r="P3197" s="505"/>
      <c r="Q3197" s="505"/>
      <c r="R3197" s="505"/>
      <c r="S3197" s="505"/>
      <c r="T3197" s="505"/>
      <c r="U3197" s="505"/>
      <c r="V3197" s="505"/>
      <c r="W3197" s="505"/>
      <c r="X3197" s="505"/>
      <c r="Y3197" s="505"/>
    </row>
    <row r="3198" spans="1:25" s="88" customFormat="1" ht="30" hidden="1" x14ac:dyDescent="0.25">
      <c r="A3198" s="258"/>
      <c r="B3198" s="258"/>
      <c r="C3198" s="261"/>
      <c r="D3198" s="258"/>
      <c r="E3198" s="679"/>
      <c r="F3198" s="597" t="s">
        <v>253</v>
      </c>
      <c r="G3198" s="598" t="s">
        <v>254</v>
      </c>
      <c r="H3198" s="555"/>
      <c r="I3198" s="556"/>
      <c r="J3198" s="560">
        <f t="shared" si="110"/>
        <v>0</v>
      </c>
      <c r="K3198" s="505"/>
      <c r="L3198" s="505"/>
      <c r="M3198" s="505"/>
      <c r="N3198" s="505"/>
      <c r="O3198" s="505"/>
      <c r="P3198" s="505"/>
      <c r="Q3198" s="505"/>
      <c r="R3198" s="505"/>
      <c r="S3198" s="505"/>
      <c r="T3198" s="505"/>
      <c r="U3198" s="505"/>
      <c r="V3198" s="505"/>
      <c r="W3198" s="505"/>
      <c r="X3198" s="505"/>
      <c r="Y3198" s="505"/>
    </row>
    <row r="3199" spans="1:25" s="88" customFormat="1" hidden="1" x14ac:dyDescent="0.25">
      <c r="A3199" s="258"/>
      <c r="B3199" s="258"/>
      <c r="C3199" s="261"/>
      <c r="D3199" s="258"/>
      <c r="E3199" s="679"/>
      <c r="F3199" s="597" t="s">
        <v>255</v>
      </c>
      <c r="G3199" s="598" t="s">
        <v>256</v>
      </c>
      <c r="H3199" s="555"/>
      <c r="I3199" s="556"/>
      <c r="J3199" s="560">
        <f t="shared" si="110"/>
        <v>0</v>
      </c>
      <c r="K3199" s="505"/>
      <c r="L3199" s="505"/>
      <c r="M3199" s="505"/>
      <c r="N3199" s="505"/>
      <c r="O3199" s="505"/>
      <c r="P3199" s="505"/>
      <c r="Q3199" s="505"/>
      <c r="R3199" s="505"/>
      <c r="S3199" s="505"/>
      <c r="T3199" s="505"/>
      <c r="U3199" s="505"/>
      <c r="V3199" s="505"/>
      <c r="W3199" s="505"/>
      <c r="X3199" s="505"/>
      <c r="Y3199" s="505"/>
    </row>
    <row r="3200" spans="1:25" s="88" customFormat="1" ht="30" hidden="1" x14ac:dyDescent="0.25">
      <c r="A3200" s="258"/>
      <c r="B3200" s="258"/>
      <c r="C3200" s="261"/>
      <c r="D3200" s="258"/>
      <c r="E3200" s="679"/>
      <c r="F3200" s="597" t="s">
        <v>257</v>
      </c>
      <c r="G3200" s="598" t="s">
        <v>258</v>
      </c>
      <c r="H3200" s="555"/>
      <c r="I3200" s="556"/>
      <c r="J3200" s="560">
        <f t="shared" si="110"/>
        <v>0</v>
      </c>
      <c r="K3200" s="505"/>
      <c r="L3200" s="505"/>
      <c r="M3200" s="505"/>
      <c r="N3200" s="505"/>
      <c r="O3200" s="505"/>
      <c r="P3200" s="505"/>
      <c r="Q3200" s="505"/>
      <c r="R3200" s="505"/>
      <c r="S3200" s="505"/>
      <c r="T3200" s="505"/>
      <c r="U3200" s="505"/>
      <c r="V3200" s="505"/>
      <c r="W3200" s="505"/>
      <c r="X3200" s="505"/>
      <c r="Y3200" s="505"/>
    </row>
    <row r="3201" spans="1:25" s="88" customFormat="1" hidden="1" x14ac:dyDescent="0.25">
      <c r="A3201" s="258"/>
      <c r="B3201" s="258"/>
      <c r="C3201" s="261"/>
      <c r="D3201" s="258"/>
      <c r="E3201" s="679"/>
      <c r="F3201" s="597" t="s">
        <v>259</v>
      </c>
      <c r="G3201" s="598" t="s">
        <v>260</v>
      </c>
      <c r="H3201" s="555"/>
      <c r="I3201" s="556"/>
      <c r="J3201" s="560">
        <f t="shared" si="110"/>
        <v>0</v>
      </c>
      <c r="K3201" s="505"/>
      <c r="L3201" s="505"/>
      <c r="M3201" s="505"/>
      <c r="N3201" s="505"/>
      <c r="O3201" s="505"/>
      <c r="P3201" s="505"/>
      <c r="Q3201" s="505"/>
      <c r="R3201" s="505"/>
      <c r="S3201" s="505"/>
      <c r="T3201" s="505"/>
      <c r="U3201" s="505"/>
      <c r="V3201" s="505"/>
      <c r="W3201" s="505"/>
      <c r="X3201" s="505"/>
      <c r="Y3201" s="505"/>
    </row>
    <row r="3202" spans="1:25" s="88" customFormat="1" ht="15.75" hidden="1" thickBot="1" x14ac:dyDescent="0.3">
      <c r="A3202" s="258"/>
      <c r="B3202" s="258"/>
      <c r="C3202" s="261"/>
      <c r="D3202" s="258"/>
      <c r="E3202" s="679"/>
      <c r="F3202" s="597" t="s">
        <v>261</v>
      </c>
      <c r="G3202" s="598" t="s">
        <v>262</v>
      </c>
      <c r="H3202" s="559"/>
      <c r="I3202" s="560"/>
      <c r="J3202" s="560">
        <f t="shared" si="110"/>
        <v>0</v>
      </c>
      <c r="K3202" s="505"/>
      <c r="L3202" s="505"/>
      <c r="M3202" s="505"/>
      <c r="N3202" s="505"/>
      <c r="O3202" s="505"/>
      <c r="P3202" s="505"/>
      <c r="Q3202" s="505"/>
      <c r="R3202" s="505"/>
      <c r="S3202" s="505"/>
      <c r="T3202" s="505"/>
      <c r="U3202" s="505"/>
      <c r="V3202" s="505"/>
      <c r="W3202" s="505"/>
      <c r="X3202" s="505"/>
      <c r="Y3202" s="505"/>
    </row>
    <row r="3203" spans="1:25" s="88" customFormat="1" ht="14.25" customHeight="1" thickBot="1" x14ac:dyDescent="0.3">
      <c r="A3203" s="258"/>
      <c r="B3203" s="258"/>
      <c r="C3203" s="261"/>
      <c r="D3203" s="258"/>
      <c r="E3203" s="679"/>
      <c r="F3203" s="258"/>
      <c r="G3203" s="268" t="s">
        <v>5281</v>
      </c>
      <c r="H3203" s="561">
        <f>SUM(H3187:H3202)</f>
        <v>2600000</v>
      </c>
      <c r="I3203" s="562">
        <f>SUM(I3188:I3202)</f>
        <v>0</v>
      </c>
      <c r="J3203" s="562">
        <f>SUM(J3187:J3202)</f>
        <v>2600000</v>
      </c>
      <c r="K3203" s="505"/>
      <c r="L3203" s="505"/>
      <c r="M3203" s="505"/>
      <c r="N3203" s="505"/>
      <c r="O3203" s="505"/>
      <c r="P3203" s="505"/>
      <c r="Q3203" s="505"/>
      <c r="R3203" s="505"/>
      <c r="S3203" s="505"/>
      <c r="T3203" s="505"/>
      <c r="U3203" s="505"/>
      <c r="V3203" s="505"/>
      <c r="W3203" s="505"/>
      <c r="X3203" s="505"/>
      <c r="Y3203" s="505"/>
    </row>
    <row r="3204" spans="1:25" s="88" customFormat="1" ht="17.25" customHeight="1" x14ac:dyDescent="0.25">
      <c r="A3204" s="481"/>
      <c r="B3204" s="288"/>
      <c r="C3204" s="302" t="s">
        <v>5083</v>
      </c>
      <c r="D3204" s="259"/>
      <c r="E3204" s="702"/>
      <c r="F3204" s="303"/>
      <c r="G3204" s="406" t="s">
        <v>5081</v>
      </c>
      <c r="H3204" s="588"/>
      <c r="I3204" s="571"/>
      <c r="K3204" s="505"/>
      <c r="L3204" s="505"/>
      <c r="M3204" s="505"/>
      <c r="N3204" s="505"/>
      <c r="O3204" s="505"/>
      <c r="P3204" s="505"/>
      <c r="Q3204" s="505"/>
      <c r="R3204" s="505"/>
      <c r="S3204" s="505"/>
      <c r="T3204" s="505"/>
      <c r="U3204" s="505"/>
      <c r="V3204" s="505"/>
      <c r="W3204" s="505"/>
      <c r="X3204" s="505"/>
      <c r="Y3204" s="505"/>
    </row>
    <row r="3205" spans="1:25" s="88" customFormat="1" ht="13.5" customHeight="1" x14ac:dyDescent="0.25">
      <c r="A3205" s="258"/>
      <c r="B3205" s="258"/>
      <c r="C3205" s="267"/>
      <c r="D3205" s="331">
        <v>630</v>
      </c>
      <c r="E3205" s="869"/>
      <c r="F3205" s="331"/>
      <c r="G3205" s="332" t="s">
        <v>5282</v>
      </c>
      <c r="H3205" s="555"/>
      <c r="I3205" s="556"/>
      <c r="J3205" s="556"/>
      <c r="K3205" s="505"/>
      <c r="L3205" s="505"/>
      <c r="M3205" s="505"/>
      <c r="N3205" s="505"/>
      <c r="O3205" s="505"/>
      <c r="P3205" s="505"/>
      <c r="Q3205" s="505"/>
      <c r="R3205" s="505"/>
      <c r="S3205" s="505"/>
      <c r="T3205" s="505"/>
      <c r="U3205" s="505"/>
      <c r="V3205" s="505"/>
      <c r="W3205" s="505"/>
      <c r="X3205" s="505"/>
      <c r="Y3205" s="505"/>
    </row>
    <row r="3206" spans="1:25" s="88" customFormat="1" hidden="1" x14ac:dyDescent="0.25">
      <c r="A3206" s="258"/>
      <c r="B3206" s="258"/>
      <c r="C3206" s="261"/>
      <c r="D3206" s="258"/>
      <c r="E3206" s="679"/>
      <c r="F3206" s="499">
        <v>411</v>
      </c>
      <c r="G3206" s="492" t="s">
        <v>4131</v>
      </c>
      <c r="H3206" s="555"/>
      <c r="I3206" s="556"/>
      <c r="J3206" s="556">
        <f>SUM(H3206:I3206)</f>
        <v>0</v>
      </c>
      <c r="K3206" s="505"/>
      <c r="L3206" s="505"/>
      <c r="M3206" s="505"/>
      <c r="N3206" s="505"/>
      <c r="O3206" s="505"/>
      <c r="P3206" s="505"/>
      <c r="Q3206" s="505"/>
      <c r="R3206" s="505"/>
      <c r="S3206" s="505"/>
      <c r="T3206" s="505"/>
      <c r="U3206" s="505"/>
      <c r="V3206" s="505"/>
      <c r="W3206" s="505"/>
      <c r="X3206" s="505"/>
      <c r="Y3206" s="505"/>
    </row>
    <row r="3207" spans="1:25" s="88" customFormat="1" hidden="1" x14ac:dyDescent="0.25">
      <c r="A3207" s="258"/>
      <c r="B3207" s="258"/>
      <c r="C3207" s="261"/>
      <c r="D3207" s="258"/>
      <c r="E3207" s="679"/>
      <c r="F3207" s="499">
        <v>412</v>
      </c>
      <c r="G3207" s="488" t="s">
        <v>3766</v>
      </c>
      <c r="H3207" s="555"/>
      <c r="I3207" s="556"/>
      <c r="J3207" s="556">
        <f t="shared" ref="J3207:J3265" si="111">SUM(H3207:I3207)</f>
        <v>0</v>
      </c>
      <c r="K3207" s="505"/>
      <c r="L3207" s="505"/>
      <c r="M3207" s="505"/>
      <c r="N3207" s="505"/>
      <c r="O3207" s="505"/>
      <c r="P3207" s="505"/>
      <c r="Q3207" s="505"/>
      <c r="R3207" s="505"/>
      <c r="S3207" s="505"/>
      <c r="T3207" s="505"/>
      <c r="U3207" s="505"/>
      <c r="V3207" s="505"/>
      <c r="W3207" s="505"/>
      <c r="X3207" s="505"/>
      <c r="Y3207" s="505"/>
    </row>
    <row r="3208" spans="1:25" s="88" customFormat="1" hidden="1" x14ac:dyDescent="0.25">
      <c r="A3208" s="258"/>
      <c r="B3208" s="258"/>
      <c r="C3208" s="261"/>
      <c r="D3208" s="258"/>
      <c r="E3208" s="679"/>
      <c r="F3208" s="499">
        <v>413</v>
      </c>
      <c r="G3208" s="492" t="s">
        <v>4132</v>
      </c>
      <c r="H3208" s="555"/>
      <c r="I3208" s="556"/>
      <c r="J3208" s="556">
        <f t="shared" si="111"/>
        <v>0</v>
      </c>
      <c r="K3208" s="505"/>
      <c r="L3208" s="505"/>
      <c r="M3208" s="505"/>
      <c r="N3208" s="505"/>
      <c r="O3208" s="505"/>
      <c r="P3208" s="505"/>
      <c r="Q3208" s="505"/>
      <c r="R3208" s="505"/>
      <c r="S3208" s="505"/>
      <c r="T3208" s="505"/>
      <c r="U3208" s="505"/>
      <c r="V3208" s="505"/>
      <c r="W3208" s="505"/>
      <c r="X3208" s="505"/>
      <c r="Y3208" s="505"/>
    </row>
    <row r="3209" spans="1:25" s="88" customFormat="1" hidden="1" x14ac:dyDescent="0.25">
      <c r="A3209" s="258"/>
      <c r="B3209" s="258"/>
      <c r="C3209" s="261"/>
      <c r="D3209" s="258"/>
      <c r="E3209" s="679"/>
      <c r="F3209" s="499">
        <v>414</v>
      </c>
      <c r="G3209" s="492" t="s">
        <v>3769</v>
      </c>
      <c r="H3209" s="555"/>
      <c r="I3209" s="556"/>
      <c r="J3209" s="556">
        <f t="shared" si="111"/>
        <v>0</v>
      </c>
      <c r="K3209" s="505"/>
      <c r="L3209" s="505"/>
      <c r="M3209" s="505"/>
      <c r="N3209" s="505"/>
      <c r="O3209" s="505"/>
      <c r="P3209" s="505"/>
      <c r="Q3209" s="505"/>
      <c r="R3209" s="505"/>
      <c r="S3209" s="505"/>
      <c r="T3209" s="505"/>
      <c r="U3209" s="505"/>
      <c r="V3209" s="505"/>
      <c r="W3209" s="505"/>
      <c r="X3209" s="505"/>
      <c r="Y3209" s="505"/>
    </row>
    <row r="3210" spans="1:25" s="88" customFormat="1" hidden="1" x14ac:dyDescent="0.25">
      <c r="A3210" s="258"/>
      <c r="B3210" s="258"/>
      <c r="C3210" s="261"/>
      <c r="D3210" s="258"/>
      <c r="E3210" s="679"/>
      <c r="F3210" s="499">
        <v>415</v>
      </c>
      <c r="G3210" s="492" t="s">
        <v>4141</v>
      </c>
      <c r="H3210" s="555"/>
      <c r="I3210" s="556"/>
      <c r="J3210" s="556">
        <f t="shared" si="111"/>
        <v>0</v>
      </c>
      <c r="K3210" s="505"/>
      <c r="L3210" s="505"/>
      <c r="M3210" s="505"/>
      <c r="N3210" s="505"/>
      <c r="O3210" s="505"/>
      <c r="P3210" s="505"/>
      <c r="Q3210" s="505"/>
      <c r="R3210" s="505"/>
      <c r="S3210" s="505"/>
      <c r="T3210" s="505"/>
      <c r="U3210" s="505"/>
      <c r="V3210" s="505"/>
      <c r="W3210" s="505"/>
      <c r="X3210" s="505"/>
      <c r="Y3210" s="505"/>
    </row>
    <row r="3211" spans="1:25" s="88" customFormat="1" hidden="1" x14ac:dyDescent="0.25">
      <c r="A3211" s="258"/>
      <c r="B3211" s="258"/>
      <c r="C3211" s="261"/>
      <c r="D3211" s="258"/>
      <c r="E3211" s="679"/>
      <c r="F3211" s="499">
        <v>416</v>
      </c>
      <c r="G3211" s="492" t="s">
        <v>4142</v>
      </c>
      <c r="H3211" s="555"/>
      <c r="I3211" s="556"/>
      <c r="J3211" s="556">
        <f t="shared" si="111"/>
        <v>0</v>
      </c>
      <c r="K3211" s="505"/>
      <c r="L3211" s="505"/>
      <c r="M3211" s="505"/>
      <c r="N3211" s="505"/>
      <c r="O3211" s="505"/>
      <c r="P3211" s="505"/>
      <c r="Q3211" s="505"/>
      <c r="R3211" s="505"/>
      <c r="S3211" s="505"/>
      <c r="T3211" s="505"/>
      <c r="U3211" s="505"/>
      <c r="V3211" s="505"/>
      <c r="W3211" s="505"/>
      <c r="X3211" s="505"/>
      <c r="Y3211" s="505"/>
    </row>
    <row r="3212" spans="1:25" s="88" customFormat="1" hidden="1" x14ac:dyDescent="0.25">
      <c r="A3212" s="258"/>
      <c r="B3212" s="258"/>
      <c r="C3212" s="261"/>
      <c r="D3212" s="258"/>
      <c r="E3212" s="679"/>
      <c r="F3212" s="499">
        <v>417</v>
      </c>
      <c r="G3212" s="492" t="s">
        <v>4143</v>
      </c>
      <c r="H3212" s="555"/>
      <c r="I3212" s="556"/>
      <c r="J3212" s="556">
        <f t="shared" si="111"/>
        <v>0</v>
      </c>
      <c r="K3212" s="505"/>
      <c r="L3212" s="505"/>
      <c r="M3212" s="505"/>
      <c r="N3212" s="505"/>
      <c r="O3212" s="505"/>
      <c r="P3212" s="505"/>
      <c r="Q3212" s="505"/>
      <c r="R3212" s="505"/>
      <c r="S3212" s="505"/>
      <c r="T3212" s="505"/>
      <c r="U3212" s="505"/>
      <c r="V3212" s="505"/>
      <c r="W3212" s="505"/>
      <c r="X3212" s="505"/>
      <c r="Y3212" s="505"/>
    </row>
    <row r="3213" spans="1:25" s="88" customFormat="1" hidden="1" x14ac:dyDescent="0.25">
      <c r="A3213" s="258"/>
      <c r="B3213" s="258"/>
      <c r="C3213" s="261"/>
      <c r="D3213" s="258"/>
      <c r="E3213" s="679"/>
      <c r="F3213" s="499">
        <v>418</v>
      </c>
      <c r="G3213" s="492" t="s">
        <v>3775</v>
      </c>
      <c r="H3213" s="555"/>
      <c r="I3213" s="556"/>
      <c r="J3213" s="556">
        <f t="shared" si="111"/>
        <v>0</v>
      </c>
      <c r="K3213" s="505"/>
      <c r="L3213" s="505"/>
      <c r="M3213" s="505"/>
      <c r="N3213" s="505"/>
      <c r="O3213" s="505"/>
      <c r="P3213" s="505"/>
      <c r="Q3213" s="505"/>
      <c r="R3213" s="505"/>
      <c r="S3213" s="505"/>
      <c r="T3213" s="505"/>
      <c r="U3213" s="505"/>
      <c r="V3213" s="505"/>
      <c r="W3213" s="505"/>
      <c r="X3213" s="505"/>
      <c r="Y3213" s="505"/>
    </row>
    <row r="3214" spans="1:25" s="88" customFormat="1" hidden="1" x14ac:dyDescent="0.25">
      <c r="A3214" s="258"/>
      <c r="B3214" s="258"/>
      <c r="C3214" s="261"/>
      <c r="D3214" s="258"/>
      <c r="E3214" s="679"/>
      <c r="F3214" s="499">
        <v>421</v>
      </c>
      <c r="G3214" s="492" t="s">
        <v>3779</v>
      </c>
      <c r="H3214" s="555"/>
      <c r="I3214" s="556"/>
      <c r="J3214" s="556">
        <f t="shared" si="111"/>
        <v>0</v>
      </c>
      <c r="K3214" s="505"/>
      <c r="L3214" s="505"/>
      <c r="M3214" s="505"/>
      <c r="N3214" s="505"/>
      <c r="O3214" s="505"/>
      <c r="P3214" s="505"/>
      <c r="Q3214" s="505"/>
      <c r="R3214" s="505"/>
      <c r="S3214" s="505"/>
      <c r="T3214" s="505"/>
      <c r="U3214" s="505"/>
      <c r="V3214" s="505"/>
      <c r="W3214" s="505"/>
      <c r="X3214" s="505"/>
      <c r="Y3214" s="505"/>
    </row>
    <row r="3215" spans="1:25" s="88" customFormat="1" hidden="1" x14ac:dyDescent="0.25">
      <c r="A3215" s="258"/>
      <c r="B3215" s="258"/>
      <c r="C3215" s="261"/>
      <c r="D3215" s="258"/>
      <c r="E3215" s="679"/>
      <c r="F3215" s="499">
        <v>422</v>
      </c>
      <c r="G3215" s="492" t="s">
        <v>3780</v>
      </c>
      <c r="H3215" s="555"/>
      <c r="I3215" s="556"/>
      <c r="J3215" s="556">
        <f t="shared" si="111"/>
        <v>0</v>
      </c>
      <c r="K3215" s="505"/>
      <c r="L3215" s="505"/>
      <c r="M3215" s="505"/>
      <c r="N3215" s="505"/>
      <c r="O3215" s="505"/>
      <c r="P3215" s="505"/>
      <c r="Q3215" s="505"/>
      <c r="R3215" s="505"/>
      <c r="S3215" s="505"/>
      <c r="T3215" s="505"/>
      <c r="U3215" s="505"/>
      <c r="V3215" s="505"/>
      <c r="W3215" s="505"/>
      <c r="X3215" s="505"/>
      <c r="Y3215" s="505"/>
    </row>
    <row r="3216" spans="1:25" s="88" customFormat="1" x14ac:dyDescent="0.25">
      <c r="A3216" s="258"/>
      <c r="B3216" s="258"/>
      <c r="C3216" s="261"/>
      <c r="D3216" s="258"/>
      <c r="E3216" s="679">
        <v>107</v>
      </c>
      <c r="F3216" s="499">
        <v>423</v>
      </c>
      <c r="G3216" s="492" t="s">
        <v>3781</v>
      </c>
      <c r="H3216" s="555">
        <v>100000</v>
      </c>
      <c r="I3216" s="556"/>
      <c r="J3216" s="556">
        <f t="shared" si="111"/>
        <v>100000</v>
      </c>
      <c r="K3216" s="505"/>
      <c r="L3216" s="505"/>
      <c r="M3216" s="505"/>
      <c r="N3216" s="505"/>
      <c r="O3216" s="505"/>
      <c r="P3216" s="505"/>
      <c r="Q3216" s="505"/>
      <c r="R3216" s="505"/>
      <c r="S3216" s="505"/>
      <c r="T3216" s="505"/>
      <c r="U3216" s="505"/>
      <c r="V3216" s="505"/>
      <c r="W3216" s="505"/>
      <c r="X3216" s="505"/>
      <c r="Y3216" s="505"/>
    </row>
    <row r="3217" spans="1:25" s="88" customFormat="1" ht="33" customHeight="1" x14ac:dyDescent="0.25">
      <c r="A3217" s="258"/>
      <c r="B3217" s="258"/>
      <c r="C3217" s="261"/>
      <c r="D3217" s="258"/>
      <c r="E3217" s="679">
        <v>108</v>
      </c>
      <c r="F3217" s="499">
        <v>424</v>
      </c>
      <c r="G3217" s="492" t="s">
        <v>5086</v>
      </c>
      <c r="H3217" s="555">
        <v>200000</v>
      </c>
      <c r="I3217" s="556"/>
      <c r="J3217" s="556">
        <f t="shared" si="111"/>
        <v>200000</v>
      </c>
      <c r="K3217" s="505"/>
      <c r="L3217" s="505"/>
      <c r="M3217" s="505"/>
      <c r="N3217" s="505"/>
      <c r="O3217" s="505"/>
      <c r="P3217" s="505"/>
      <c r="Q3217" s="505"/>
      <c r="R3217" s="505"/>
      <c r="S3217" s="505"/>
      <c r="T3217" s="505"/>
      <c r="U3217" s="505"/>
      <c r="V3217" s="505"/>
      <c r="W3217" s="505"/>
      <c r="X3217" s="505"/>
      <c r="Y3217" s="505"/>
    </row>
    <row r="3218" spans="1:25" s="88" customFormat="1" ht="12" customHeight="1" x14ac:dyDescent="0.25">
      <c r="A3218" s="258"/>
      <c r="B3218" s="258"/>
      <c r="C3218" s="261"/>
      <c r="D3218" s="258"/>
      <c r="E3218" s="679">
        <v>109</v>
      </c>
      <c r="F3218" s="499">
        <v>425</v>
      </c>
      <c r="G3218" s="492" t="s">
        <v>4144</v>
      </c>
      <c r="H3218" s="555">
        <v>100000</v>
      </c>
      <c r="I3218" s="556"/>
      <c r="J3218" s="556">
        <f t="shared" si="111"/>
        <v>100000</v>
      </c>
      <c r="K3218" s="505"/>
      <c r="L3218" s="505"/>
      <c r="M3218" s="505"/>
      <c r="N3218" s="505"/>
      <c r="O3218" s="505"/>
      <c r="P3218" s="505"/>
      <c r="Q3218" s="505"/>
      <c r="R3218" s="505"/>
      <c r="S3218" s="505"/>
      <c r="T3218" s="505"/>
      <c r="U3218" s="505"/>
      <c r="V3218" s="505"/>
      <c r="W3218" s="505"/>
      <c r="X3218" s="505"/>
      <c r="Y3218" s="505"/>
    </row>
    <row r="3219" spans="1:25" s="88" customFormat="1" x14ac:dyDescent="0.25">
      <c r="A3219" s="258"/>
      <c r="B3219" s="258"/>
      <c r="C3219" s="261"/>
      <c r="D3219" s="258"/>
      <c r="E3219" s="679">
        <v>110</v>
      </c>
      <c r="F3219" s="499">
        <v>426</v>
      </c>
      <c r="G3219" s="492" t="s">
        <v>3787</v>
      </c>
      <c r="H3219" s="555">
        <v>100000</v>
      </c>
      <c r="I3219" s="556"/>
      <c r="J3219" s="556">
        <f t="shared" si="111"/>
        <v>100000</v>
      </c>
      <c r="K3219" s="505"/>
      <c r="L3219" s="505"/>
      <c r="M3219" s="505"/>
      <c r="N3219" s="505"/>
      <c r="O3219" s="505"/>
      <c r="P3219" s="505"/>
      <c r="Q3219" s="505"/>
      <c r="R3219" s="505"/>
      <c r="S3219" s="505"/>
      <c r="T3219" s="505"/>
      <c r="U3219" s="505"/>
      <c r="V3219" s="505"/>
      <c r="W3219" s="505"/>
      <c r="X3219" s="505"/>
      <c r="Y3219" s="505"/>
    </row>
    <row r="3220" spans="1:25" s="88" customFormat="1" hidden="1" x14ac:dyDescent="0.25">
      <c r="A3220" s="258"/>
      <c r="B3220" s="258"/>
      <c r="C3220" s="261"/>
      <c r="D3220" s="258"/>
      <c r="E3220" s="679"/>
      <c r="F3220" s="499">
        <v>431</v>
      </c>
      <c r="G3220" s="492" t="s">
        <v>4145</v>
      </c>
      <c r="H3220" s="555"/>
      <c r="I3220" s="556"/>
      <c r="J3220" s="556">
        <f t="shared" si="111"/>
        <v>0</v>
      </c>
      <c r="K3220" s="505"/>
      <c r="L3220" s="505"/>
      <c r="M3220" s="505"/>
      <c r="N3220" s="505"/>
      <c r="O3220" s="505"/>
      <c r="P3220" s="505"/>
      <c r="Q3220" s="505"/>
      <c r="R3220" s="505"/>
      <c r="S3220" s="505"/>
      <c r="T3220" s="505"/>
      <c r="U3220" s="505"/>
      <c r="V3220" s="505"/>
      <c r="W3220" s="505"/>
      <c r="X3220" s="505"/>
      <c r="Y3220" s="505"/>
    </row>
    <row r="3221" spans="1:25" s="88" customFormat="1" hidden="1" x14ac:dyDescent="0.25">
      <c r="A3221" s="258"/>
      <c r="B3221" s="258"/>
      <c r="C3221" s="261"/>
      <c r="D3221" s="258"/>
      <c r="E3221" s="679"/>
      <c r="F3221" s="499">
        <v>432</v>
      </c>
      <c r="G3221" s="492" t="s">
        <v>4146</v>
      </c>
      <c r="H3221" s="555"/>
      <c r="I3221" s="556"/>
      <c r="J3221" s="556">
        <f t="shared" si="111"/>
        <v>0</v>
      </c>
      <c r="K3221" s="505"/>
      <c r="L3221" s="505"/>
      <c r="M3221" s="505"/>
      <c r="N3221" s="505"/>
      <c r="O3221" s="505"/>
      <c r="P3221" s="505"/>
      <c r="Q3221" s="505"/>
      <c r="R3221" s="505"/>
      <c r="S3221" s="505"/>
      <c r="T3221" s="505"/>
      <c r="U3221" s="505"/>
      <c r="V3221" s="505"/>
      <c r="W3221" s="505"/>
      <c r="X3221" s="505"/>
      <c r="Y3221" s="505"/>
    </row>
    <row r="3222" spans="1:25" s="88" customFormat="1" hidden="1" x14ac:dyDescent="0.25">
      <c r="A3222" s="258"/>
      <c r="B3222" s="258"/>
      <c r="C3222" s="261"/>
      <c r="D3222" s="258"/>
      <c r="E3222" s="679"/>
      <c r="F3222" s="499">
        <v>433</v>
      </c>
      <c r="G3222" s="492" t="s">
        <v>4147</v>
      </c>
      <c r="H3222" s="555"/>
      <c r="I3222" s="556"/>
      <c r="J3222" s="556">
        <f t="shared" si="111"/>
        <v>0</v>
      </c>
      <c r="K3222" s="505"/>
      <c r="L3222" s="505"/>
      <c r="M3222" s="505"/>
      <c r="N3222" s="505"/>
      <c r="O3222" s="505"/>
      <c r="P3222" s="505"/>
      <c r="Q3222" s="505"/>
      <c r="R3222" s="505"/>
      <c r="S3222" s="505"/>
      <c r="T3222" s="505"/>
      <c r="U3222" s="505"/>
      <c r="V3222" s="505"/>
      <c r="W3222" s="505"/>
      <c r="X3222" s="505"/>
      <c r="Y3222" s="505"/>
    </row>
    <row r="3223" spans="1:25" s="88" customFormat="1" hidden="1" x14ac:dyDescent="0.25">
      <c r="A3223" s="258"/>
      <c r="B3223" s="258"/>
      <c r="C3223" s="261"/>
      <c r="D3223" s="258"/>
      <c r="E3223" s="679"/>
      <c r="F3223" s="499">
        <v>434</v>
      </c>
      <c r="G3223" s="492" t="s">
        <v>4148</v>
      </c>
      <c r="H3223" s="555"/>
      <c r="I3223" s="556"/>
      <c r="J3223" s="556">
        <f t="shared" si="111"/>
        <v>0</v>
      </c>
      <c r="K3223" s="505"/>
      <c r="L3223" s="505"/>
      <c r="M3223" s="505"/>
      <c r="N3223" s="505"/>
      <c r="O3223" s="505"/>
      <c r="P3223" s="505"/>
      <c r="Q3223" s="505"/>
      <c r="R3223" s="505"/>
      <c r="S3223" s="505"/>
      <c r="T3223" s="505"/>
      <c r="U3223" s="505"/>
      <c r="V3223" s="505"/>
      <c r="W3223" s="505"/>
      <c r="X3223" s="505"/>
      <c r="Y3223" s="505"/>
    </row>
    <row r="3224" spans="1:25" s="88" customFormat="1" hidden="1" x14ac:dyDescent="0.25">
      <c r="A3224" s="258"/>
      <c r="B3224" s="258"/>
      <c r="C3224" s="261"/>
      <c r="D3224" s="258"/>
      <c r="E3224" s="679"/>
      <c r="F3224" s="499">
        <v>435</v>
      </c>
      <c r="G3224" s="492" t="s">
        <v>3794</v>
      </c>
      <c r="H3224" s="555"/>
      <c r="I3224" s="556"/>
      <c r="J3224" s="556">
        <f t="shared" si="111"/>
        <v>0</v>
      </c>
      <c r="K3224" s="505"/>
      <c r="L3224" s="505"/>
      <c r="M3224" s="505"/>
      <c r="N3224" s="505"/>
      <c r="O3224" s="505"/>
      <c r="P3224" s="505"/>
      <c r="Q3224" s="505"/>
      <c r="R3224" s="505"/>
      <c r="S3224" s="505"/>
      <c r="T3224" s="505"/>
      <c r="U3224" s="505"/>
      <c r="V3224" s="505"/>
      <c r="W3224" s="505"/>
      <c r="X3224" s="505"/>
      <c r="Y3224" s="505"/>
    </row>
    <row r="3225" spans="1:25" s="88" customFormat="1" hidden="1" x14ac:dyDescent="0.25">
      <c r="A3225" s="258"/>
      <c r="B3225" s="258"/>
      <c r="C3225" s="261"/>
      <c r="D3225" s="258"/>
      <c r="E3225" s="679"/>
      <c r="F3225" s="499">
        <v>441</v>
      </c>
      <c r="G3225" s="492" t="s">
        <v>4149</v>
      </c>
      <c r="H3225" s="555"/>
      <c r="I3225" s="556"/>
      <c r="J3225" s="556">
        <f t="shared" si="111"/>
        <v>0</v>
      </c>
      <c r="K3225" s="505"/>
      <c r="L3225" s="505"/>
      <c r="M3225" s="505"/>
      <c r="N3225" s="505"/>
      <c r="O3225" s="505"/>
      <c r="P3225" s="505"/>
      <c r="Q3225" s="505"/>
      <c r="R3225" s="505"/>
      <c r="S3225" s="505"/>
      <c r="T3225" s="505"/>
      <c r="U3225" s="505"/>
      <c r="V3225" s="505"/>
      <c r="W3225" s="505"/>
      <c r="X3225" s="505"/>
      <c r="Y3225" s="505"/>
    </row>
    <row r="3226" spans="1:25" s="88" customFormat="1" hidden="1" x14ac:dyDescent="0.25">
      <c r="A3226" s="258"/>
      <c r="B3226" s="258"/>
      <c r="C3226" s="261"/>
      <c r="D3226" s="258"/>
      <c r="E3226" s="679"/>
      <c r="F3226" s="499">
        <v>442</v>
      </c>
      <c r="G3226" s="492" t="s">
        <v>4150</v>
      </c>
      <c r="H3226" s="555"/>
      <c r="I3226" s="556"/>
      <c r="J3226" s="556">
        <f t="shared" si="111"/>
        <v>0</v>
      </c>
      <c r="K3226" s="505"/>
      <c r="L3226" s="505"/>
      <c r="M3226" s="505"/>
      <c r="N3226" s="505"/>
      <c r="O3226" s="505"/>
      <c r="P3226" s="505"/>
      <c r="Q3226" s="505"/>
      <c r="R3226" s="505"/>
      <c r="S3226" s="505"/>
      <c r="T3226" s="505"/>
      <c r="U3226" s="505"/>
      <c r="V3226" s="505"/>
      <c r="W3226" s="505"/>
      <c r="X3226" s="505"/>
      <c r="Y3226" s="505"/>
    </row>
    <row r="3227" spans="1:25" s="88" customFormat="1" hidden="1" x14ac:dyDescent="0.25">
      <c r="A3227" s="258"/>
      <c r="B3227" s="258"/>
      <c r="C3227" s="261"/>
      <c r="D3227" s="258"/>
      <c r="E3227" s="679"/>
      <c r="F3227" s="499">
        <v>443</v>
      </c>
      <c r="G3227" s="492" t="s">
        <v>3799</v>
      </c>
      <c r="H3227" s="555"/>
      <c r="I3227" s="556"/>
      <c r="J3227" s="556">
        <f t="shared" si="111"/>
        <v>0</v>
      </c>
      <c r="K3227" s="505"/>
      <c r="L3227" s="505"/>
      <c r="M3227" s="505"/>
      <c r="N3227" s="505"/>
      <c r="O3227" s="505"/>
      <c r="P3227" s="505"/>
      <c r="Q3227" s="505"/>
      <c r="R3227" s="505"/>
      <c r="S3227" s="505"/>
      <c r="T3227" s="505"/>
      <c r="U3227" s="505"/>
      <c r="V3227" s="505"/>
      <c r="W3227" s="505"/>
      <c r="X3227" s="505"/>
      <c r="Y3227" s="505"/>
    </row>
    <row r="3228" spans="1:25" s="88" customFormat="1" hidden="1" x14ac:dyDescent="0.25">
      <c r="A3228" s="258"/>
      <c r="B3228" s="258"/>
      <c r="C3228" s="261"/>
      <c r="D3228" s="258"/>
      <c r="E3228" s="679"/>
      <c r="F3228" s="499">
        <v>444</v>
      </c>
      <c r="G3228" s="492" t="s">
        <v>3800</v>
      </c>
      <c r="H3228" s="555"/>
      <c r="I3228" s="556"/>
      <c r="J3228" s="556">
        <f t="shared" si="111"/>
        <v>0</v>
      </c>
      <c r="K3228" s="505"/>
      <c r="L3228" s="505"/>
      <c r="M3228" s="505"/>
      <c r="N3228" s="505"/>
      <c r="O3228" s="505"/>
      <c r="P3228" s="505"/>
      <c r="Q3228" s="505"/>
      <c r="R3228" s="505"/>
      <c r="S3228" s="505"/>
      <c r="T3228" s="505"/>
      <c r="U3228" s="505"/>
      <c r="V3228" s="505"/>
      <c r="W3228" s="505"/>
      <c r="X3228" s="505"/>
      <c r="Y3228" s="505"/>
    </row>
    <row r="3229" spans="1:25" s="88" customFormat="1" ht="30" hidden="1" x14ac:dyDescent="0.25">
      <c r="A3229" s="258"/>
      <c r="B3229" s="258"/>
      <c r="C3229" s="261"/>
      <c r="D3229" s="258"/>
      <c r="E3229" s="679"/>
      <c r="F3229" s="499">
        <v>4511</v>
      </c>
      <c r="G3229" s="771" t="s">
        <v>1690</v>
      </c>
      <c r="H3229" s="555"/>
      <c r="I3229" s="556"/>
      <c r="J3229" s="556">
        <f t="shared" si="111"/>
        <v>0</v>
      </c>
      <c r="K3229" s="505"/>
      <c r="L3229" s="505"/>
      <c r="M3229" s="505"/>
      <c r="N3229" s="505"/>
      <c r="O3229" s="505"/>
      <c r="P3229" s="505"/>
      <c r="Q3229" s="505"/>
      <c r="R3229" s="505"/>
      <c r="S3229" s="505"/>
      <c r="T3229" s="505"/>
      <c r="U3229" s="505"/>
      <c r="V3229" s="505"/>
      <c r="W3229" s="505"/>
      <c r="X3229" s="505"/>
      <c r="Y3229" s="505"/>
    </row>
    <row r="3230" spans="1:25" s="88" customFormat="1" ht="30" hidden="1" x14ac:dyDescent="0.25">
      <c r="A3230" s="258"/>
      <c r="B3230" s="258"/>
      <c r="C3230" s="261"/>
      <c r="D3230" s="258"/>
      <c r="E3230" s="679"/>
      <c r="F3230" s="499">
        <v>4512</v>
      </c>
      <c r="G3230" s="771" t="s">
        <v>1699</v>
      </c>
      <c r="H3230" s="555"/>
      <c r="I3230" s="556"/>
      <c r="J3230" s="556">
        <f t="shared" si="111"/>
        <v>0</v>
      </c>
      <c r="K3230" s="505"/>
      <c r="L3230" s="505"/>
      <c r="M3230" s="505"/>
      <c r="N3230" s="505"/>
      <c r="O3230" s="505"/>
      <c r="P3230" s="505"/>
      <c r="Q3230" s="505"/>
      <c r="R3230" s="505"/>
      <c r="S3230" s="505"/>
      <c r="T3230" s="505"/>
      <c r="U3230" s="505"/>
      <c r="V3230" s="505"/>
      <c r="W3230" s="505"/>
      <c r="X3230" s="505"/>
      <c r="Y3230" s="505"/>
    </row>
    <row r="3231" spans="1:25" s="88" customFormat="1" hidden="1" x14ac:dyDescent="0.25">
      <c r="A3231" s="258"/>
      <c r="B3231" s="258"/>
      <c r="C3231" s="261"/>
      <c r="D3231" s="258"/>
      <c r="E3231" s="679"/>
      <c r="F3231" s="499">
        <v>452</v>
      </c>
      <c r="G3231" s="492" t="s">
        <v>4151</v>
      </c>
      <c r="H3231" s="555"/>
      <c r="I3231" s="556"/>
      <c r="J3231" s="556">
        <f t="shared" si="111"/>
        <v>0</v>
      </c>
      <c r="K3231" s="505"/>
      <c r="L3231" s="505"/>
      <c r="M3231" s="505"/>
      <c r="N3231" s="505"/>
      <c r="O3231" s="505"/>
      <c r="P3231" s="505"/>
      <c r="Q3231" s="505"/>
      <c r="R3231" s="505"/>
      <c r="S3231" s="505"/>
      <c r="T3231" s="505"/>
      <c r="U3231" s="505"/>
      <c r="V3231" s="505"/>
      <c r="W3231" s="505"/>
      <c r="X3231" s="505"/>
      <c r="Y3231" s="505"/>
    </row>
    <row r="3232" spans="1:25" s="88" customFormat="1" hidden="1" x14ac:dyDescent="0.25">
      <c r="A3232" s="258"/>
      <c r="B3232" s="258"/>
      <c r="C3232" s="261"/>
      <c r="D3232" s="258"/>
      <c r="E3232" s="679"/>
      <c r="F3232" s="499">
        <v>453</v>
      </c>
      <c r="G3232" s="492" t="s">
        <v>4152</v>
      </c>
      <c r="H3232" s="555"/>
      <c r="I3232" s="556"/>
      <c r="J3232" s="556">
        <f t="shared" si="111"/>
        <v>0</v>
      </c>
      <c r="K3232" s="505"/>
      <c r="L3232" s="505"/>
      <c r="M3232" s="505"/>
      <c r="N3232" s="505"/>
      <c r="O3232" s="505"/>
      <c r="P3232" s="505"/>
      <c r="Q3232" s="505"/>
      <c r="R3232" s="505"/>
      <c r="S3232" s="505"/>
      <c r="T3232" s="505"/>
      <c r="U3232" s="505"/>
      <c r="V3232" s="505"/>
      <c r="W3232" s="505"/>
      <c r="X3232" s="505"/>
      <c r="Y3232" s="505"/>
    </row>
    <row r="3233" spans="1:25" s="88" customFormat="1" hidden="1" x14ac:dyDescent="0.25">
      <c r="A3233" s="258"/>
      <c r="B3233" s="258"/>
      <c r="C3233" s="261"/>
      <c r="D3233" s="258"/>
      <c r="E3233" s="679"/>
      <c r="F3233" s="499">
        <v>454</v>
      </c>
      <c r="G3233" s="492" t="s">
        <v>3805</v>
      </c>
      <c r="H3233" s="555"/>
      <c r="I3233" s="556"/>
      <c r="J3233" s="556">
        <f t="shared" si="111"/>
        <v>0</v>
      </c>
      <c r="K3233" s="505"/>
      <c r="L3233" s="505"/>
      <c r="M3233" s="505"/>
      <c r="N3233" s="505"/>
      <c r="O3233" s="505"/>
      <c r="P3233" s="505"/>
      <c r="Q3233" s="505"/>
      <c r="R3233" s="505"/>
      <c r="S3233" s="505"/>
      <c r="T3233" s="505"/>
      <c r="U3233" s="505"/>
      <c r="V3233" s="505"/>
      <c r="W3233" s="505"/>
      <c r="X3233" s="505"/>
      <c r="Y3233" s="505"/>
    </row>
    <row r="3234" spans="1:25" s="88" customFormat="1" hidden="1" x14ac:dyDescent="0.25">
      <c r="A3234" s="258"/>
      <c r="B3234" s="258"/>
      <c r="C3234" s="261"/>
      <c r="D3234" s="258"/>
      <c r="E3234" s="679"/>
      <c r="F3234" s="499">
        <v>461</v>
      </c>
      <c r="G3234" s="492" t="s">
        <v>4133</v>
      </c>
      <c r="H3234" s="555"/>
      <c r="I3234" s="556"/>
      <c r="J3234" s="556">
        <f t="shared" si="111"/>
        <v>0</v>
      </c>
      <c r="K3234" s="505"/>
      <c r="L3234" s="505"/>
      <c r="M3234" s="505"/>
      <c r="N3234" s="505"/>
      <c r="O3234" s="505"/>
      <c r="P3234" s="505"/>
      <c r="Q3234" s="505"/>
      <c r="R3234" s="505"/>
      <c r="S3234" s="505"/>
      <c r="T3234" s="505"/>
      <c r="U3234" s="505"/>
      <c r="V3234" s="505"/>
      <c r="W3234" s="505"/>
      <c r="X3234" s="505"/>
      <c r="Y3234" s="505"/>
    </row>
    <row r="3235" spans="1:25" s="88" customFormat="1" hidden="1" x14ac:dyDescent="0.25">
      <c r="A3235" s="258"/>
      <c r="B3235" s="258"/>
      <c r="C3235" s="261"/>
      <c r="D3235" s="258"/>
      <c r="E3235" s="679"/>
      <c r="F3235" s="499">
        <v>462</v>
      </c>
      <c r="G3235" s="492" t="s">
        <v>3808</v>
      </c>
      <c r="H3235" s="555"/>
      <c r="I3235" s="556"/>
      <c r="J3235" s="556">
        <f t="shared" si="111"/>
        <v>0</v>
      </c>
      <c r="K3235" s="505"/>
      <c r="L3235" s="505"/>
      <c r="M3235" s="505"/>
      <c r="N3235" s="505"/>
      <c r="O3235" s="505"/>
      <c r="P3235" s="505"/>
      <c r="Q3235" s="505"/>
      <c r="R3235" s="505"/>
      <c r="S3235" s="505"/>
      <c r="T3235" s="505"/>
      <c r="U3235" s="505"/>
      <c r="V3235" s="505"/>
      <c r="W3235" s="505"/>
      <c r="X3235" s="505"/>
      <c r="Y3235" s="505"/>
    </row>
    <row r="3236" spans="1:25" s="88" customFormat="1" hidden="1" x14ac:dyDescent="0.25">
      <c r="A3236" s="258"/>
      <c r="B3236" s="258"/>
      <c r="C3236" s="261"/>
      <c r="D3236" s="258"/>
      <c r="E3236" s="679"/>
      <c r="F3236" s="499">
        <v>4631</v>
      </c>
      <c r="G3236" s="492" t="s">
        <v>3809</v>
      </c>
      <c r="H3236" s="555"/>
      <c r="I3236" s="556"/>
      <c r="J3236" s="556">
        <f t="shared" si="111"/>
        <v>0</v>
      </c>
      <c r="K3236" s="505"/>
      <c r="L3236" s="505"/>
      <c r="M3236" s="505"/>
      <c r="N3236" s="505"/>
      <c r="O3236" s="505"/>
      <c r="P3236" s="505"/>
      <c r="Q3236" s="505"/>
      <c r="R3236" s="505"/>
      <c r="S3236" s="505"/>
      <c r="T3236" s="505"/>
      <c r="U3236" s="505"/>
      <c r="V3236" s="505"/>
      <c r="W3236" s="505"/>
      <c r="X3236" s="505"/>
      <c r="Y3236" s="505"/>
    </row>
    <row r="3237" spans="1:25" s="88" customFormat="1" hidden="1" x14ac:dyDescent="0.25">
      <c r="A3237" s="258"/>
      <c r="B3237" s="258"/>
      <c r="C3237" s="261"/>
      <c r="D3237" s="258"/>
      <c r="E3237" s="679"/>
      <c r="F3237" s="499">
        <v>4632</v>
      </c>
      <c r="G3237" s="492" t="s">
        <v>3810</v>
      </c>
      <c r="H3237" s="555"/>
      <c r="I3237" s="556"/>
      <c r="J3237" s="556">
        <f t="shared" si="111"/>
        <v>0</v>
      </c>
      <c r="K3237" s="505"/>
      <c r="L3237" s="505"/>
      <c r="M3237" s="505"/>
      <c r="N3237" s="505"/>
      <c r="O3237" s="505"/>
      <c r="P3237" s="505"/>
      <c r="Q3237" s="505"/>
      <c r="R3237" s="505"/>
      <c r="S3237" s="505"/>
      <c r="T3237" s="505"/>
      <c r="U3237" s="505"/>
      <c r="V3237" s="505"/>
      <c r="W3237" s="505"/>
      <c r="X3237" s="505"/>
      <c r="Y3237" s="505"/>
    </row>
    <row r="3238" spans="1:25" s="88" customFormat="1" hidden="1" x14ac:dyDescent="0.25">
      <c r="A3238" s="258"/>
      <c r="B3238" s="258"/>
      <c r="C3238" s="261"/>
      <c r="D3238" s="258"/>
      <c r="E3238" s="679"/>
      <c r="F3238" s="499">
        <v>464</v>
      </c>
      <c r="G3238" s="492" t="s">
        <v>3811</v>
      </c>
      <c r="H3238" s="555"/>
      <c r="I3238" s="556"/>
      <c r="J3238" s="556">
        <f t="shared" si="111"/>
        <v>0</v>
      </c>
      <c r="K3238" s="505"/>
      <c r="L3238" s="505"/>
      <c r="M3238" s="505"/>
      <c r="N3238" s="505"/>
      <c r="O3238" s="505"/>
      <c r="P3238" s="505"/>
      <c r="Q3238" s="505"/>
      <c r="R3238" s="505"/>
      <c r="S3238" s="505"/>
      <c r="T3238" s="505"/>
      <c r="U3238" s="505"/>
      <c r="V3238" s="505"/>
      <c r="W3238" s="505"/>
      <c r="X3238" s="505"/>
      <c r="Y3238" s="505"/>
    </row>
    <row r="3239" spans="1:25" s="88" customFormat="1" hidden="1" x14ac:dyDescent="0.25">
      <c r="A3239" s="258"/>
      <c r="B3239" s="258"/>
      <c r="C3239" s="261"/>
      <c r="D3239" s="258"/>
      <c r="E3239" s="679"/>
      <c r="F3239" s="499">
        <v>465</v>
      </c>
      <c r="G3239" s="492" t="s">
        <v>4134</v>
      </c>
      <c r="H3239" s="555"/>
      <c r="I3239" s="556"/>
      <c r="J3239" s="556">
        <f t="shared" si="111"/>
        <v>0</v>
      </c>
      <c r="K3239" s="505"/>
      <c r="L3239" s="505"/>
      <c r="M3239" s="505"/>
      <c r="N3239" s="505"/>
      <c r="O3239" s="505"/>
      <c r="P3239" s="505"/>
      <c r="Q3239" s="505"/>
      <c r="R3239" s="505"/>
      <c r="S3239" s="505"/>
      <c r="T3239" s="505"/>
      <c r="U3239" s="505"/>
      <c r="V3239" s="505"/>
      <c r="W3239" s="505"/>
      <c r="X3239" s="505"/>
      <c r="Y3239" s="505"/>
    </row>
    <row r="3240" spans="1:25" s="88" customFormat="1" hidden="1" x14ac:dyDescent="0.25">
      <c r="A3240" s="258"/>
      <c r="B3240" s="258"/>
      <c r="C3240" s="261"/>
      <c r="D3240" s="258"/>
      <c r="E3240" s="679"/>
      <c r="F3240" s="499">
        <v>472</v>
      </c>
      <c r="G3240" s="492" t="s">
        <v>3815</v>
      </c>
      <c r="H3240" s="555"/>
      <c r="I3240" s="556"/>
      <c r="J3240" s="556">
        <f t="shared" si="111"/>
        <v>0</v>
      </c>
      <c r="K3240" s="505"/>
      <c r="L3240" s="505"/>
      <c r="M3240" s="505"/>
      <c r="N3240" s="505"/>
      <c r="O3240" s="505"/>
      <c r="P3240" s="505"/>
      <c r="Q3240" s="505"/>
      <c r="R3240" s="505"/>
      <c r="S3240" s="505"/>
      <c r="T3240" s="505"/>
      <c r="U3240" s="505"/>
      <c r="V3240" s="505"/>
      <c r="W3240" s="505"/>
      <c r="X3240" s="505"/>
      <c r="Y3240" s="505"/>
    </row>
    <row r="3241" spans="1:25" s="88" customFormat="1" hidden="1" x14ac:dyDescent="0.25">
      <c r="A3241" s="258"/>
      <c r="B3241" s="258"/>
      <c r="C3241" s="261"/>
      <c r="D3241" s="258"/>
      <c r="E3241" s="679"/>
      <c r="F3241" s="499">
        <v>481</v>
      </c>
      <c r="G3241" s="492" t="s">
        <v>4153</v>
      </c>
      <c r="H3241" s="555"/>
      <c r="I3241" s="556"/>
      <c r="J3241" s="556">
        <f t="shared" si="111"/>
        <v>0</v>
      </c>
      <c r="K3241" s="505"/>
      <c r="L3241" s="505"/>
      <c r="M3241" s="505"/>
      <c r="N3241" s="505"/>
      <c r="O3241" s="505"/>
      <c r="P3241" s="505"/>
      <c r="Q3241" s="505"/>
      <c r="R3241" s="505"/>
      <c r="S3241" s="505"/>
      <c r="T3241" s="505"/>
      <c r="U3241" s="505"/>
      <c r="V3241" s="505"/>
      <c r="W3241" s="505"/>
      <c r="X3241" s="505"/>
      <c r="Y3241" s="505"/>
    </row>
    <row r="3242" spans="1:25" s="88" customFormat="1" hidden="1" x14ac:dyDescent="0.25">
      <c r="A3242" s="258"/>
      <c r="B3242" s="258"/>
      <c r="C3242" s="261"/>
      <c r="D3242" s="258"/>
      <c r="E3242" s="679"/>
      <c r="F3242" s="499">
        <v>482</v>
      </c>
      <c r="G3242" s="492" t="s">
        <v>4154</v>
      </c>
      <c r="H3242" s="555"/>
      <c r="I3242" s="556"/>
      <c r="J3242" s="556">
        <f t="shared" si="111"/>
        <v>0</v>
      </c>
      <c r="K3242" s="505"/>
      <c r="L3242" s="505"/>
      <c r="M3242" s="505"/>
      <c r="N3242" s="505"/>
      <c r="O3242" s="505"/>
      <c r="P3242" s="505"/>
      <c r="Q3242" s="505"/>
      <c r="R3242" s="505"/>
      <c r="S3242" s="505"/>
      <c r="T3242" s="505"/>
      <c r="U3242" s="505"/>
      <c r="V3242" s="505"/>
      <c r="W3242" s="505"/>
      <c r="X3242" s="505"/>
      <c r="Y3242" s="505"/>
    </row>
    <row r="3243" spans="1:25" s="88" customFormat="1" hidden="1" x14ac:dyDescent="0.25">
      <c r="A3243" s="258"/>
      <c r="B3243" s="258"/>
      <c r="C3243" s="261"/>
      <c r="D3243" s="258"/>
      <c r="E3243" s="679"/>
      <c r="F3243" s="499">
        <v>483</v>
      </c>
      <c r="G3243" s="496" t="s">
        <v>4155</v>
      </c>
      <c r="H3243" s="555"/>
      <c r="I3243" s="556"/>
      <c r="J3243" s="556">
        <f t="shared" si="111"/>
        <v>0</v>
      </c>
      <c r="K3243" s="505"/>
      <c r="L3243" s="505"/>
      <c r="M3243" s="505"/>
      <c r="N3243" s="505"/>
      <c r="O3243" s="505"/>
      <c r="P3243" s="505"/>
      <c r="Q3243" s="505"/>
      <c r="R3243" s="505"/>
      <c r="S3243" s="505"/>
      <c r="T3243" s="505"/>
      <c r="U3243" s="505"/>
      <c r="V3243" s="505"/>
      <c r="W3243" s="505"/>
      <c r="X3243" s="505"/>
      <c r="Y3243" s="505"/>
    </row>
    <row r="3244" spans="1:25" s="88" customFormat="1" ht="30" hidden="1" x14ac:dyDescent="0.25">
      <c r="A3244" s="258"/>
      <c r="B3244" s="258"/>
      <c r="C3244" s="261"/>
      <c r="D3244" s="258"/>
      <c r="E3244" s="679"/>
      <c r="F3244" s="499">
        <v>484</v>
      </c>
      <c r="G3244" s="492" t="s">
        <v>4156</v>
      </c>
      <c r="H3244" s="555"/>
      <c r="I3244" s="556"/>
      <c r="J3244" s="556">
        <f t="shared" si="111"/>
        <v>0</v>
      </c>
      <c r="K3244" s="505"/>
      <c r="L3244" s="505"/>
      <c r="M3244" s="505"/>
      <c r="N3244" s="505"/>
      <c r="O3244" s="505"/>
      <c r="P3244" s="505"/>
      <c r="Q3244" s="505"/>
      <c r="R3244" s="505"/>
      <c r="S3244" s="505"/>
      <c r="T3244" s="505"/>
      <c r="U3244" s="505"/>
      <c r="V3244" s="505"/>
      <c r="W3244" s="505"/>
      <c r="X3244" s="505"/>
      <c r="Y3244" s="505"/>
    </row>
    <row r="3245" spans="1:25" s="88" customFormat="1" ht="30" hidden="1" x14ac:dyDescent="0.25">
      <c r="A3245" s="258"/>
      <c r="B3245" s="258"/>
      <c r="C3245" s="261"/>
      <c r="D3245" s="258"/>
      <c r="E3245" s="679"/>
      <c r="F3245" s="499">
        <v>485</v>
      </c>
      <c r="G3245" s="492" t="s">
        <v>4157</v>
      </c>
      <c r="H3245" s="555"/>
      <c r="I3245" s="556"/>
      <c r="J3245" s="556">
        <f t="shared" si="111"/>
        <v>0</v>
      </c>
      <c r="K3245" s="505"/>
      <c r="L3245" s="505"/>
      <c r="M3245" s="505"/>
      <c r="N3245" s="505"/>
      <c r="O3245" s="505"/>
      <c r="P3245" s="505"/>
      <c r="Q3245" s="505"/>
      <c r="R3245" s="505"/>
      <c r="S3245" s="505"/>
      <c r="T3245" s="505"/>
      <c r="U3245" s="505"/>
      <c r="V3245" s="505"/>
      <c r="W3245" s="505"/>
      <c r="X3245" s="505"/>
      <c r="Y3245" s="505"/>
    </row>
    <row r="3246" spans="1:25" s="88" customFormat="1" ht="30" hidden="1" x14ac:dyDescent="0.25">
      <c r="A3246" s="258"/>
      <c r="B3246" s="258"/>
      <c r="C3246" s="261"/>
      <c r="D3246" s="258"/>
      <c r="E3246" s="679"/>
      <c r="F3246" s="499">
        <v>489</v>
      </c>
      <c r="G3246" s="492" t="s">
        <v>3823</v>
      </c>
      <c r="H3246" s="555"/>
      <c r="I3246" s="556"/>
      <c r="J3246" s="556">
        <f t="shared" si="111"/>
        <v>0</v>
      </c>
      <c r="K3246" s="505"/>
      <c r="L3246" s="505"/>
      <c r="M3246" s="505"/>
      <c r="N3246" s="505"/>
      <c r="O3246" s="505"/>
      <c r="P3246" s="505"/>
      <c r="Q3246" s="505"/>
      <c r="R3246" s="505"/>
      <c r="S3246" s="505"/>
      <c r="T3246" s="505"/>
      <c r="U3246" s="505"/>
      <c r="V3246" s="505"/>
      <c r="W3246" s="505"/>
      <c r="X3246" s="505"/>
      <c r="Y3246" s="505"/>
    </row>
    <row r="3247" spans="1:25" s="88" customFormat="1" hidden="1" x14ac:dyDescent="0.25">
      <c r="A3247" s="258"/>
      <c r="B3247" s="258"/>
      <c r="C3247" s="261"/>
      <c r="D3247" s="258"/>
      <c r="E3247" s="679"/>
      <c r="F3247" s="499">
        <v>494</v>
      </c>
      <c r="G3247" s="492" t="s">
        <v>4135</v>
      </c>
      <c r="H3247" s="555"/>
      <c r="I3247" s="556"/>
      <c r="J3247" s="556">
        <f t="shared" si="111"/>
        <v>0</v>
      </c>
      <c r="K3247" s="505"/>
      <c r="L3247" s="505"/>
      <c r="M3247" s="505"/>
      <c r="N3247" s="505"/>
      <c r="O3247" s="505"/>
      <c r="P3247" s="505"/>
      <c r="Q3247" s="505"/>
      <c r="R3247" s="505"/>
      <c r="S3247" s="505"/>
      <c r="T3247" s="505"/>
      <c r="U3247" s="505"/>
      <c r="V3247" s="505"/>
      <c r="W3247" s="505"/>
      <c r="X3247" s="505"/>
      <c r="Y3247" s="505"/>
    </row>
    <row r="3248" spans="1:25" s="88" customFormat="1" ht="30" hidden="1" x14ac:dyDescent="0.25">
      <c r="A3248" s="258"/>
      <c r="B3248" s="258"/>
      <c r="C3248" s="261"/>
      <c r="D3248" s="258"/>
      <c r="E3248" s="679"/>
      <c r="F3248" s="499">
        <v>495</v>
      </c>
      <c r="G3248" s="492" t="s">
        <v>4136</v>
      </c>
      <c r="H3248" s="555"/>
      <c r="I3248" s="556"/>
      <c r="J3248" s="556">
        <f t="shared" si="111"/>
        <v>0</v>
      </c>
      <c r="K3248" s="505"/>
      <c r="L3248" s="505"/>
      <c r="M3248" s="505"/>
      <c r="N3248" s="505"/>
      <c r="O3248" s="505"/>
      <c r="P3248" s="505"/>
      <c r="Q3248" s="505"/>
      <c r="R3248" s="505"/>
      <c r="S3248" s="505"/>
      <c r="T3248" s="505"/>
      <c r="U3248" s="505"/>
      <c r="V3248" s="505"/>
      <c r="W3248" s="505"/>
      <c r="X3248" s="505"/>
      <c r="Y3248" s="505"/>
    </row>
    <row r="3249" spans="1:25" s="88" customFormat="1" ht="30" hidden="1" x14ac:dyDescent="0.25">
      <c r="A3249" s="258"/>
      <c r="B3249" s="258"/>
      <c r="C3249" s="261"/>
      <c r="D3249" s="258"/>
      <c r="E3249" s="679"/>
      <c r="F3249" s="499">
        <v>496</v>
      </c>
      <c r="G3249" s="492" t="s">
        <v>4137</v>
      </c>
      <c r="H3249" s="555"/>
      <c r="I3249" s="556"/>
      <c r="J3249" s="556">
        <f t="shared" si="111"/>
        <v>0</v>
      </c>
      <c r="K3249" s="505"/>
      <c r="L3249" s="505"/>
      <c r="M3249" s="505"/>
      <c r="N3249" s="505"/>
      <c r="O3249" s="505"/>
      <c r="P3249" s="505"/>
      <c r="Q3249" s="505"/>
      <c r="R3249" s="505"/>
      <c r="S3249" s="505"/>
      <c r="T3249" s="505"/>
      <c r="U3249" s="505"/>
      <c r="V3249" s="505"/>
      <c r="W3249" s="505"/>
      <c r="X3249" s="505"/>
      <c r="Y3249" s="505"/>
    </row>
    <row r="3250" spans="1:25" s="88" customFormat="1" ht="30" hidden="1" x14ac:dyDescent="0.25">
      <c r="A3250" s="258"/>
      <c r="B3250" s="258"/>
      <c r="C3250" s="261"/>
      <c r="D3250" s="258"/>
      <c r="E3250" s="679"/>
      <c r="F3250" s="499">
        <v>499</v>
      </c>
      <c r="G3250" s="492" t="s">
        <v>4138</v>
      </c>
      <c r="H3250" s="555"/>
      <c r="I3250" s="556"/>
      <c r="J3250" s="556">
        <f t="shared" si="111"/>
        <v>0</v>
      </c>
      <c r="K3250" s="505"/>
      <c r="L3250" s="505"/>
      <c r="M3250" s="505"/>
      <c r="N3250" s="505"/>
      <c r="O3250" s="505"/>
      <c r="P3250" s="505"/>
      <c r="Q3250" s="505"/>
      <c r="R3250" s="505"/>
      <c r="S3250" s="505"/>
      <c r="T3250" s="505"/>
      <c r="U3250" s="505"/>
      <c r="V3250" s="505"/>
      <c r="W3250" s="505"/>
      <c r="X3250" s="505"/>
      <c r="Y3250" s="505"/>
    </row>
    <row r="3251" spans="1:25" s="88" customFormat="1" ht="45.75" thickBot="1" x14ac:dyDescent="0.3">
      <c r="A3251" s="258"/>
      <c r="B3251" s="258"/>
      <c r="C3251" s="261"/>
      <c r="D3251" s="258"/>
      <c r="E3251" s="679" t="s">
        <v>5367</v>
      </c>
      <c r="F3251" s="499">
        <v>511</v>
      </c>
      <c r="G3251" s="496" t="s">
        <v>5285</v>
      </c>
      <c r="H3251" s="555">
        <v>19000000</v>
      </c>
      <c r="I3251" s="556"/>
      <c r="J3251" s="556">
        <f t="shared" si="111"/>
        <v>19000000</v>
      </c>
      <c r="K3251" s="505"/>
      <c r="L3251" s="505"/>
      <c r="M3251" s="505"/>
      <c r="N3251" s="505"/>
      <c r="O3251" s="505"/>
      <c r="P3251" s="505"/>
      <c r="Q3251" s="505"/>
      <c r="R3251" s="505"/>
      <c r="S3251" s="505"/>
      <c r="T3251" s="505"/>
      <c r="U3251" s="505"/>
      <c r="V3251" s="505"/>
      <c r="W3251" s="505"/>
      <c r="X3251" s="505"/>
      <c r="Y3251" s="505"/>
    </row>
    <row r="3252" spans="1:25" s="88" customFormat="1" hidden="1" x14ac:dyDescent="0.25">
      <c r="A3252" s="258"/>
      <c r="B3252" s="258"/>
      <c r="C3252" s="261"/>
      <c r="D3252" s="258"/>
      <c r="E3252" s="679"/>
      <c r="F3252" s="499">
        <v>512</v>
      </c>
      <c r="G3252" s="496" t="s">
        <v>4159</v>
      </c>
      <c r="H3252" s="555"/>
      <c r="I3252" s="556"/>
      <c r="J3252" s="556">
        <f t="shared" si="111"/>
        <v>0</v>
      </c>
      <c r="K3252" s="505"/>
      <c r="L3252" s="505"/>
      <c r="M3252" s="505"/>
      <c r="N3252" s="505"/>
      <c r="O3252" s="505"/>
      <c r="P3252" s="505"/>
      <c r="Q3252" s="505"/>
      <c r="R3252" s="505"/>
      <c r="S3252" s="505"/>
      <c r="T3252" s="505"/>
      <c r="U3252" s="505"/>
      <c r="V3252" s="505"/>
      <c r="W3252" s="505"/>
      <c r="X3252" s="505"/>
      <c r="Y3252" s="505"/>
    </row>
    <row r="3253" spans="1:25" s="88" customFormat="1" hidden="1" x14ac:dyDescent="0.25">
      <c r="A3253" s="258"/>
      <c r="B3253" s="258"/>
      <c r="C3253" s="261"/>
      <c r="D3253" s="258"/>
      <c r="E3253" s="679"/>
      <c r="F3253" s="499">
        <v>513</v>
      </c>
      <c r="G3253" s="496" t="s">
        <v>4160</v>
      </c>
      <c r="H3253" s="555"/>
      <c r="I3253" s="556"/>
      <c r="J3253" s="556">
        <f t="shared" si="111"/>
        <v>0</v>
      </c>
      <c r="K3253" s="505"/>
      <c r="L3253" s="505"/>
      <c r="M3253" s="505"/>
      <c r="N3253" s="505"/>
      <c r="O3253" s="505"/>
      <c r="P3253" s="505"/>
      <c r="Q3253" s="505"/>
      <c r="R3253" s="505"/>
      <c r="S3253" s="505"/>
      <c r="T3253" s="505"/>
      <c r="U3253" s="505"/>
      <c r="V3253" s="505"/>
      <c r="W3253" s="505"/>
      <c r="X3253" s="505"/>
      <c r="Y3253" s="505"/>
    </row>
    <row r="3254" spans="1:25" s="88" customFormat="1" hidden="1" x14ac:dyDescent="0.25">
      <c r="A3254" s="258"/>
      <c r="B3254" s="258"/>
      <c r="C3254" s="261"/>
      <c r="D3254" s="258"/>
      <c r="E3254" s="679"/>
      <c r="F3254" s="499">
        <v>514</v>
      </c>
      <c r="G3254" s="492" t="s">
        <v>4161</v>
      </c>
      <c r="H3254" s="555"/>
      <c r="I3254" s="556"/>
      <c r="J3254" s="556">
        <f t="shared" si="111"/>
        <v>0</v>
      </c>
      <c r="K3254" s="505"/>
      <c r="L3254" s="505"/>
      <c r="M3254" s="505"/>
      <c r="N3254" s="505"/>
      <c r="O3254" s="505"/>
      <c r="P3254" s="505"/>
      <c r="Q3254" s="505"/>
      <c r="R3254" s="505"/>
      <c r="S3254" s="505"/>
      <c r="T3254" s="505"/>
      <c r="U3254" s="505"/>
      <c r="V3254" s="505"/>
      <c r="W3254" s="505"/>
      <c r="X3254" s="505"/>
      <c r="Y3254" s="505"/>
    </row>
    <row r="3255" spans="1:25" s="88" customFormat="1" hidden="1" x14ac:dyDescent="0.25">
      <c r="A3255" s="258"/>
      <c r="B3255" s="258"/>
      <c r="C3255" s="261"/>
      <c r="D3255" s="258"/>
      <c r="E3255" s="679"/>
      <c r="F3255" s="499">
        <v>515</v>
      </c>
      <c r="G3255" s="492" t="s">
        <v>3834</v>
      </c>
      <c r="H3255" s="555"/>
      <c r="I3255" s="556"/>
      <c r="J3255" s="556">
        <f t="shared" si="111"/>
        <v>0</v>
      </c>
      <c r="K3255" s="505"/>
      <c r="L3255" s="505"/>
      <c r="M3255" s="505"/>
      <c r="N3255" s="505"/>
      <c r="O3255" s="505"/>
      <c r="P3255" s="505"/>
      <c r="Q3255" s="505"/>
      <c r="R3255" s="505"/>
      <c r="S3255" s="505"/>
      <c r="T3255" s="505"/>
      <c r="U3255" s="505"/>
      <c r="V3255" s="505"/>
      <c r="W3255" s="505"/>
      <c r="X3255" s="505"/>
      <c r="Y3255" s="505"/>
    </row>
    <row r="3256" spans="1:25" s="88" customFormat="1" hidden="1" x14ac:dyDescent="0.25">
      <c r="A3256" s="258"/>
      <c r="B3256" s="258"/>
      <c r="C3256" s="261"/>
      <c r="D3256" s="258"/>
      <c r="E3256" s="679"/>
      <c r="F3256" s="499">
        <v>521</v>
      </c>
      <c r="G3256" s="492" t="s">
        <v>4162</v>
      </c>
      <c r="H3256" s="555"/>
      <c r="I3256" s="556"/>
      <c r="J3256" s="556">
        <f t="shared" si="111"/>
        <v>0</v>
      </c>
      <c r="K3256" s="505"/>
      <c r="L3256" s="505"/>
      <c r="M3256" s="505"/>
      <c r="N3256" s="505"/>
      <c r="O3256" s="505"/>
      <c r="P3256" s="505"/>
      <c r="Q3256" s="505"/>
      <c r="R3256" s="505"/>
      <c r="S3256" s="505"/>
      <c r="T3256" s="505"/>
      <c r="U3256" s="505"/>
      <c r="V3256" s="505"/>
      <c r="W3256" s="505"/>
      <c r="X3256" s="505"/>
      <c r="Y3256" s="505"/>
    </row>
    <row r="3257" spans="1:25" s="88" customFormat="1" hidden="1" x14ac:dyDescent="0.25">
      <c r="A3257" s="258"/>
      <c r="B3257" s="258"/>
      <c r="C3257" s="261"/>
      <c r="D3257" s="258"/>
      <c r="E3257" s="679"/>
      <c r="F3257" s="499">
        <v>522</v>
      </c>
      <c r="G3257" s="492" t="s">
        <v>4163</v>
      </c>
      <c r="H3257" s="555"/>
      <c r="I3257" s="556"/>
      <c r="J3257" s="556">
        <f t="shared" si="111"/>
        <v>0</v>
      </c>
      <c r="K3257" s="505"/>
      <c r="L3257" s="505"/>
      <c r="M3257" s="505"/>
      <c r="N3257" s="505"/>
      <c r="O3257" s="505"/>
      <c r="P3257" s="505"/>
      <c r="Q3257" s="505"/>
      <c r="R3257" s="505"/>
      <c r="S3257" s="505"/>
      <c r="T3257" s="505"/>
      <c r="U3257" s="505"/>
      <c r="V3257" s="505"/>
      <c r="W3257" s="505"/>
      <c r="X3257" s="505"/>
      <c r="Y3257" s="505"/>
    </row>
    <row r="3258" spans="1:25" s="88" customFormat="1" hidden="1" x14ac:dyDescent="0.25">
      <c r="A3258" s="258"/>
      <c r="B3258" s="258"/>
      <c r="C3258" s="261"/>
      <c r="D3258" s="258"/>
      <c r="E3258" s="679"/>
      <c r="F3258" s="499">
        <v>523</v>
      </c>
      <c r="G3258" s="492" t="s">
        <v>3839</v>
      </c>
      <c r="H3258" s="555"/>
      <c r="I3258" s="556"/>
      <c r="J3258" s="556">
        <f t="shared" si="111"/>
        <v>0</v>
      </c>
      <c r="K3258" s="505"/>
      <c r="L3258" s="505"/>
      <c r="M3258" s="505"/>
      <c r="N3258" s="505"/>
      <c r="O3258" s="505"/>
      <c r="P3258" s="505"/>
      <c r="Q3258" s="505"/>
      <c r="R3258" s="505"/>
      <c r="S3258" s="505"/>
      <c r="T3258" s="505"/>
      <c r="U3258" s="505"/>
      <c r="V3258" s="505"/>
      <c r="W3258" s="505"/>
      <c r="X3258" s="505"/>
      <c r="Y3258" s="505"/>
    </row>
    <row r="3259" spans="1:25" s="88" customFormat="1" hidden="1" x14ac:dyDescent="0.25">
      <c r="A3259" s="258"/>
      <c r="B3259" s="258"/>
      <c r="C3259" s="261"/>
      <c r="D3259" s="258"/>
      <c r="E3259" s="679"/>
      <c r="F3259" s="499">
        <v>531</v>
      </c>
      <c r="G3259" s="488" t="s">
        <v>4139</v>
      </c>
      <c r="H3259" s="555"/>
      <c r="I3259" s="556"/>
      <c r="J3259" s="556">
        <f t="shared" si="111"/>
        <v>0</v>
      </c>
      <c r="K3259" s="505"/>
      <c r="L3259" s="505"/>
      <c r="M3259" s="505"/>
      <c r="N3259" s="505"/>
      <c r="O3259" s="505"/>
      <c r="P3259" s="505"/>
      <c r="Q3259" s="505"/>
      <c r="R3259" s="505"/>
      <c r="S3259" s="505"/>
      <c r="T3259" s="505"/>
      <c r="U3259" s="505"/>
      <c r="V3259" s="505"/>
      <c r="W3259" s="505"/>
      <c r="X3259" s="505"/>
      <c r="Y3259" s="505"/>
    </row>
    <row r="3260" spans="1:25" s="88" customFormat="1" hidden="1" x14ac:dyDescent="0.25">
      <c r="A3260" s="258"/>
      <c r="B3260" s="258"/>
      <c r="C3260" s="261"/>
      <c r="D3260" s="258"/>
      <c r="E3260" s="679"/>
      <c r="F3260" s="499">
        <v>541</v>
      </c>
      <c r="G3260" s="492" t="s">
        <v>4164</v>
      </c>
      <c r="H3260" s="555"/>
      <c r="I3260" s="556"/>
      <c r="J3260" s="556">
        <f t="shared" si="111"/>
        <v>0</v>
      </c>
      <c r="K3260" s="505"/>
      <c r="L3260" s="505"/>
      <c r="M3260" s="505"/>
      <c r="N3260" s="505"/>
      <c r="O3260" s="505"/>
      <c r="P3260" s="505"/>
      <c r="Q3260" s="505"/>
      <c r="R3260" s="505"/>
      <c r="S3260" s="505"/>
      <c r="T3260" s="505"/>
      <c r="U3260" s="505"/>
      <c r="V3260" s="505"/>
      <c r="W3260" s="505"/>
      <c r="X3260" s="505"/>
      <c r="Y3260" s="505"/>
    </row>
    <row r="3261" spans="1:25" s="88" customFormat="1" hidden="1" x14ac:dyDescent="0.25">
      <c r="A3261" s="258"/>
      <c r="B3261" s="258"/>
      <c r="C3261" s="261"/>
      <c r="D3261" s="258"/>
      <c r="E3261" s="679"/>
      <c r="F3261" s="499">
        <v>542</v>
      </c>
      <c r="G3261" s="492" t="s">
        <v>4165</v>
      </c>
      <c r="H3261" s="555"/>
      <c r="I3261" s="556"/>
      <c r="J3261" s="556">
        <f t="shared" si="111"/>
        <v>0</v>
      </c>
      <c r="K3261" s="505"/>
      <c r="L3261" s="505"/>
      <c r="M3261" s="505"/>
      <c r="N3261" s="505"/>
      <c r="O3261" s="505"/>
      <c r="P3261" s="505"/>
      <c r="Q3261" s="505"/>
      <c r="R3261" s="505"/>
      <c r="S3261" s="505"/>
      <c r="T3261" s="505"/>
      <c r="U3261" s="505"/>
      <c r="V3261" s="505"/>
      <c r="W3261" s="505"/>
      <c r="X3261" s="505"/>
      <c r="Y3261" s="505"/>
    </row>
    <row r="3262" spans="1:25" s="88" customFormat="1" hidden="1" x14ac:dyDescent="0.25">
      <c r="A3262" s="258"/>
      <c r="B3262" s="258"/>
      <c r="C3262" s="261"/>
      <c r="D3262" s="258"/>
      <c r="E3262" s="679"/>
      <c r="F3262" s="499">
        <v>543</v>
      </c>
      <c r="G3262" s="492" t="s">
        <v>3844</v>
      </c>
      <c r="H3262" s="555"/>
      <c r="I3262" s="556"/>
      <c r="J3262" s="556">
        <f t="shared" si="111"/>
        <v>0</v>
      </c>
      <c r="K3262" s="505"/>
      <c r="L3262" s="505"/>
      <c r="M3262" s="505"/>
      <c r="N3262" s="505"/>
      <c r="O3262" s="505"/>
      <c r="P3262" s="505"/>
      <c r="Q3262" s="505"/>
      <c r="R3262" s="505"/>
      <c r="S3262" s="505"/>
      <c r="T3262" s="505"/>
      <c r="U3262" s="505"/>
      <c r="V3262" s="505"/>
      <c r="W3262" s="505"/>
      <c r="X3262" s="505"/>
      <c r="Y3262" s="505"/>
    </row>
    <row r="3263" spans="1:25" s="88" customFormat="1" ht="30" hidden="1" x14ac:dyDescent="0.25">
      <c r="A3263" s="258"/>
      <c r="B3263" s="258"/>
      <c r="C3263" s="261"/>
      <c r="D3263" s="258"/>
      <c r="E3263" s="679"/>
      <c r="F3263" s="499">
        <v>551</v>
      </c>
      <c r="G3263" s="492" t="s">
        <v>4140</v>
      </c>
      <c r="H3263" s="555"/>
      <c r="I3263" s="556"/>
      <c r="J3263" s="556">
        <f t="shared" si="111"/>
        <v>0</v>
      </c>
      <c r="K3263" s="505"/>
      <c r="L3263" s="505"/>
      <c r="M3263" s="505"/>
      <c r="N3263" s="505"/>
      <c r="O3263" s="505"/>
      <c r="P3263" s="505"/>
      <c r="Q3263" s="505"/>
      <c r="R3263" s="505"/>
      <c r="S3263" s="505"/>
      <c r="T3263" s="505"/>
      <c r="U3263" s="505"/>
      <c r="V3263" s="505"/>
      <c r="W3263" s="505"/>
      <c r="X3263" s="505"/>
      <c r="Y3263" s="505"/>
    </row>
    <row r="3264" spans="1:25" s="88" customFormat="1" hidden="1" x14ac:dyDescent="0.25">
      <c r="A3264" s="258"/>
      <c r="B3264" s="258"/>
      <c r="C3264" s="261"/>
      <c r="D3264" s="258"/>
      <c r="E3264" s="679"/>
      <c r="F3264" s="500">
        <v>611</v>
      </c>
      <c r="G3264" s="498" t="s">
        <v>3850</v>
      </c>
      <c r="H3264" s="555"/>
      <c r="I3264" s="556"/>
      <c r="J3264" s="556">
        <f t="shared" si="111"/>
        <v>0</v>
      </c>
      <c r="K3264" s="505"/>
      <c r="L3264" s="505"/>
      <c r="M3264" s="505"/>
      <c r="N3264" s="505"/>
      <c r="O3264" s="505"/>
      <c r="P3264" s="505"/>
      <c r="Q3264" s="505"/>
      <c r="R3264" s="505"/>
      <c r="S3264" s="505"/>
      <c r="T3264" s="505"/>
      <c r="U3264" s="505"/>
      <c r="V3264" s="505"/>
      <c r="W3264" s="505"/>
      <c r="X3264" s="505"/>
      <c r="Y3264" s="505"/>
    </row>
    <row r="3265" spans="1:25" s="88" customFormat="1" ht="15.75" hidden="1" thickBot="1" x14ac:dyDescent="0.3">
      <c r="A3265" s="258"/>
      <c r="B3265" s="258"/>
      <c r="C3265" s="261"/>
      <c r="D3265" s="258"/>
      <c r="E3265" s="679"/>
      <c r="F3265" s="500">
        <v>620</v>
      </c>
      <c r="G3265" s="498" t="s">
        <v>88</v>
      </c>
      <c r="H3265" s="555"/>
      <c r="I3265" s="556"/>
      <c r="J3265" s="556">
        <f t="shared" si="111"/>
        <v>0</v>
      </c>
      <c r="K3265" s="505"/>
      <c r="L3265" s="505"/>
      <c r="M3265" s="505"/>
      <c r="N3265" s="505"/>
      <c r="O3265" s="505"/>
      <c r="P3265" s="505"/>
      <c r="Q3265" s="505"/>
      <c r="R3265" s="505"/>
      <c r="S3265" s="505"/>
      <c r="T3265" s="505"/>
      <c r="U3265" s="505"/>
      <c r="V3265" s="505"/>
      <c r="W3265" s="505"/>
      <c r="X3265" s="505"/>
      <c r="Y3265" s="505"/>
    </row>
    <row r="3266" spans="1:25" s="88" customFormat="1" x14ac:dyDescent="0.25">
      <c r="A3266" s="258"/>
      <c r="B3266" s="258"/>
      <c r="C3266" s="261"/>
      <c r="D3266" s="258"/>
      <c r="E3266" s="489"/>
      <c r="F3266" s="500"/>
      <c r="G3266" s="343" t="s">
        <v>4335</v>
      </c>
      <c r="H3266" s="557"/>
      <c r="I3266" s="583"/>
      <c r="J3266" s="558"/>
      <c r="K3266" s="505"/>
      <c r="L3266" s="505"/>
      <c r="M3266" s="505"/>
      <c r="N3266" s="505"/>
      <c r="O3266" s="505"/>
      <c r="P3266" s="505"/>
      <c r="Q3266" s="505"/>
      <c r="R3266" s="505"/>
      <c r="S3266" s="505"/>
      <c r="T3266" s="505"/>
      <c r="U3266" s="505"/>
      <c r="V3266" s="505"/>
      <c r="W3266" s="505"/>
      <c r="X3266" s="505"/>
      <c r="Y3266" s="505"/>
    </row>
    <row r="3267" spans="1:25" s="88" customFormat="1" ht="15" customHeight="1" x14ac:dyDescent="0.25">
      <c r="A3267" s="258"/>
      <c r="B3267" s="258"/>
      <c r="C3267" s="261"/>
      <c r="D3267" s="258"/>
      <c r="E3267" s="693"/>
      <c r="F3267" s="597" t="s">
        <v>234</v>
      </c>
      <c r="G3267" s="598" t="s">
        <v>235</v>
      </c>
      <c r="H3267" s="559">
        <v>16200000</v>
      </c>
      <c r="I3267" s="560"/>
      <c r="J3267" s="560">
        <f t="shared" ref="J3267:J3282" si="112">SUM(H3267:I3267)</f>
        <v>16200000</v>
      </c>
      <c r="K3267" s="505"/>
      <c r="L3267" s="505"/>
      <c r="M3267" s="505"/>
      <c r="N3267" s="505"/>
      <c r="O3267" s="505"/>
      <c r="P3267" s="505"/>
      <c r="Q3267" s="505"/>
      <c r="R3267" s="505"/>
      <c r="S3267" s="505"/>
      <c r="T3267" s="505"/>
      <c r="U3267" s="505"/>
      <c r="V3267" s="505"/>
      <c r="W3267" s="505"/>
      <c r="X3267" s="505"/>
      <c r="Y3267" s="505"/>
    </row>
    <row r="3268" spans="1:25" s="88" customFormat="1" hidden="1" x14ac:dyDescent="0.25">
      <c r="A3268" s="258"/>
      <c r="B3268" s="258"/>
      <c r="C3268" s="261"/>
      <c r="D3268" s="258"/>
      <c r="E3268" s="679"/>
      <c r="F3268" s="597" t="s">
        <v>236</v>
      </c>
      <c r="G3268" s="598" t="s">
        <v>237</v>
      </c>
      <c r="H3268" s="555"/>
      <c r="I3268" s="556"/>
      <c r="J3268" s="560">
        <f t="shared" si="112"/>
        <v>0</v>
      </c>
      <c r="K3268" s="505"/>
      <c r="L3268" s="505"/>
      <c r="M3268" s="505"/>
      <c r="N3268" s="505"/>
      <c r="O3268" s="505"/>
      <c r="P3268" s="505"/>
      <c r="Q3268" s="505"/>
      <c r="R3268" s="505"/>
      <c r="S3268" s="505"/>
      <c r="T3268" s="505"/>
      <c r="U3268" s="505"/>
      <c r="V3268" s="505"/>
      <c r="W3268" s="505"/>
      <c r="X3268" s="505"/>
      <c r="Y3268" s="505"/>
    </row>
    <row r="3269" spans="1:25" s="88" customFormat="1" hidden="1" x14ac:dyDescent="0.25">
      <c r="A3269" s="258"/>
      <c r="B3269" s="258"/>
      <c r="C3269" s="261"/>
      <c r="D3269" s="258"/>
      <c r="E3269" s="679"/>
      <c r="F3269" s="597" t="s">
        <v>238</v>
      </c>
      <c r="G3269" s="598" t="s">
        <v>239</v>
      </c>
      <c r="H3269" s="555"/>
      <c r="I3269" s="556"/>
      <c r="J3269" s="560">
        <f t="shared" si="112"/>
        <v>0</v>
      </c>
      <c r="K3269" s="505"/>
      <c r="L3269" s="505"/>
      <c r="M3269" s="505"/>
      <c r="N3269" s="505"/>
      <c r="O3269" s="505"/>
      <c r="P3269" s="505"/>
      <c r="Q3269" s="505"/>
      <c r="R3269" s="505"/>
      <c r="S3269" s="505"/>
      <c r="T3269" s="505"/>
      <c r="U3269" s="505"/>
      <c r="V3269" s="505"/>
      <c r="W3269" s="505"/>
      <c r="X3269" s="505"/>
      <c r="Y3269" s="505"/>
    </row>
    <row r="3270" spans="1:25" s="88" customFormat="1" hidden="1" x14ac:dyDescent="0.25">
      <c r="A3270" s="258"/>
      <c r="B3270" s="258"/>
      <c r="C3270" s="261"/>
      <c r="D3270" s="258"/>
      <c r="E3270" s="679"/>
      <c r="F3270" s="597" t="s">
        <v>240</v>
      </c>
      <c r="G3270" s="598" t="s">
        <v>241</v>
      </c>
      <c r="H3270" s="555"/>
      <c r="I3270" s="556"/>
      <c r="J3270" s="560">
        <f t="shared" si="112"/>
        <v>0</v>
      </c>
      <c r="K3270" s="505"/>
      <c r="L3270" s="505"/>
      <c r="M3270" s="505"/>
      <c r="N3270" s="505"/>
      <c r="O3270" s="505"/>
      <c r="P3270" s="505"/>
      <c r="Q3270" s="505"/>
      <c r="R3270" s="505"/>
      <c r="S3270" s="505"/>
      <c r="T3270" s="505"/>
      <c r="U3270" s="505"/>
      <c r="V3270" s="505"/>
      <c r="W3270" s="505"/>
      <c r="X3270" s="505"/>
      <c r="Y3270" s="505"/>
    </row>
    <row r="3271" spans="1:25" s="88" customFormat="1" hidden="1" x14ac:dyDescent="0.25">
      <c r="A3271" s="258"/>
      <c r="B3271" s="258"/>
      <c r="C3271" s="261"/>
      <c r="D3271" s="258"/>
      <c r="E3271" s="679"/>
      <c r="F3271" s="597" t="s">
        <v>242</v>
      </c>
      <c r="G3271" s="598" t="s">
        <v>243</v>
      </c>
      <c r="H3271" s="555"/>
      <c r="I3271" s="556"/>
      <c r="J3271" s="560">
        <f t="shared" si="112"/>
        <v>0</v>
      </c>
      <c r="K3271" s="505"/>
      <c r="L3271" s="505"/>
      <c r="M3271" s="505"/>
      <c r="N3271" s="505"/>
      <c r="O3271" s="505"/>
      <c r="P3271" s="505"/>
      <c r="Q3271" s="505"/>
      <c r="R3271" s="505"/>
      <c r="S3271" s="505"/>
      <c r="T3271" s="505"/>
      <c r="U3271" s="505"/>
      <c r="V3271" s="505"/>
      <c r="W3271" s="505"/>
      <c r="X3271" s="505"/>
      <c r="Y3271" s="505"/>
    </row>
    <row r="3272" spans="1:25" s="88" customFormat="1" hidden="1" x14ac:dyDescent="0.25">
      <c r="A3272" s="258"/>
      <c r="B3272" s="258"/>
      <c r="C3272" s="261"/>
      <c r="D3272" s="258"/>
      <c r="E3272" s="679"/>
      <c r="F3272" s="597" t="s">
        <v>244</v>
      </c>
      <c r="G3272" s="598" t="s">
        <v>245</v>
      </c>
      <c r="H3272" s="555"/>
      <c r="I3272" s="556"/>
      <c r="J3272" s="560">
        <f t="shared" si="112"/>
        <v>0</v>
      </c>
      <c r="K3272" s="505"/>
      <c r="L3272" s="505"/>
      <c r="M3272" s="505"/>
      <c r="N3272" s="505"/>
      <c r="O3272" s="505"/>
      <c r="P3272" s="505"/>
      <c r="Q3272" s="505"/>
      <c r="R3272" s="505"/>
      <c r="S3272" s="505"/>
      <c r="T3272" s="505"/>
      <c r="U3272" s="505"/>
      <c r="V3272" s="505"/>
      <c r="W3272" s="505"/>
      <c r="X3272" s="505"/>
      <c r="Y3272" s="505"/>
    </row>
    <row r="3273" spans="1:25" s="88" customFormat="1" hidden="1" x14ac:dyDescent="0.25">
      <c r="A3273" s="258"/>
      <c r="B3273" s="258"/>
      <c r="C3273" s="261"/>
      <c r="D3273" s="258"/>
      <c r="E3273" s="679"/>
      <c r="F3273" s="597" t="s">
        <v>246</v>
      </c>
      <c r="G3273" s="598" t="s">
        <v>4996</v>
      </c>
      <c r="H3273" s="555"/>
      <c r="I3273" s="556"/>
      <c r="J3273" s="560">
        <f t="shared" si="112"/>
        <v>0</v>
      </c>
      <c r="K3273" s="505"/>
      <c r="L3273" s="505"/>
      <c r="M3273" s="505"/>
      <c r="N3273" s="505"/>
      <c r="O3273" s="505"/>
      <c r="P3273" s="505"/>
      <c r="Q3273" s="505"/>
      <c r="R3273" s="505"/>
      <c r="S3273" s="505"/>
      <c r="T3273" s="505"/>
      <c r="U3273" s="505"/>
      <c r="V3273" s="505"/>
      <c r="W3273" s="505"/>
      <c r="X3273" s="505"/>
      <c r="Y3273" s="505"/>
    </row>
    <row r="3274" spans="1:25" s="88" customFormat="1" hidden="1" x14ac:dyDescent="0.25">
      <c r="A3274" s="258"/>
      <c r="B3274" s="258"/>
      <c r="C3274" s="261"/>
      <c r="D3274" s="258"/>
      <c r="E3274" s="679"/>
      <c r="F3274" s="597" t="s">
        <v>247</v>
      </c>
      <c r="G3274" s="598" t="s">
        <v>4995</v>
      </c>
      <c r="H3274" s="555"/>
      <c r="I3274" s="556"/>
      <c r="J3274" s="560">
        <f t="shared" si="112"/>
        <v>0</v>
      </c>
      <c r="K3274" s="505"/>
      <c r="L3274" s="505"/>
      <c r="M3274" s="505"/>
      <c r="N3274" s="505"/>
      <c r="O3274" s="505"/>
      <c r="P3274" s="505"/>
      <c r="Q3274" s="505"/>
      <c r="R3274" s="505"/>
      <c r="S3274" s="505"/>
      <c r="T3274" s="505"/>
      <c r="U3274" s="505"/>
      <c r="V3274" s="505"/>
      <c r="W3274" s="505"/>
      <c r="X3274" s="505"/>
      <c r="Y3274" s="505"/>
    </row>
    <row r="3275" spans="1:25" s="88" customFormat="1" hidden="1" x14ac:dyDescent="0.25">
      <c r="A3275" s="258"/>
      <c r="B3275" s="258"/>
      <c r="C3275" s="261"/>
      <c r="D3275" s="258"/>
      <c r="E3275" s="679"/>
      <c r="F3275" s="597" t="s">
        <v>248</v>
      </c>
      <c r="G3275" s="598" t="s">
        <v>57</v>
      </c>
      <c r="H3275" s="555"/>
      <c r="I3275" s="556"/>
      <c r="J3275" s="560">
        <f t="shared" si="112"/>
        <v>0</v>
      </c>
      <c r="K3275" s="505"/>
      <c r="L3275" s="505"/>
      <c r="M3275" s="505"/>
      <c r="N3275" s="505"/>
      <c r="O3275" s="505"/>
      <c r="P3275" s="505"/>
      <c r="Q3275" s="505"/>
      <c r="R3275" s="505"/>
      <c r="S3275" s="505"/>
      <c r="T3275" s="505"/>
      <c r="U3275" s="505"/>
      <c r="V3275" s="505"/>
      <c r="W3275" s="505"/>
      <c r="X3275" s="505"/>
      <c r="Y3275" s="505"/>
    </row>
    <row r="3276" spans="1:25" s="88" customFormat="1" hidden="1" x14ac:dyDescent="0.25">
      <c r="A3276" s="258"/>
      <c r="B3276" s="258"/>
      <c r="C3276" s="261"/>
      <c r="D3276" s="258"/>
      <c r="E3276" s="679"/>
      <c r="F3276" s="597" t="s">
        <v>249</v>
      </c>
      <c r="G3276" s="598" t="s">
        <v>250</v>
      </c>
      <c r="H3276" s="555"/>
      <c r="I3276" s="556"/>
      <c r="J3276" s="560">
        <f t="shared" si="112"/>
        <v>0</v>
      </c>
      <c r="K3276" s="505"/>
      <c r="L3276" s="505"/>
      <c r="M3276" s="505"/>
      <c r="N3276" s="505"/>
      <c r="O3276" s="505"/>
      <c r="P3276" s="505"/>
      <c r="Q3276" s="505"/>
      <c r="R3276" s="505"/>
      <c r="S3276" s="505"/>
      <c r="T3276" s="505"/>
      <c r="U3276" s="505"/>
      <c r="V3276" s="505"/>
      <c r="W3276" s="505"/>
      <c r="X3276" s="505"/>
      <c r="Y3276" s="505"/>
    </row>
    <row r="3277" spans="1:25" s="88" customFormat="1" hidden="1" x14ac:dyDescent="0.25">
      <c r="A3277" s="258"/>
      <c r="B3277" s="258"/>
      <c r="C3277" s="261"/>
      <c r="D3277" s="258"/>
      <c r="E3277" s="679"/>
      <c r="F3277" s="597" t="s">
        <v>251</v>
      </c>
      <c r="G3277" s="598" t="s">
        <v>252</v>
      </c>
      <c r="H3277" s="555"/>
      <c r="I3277" s="556"/>
      <c r="J3277" s="560">
        <f t="shared" si="112"/>
        <v>0</v>
      </c>
      <c r="K3277" s="505"/>
      <c r="L3277" s="505"/>
      <c r="M3277" s="505"/>
      <c r="N3277" s="505"/>
      <c r="O3277" s="505"/>
      <c r="P3277" s="505"/>
      <c r="Q3277" s="505"/>
      <c r="R3277" s="505"/>
      <c r="S3277" s="505"/>
      <c r="T3277" s="505"/>
      <c r="U3277" s="505"/>
      <c r="V3277" s="505"/>
      <c r="W3277" s="505"/>
      <c r="X3277" s="505"/>
      <c r="Y3277" s="505"/>
    </row>
    <row r="3278" spans="1:25" s="88" customFormat="1" ht="30" hidden="1" x14ac:dyDescent="0.25">
      <c r="A3278" s="258"/>
      <c r="B3278" s="258"/>
      <c r="C3278" s="261"/>
      <c r="D3278" s="258"/>
      <c r="E3278" s="679"/>
      <c r="F3278" s="597" t="s">
        <v>253</v>
      </c>
      <c r="G3278" s="598" t="s">
        <v>254</v>
      </c>
      <c r="H3278" s="555"/>
      <c r="I3278" s="556"/>
      <c r="J3278" s="560">
        <f t="shared" si="112"/>
        <v>0</v>
      </c>
      <c r="K3278" s="505"/>
      <c r="L3278" s="505"/>
      <c r="M3278" s="505"/>
      <c r="N3278" s="505"/>
      <c r="O3278" s="505"/>
      <c r="P3278" s="505"/>
      <c r="Q3278" s="505"/>
      <c r="R3278" s="505"/>
      <c r="S3278" s="505"/>
      <c r="T3278" s="505"/>
      <c r="U3278" s="505"/>
      <c r="V3278" s="505"/>
      <c r="W3278" s="505"/>
      <c r="X3278" s="505"/>
      <c r="Y3278" s="505"/>
    </row>
    <row r="3279" spans="1:25" s="88" customFormat="1" ht="15.75" thickBot="1" x14ac:dyDescent="0.3">
      <c r="A3279" s="258"/>
      <c r="B3279" s="258"/>
      <c r="C3279" s="261"/>
      <c r="D3279" s="258"/>
      <c r="E3279" s="679"/>
      <c r="F3279" s="597" t="s">
        <v>255</v>
      </c>
      <c r="G3279" s="598" t="s">
        <v>256</v>
      </c>
      <c r="H3279" s="555">
        <v>3300000</v>
      </c>
      <c r="I3279" s="556"/>
      <c r="J3279" s="560">
        <f t="shared" si="112"/>
        <v>3300000</v>
      </c>
      <c r="K3279" s="505"/>
      <c r="L3279" s="505"/>
      <c r="M3279" s="505"/>
      <c r="N3279" s="505"/>
      <c r="O3279" s="505"/>
      <c r="P3279" s="505"/>
      <c r="Q3279" s="505"/>
      <c r="R3279" s="505"/>
      <c r="S3279" s="505"/>
      <c r="T3279" s="505"/>
      <c r="U3279" s="505"/>
      <c r="V3279" s="505"/>
      <c r="W3279" s="505"/>
      <c r="X3279" s="505"/>
      <c r="Y3279" s="505"/>
    </row>
    <row r="3280" spans="1:25" s="88" customFormat="1" ht="30" hidden="1" x14ac:dyDescent="0.25">
      <c r="A3280" s="258"/>
      <c r="B3280" s="258"/>
      <c r="C3280" s="261"/>
      <c r="D3280" s="258"/>
      <c r="E3280" s="679"/>
      <c r="F3280" s="597" t="s">
        <v>257</v>
      </c>
      <c r="G3280" s="598" t="s">
        <v>258</v>
      </c>
      <c r="H3280" s="555"/>
      <c r="I3280" s="556"/>
      <c r="J3280" s="560">
        <f t="shared" si="112"/>
        <v>0</v>
      </c>
      <c r="K3280" s="505"/>
      <c r="L3280" s="505"/>
      <c r="M3280" s="505"/>
      <c r="N3280" s="505"/>
      <c r="O3280" s="505"/>
      <c r="P3280" s="505"/>
      <c r="Q3280" s="505"/>
      <c r="R3280" s="505"/>
      <c r="S3280" s="505"/>
      <c r="T3280" s="505"/>
      <c r="U3280" s="505"/>
      <c r="V3280" s="505"/>
      <c r="W3280" s="505"/>
      <c r="X3280" s="505"/>
      <c r="Y3280" s="505"/>
    </row>
    <row r="3281" spans="1:25" s="88" customFormat="1" hidden="1" x14ac:dyDescent="0.25">
      <c r="A3281" s="258"/>
      <c r="B3281" s="258"/>
      <c r="C3281" s="261"/>
      <c r="D3281" s="258"/>
      <c r="E3281" s="679"/>
      <c r="F3281" s="597" t="s">
        <v>259</v>
      </c>
      <c r="G3281" s="598" t="s">
        <v>260</v>
      </c>
      <c r="H3281" s="555"/>
      <c r="I3281" s="556"/>
      <c r="J3281" s="560">
        <f t="shared" si="112"/>
        <v>0</v>
      </c>
      <c r="K3281" s="505"/>
      <c r="L3281" s="505"/>
      <c r="M3281" s="505"/>
      <c r="N3281" s="505"/>
      <c r="O3281" s="505"/>
      <c r="P3281" s="505"/>
      <c r="Q3281" s="505"/>
      <c r="R3281" s="505"/>
      <c r="S3281" s="505"/>
      <c r="T3281" s="505"/>
      <c r="U3281" s="505"/>
      <c r="V3281" s="505"/>
      <c r="W3281" s="505"/>
      <c r="X3281" s="505"/>
      <c r="Y3281" s="505"/>
    </row>
    <row r="3282" spans="1:25" s="88" customFormat="1" ht="15.75" hidden="1" thickBot="1" x14ac:dyDescent="0.3">
      <c r="A3282" s="258"/>
      <c r="B3282" s="258"/>
      <c r="C3282" s="261"/>
      <c r="D3282" s="258"/>
      <c r="E3282" s="679"/>
      <c r="F3282" s="597" t="s">
        <v>261</v>
      </c>
      <c r="G3282" s="598" t="s">
        <v>262</v>
      </c>
      <c r="H3282" s="559"/>
      <c r="I3282" s="560"/>
      <c r="J3282" s="560">
        <f t="shared" si="112"/>
        <v>0</v>
      </c>
      <c r="K3282" s="505"/>
      <c r="L3282" s="505"/>
      <c r="M3282" s="505"/>
      <c r="N3282" s="505"/>
      <c r="O3282" s="505"/>
      <c r="P3282" s="505"/>
      <c r="Q3282" s="505"/>
      <c r="R3282" s="505"/>
      <c r="S3282" s="505"/>
      <c r="T3282" s="505"/>
      <c r="U3282" s="505"/>
      <c r="V3282" s="505"/>
      <c r="W3282" s="505"/>
      <c r="X3282" s="505"/>
      <c r="Y3282" s="505"/>
    </row>
    <row r="3283" spans="1:25" s="88" customFormat="1" ht="14.25" customHeight="1" thickBot="1" x14ac:dyDescent="0.3">
      <c r="A3283" s="258"/>
      <c r="B3283" s="258"/>
      <c r="C3283" s="261"/>
      <c r="D3283" s="258"/>
      <c r="E3283" s="679"/>
      <c r="F3283" s="258"/>
      <c r="G3283" s="728" t="s">
        <v>4336</v>
      </c>
      <c r="H3283" s="561">
        <f>SUM(H3267:H3282)</f>
        <v>19500000</v>
      </c>
      <c r="I3283" s="562">
        <f>SUM(I3268:I3282)</f>
        <v>0</v>
      </c>
      <c r="J3283" s="562">
        <f>SUM(J3267:J3282)</f>
        <v>19500000</v>
      </c>
      <c r="K3283" s="505"/>
      <c r="L3283" s="505"/>
      <c r="M3283" s="505"/>
      <c r="N3283" s="505"/>
      <c r="O3283" s="505"/>
      <c r="P3283" s="505"/>
      <c r="Q3283" s="505"/>
      <c r="R3283" s="505"/>
      <c r="S3283" s="505"/>
      <c r="T3283" s="505"/>
      <c r="U3283" s="505"/>
      <c r="V3283" s="505"/>
      <c r="W3283" s="505"/>
      <c r="X3283" s="505"/>
      <c r="Y3283" s="505"/>
    </row>
    <row r="3284" spans="1:25" s="88" customFormat="1" ht="15" customHeight="1" x14ac:dyDescent="0.25">
      <c r="A3284" s="258"/>
      <c r="B3284" s="258"/>
      <c r="C3284" s="261"/>
      <c r="D3284" s="258"/>
      <c r="E3284" s="489"/>
      <c r="F3284" s="500"/>
      <c r="G3284" s="270" t="s">
        <v>5283</v>
      </c>
      <c r="H3284" s="563"/>
      <c r="I3284" s="584"/>
      <c r="J3284" s="564"/>
      <c r="K3284" s="505"/>
      <c r="L3284" s="505"/>
      <c r="M3284" s="505"/>
      <c r="N3284" s="505"/>
      <c r="O3284" s="505"/>
      <c r="P3284" s="505"/>
      <c r="Q3284" s="505"/>
      <c r="R3284" s="505"/>
      <c r="S3284" s="505"/>
      <c r="T3284" s="505"/>
      <c r="U3284" s="505"/>
      <c r="V3284" s="505"/>
      <c r="W3284" s="505"/>
      <c r="X3284" s="505"/>
      <c r="Y3284" s="505"/>
    </row>
    <row r="3285" spans="1:25" s="88" customFormat="1" ht="16.5" customHeight="1" x14ac:dyDescent="0.25">
      <c r="A3285" s="258"/>
      <c r="B3285" s="258"/>
      <c r="C3285" s="261"/>
      <c r="D3285" s="258"/>
      <c r="E3285" s="693"/>
      <c r="F3285" s="597" t="s">
        <v>234</v>
      </c>
      <c r="G3285" s="598" t="s">
        <v>235</v>
      </c>
      <c r="H3285" s="559">
        <v>16200000</v>
      </c>
      <c r="I3285" s="560"/>
      <c r="J3285" s="560">
        <f>SUM(H3285:I3285)</f>
        <v>16200000</v>
      </c>
      <c r="K3285" s="505"/>
      <c r="L3285" s="505"/>
      <c r="M3285" s="505"/>
      <c r="N3285" s="505"/>
      <c r="O3285" s="505"/>
      <c r="P3285" s="505"/>
      <c r="Q3285" s="505"/>
      <c r="R3285" s="505"/>
      <c r="S3285" s="505"/>
      <c r="T3285" s="505"/>
      <c r="U3285" s="505"/>
      <c r="V3285" s="505"/>
      <c r="W3285" s="505"/>
      <c r="X3285" s="505"/>
      <c r="Y3285" s="505"/>
    </row>
    <row r="3286" spans="1:25" s="88" customFormat="1" hidden="1" x14ac:dyDescent="0.25">
      <c r="A3286" s="258"/>
      <c r="B3286" s="258"/>
      <c r="C3286" s="261"/>
      <c r="D3286" s="258"/>
      <c r="E3286" s="679"/>
      <c r="F3286" s="597" t="s">
        <v>236</v>
      </c>
      <c r="G3286" s="598" t="s">
        <v>237</v>
      </c>
      <c r="H3286" s="555"/>
      <c r="I3286" s="556"/>
      <c r="J3286" s="560">
        <f t="shared" ref="J3286:J3300" si="113">SUM(H3286:I3286)</f>
        <v>0</v>
      </c>
      <c r="K3286" s="505"/>
      <c r="L3286" s="505"/>
      <c r="M3286" s="505"/>
      <c r="N3286" s="505"/>
      <c r="O3286" s="505"/>
      <c r="P3286" s="505"/>
      <c r="Q3286" s="505"/>
      <c r="R3286" s="505"/>
      <c r="S3286" s="505"/>
      <c r="T3286" s="505"/>
      <c r="U3286" s="505"/>
      <c r="V3286" s="505"/>
      <c r="W3286" s="505"/>
      <c r="X3286" s="505"/>
      <c r="Y3286" s="505"/>
    </row>
    <row r="3287" spans="1:25" s="88" customFormat="1" hidden="1" x14ac:dyDescent="0.25">
      <c r="A3287" s="258"/>
      <c r="B3287" s="258"/>
      <c r="C3287" s="261"/>
      <c r="D3287" s="258"/>
      <c r="E3287" s="679"/>
      <c r="F3287" s="597" t="s">
        <v>238</v>
      </c>
      <c r="G3287" s="598" t="s">
        <v>239</v>
      </c>
      <c r="H3287" s="555"/>
      <c r="I3287" s="556"/>
      <c r="J3287" s="560">
        <f t="shared" si="113"/>
        <v>0</v>
      </c>
      <c r="K3287" s="505"/>
      <c r="L3287" s="505"/>
      <c r="M3287" s="505"/>
      <c r="N3287" s="505"/>
      <c r="O3287" s="505"/>
      <c r="P3287" s="505"/>
      <c r="Q3287" s="505"/>
      <c r="R3287" s="505"/>
      <c r="S3287" s="505"/>
      <c r="T3287" s="505"/>
      <c r="U3287" s="505"/>
      <c r="V3287" s="505"/>
      <c r="W3287" s="505"/>
      <c r="X3287" s="505"/>
      <c r="Y3287" s="505"/>
    </row>
    <row r="3288" spans="1:25" s="88" customFormat="1" hidden="1" x14ac:dyDescent="0.25">
      <c r="A3288" s="258"/>
      <c r="B3288" s="258"/>
      <c r="C3288" s="261"/>
      <c r="D3288" s="258"/>
      <c r="E3288" s="679"/>
      <c r="F3288" s="597" t="s">
        <v>240</v>
      </c>
      <c r="G3288" s="598" t="s">
        <v>241</v>
      </c>
      <c r="H3288" s="555"/>
      <c r="I3288" s="556"/>
      <c r="J3288" s="560">
        <f t="shared" si="113"/>
        <v>0</v>
      </c>
      <c r="K3288" s="505"/>
      <c r="L3288" s="505"/>
      <c r="M3288" s="505"/>
      <c r="N3288" s="505"/>
      <c r="O3288" s="505"/>
      <c r="P3288" s="505"/>
      <c r="Q3288" s="505"/>
      <c r="R3288" s="505"/>
      <c r="S3288" s="505"/>
      <c r="T3288" s="505"/>
      <c r="U3288" s="505"/>
      <c r="V3288" s="505"/>
      <c r="W3288" s="505"/>
      <c r="X3288" s="505"/>
      <c r="Y3288" s="505"/>
    </row>
    <row r="3289" spans="1:25" s="88" customFormat="1" hidden="1" x14ac:dyDescent="0.25">
      <c r="A3289" s="258"/>
      <c r="B3289" s="258"/>
      <c r="C3289" s="261"/>
      <c r="D3289" s="258"/>
      <c r="E3289" s="679"/>
      <c r="F3289" s="597" t="s">
        <v>242</v>
      </c>
      <c r="G3289" s="598" t="s">
        <v>243</v>
      </c>
      <c r="H3289" s="555"/>
      <c r="I3289" s="556"/>
      <c r="J3289" s="560">
        <f t="shared" si="113"/>
        <v>0</v>
      </c>
      <c r="K3289" s="505"/>
      <c r="L3289" s="505"/>
      <c r="M3289" s="505"/>
      <c r="N3289" s="505"/>
      <c r="O3289" s="505"/>
      <c r="P3289" s="505"/>
      <c r="Q3289" s="505"/>
      <c r="R3289" s="505"/>
      <c r="S3289" s="505"/>
      <c r="T3289" s="505"/>
      <c r="U3289" s="505"/>
      <c r="V3289" s="505"/>
      <c r="W3289" s="505"/>
      <c r="X3289" s="505"/>
      <c r="Y3289" s="505"/>
    </row>
    <row r="3290" spans="1:25" s="88" customFormat="1" hidden="1" x14ac:dyDescent="0.25">
      <c r="A3290" s="258"/>
      <c r="B3290" s="258"/>
      <c r="C3290" s="261"/>
      <c r="D3290" s="258"/>
      <c r="E3290" s="679"/>
      <c r="F3290" s="597" t="s">
        <v>244</v>
      </c>
      <c r="G3290" s="598" t="s">
        <v>245</v>
      </c>
      <c r="H3290" s="555"/>
      <c r="I3290" s="556"/>
      <c r="J3290" s="560">
        <f t="shared" si="113"/>
        <v>0</v>
      </c>
      <c r="K3290" s="505"/>
      <c r="L3290" s="505"/>
      <c r="M3290" s="505"/>
      <c r="N3290" s="505"/>
      <c r="O3290" s="505"/>
      <c r="P3290" s="505"/>
      <c r="Q3290" s="505"/>
      <c r="R3290" s="505"/>
      <c r="S3290" s="505"/>
      <c r="T3290" s="505"/>
      <c r="U3290" s="505"/>
      <c r="V3290" s="505"/>
      <c r="W3290" s="505"/>
      <c r="X3290" s="505"/>
      <c r="Y3290" s="505"/>
    </row>
    <row r="3291" spans="1:25" s="88" customFormat="1" hidden="1" x14ac:dyDescent="0.25">
      <c r="A3291" s="258"/>
      <c r="B3291" s="258"/>
      <c r="C3291" s="261"/>
      <c r="D3291" s="258"/>
      <c r="E3291" s="679"/>
      <c r="F3291" s="597" t="s">
        <v>246</v>
      </c>
      <c r="G3291" s="598" t="s">
        <v>4996</v>
      </c>
      <c r="H3291" s="555"/>
      <c r="I3291" s="556"/>
      <c r="J3291" s="560">
        <f t="shared" si="113"/>
        <v>0</v>
      </c>
      <c r="K3291" s="505"/>
      <c r="L3291" s="505"/>
      <c r="M3291" s="505"/>
      <c r="N3291" s="505"/>
      <c r="O3291" s="505"/>
      <c r="P3291" s="505"/>
      <c r="Q3291" s="505"/>
      <c r="R3291" s="505"/>
      <c r="S3291" s="505"/>
      <c r="T3291" s="505"/>
      <c r="U3291" s="505"/>
      <c r="V3291" s="505"/>
      <c r="W3291" s="505"/>
      <c r="X3291" s="505"/>
      <c r="Y3291" s="505"/>
    </row>
    <row r="3292" spans="1:25" s="88" customFormat="1" hidden="1" x14ac:dyDescent="0.25">
      <c r="A3292" s="258"/>
      <c r="B3292" s="258"/>
      <c r="C3292" s="261"/>
      <c r="D3292" s="258"/>
      <c r="E3292" s="679"/>
      <c r="F3292" s="597" t="s">
        <v>247</v>
      </c>
      <c r="G3292" s="598" t="s">
        <v>4995</v>
      </c>
      <c r="H3292" s="555"/>
      <c r="I3292" s="556"/>
      <c r="J3292" s="560">
        <f t="shared" si="113"/>
        <v>0</v>
      </c>
      <c r="K3292" s="505"/>
      <c r="L3292" s="505"/>
      <c r="M3292" s="505"/>
      <c r="N3292" s="505"/>
      <c r="O3292" s="505"/>
      <c r="P3292" s="505"/>
      <c r="Q3292" s="505"/>
      <c r="R3292" s="505"/>
      <c r="S3292" s="505"/>
      <c r="T3292" s="505"/>
      <c r="U3292" s="505"/>
      <c r="V3292" s="505"/>
      <c r="W3292" s="505"/>
      <c r="X3292" s="505"/>
      <c r="Y3292" s="505"/>
    </row>
    <row r="3293" spans="1:25" s="88" customFormat="1" hidden="1" x14ac:dyDescent="0.25">
      <c r="A3293" s="258"/>
      <c r="B3293" s="258"/>
      <c r="C3293" s="261"/>
      <c r="D3293" s="258"/>
      <c r="E3293" s="679"/>
      <c r="F3293" s="597" t="s">
        <v>248</v>
      </c>
      <c r="G3293" s="598" t="s">
        <v>57</v>
      </c>
      <c r="H3293" s="555"/>
      <c r="I3293" s="556"/>
      <c r="J3293" s="560">
        <f t="shared" si="113"/>
        <v>0</v>
      </c>
      <c r="K3293" s="505"/>
      <c r="L3293" s="505"/>
      <c r="M3293" s="505"/>
      <c r="N3293" s="505"/>
      <c r="O3293" s="505"/>
      <c r="P3293" s="505"/>
      <c r="Q3293" s="505"/>
      <c r="R3293" s="505"/>
      <c r="S3293" s="505"/>
      <c r="T3293" s="505"/>
      <c r="U3293" s="505"/>
      <c r="V3293" s="505"/>
      <c r="W3293" s="505"/>
      <c r="X3293" s="505"/>
      <c r="Y3293" s="505"/>
    </row>
    <row r="3294" spans="1:25" s="88" customFormat="1" hidden="1" x14ac:dyDescent="0.25">
      <c r="A3294" s="258"/>
      <c r="B3294" s="258"/>
      <c r="C3294" s="261"/>
      <c r="D3294" s="258"/>
      <c r="E3294" s="679"/>
      <c r="F3294" s="597" t="s">
        <v>249</v>
      </c>
      <c r="G3294" s="598" t="s">
        <v>250</v>
      </c>
      <c r="H3294" s="555"/>
      <c r="I3294" s="556"/>
      <c r="J3294" s="560">
        <f t="shared" si="113"/>
        <v>0</v>
      </c>
      <c r="K3294" s="505"/>
      <c r="L3294" s="505"/>
      <c r="M3294" s="505"/>
      <c r="N3294" s="505"/>
      <c r="O3294" s="505"/>
      <c r="P3294" s="505"/>
      <c r="Q3294" s="505"/>
      <c r="R3294" s="505"/>
      <c r="S3294" s="505"/>
      <c r="T3294" s="505"/>
      <c r="U3294" s="505"/>
      <c r="V3294" s="505"/>
      <c r="W3294" s="505"/>
      <c r="X3294" s="505"/>
      <c r="Y3294" s="505"/>
    </row>
    <row r="3295" spans="1:25" s="88" customFormat="1" hidden="1" x14ac:dyDescent="0.25">
      <c r="A3295" s="258"/>
      <c r="B3295" s="258"/>
      <c r="C3295" s="261"/>
      <c r="D3295" s="258"/>
      <c r="E3295" s="679"/>
      <c r="F3295" s="597" t="s">
        <v>251</v>
      </c>
      <c r="G3295" s="598" t="s">
        <v>252</v>
      </c>
      <c r="H3295" s="555"/>
      <c r="I3295" s="556"/>
      <c r="J3295" s="560">
        <f t="shared" si="113"/>
        <v>0</v>
      </c>
      <c r="K3295" s="505"/>
      <c r="L3295" s="505"/>
      <c r="M3295" s="505"/>
      <c r="N3295" s="505"/>
      <c r="O3295" s="505"/>
      <c r="P3295" s="505"/>
      <c r="Q3295" s="505"/>
      <c r="R3295" s="505"/>
      <c r="S3295" s="505"/>
      <c r="T3295" s="505"/>
      <c r="U3295" s="505"/>
      <c r="V3295" s="505"/>
      <c r="W3295" s="505"/>
      <c r="X3295" s="505"/>
      <c r="Y3295" s="505"/>
    </row>
    <row r="3296" spans="1:25" s="88" customFormat="1" ht="30" hidden="1" x14ac:dyDescent="0.25">
      <c r="A3296" s="258"/>
      <c r="B3296" s="258"/>
      <c r="C3296" s="261"/>
      <c r="D3296" s="258"/>
      <c r="E3296" s="679"/>
      <c r="F3296" s="597" t="s">
        <v>253</v>
      </c>
      <c r="G3296" s="598" t="s">
        <v>254</v>
      </c>
      <c r="H3296" s="555"/>
      <c r="I3296" s="556"/>
      <c r="J3296" s="560">
        <f t="shared" si="113"/>
        <v>0</v>
      </c>
      <c r="K3296" s="505"/>
      <c r="L3296" s="505"/>
      <c r="M3296" s="505"/>
      <c r="N3296" s="505"/>
      <c r="O3296" s="505"/>
      <c r="P3296" s="505"/>
      <c r="Q3296" s="505"/>
      <c r="R3296" s="505"/>
      <c r="S3296" s="505"/>
      <c r="T3296" s="505"/>
      <c r="U3296" s="505"/>
      <c r="V3296" s="505"/>
      <c r="W3296" s="505"/>
      <c r="X3296" s="505"/>
      <c r="Y3296" s="505"/>
    </row>
    <row r="3297" spans="1:25" s="88" customFormat="1" ht="15.75" thickBot="1" x14ac:dyDescent="0.3">
      <c r="A3297" s="258"/>
      <c r="B3297" s="258"/>
      <c r="C3297" s="261"/>
      <c r="D3297" s="258"/>
      <c r="E3297" s="679"/>
      <c r="F3297" s="597" t="s">
        <v>255</v>
      </c>
      <c r="G3297" s="598" t="s">
        <v>256</v>
      </c>
      <c r="H3297" s="555">
        <v>3300000</v>
      </c>
      <c r="I3297" s="556"/>
      <c r="J3297" s="560">
        <f t="shared" si="113"/>
        <v>3300000</v>
      </c>
      <c r="K3297" s="505"/>
      <c r="L3297" s="505"/>
      <c r="M3297" s="505"/>
      <c r="N3297" s="505"/>
      <c r="O3297" s="505"/>
      <c r="P3297" s="505"/>
      <c r="Q3297" s="505"/>
      <c r="R3297" s="505"/>
      <c r="S3297" s="505"/>
      <c r="T3297" s="505"/>
      <c r="U3297" s="505"/>
      <c r="V3297" s="505"/>
      <c r="W3297" s="505"/>
      <c r="X3297" s="505"/>
      <c r="Y3297" s="505"/>
    </row>
    <row r="3298" spans="1:25" s="88" customFormat="1" ht="30" hidden="1" x14ac:dyDescent="0.25">
      <c r="A3298" s="258"/>
      <c r="B3298" s="258"/>
      <c r="C3298" s="261"/>
      <c r="D3298" s="258"/>
      <c r="E3298" s="679"/>
      <c r="F3298" s="597" t="s">
        <v>257</v>
      </c>
      <c r="G3298" s="598" t="s">
        <v>258</v>
      </c>
      <c r="H3298" s="555"/>
      <c r="I3298" s="556"/>
      <c r="J3298" s="560">
        <f t="shared" si="113"/>
        <v>0</v>
      </c>
      <c r="K3298" s="505"/>
      <c r="L3298" s="505"/>
      <c r="M3298" s="505"/>
      <c r="N3298" s="505"/>
      <c r="O3298" s="505"/>
      <c r="P3298" s="505"/>
      <c r="Q3298" s="505"/>
      <c r="R3298" s="505"/>
      <c r="S3298" s="505"/>
      <c r="T3298" s="505"/>
      <c r="U3298" s="505"/>
      <c r="V3298" s="505"/>
      <c r="W3298" s="505"/>
      <c r="X3298" s="505"/>
      <c r="Y3298" s="505"/>
    </row>
    <row r="3299" spans="1:25" s="88" customFormat="1" hidden="1" x14ac:dyDescent="0.25">
      <c r="A3299" s="258"/>
      <c r="B3299" s="258"/>
      <c r="C3299" s="261"/>
      <c r="D3299" s="258"/>
      <c r="E3299" s="679"/>
      <c r="F3299" s="597" t="s">
        <v>259</v>
      </c>
      <c r="G3299" s="598" t="s">
        <v>260</v>
      </c>
      <c r="H3299" s="555"/>
      <c r="I3299" s="556"/>
      <c r="J3299" s="560">
        <f t="shared" si="113"/>
        <v>0</v>
      </c>
      <c r="K3299" s="505"/>
      <c r="L3299" s="505"/>
      <c r="M3299" s="505"/>
      <c r="N3299" s="505"/>
      <c r="O3299" s="505"/>
      <c r="P3299" s="505"/>
      <c r="Q3299" s="505"/>
      <c r="R3299" s="505"/>
      <c r="S3299" s="505"/>
      <c r="T3299" s="505"/>
      <c r="U3299" s="505"/>
      <c r="V3299" s="505"/>
      <c r="W3299" s="505"/>
      <c r="X3299" s="505"/>
      <c r="Y3299" s="505"/>
    </row>
    <row r="3300" spans="1:25" s="88" customFormat="1" ht="15.75" hidden="1" thickBot="1" x14ac:dyDescent="0.3">
      <c r="A3300" s="258"/>
      <c r="B3300" s="258"/>
      <c r="C3300" s="261"/>
      <c r="D3300" s="258"/>
      <c r="E3300" s="679"/>
      <c r="F3300" s="597" t="s">
        <v>261</v>
      </c>
      <c r="G3300" s="598" t="s">
        <v>262</v>
      </c>
      <c r="H3300" s="559"/>
      <c r="I3300" s="560"/>
      <c r="J3300" s="560">
        <f t="shared" si="113"/>
        <v>0</v>
      </c>
      <c r="K3300" s="505"/>
      <c r="L3300" s="505"/>
      <c r="M3300" s="505"/>
      <c r="N3300" s="505"/>
      <c r="O3300" s="505"/>
      <c r="P3300" s="505"/>
      <c r="Q3300" s="505"/>
      <c r="R3300" s="505"/>
      <c r="S3300" s="505"/>
      <c r="T3300" s="505"/>
      <c r="U3300" s="505"/>
      <c r="V3300" s="505"/>
      <c r="W3300" s="505"/>
      <c r="X3300" s="505"/>
      <c r="Y3300" s="505"/>
    </row>
    <row r="3301" spans="1:25" s="88" customFormat="1" ht="14.25" customHeight="1" thickBot="1" x14ac:dyDescent="0.3">
      <c r="A3301" s="258"/>
      <c r="B3301" s="258"/>
      <c r="C3301" s="261"/>
      <c r="D3301" s="258"/>
      <c r="E3301" s="679"/>
      <c r="F3301" s="258"/>
      <c r="G3301" s="268" t="s">
        <v>5284</v>
      </c>
      <c r="H3301" s="561">
        <f>SUM(H3285:H3300)</f>
        <v>19500000</v>
      </c>
      <c r="I3301" s="562">
        <f>SUM(I3286:I3300)</f>
        <v>0</v>
      </c>
      <c r="J3301" s="562">
        <f>SUM(J3285:J3300)</f>
        <v>19500000</v>
      </c>
      <c r="K3301" s="505"/>
      <c r="L3301" s="505"/>
      <c r="M3301" s="505"/>
      <c r="N3301" s="505"/>
      <c r="O3301" s="505"/>
      <c r="P3301" s="505"/>
      <c r="Q3301" s="505"/>
      <c r="R3301" s="505"/>
      <c r="S3301" s="505"/>
      <c r="T3301" s="505"/>
      <c r="U3301" s="505"/>
      <c r="V3301" s="505"/>
      <c r="W3301" s="505"/>
      <c r="X3301" s="505"/>
      <c r="Y3301" s="505"/>
    </row>
    <row r="3302" spans="1:25" s="88" customFormat="1" x14ac:dyDescent="0.25">
      <c r="A3302" s="258"/>
      <c r="B3302" s="288"/>
      <c r="C3302" s="302" t="s">
        <v>5217</v>
      </c>
      <c r="D3302" s="259"/>
      <c r="E3302" s="702"/>
      <c r="F3302" s="303"/>
      <c r="G3302" s="304" t="s">
        <v>5286</v>
      </c>
      <c r="H3302" s="588"/>
      <c r="I3302" s="571"/>
      <c r="J3302" s="589"/>
      <c r="K3302" s="505"/>
      <c r="L3302" s="505"/>
      <c r="M3302" s="505"/>
      <c r="N3302" s="505"/>
      <c r="O3302" s="505"/>
      <c r="P3302" s="505"/>
      <c r="Q3302" s="505"/>
      <c r="R3302" s="505"/>
      <c r="S3302" s="505"/>
      <c r="T3302" s="505"/>
      <c r="U3302" s="505"/>
      <c r="V3302" s="505"/>
      <c r="W3302" s="505"/>
      <c r="X3302" s="505"/>
      <c r="Y3302" s="505"/>
    </row>
    <row r="3303" spans="1:25" s="88" customFormat="1" ht="33" customHeight="1" x14ac:dyDescent="0.25">
      <c r="A3303" s="481"/>
      <c r="B3303" s="258"/>
      <c r="C3303" s="267"/>
      <c r="D3303" s="331">
        <v>560</v>
      </c>
      <c r="E3303" s="869"/>
      <c r="F3303" s="331"/>
      <c r="G3303" s="332" t="s">
        <v>179</v>
      </c>
      <c r="H3303" s="555"/>
      <c r="I3303" s="556"/>
      <c r="J3303" s="556"/>
      <c r="K3303" s="505"/>
      <c r="L3303" s="505"/>
      <c r="M3303" s="505"/>
      <c r="N3303" s="505"/>
      <c r="O3303" s="505"/>
      <c r="P3303" s="505"/>
      <c r="Q3303" s="505"/>
      <c r="R3303" s="505"/>
      <c r="S3303" s="505"/>
      <c r="T3303" s="505"/>
      <c r="U3303" s="505"/>
      <c r="V3303" s="505"/>
      <c r="W3303" s="505"/>
      <c r="X3303" s="505"/>
      <c r="Y3303" s="505"/>
    </row>
    <row r="3304" spans="1:25" s="88" customFormat="1" hidden="1" x14ac:dyDescent="0.25">
      <c r="A3304" s="258"/>
      <c r="B3304" s="258"/>
      <c r="C3304" s="261"/>
      <c r="D3304" s="258"/>
      <c r="E3304" s="679"/>
      <c r="F3304" s="499">
        <v>411</v>
      </c>
      <c r="G3304" s="492" t="s">
        <v>4131</v>
      </c>
      <c r="H3304" s="555"/>
      <c r="I3304" s="556"/>
      <c r="J3304" s="556">
        <f>SUM(H3304:I3304)</f>
        <v>0</v>
      </c>
      <c r="K3304" s="505"/>
      <c r="L3304" s="505"/>
      <c r="M3304" s="505"/>
      <c r="N3304" s="505"/>
      <c r="O3304" s="505"/>
      <c r="P3304" s="505"/>
      <c r="Q3304" s="505"/>
      <c r="R3304" s="505"/>
      <c r="S3304" s="505"/>
      <c r="T3304" s="505"/>
      <c r="U3304" s="505"/>
      <c r="V3304" s="505"/>
      <c r="W3304" s="505"/>
      <c r="X3304" s="505"/>
      <c r="Y3304" s="505"/>
    </row>
    <row r="3305" spans="1:25" s="88" customFormat="1" hidden="1" x14ac:dyDescent="0.25">
      <c r="A3305" s="258"/>
      <c r="B3305" s="258"/>
      <c r="C3305" s="261"/>
      <c r="D3305" s="258"/>
      <c r="E3305" s="679"/>
      <c r="F3305" s="499">
        <v>412</v>
      </c>
      <c r="G3305" s="488" t="s">
        <v>3766</v>
      </c>
      <c r="H3305" s="555"/>
      <c r="I3305" s="556"/>
      <c r="J3305" s="556">
        <f t="shared" ref="J3305:J3363" si="114">SUM(H3305:I3305)</f>
        <v>0</v>
      </c>
      <c r="K3305" s="505"/>
      <c r="L3305" s="505"/>
      <c r="M3305" s="505"/>
      <c r="N3305" s="505"/>
      <c r="O3305" s="505"/>
      <c r="P3305" s="505"/>
      <c r="Q3305" s="505"/>
      <c r="R3305" s="505"/>
      <c r="S3305" s="505"/>
      <c r="T3305" s="505"/>
      <c r="U3305" s="505"/>
      <c r="V3305" s="505"/>
      <c r="W3305" s="505"/>
      <c r="X3305" s="505"/>
      <c r="Y3305" s="505"/>
    </row>
    <row r="3306" spans="1:25" s="88" customFormat="1" hidden="1" x14ac:dyDescent="0.25">
      <c r="A3306" s="258"/>
      <c r="B3306" s="258"/>
      <c r="C3306" s="261"/>
      <c r="D3306" s="258"/>
      <c r="E3306" s="679"/>
      <c r="F3306" s="499">
        <v>413</v>
      </c>
      <c r="G3306" s="492" t="s">
        <v>4132</v>
      </c>
      <c r="H3306" s="555"/>
      <c r="I3306" s="556"/>
      <c r="J3306" s="556">
        <f t="shared" si="114"/>
        <v>0</v>
      </c>
      <c r="K3306" s="505"/>
      <c r="L3306" s="505"/>
      <c r="M3306" s="505"/>
      <c r="N3306" s="505"/>
      <c r="O3306" s="505"/>
      <c r="P3306" s="505"/>
      <c r="Q3306" s="505"/>
      <c r="R3306" s="505"/>
      <c r="S3306" s="505"/>
      <c r="T3306" s="505"/>
      <c r="U3306" s="505"/>
      <c r="V3306" s="505"/>
      <c r="W3306" s="505"/>
      <c r="X3306" s="505"/>
      <c r="Y3306" s="505"/>
    </row>
    <row r="3307" spans="1:25" s="88" customFormat="1" hidden="1" x14ac:dyDescent="0.25">
      <c r="A3307" s="258"/>
      <c r="B3307" s="258"/>
      <c r="C3307" s="261"/>
      <c r="D3307" s="258"/>
      <c r="E3307" s="679"/>
      <c r="F3307" s="499">
        <v>414</v>
      </c>
      <c r="G3307" s="492" t="s">
        <v>3769</v>
      </c>
      <c r="H3307" s="555"/>
      <c r="I3307" s="556"/>
      <c r="J3307" s="556">
        <f t="shared" si="114"/>
        <v>0</v>
      </c>
      <c r="K3307" s="505"/>
      <c r="L3307" s="505"/>
      <c r="M3307" s="505"/>
      <c r="N3307" s="505"/>
      <c r="O3307" s="505"/>
      <c r="P3307" s="505"/>
      <c r="Q3307" s="505"/>
      <c r="R3307" s="505"/>
      <c r="S3307" s="505"/>
      <c r="T3307" s="505"/>
      <c r="U3307" s="505"/>
      <c r="V3307" s="505"/>
      <c r="W3307" s="505"/>
      <c r="X3307" s="505"/>
      <c r="Y3307" s="505"/>
    </row>
    <row r="3308" spans="1:25" s="88" customFormat="1" hidden="1" x14ac:dyDescent="0.25">
      <c r="A3308" s="258"/>
      <c r="B3308" s="258"/>
      <c r="C3308" s="261"/>
      <c r="D3308" s="258"/>
      <c r="E3308" s="679"/>
      <c r="F3308" s="499">
        <v>415</v>
      </c>
      <c r="G3308" s="492" t="s">
        <v>4141</v>
      </c>
      <c r="H3308" s="555"/>
      <c r="I3308" s="556"/>
      <c r="J3308" s="556">
        <f t="shared" si="114"/>
        <v>0</v>
      </c>
      <c r="K3308" s="505"/>
      <c r="L3308" s="505"/>
      <c r="M3308" s="505"/>
      <c r="N3308" s="505"/>
      <c r="O3308" s="505"/>
      <c r="P3308" s="505"/>
      <c r="Q3308" s="505"/>
      <c r="R3308" s="505"/>
      <c r="S3308" s="505"/>
      <c r="T3308" s="505"/>
      <c r="U3308" s="505"/>
      <c r="V3308" s="505"/>
      <c r="W3308" s="505"/>
      <c r="X3308" s="505"/>
      <c r="Y3308" s="505"/>
    </row>
    <row r="3309" spans="1:25" s="88" customFormat="1" hidden="1" x14ac:dyDescent="0.25">
      <c r="A3309" s="258"/>
      <c r="B3309" s="258"/>
      <c r="C3309" s="261"/>
      <c r="D3309" s="258"/>
      <c r="E3309" s="679"/>
      <c r="F3309" s="499">
        <v>416</v>
      </c>
      <c r="G3309" s="492" t="s">
        <v>4142</v>
      </c>
      <c r="H3309" s="555"/>
      <c r="I3309" s="556"/>
      <c r="J3309" s="556">
        <f t="shared" si="114"/>
        <v>0</v>
      </c>
      <c r="K3309" s="505"/>
      <c r="L3309" s="505"/>
      <c r="M3309" s="505"/>
      <c r="N3309" s="505"/>
      <c r="O3309" s="505"/>
      <c r="P3309" s="505"/>
      <c r="Q3309" s="505"/>
      <c r="R3309" s="505"/>
      <c r="S3309" s="505"/>
      <c r="T3309" s="505"/>
      <c r="U3309" s="505"/>
      <c r="V3309" s="505"/>
      <c r="W3309" s="505"/>
      <c r="X3309" s="505"/>
      <c r="Y3309" s="505"/>
    </row>
    <row r="3310" spans="1:25" s="88" customFormat="1" hidden="1" x14ac:dyDescent="0.25">
      <c r="A3310" s="258"/>
      <c r="B3310" s="258"/>
      <c r="C3310" s="261"/>
      <c r="D3310" s="258"/>
      <c r="E3310" s="679"/>
      <c r="F3310" s="499">
        <v>417</v>
      </c>
      <c r="G3310" s="492" t="s">
        <v>4143</v>
      </c>
      <c r="H3310" s="555"/>
      <c r="I3310" s="556"/>
      <c r="J3310" s="556">
        <f t="shared" si="114"/>
        <v>0</v>
      </c>
      <c r="K3310" s="505"/>
      <c r="L3310" s="505"/>
      <c r="M3310" s="505"/>
      <c r="N3310" s="505"/>
      <c r="O3310" s="505"/>
      <c r="P3310" s="505"/>
      <c r="Q3310" s="505"/>
      <c r="R3310" s="505"/>
      <c r="S3310" s="505"/>
      <c r="T3310" s="505"/>
      <c r="U3310" s="505"/>
      <c r="V3310" s="505"/>
      <c r="W3310" s="505"/>
      <c r="X3310" s="505"/>
      <c r="Y3310" s="505"/>
    </row>
    <row r="3311" spans="1:25" s="88" customFormat="1" hidden="1" x14ac:dyDescent="0.25">
      <c r="A3311" s="258"/>
      <c r="B3311" s="258"/>
      <c r="C3311" s="261"/>
      <c r="D3311" s="258"/>
      <c r="E3311" s="679"/>
      <c r="F3311" s="499">
        <v>418</v>
      </c>
      <c r="G3311" s="492" t="s">
        <v>3775</v>
      </c>
      <c r="H3311" s="555"/>
      <c r="I3311" s="556"/>
      <c r="J3311" s="556">
        <f t="shared" si="114"/>
        <v>0</v>
      </c>
      <c r="K3311" s="505"/>
      <c r="L3311" s="505"/>
      <c r="M3311" s="505"/>
      <c r="N3311" s="505"/>
      <c r="O3311" s="505"/>
      <c r="P3311" s="505"/>
      <c r="Q3311" s="505"/>
      <c r="R3311" s="505"/>
      <c r="S3311" s="505"/>
      <c r="T3311" s="505"/>
      <c r="U3311" s="505"/>
      <c r="V3311" s="505"/>
      <c r="W3311" s="505"/>
      <c r="X3311" s="505"/>
      <c r="Y3311" s="505"/>
    </row>
    <row r="3312" spans="1:25" s="88" customFormat="1" hidden="1" x14ac:dyDescent="0.25">
      <c r="A3312" s="258"/>
      <c r="B3312" s="258"/>
      <c r="C3312" s="261"/>
      <c r="D3312" s="258"/>
      <c r="E3312" s="679"/>
      <c r="F3312" s="499">
        <v>421</v>
      </c>
      <c r="G3312" s="492" t="s">
        <v>3779</v>
      </c>
      <c r="H3312" s="555"/>
      <c r="I3312" s="556"/>
      <c r="J3312" s="556">
        <f t="shared" si="114"/>
        <v>0</v>
      </c>
      <c r="K3312" s="505"/>
      <c r="L3312" s="505"/>
      <c r="M3312" s="505"/>
      <c r="N3312" s="505"/>
      <c r="O3312" s="505"/>
      <c r="P3312" s="505"/>
      <c r="Q3312" s="505"/>
      <c r="R3312" s="505"/>
      <c r="S3312" s="505"/>
      <c r="T3312" s="505"/>
      <c r="U3312" s="505"/>
      <c r="V3312" s="505"/>
      <c r="W3312" s="505"/>
      <c r="X3312" s="505"/>
      <c r="Y3312" s="505"/>
    </row>
    <row r="3313" spans="1:25" s="88" customFormat="1" hidden="1" x14ac:dyDescent="0.25">
      <c r="A3313" s="258"/>
      <c r="B3313" s="258"/>
      <c r="C3313" s="261"/>
      <c r="D3313" s="258"/>
      <c r="E3313" s="679"/>
      <c r="F3313" s="499">
        <v>422</v>
      </c>
      <c r="G3313" s="492" t="s">
        <v>3780</v>
      </c>
      <c r="H3313" s="555"/>
      <c r="I3313" s="556"/>
      <c r="J3313" s="556">
        <f t="shared" si="114"/>
        <v>0</v>
      </c>
      <c r="K3313" s="505"/>
      <c r="L3313" s="505"/>
      <c r="M3313" s="505"/>
      <c r="N3313" s="505"/>
      <c r="O3313" s="505"/>
      <c r="P3313" s="505"/>
      <c r="Q3313" s="505"/>
      <c r="R3313" s="505"/>
      <c r="S3313" s="505"/>
      <c r="T3313" s="505"/>
      <c r="U3313" s="505"/>
      <c r="V3313" s="505"/>
      <c r="W3313" s="505"/>
      <c r="X3313" s="505"/>
      <c r="Y3313" s="505"/>
    </row>
    <row r="3314" spans="1:25" s="88" customFormat="1" hidden="1" x14ac:dyDescent="0.25">
      <c r="A3314" s="258"/>
      <c r="B3314" s="258"/>
      <c r="C3314" s="261"/>
      <c r="D3314" s="258"/>
      <c r="E3314" s="679"/>
      <c r="F3314" s="499">
        <v>423</v>
      </c>
      <c r="G3314" s="492" t="s">
        <v>3781</v>
      </c>
      <c r="H3314" s="555"/>
      <c r="I3314" s="556"/>
      <c r="J3314" s="556">
        <f t="shared" si="114"/>
        <v>0</v>
      </c>
      <c r="K3314" s="505"/>
      <c r="L3314" s="505"/>
      <c r="M3314" s="505"/>
      <c r="N3314" s="505"/>
      <c r="O3314" s="505"/>
      <c r="P3314" s="505"/>
      <c r="Q3314" s="505"/>
      <c r="R3314" s="505"/>
      <c r="S3314" s="505"/>
      <c r="T3314" s="505"/>
      <c r="U3314" s="505"/>
      <c r="V3314" s="505"/>
      <c r="W3314" s="505"/>
      <c r="X3314" s="505"/>
      <c r="Y3314" s="505"/>
    </row>
    <row r="3315" spans="1:25" s="88" customFormat="1" hidden="1" x14ac:dyDescent="0.25">
      <c r="A3315" s="258"/>
      <c r="B3315" s="258"/>
      <c r="C3315" s="261"/>
      <c r="D3315" s="258"/>
      <c r="E3315" s="679"/>
      <c r="F3315" s="499">
        <v>424</v>
      </c>
      <c r="G3315" s="492" t="s">
        <v>3783</v>
      </c>
      <c r="H3315" s="555"/>
      <c r="I3315" s="556"/>
      <c r="J3315" s="556">
        <f t="shared" si="114"/>
        <v>0</v>
      </c>
      <c r="K3315" s="505"/>
      <c r="L3315" s="505"/>
      <c r="M3315" s="505"/>
      <c r="N3315" s="505"/>
      <c r="O3315" s="505"/>
      <c r="P3315" s="505"/>
      <c r="Q3315" s="505"/>
      <c r="R3315" s="505"/>
      <c r="S3315" s="505"/>
      <c r="T3315" s="505"/>
      <c r="U3315" s="505"/>
      <c r="V3315" s="505"/>
      <c r="W3315" s="505"/>
      <c r="X3315" s="505"/>
      <c r="Y3315" s="505"/>
    </row>
    <row r="3316" spans="1:25" s="88" customFormat="1" x14ac:dyDescent="0.25">
      <c r="A3316" s="258"/>
      <c r="B3316" s="258"/>
      <c r="C3316" s="261"/>
      <c r="D3316" s="258"/>
      <c r="E3316" s="679">
        <v>113</v>
      </c>
      <c r="F3316" s="499">
        <v>425</v>
      </c>
      <c r="G3316" s="492" t="s">
        <v>4144</v>
      </c>
      <c r="H3316" s="555">
        <v>900000</v>
      </c>
      <c r="I3316" s="556"/>
      <c r="J3316" s="556">
        <f t="shared" si="114"/>
        <v>900000</v>
      </c>
      <c r="K3316" s="505"/>
      <c r="L3316" s="505"/>
      <c r="M3316" s="505"/>
      <c r="N3316" s="505"/>
      <c r="O3316" s="505"/>
      <c r="P3316" s="505"/>
      <c r="Q3316" s="505"/>
      <c r="R3316" s="505"/>
      <c r="S3316" s="505"/>
      <c r="T3316" s="505"/>
      <c r="U3316" s="505"/>
      <c r="V3316" s="505"/>
      <c r="W3316" s="505"/>
      <c r="X3316" s="505"/>
      <c r="Y3316" s="505"/>
    </row>
    <row r="3317" spans="1:25" s="88" customFormat="1" hidden="1" x14ac:dyDescent="0.25">
      <c r="A3317" s="258"/>
      <c r="B3317" s="258"/>
      <c r="C3317" s="261"/>
      <c r="D3317" s="258"/>
      <c r="E3317" s="679"/>
      <c r="F3317" s="499">
        <v>426</v>
      </c>
      <c r="G3317" s="492" t="s">
        <v>3787</v>
      </c>
      <c r="H3317" s="555"/>
      <c r="I3317" s="556"/>
      <c r="J3317" s="556">
        <f t="shared" si="114"/>
        <v>0</v>
      </c>
      <c r="K3317" s="505"/>
      <c r="L3317" s="505"/>
      <c r="M3317" s="505"/>
      <c r="N3317" s="505"/>
      <c r="O3317" s="505"/>
      <c r="P3317" s="505"/>
      <c r="Q3317" s="505"/>
      <c r="R3317" s="505"/>
      <c r="S3317" s="505"/>
      <c r="T3317" s="505"/>
      <c r="U3317" s="505"/>
      <c r="V3317" s="505"/>
      <c r="W3317" s="505"/>
      <c r="X3317" s="505"/>
      <c r="Y3317" s="505"/>
    </row>
    <row r="3318" spans="1:25" s="88" customFormat="1" hidden="1" x14ac:dyDescent="0.25">
      <c r="A3318" s="258"/>
      <c r="B3318" s="258"/>
      <c r="C3318" s="261"/>
      <c r="D3318" s="258"/>
      <c r="E3318" s="679"/>
      <c r="F3318" s="499">
        <v>431</v>
      </c>
      <c r="G3318" s="492" t="s">
        <v>4145</v>
      </c>
      <c r="H3318" s="555"/>
      <c r="I3318" s="556"/>
      <c r="J3318" s="556">
        <f t="shared" si="114"/>
        <v>0</v>
      </c>
      <c r="K3318" s="505"/>
      <c r="L3318" s="505"/>
      <c r="M3318" s="505"/>
      <c r="N3318" s="505"/>
      <c r="O3318" s="505"/>
      <c r="P3318" s="505"/>
      <c r="Q3318" s="505"/>
      <c r="R3318" s="505"/>
      <c r="S3318" s="505"/>
      <c r="T3318" s="505"/>
      <c r="U3318" s="505"/>
      <c r="V3318" s="505"/>
      <c r="W3318" s="505"/>
      <c r="X3318" s="505"/>
      <c r="Y3318" s="505"/>
    </row>
    <row r="3319" spans="1:25" s="88" customFormat="1" hidden="1" x14ac:dyDescent="0.25">
      <c r="A3319" s="258"/>
      <c r="B3319" s="258"/>
      <c r="C3319" s="261"/>
      <c r="D3319" s="258"/>
      <c r="E3319" s="679"/>
      <c r="F3319" s="499">
        <v>432</v>
      </c>
      <c r="G3319" s="492" t="s">
        <v>4146</v>
      </c>
      <c r="H3319" s="555"/>
      <c r="I3319" s="556"/>
      <c r="J3319" s="556">
        <f t="shared" si="114"/>
        <v>0</v>
      </c>
      <c r="K3319" s="505"/>
      <c r="L3319" s="505"/>
      <c r="M3319" s="505"/>
      <c r="N3319" s="505"/>
      <c r="O3319" s="505"/>
      <c r="P3319" s="505"/>
      <c r="Q3319" s="505"/>
      <c r="R3319" s="505"/>
      <c r="S3319" s="505"/>
      <c r="T3319" s="505"/>
      <c r="U3319" s="505"/>
      <c r="V3319" s="505"/>
      <c r="W3319" s="505"/>
      <c r="X3319" s="505"/>
      <c r="Y3319" s="505"/>
    </row>
    <row r="3320" spans="1:25" s="88" customFormat="1" hidden="1" x14ac:dyDescent="0.25">
      <c r="A3320" s="258"/>
      <c r="B3320" s="258"/>
      <c r="C3320" s="261"/>
      <c r="D3320" s="258"/>
      <c r="E3320" s="679"/>
      <c r="F3320" s="499">
        <v>433</v>
      </c>
      <c r="G3320" s="492" t="s">
        <v>4147</v>
      </c>
      <c r="H3320" s="555"/>
      <c r="I3320" s="556"/>
      <c r="J3320" s="556">
        <f t="shared" si="114"/>
        <v>0</v>
      </c>
      <c r="K3320" s="505"/>
      <c r="L3320" s="505"/>
      <c r="M3320" s="505"/>
      <c r="N3320" s="505"/>
      <c r="O3320" s="505"/>
      <c r="P3320" s="505"/>
      <c r="Q3320" s="505"/>
      <c r="R3320" s="505"/>
      <c r="S3320" s="505"/>
      <c r="T3320" s="505"/>
      <c r="U3320" s="505"/>
      <c r="V3320" s="505"/>
      <c r="W3320" s="505"/>
      <c r="X3320" s="505"/>
      <c r="Y3320" s="505"/>
    </row>
    <row r="3321" spans="1:25" s="88" customFormat="1" hidden="1" x14ac:dyDescent="0.25">
      <c r="A3321" s="258"/>
      <c r="B3321" s="258"/>
      <c r="C3321" s="261"/>
      <c r="D3321" s="258"/>
      <c r="E3321" s="679"/>
      <c r="F3321" s="499">
        <v>434</v>
      </c>
      <c r="G3321" s="492" t="s">
        <v>4148</v>
      </c>
      <c r="H3321" s="555"/>
      <c r="I3321" s="556"/>
      <c r="J3321" s="556">
        <f t="shared" si="114"/>
        <v>0</v>
      </c>
      <c r="K3321" s="505"/>
      <c r="L3321" s="505"/>
      <c r="M3321" s="505"/>
      <c r="N3321" s="505"/>
      <c r="O3321" s="505"/>
      <c r="P3321" s="505"/>
      <c r="Q3321" s="505"/>
      <c r="R3321" s="505"/>
      <c r="S3321" s="505"/>
      <c r="T3321" s="505"/>
      <c r="U3321" s="505"/>
      <c r="V3321" s="505"/>
      <c r="W3321" s="505"/>
      <c r="X3321" s="505"/>
      <c r="Y3321" s="505"/>
    </row>
    <row r="3322" spans="1:25" s="88" customFormat="1" hidden="1" x14ac:dyDescent="0.25">
      <c r="A3322" s="258"/>
      <c r="B3322" s="258"/>
      <c r="C3322" s="261"/>
      <c r="D3322" s="258"/>
      <c r="E3322" s="679"/>
      <c r="F3322" s="499">
        <v>435</v>
      </c>
      <c r="G3322" s="492" t="s">
        <v>3794</v>
      </c>
      <c r="H3322" s="555"/>
      <c r="I3322" s="556"/>
      <c r="J3322" s="556">
        <f t="shared" si="114"/>
        <v>0</v>
      </c>
      <c r="K3322" s="505"/>
      <c r="L3322" s="505"/>
      <c r="M3322" s="505"/>
      <c r="N3322" s="505"/>
      <c r="O3322" s="505"/>
      <c r="P3322" s="505"/>
      <c r="Q3322" s="505"/>
      <c r="R3322" s="505"/>
      <c r="S3322" s="505"/>
      <c r="T3322" s="505"/>
      <c r="U3322" s="505"/>
      <c r="V3322" s="505"/>
      <c r="W3322" s="505"/>
      <c r="X3322" s="505"/>
      <c r="Y3322" s="505"/>
    </row>
    <row r="3323" spans="1:25" s="88" customFormat="1" hidden="1" x14ac:dyDescent="0.25">
      <c r="A3323" s="258"/>
      <c r="B3323" s="258"/>
      <c r="C3323" s="261"/>
      <c r="D3323" s="258"/>
      <c r="E3323" s="679"/>
      <c r="F3323" s="499">
        <v>441</v>
      </c>
      <c r="G3323" s="492" t="s">
        <v>4149</v>
      </c>
      <c r="H3323" s="555"/>
      <c r="I3323" s="556"/>
      <c r="J3323" s="556">
        <f t="shared" si="114"/>
        <v>0</v>
      </c>
      <c r="K3323" s="505"/>
      <c r="L3323" s="505"/>
      <c r="M3323" s="505"/>
      <c r="N3323" s="505"/>
      <c r="O3323" s="505"/>
      <c r="P3323" s="505"/>
      <c r="Q3323" s="505"/>
      <c r="R3323" s="505"/>
      <c r="S3323" s="505"/>
      <c r="T3323" s="505"/>
      <c r="U3323" s="505"/>
      <c r="V3323" s="505"/>
      <c r="W3323" s="505"/>
      <c r="X3323" s="505"/>
      <c r="Y3323" s="505"/>
    </row>
    <row r="3324" spans="1:25" s="88" customFormat="1" hidden="1" x14ac:dyDescent="0.25">
      <c r="A3324" s="258"/>
      <c r="B3324" s="258"/>
      <c r="C3324" s="261"/>
      <c r="D3324" s="258"/>
      <c r="E3324" s="679"/>
      <c r="F3324" s="499">
        <v>442</v>
      </c>
      <c r="G3324" s="492" t="s">
        <v>4150</v>
      </c>
      <c r="H3324" s="555"/>
      <c r="I3324" s="556"/>
      <c r="J3324" s="556">
        <f t="shared" si="114"/>
        <v>0</v>
      </c>
      <c r="K3324" s="505"/>
      <c r="L3324" s="505"/>
      <c r="M3324" s="505"/>
      <c r="N3324" s="505"/>
      <c r="O3324" s="505"/>
      <c r="P3324" s="505"/>
      <c r="Q3324" s="505"/>
      <c r="R3324" s="505"/>
      <c r="S3324" s="505"/>
      <c r="T3324" s="505"/>
      <c r="U3324" s="505"/>
      <c r="V3324" s="505"/>
      <c r="W3324" s="505"/>
      <c r="X3324" s="505"/>
      <c r="Y3324" s="505"/>
    </row>
    <row r="3325" spans="1:25" s="88" customFormat="1" hidden="1" x14ac:dyDescent="0.25">
      <c r="A3325" s="258"/>
      <c r="B3325" s="258"/>
      <c r="C3325" s="261"/>
      <c r="D3325" s="258"/>
      <c r="E3325" s="679"/>
      <c r="F3325" s="499">
        <v>443</v>
      </c>
      <c r="G3325" s="492" t="s">
        <v>3799</v>
      </c>
      <c r="H3325" s="555"/>
      <c r="I3325" s="556"/>
      <c r="J3325" s="556">
        <f t="shared" si="114"/>
        <v>0</v>
      </c>
      <c r="K3325" s="505"/>
      <c r="L3325" s="505"/>
      <c r="M3325" s="505"/>
      <c r="N3325" s="505"/>
      <c r="O3325" s="505"/>
      <c r="P3325" s="505"/>
      <c r="Q3325" s="505"/>
      <c r="R3325" s="505"/>
      <c r="S3325" s="505"/>
      <c r="T3325" s="505"/>
      <c r="U3325" s="505"/>
      <c r="V3325" s="505"/>
      <c r="W3325" s="505"/>
      <c r="X3325" s="505"/>
      <c r="Y3325" s="505"/>
    </row>
    <row r="3326" spans="1:25" s="88" customFormat="1" hidden="1" x14ac:dyDescent="0.25">
      <c r="A3326" s="258"/>
      <c r="B3326" s="258"/>
      <c r="C3326" s="261"/>
      <c r="D3326" s="258"/>
      <c r="E3326" s="679"/>
      <c r="F3326" s="499">
        <v>444</v>
      </c>
      <c r="G3326" s="492" t="s">
        <v>3800</v>
      </c>
      <c r="H3326" s="555"/>
      <c r="I3326" s="556"/>
      <c r="J3326" s="556">
        <f t="shared" si="114"/>
        <v>0</v>
      </c>
      <c r="K3326" s="505"/>
      <c r="L3326" s="505"/>
      <c r="M3326" s="505"/>
      <c r="N3326" s="505"/>
      <c r="O3326" s="505"/>
      <c r="P3326" s="505"/>
      <c r="Q3326" s="505"/>
      <c r="R3326" s="505"/>
      <c r="S3326" s="505"/>
      <c r="T3326" s="505"/>
      <c r="U3326" s="505"/>
      <c r="V3326" s="505"/>
      <c r="W3326" s="505"/>
      <c r="X3326" s="505"/>
      <c r="Y3326" s="505"/>
    </row>
    <row r="3327" spans="1:25" s="88" customFormat="1" ht="30" hidden="1" x14ac:dyDescent="0.25">
      <c r="A3327" s="258"/>
      <c r="B3327" s="258"/>
      <c r="C3327" s="261"/>
      <c r="D3327" s="258"/>
      <c r="E3327" s="679"/>
      <c r="F3327" s="499">
        <v>4511</v>
      </c>
      <c r="G3327" s="771" t="s">
        <v>1690</v>
      </c>
      <c r="H3327" s="555"/>
      <c r="I3327" s="556"/>
      <c r="J3327" s="556">
        <f t="shared" si="114"/>
        <v>0</v>
      </c>
      <c r="K3327" s="505"/>
      <c r="L3327" s="505"/>
      <c r="M3327" s="505"/>
      <c r="N3327" s="505"/>
      <c r="O3327" s="505"/>
      <c r="P3327" s="505"/>
      <c r="Q3327" s="505"/>
      <c r="R3327" s="505"/>
      <c r="S3327" s="505"/>
      <c r="T3327" s="505"/>
      <c r="U3327" s="505"/>
      <c r="V3327" s="505"/>
      <c r="W3327" s="505"/>
      <c r="X3327" s="505"/>
      <c r="Y3327" s="505"/>
    </row>
    <row r="3328" spans="1:25" s="88" customFormat="1" ht="15" hidden="1" customHeight="1" x14ac:dyDescent="0.25">
      <c r="A3328" s="258"/>
      <c r="B3328" s="258"/>
      <c r="C3328" s="261"/>
      <c r="D3328" s="258"/>
      <c r="E3328" s="679">
        <v>69</v>
      </c>
      <c r="F3328" s="691">
        <v>511</v>
      </c>
      <c r="G3328" s="770" t="s">
        <v>5208</v>
      </c>
      <c r="H3328" s="555">
        <v>0</v>
      </c>
      <c r="I3328" s="556"/>
      <c r="J3328" s="556">
        <f t="shared" si="114"/>
        <v>0</v>
      </c>
      <c r="K3328" s="505"/>
      <c r="L3328" s="505"/>
      <c r="M3328" s="505"/>
      <c r="N3328" s="505"/>
      <c r="O3328" s="505"/>
      <c r="P3328" s="505"/>
      <c r="Q3328" s="505"/>
      <c r="R3328" s="505"/>
      <c r="S3328" s="505"/>
      <c r="T3328" s="505"/>
      <c r="U3328" s="505"/>
      <c r="V3328" s="505"/>
      <c r="W3328" s="505"/>
      <c r="X3328" s="505"/>
      <c r="Y3328" s="505"/>
    </row>
    <row r="3329" spans="1:25" s="88" customFormat="1" hidden="1" x14ac:dyDescent="0.25">
      <c r="A3329" s="258"/>
      <c r="B3329" s="258"/>
      <c r="C3329" s="261"/>
      <c r="D3329" s="258"/>
      <c r="E3329" s="679"/>
      <c r="F3329" s="499">
        <v>452</v>
      </c>
      <c r="G3329" s="492" t="s">
        <v>4151</v>
      </c>
      <c r="H3329" s="555"/>
      <c r="I3329" s="556"/>
      <c r="J3329" s="556">
        <f t="shared" si="114"/>
        <v>0</v>
      </c>
      <c r="K3329" s="505"/>
      <c r="L3329" s="505"/>
      <c r="M3329" s="505"/>
      <c r="N3329" s="505"/>
      <c r="O3329" s="505"/>
      <c r="P3329" s="505"/>
      <c r="Q3329" s="505"/>
      <c r="R3329" s="505"/>
      <c r="S3329" s="505"/>
      <c r="T3329" s="505"/>
      <c r="U3329" s="505"/>
      <c r="V3329" s="505"/>
      <c r="W3329" s="505"/>
      <c r="X3329" s="505"/>
      <c r="Y3329" s="505"/>
    </row>
    <row r="3330" spans="1:25" s="88" customFormat="1" hidden="1" x14ac:dyDescent="0.25">
      <c r="A3330" s="258"/>
      <c r="B3330" s="258"/>
      <c r="C3330" s="261"/>
      <c r="D3330" s="258"/>
      <c r="E3330" s="679"/>
      <c r="F3330" s="499">
        <v>453</v>
      </c>
      <c r="G3330" s="492" t="s">
        <v>4152</v>
      </c>
      <c r="H3330" s="555"/>
      <c r="I3330" s="556"/>
      <c r="J3330" s="556">
        <f t="shared" si="114"/>
        <v>0</v>
      </c>
      <c r="K3330" s="505"/>
      <c r="L3330" s="505"/>
      <c r="M3330" s="505"/>
      <c r="N3330" s="505"/>
      <c r="O3330" s="505"/>
      <c r="P3330" s="505"/>
      <c r="Q3330" s="505"/>
      <c r="R3330" s="505"/>
      <c r="S3330" s="505"/>
      <c r="T3330" s="505"/>
      <c r="U3330" s="505"/>
      <c r="V3330" s="505"/>
      <c r="W3330" s="505"/>
      <c r="X3330" s="505"/>
      <c r="Y3330" s="505"/>
    </row>
    <row r="3331" spans="1:25" s="88" customFormat="1" hidden="1" x14ac:dyDescent="0.25">
      <c r="A3331" s="258"/>
      <c r="B3331" s="258"/>
      <c r="C3331" s="261"/>
      <c r="D3331" s="258"/>
      <c r="E3331" s="679"/>
      <c r="F3331" s="499">
        <v>454</v>
      </c>
      <c r="G3331" s="492" t="s">
        <v>3805</v>
      </c>
      <c r="H3331" s="555"/>
      <c r="I3331" s="556"/>
      <c r="J3331" s="556">
        <f t="shared" si="114"/>
        <v>0</v>
      </c>
      <c r="K3331" s="505"/>
      <c r="L3331" s="505"/>
      <c r="M3331" s="505"/>
      <c r="N3331" s="505"/>
      <c r="O3331" s="505"/>
      <c r="P3331" s="505"/>
      <c r="Q3331" s="505"/>
      <c r="R3331" s="505"/>
      <c r="S3331" s="505"/>
      <c r="T3331" s="505"/>
      <c r="U3331" s="505"/>
      <c r="V3331" s="505"/>
      <c r="W3331" s="505"/>
      <c r="X3331" s="505"/>
      <c r="Y3331" s="505"/>
    </row>
    <row r="3332" spans="1:25" s="88" customFormat="1" hidden="1" x14ac:dyDescent="0.25">
      <c r="A3332" s="258"/>
      <c r="B3332" s="258"/>
      <c r="C3332" s="261"/>
      <c r="D3332" s="258"/>
      <c r="E3332" s="679"/>
      <c r="F3332" s="499">
        <v>461</v>
      </c>
      <c r="G3332" s="492" t="s">
        <v>4133</v>
      </c>
      <c r="H3332" s="555"/>
      <c r="I3332" s="556"/>
      <c r="J3332" s="556">
        <f t="shared" si="114"/>
        <v>0</v>
      </c>
      <c r="K3332" s="505"/>
      <c r="L3332" s="505"/>
      <c r="M3332" s="505"/>
      <c r="N3332" s="505"/>
      <c r="O3332" s="505"/>
      <c r="P3332" s="505"/>
      <c r="Q3332" s="505"/>
      <c r="R3332" s="505"/>
      <c r="S3332" s="505"/>
      <c r="T3332" s="505"/>
      <c r="U3332" s="505"/>
      <c r="V3332" s="505"/>
      <c r="W3332" s="505"/>
      <c r="X3332" s="505"/>
      <c r="Y3332" s="505"/>
    </row>
    <row r="3333" spans="1:25" s="88" customFormat="1" hidden="1" x14ac:dyDescent="0.25">
      <c r="A3333" s="258"/>
      <c r="B3333" s="258"/>
      <c r="C3333" s="261"/>
      <c r="D3333" s="258"/>
      <c r="E3333" s="679"/>
      <c r="F3333" s="499">
        <v>462</v>
      </c>
      <c r="G3333" s="492" t="s">
        <v>3808</v>
      </c>
      <c r="H3333" s="555"/>
      <c r="I3333" s="556"/>
      <c r="J3333" s="556">
        <f t="shared" si="114"/>
        <v>0</v>
      </c>
      <c r="K3333" s="505"/>
      <c r="L3333" s="505"/>
      <c r="M3333" s="505"/>
      <c r="N3333" s="505"/>
      <c r="O3333" s="505"/>
      <c r="P3333" s="505"/>
      <c r="Q3333" s="505"/>
      <c r="R3333" s="505"/>
      <c r="S3333" s="505"/>
      <c r="T3333" s="505"/>
      <c r="U3333" s="505"/>
      <c r="V3333" s="505"/>
      <c r="W3333" s="505"/>
      <c r="X3333" s="505"/>
      <c r="Y3333" s="505"/>
    </row>
    <row r="3334" spans="1:25" s="88" customFormat="1" hidden="1" x14ac:dyDescent="0.25">
      <c r="A3334" s="258"/>
      <c r="B3334" s="258"/>
      <c r="C3334" s="261"/>
      <c r="D3334" s="258"/>
      <c r="E3334" s="679"/>
      <c r="F3334" s="499">
        <v>4631</v>
      </c>
      <c r="G3334" s="492" t="s">
        <v>3809</v>
      </c>
      <c r="H3334" s="555"/>
      <c r="I3334" s="556"/>
      <c r="J3334" s="556">
        <f t="shared" si="114"/>
        <v>0</v>
      </c>
      <c r="K3334" s="505"/>
      <c r="L3334" s="505"/>
      <c r="M3334" s="505"/>
      <c r="N3334" s="505"/>
      <c r="O3334" s="505"/>
      <c r="P3334" s="505"/>
      <c r="Q3334" s="505"/>
      <c r="R3334" s="505"/>
      <c r="S3334" s="505"/>
      <c r="T3334" s="505"/>
      <c r="U3334" s="505"/>
      <c r="V3334" s="505"/>
      <c r="W3334" s="505"/>
      <c r="X3334" s="505"/>
      <c r="Y3334" s="505"/>
    </row>
    <row r="3335" spans="1:25" s="88" customFormat="1" hidden="1" x14ac:dyDescent="0.25">
      <c r="A3335" s="258"/>
      <c r="B3335" s="258"/>
      <c r="C3335" s="261"/>
      <c r="D3335" s="258"/>
      <c r="E3335" s="679"/>
      <c r="F3335" s="499">
        <v>4632</v>
      </c>
      <c r="G3335" s="492" t="s">
        <v>3810</v>
      </c>
      <c r="H3335" s="555"/>
      <c r="I3335" s="556"/>
      <c r="J3335" s="556">
        <f t="shared" si="114"/>
        <v>0</v>
      </c>
      <c r="K3335" s="505"/>
      <c r="L3335" s="505"/>
      <c r="M3335" s="505"/>
      <c r="N3335" s="505"/>
      <c r="O3335" s="505"/>
      <c r="P3335" s="505"/>
      <c r="Q3335" s="505"/>
      <c r="R3335" s="505"/>
      <c r="S3335" s="505"/>
      <c r="T3335" s="505"/>
      <c r="U3335" s="505"/>
      <c r="V3335" s="505"/>
      <c r="W3335" s="505"/>
      <c r="X3335" s="505"/>
      <c r="Y3335" s="505"/>
    </row>
    <row r="3336" spans="1:25" s="88" customFormat="1" hidden="1" x14ac:dyDescent="0.25">
      <c r="A3336" s="258"/>
      <c r="B3336" s="258"/>
      <c r="C3336" s="261"/>
      <c r="D3336" s="258"/>
      <c r="E3336" s="679"/>
      <c r="F3336" s="499">
        <v>464</v>
      </c>
      <c r="G3336" s="492" t="s">
        <v>3811</v>
      </c>
      <c r="H3336" s="555"/>
      <c r="I3336" s="556"/>
      <c r="J3336" s="556">
        <f t="shared" si="114"/>
        <v>0</v>
      </c>
      <c r="K3336" s="505"/>
      <c r="L3336" s="505"/>
      <c r="M3336" s="505"/>
      <c r="N3336" s="505"/>
      <c r="O3336" s="505"/>
      <c r="P3336" s="505"/>
      <c r="Q3336" s="505"/>
      <c r="R3336" s="505"/>
      <c r="S3336" s="505"/>
      <c r="T3336" s="505"/>
      <c r="U3336" s="505"/>
      <c r="V3336" s="505"/>
      <c r="W3336" s="505"/>
      <c r="X3336" s="505"/>
      <c r="Y3336" s="505"/>
    </row>
    <row r="3337" spans="1:25" s="88" customFormat="1" hidden="1" x14ac:dyDescent="0.25">
      <c r="A3337" s="258"/>
      <c r="B3337" s="258"/>
      <c r="C3337" s="261"/>
      <c r="D3337" s="258"/>
      <c r="E3337" s="679"/>
      <c r="F3337" s="499">
        <v>465</v>
      </c>
      <c r="G3337" s="492" t="s">
        <v>4134</v>
      </c>
      <c r="H3337" s="555"/>
      <c r="I3337" s="556"/>
      <c r="J3337" s="556">
        <f t="shared" si="114"/>
        <v>0</v>
      </c>
      <c r="K3337" s="505"/>
      <c r="L3337" s="505"/>
      <c r="M3337" s="505"/>
      <c r="N3337" s="505"/>
      <c r="O3337" s="505"/>
      <c r="P3337" s="505"/>
      <c r="Q3337" s="505"/>
      <c r="R3337" s="505"/>
      <c r="S3337" s="505"/>
      <c r="T3337" s="505"/>
      <c r="U3337" s="505"/>
      <c r="V3337" s="505"/>
      <c r="W3337" s="505"/>
      <c r="X3337" s="505"/>
      <c r="Y3337" s="505"/>
    </row>
    <row r="3338" spans="1:25" s="88" customFormat="1" hidden="1" x14ac:dyDescent="0.25">
      <c r="A3338" s="258"/>
      <c r="B3338" s="258"/>
      <c r="C3338" s="261"/>
      <c r="D3338" s="258"/>
      <c r="E3338" s="679"/>
      <c r="F3338" s="499">
        <v>472</v>
      </c>
      <c r="G3338" s="492" t="s">
        <v>3815</v>
      </c>
      <c r="H3338" s="555"/>
      <c r="I3338" s="556"/>
      <c r="J3338" s="556">
        <f t="shared" si="114"/>
        <v>0</v>
      </c>
      <c r="K3338" s="505"/>
      <c r="L3338" s="505"/>
      <c r="M3338" s="505"/>
      <c r="N3338" s="505"/>
      <c r="O3338" s="505"/>
      <c r="P3338" s="505"/>
      <c r="Q3338" s="505"/>
      <c r="R3338" s="505"/>
      <c r="S3338" s="505"/>
      <c r="T3338" s="505"/>
      <c r="U3338" s="505"/>
      <c r="V3338" s="505"/>
      <c r="W3338" s="505"/>
      <c r="X3338" s="505"/>
      <c r="Y3338" s="505"/>
    </row>
    <row r="3339" spans="1:25" s="88" customFormat="1" hidden="1" x14ac:dyDescent="0.25">
      <c r="A3339" s="258"/>
      <c r="B3339" s="258"/>
      <c r="C3339" s="261"/>
      <c r="D3339" s="258"/>
      <c r="E3339" s="679"/>
      <c r="F3339" s="499">
        <v>481</v>
      </c>
      <c r="G3339" s="492" t="s">
        <v>4153</v>
      </c>
      <c r="H3339" s="555"/>
      <c r="I3339" s="556"/>
      <c r="J3339" s="556">
        <f t="shared" si="114"/>
        <v>0</v>
      </c>
      <c r="K3339" s="505"/>
      <c r="L3339" s="505"/>
      <c r="M3339" s="505"/>
      <c r="N3339" s="505"/>
      <c r="O3339" s="505"/>
      <c r="P3339" s="505"/>
      <c r="Q3339" s="505"/>
      <c r="R3339" s="505"/>
      <c r="S3339" s="505"/>
      <c r="T3339" s="505"/>
      <c r="U3339" s="505"/>
      <c r="V3339" s="505"/>
      <c r="W3339" s="505"/>
      <c r="X3339" s="505"/>
      <c r="Y3339" s="505"/>
    </row>
    <row r="3340" spans="1:25" s="88" customFormat="1" hidden="1" x14ac:dyDescent="0.25">
      <c r="A3340" s="258"/>
      <c r="B3340" s="258"/>
      <c r="C3340" s="261"/>
      <c r="D3340" s="258"/>
      <c r="E3340" s="679"/>
      <c r="F3340" s="499">
        <v>482</v>
      </c>
      <c r="G3340" s="492" t="s">
        <v>4154</v>
      </c>
      <c r="H3340" s="555"/>
      <c r="I3340" s="556"/>
      <c r="J3340" s="556">
        <f t="shared" si="114"/>
        <v>0</v>
      </c>
      <c r="K3340" s="505"/>
      <c r="L3340" s="505"/>
      <c r="M3340" s="505"/>
      <c r="N3340" s="505"/>
      <c r="O3340" s="505"/>
      <c r="P3340" s="505"/>
      <c r="Q3340" s="505"/>
      <c r="R3340" s="505"/>
      <c r="S3340" s="505"/>
      <c r="T3340" s="505"/>
      <c r="U3340" s="505"/>
      <c r="V3340" s="505"/>
      <c r="W3340" s="505"/>
      <c r="X3340" s="505"/>
      <c r="Y3340" s="505"/>
    </row>
    <row r="3341" spans="1:25" s="88" customFormat="1" hidden="1" x14ac:dyDescent="0.25">
      <c r="A3341" s="258"/>
      <c r="B3341" s="258"/>
      <c r="C3341" s="261"/>
      <c r="D3341" s="258"/>
      <c r="E3341" s="679"/>
      <c r="F3341" s="499">
        <v>483</v>
      </c>
      <c r="G3341" s="496" t="s">
        <v>4155</v>
      </c>
      <c r="H3341" s="555"/>
      <c r="I3341" s="556"/>
      <c r="J3341" s="556">
        <f t="shared" si="114"/>
        <v>0</v>
      </c>
      <c r="K3341" s="505"/>
      <c r="L3341" s="505"/>
      <c r="M3341" s="505"/>
      <c r="N3341" s="505"/>
      <c r="O3341" s="505"/>
      <c r="P3341" s="505"/>
      <c r="Q3341" s="505"/>
      <c r="R3341" s="505"/>
      <c r="S3341" s="505"/>
      <c r="T3341" s="505"/>
      <c r="U3341" s="505"/>
      <c r="V3341" s="505"/>
      <c r="W3341" s="505"/>
      <c r="X3341" s="505"/>
      <c r="Y3341" s="505"/>
    </row>
    <row r="3342" spans="1:25" s="88" customFormat="1" ht="30" hidden="1" x14ac:dyDescent="0.25">
      <c r="A3342" s="258"/>
      <c r="B3342" s="258"/>
      <c r="C3342" s="261"/>
      <c r="D3342" s="258"/>
      <c r="E3342" s="679"/>
      <c r="F3342" s="499">
        <v>484</v>
      </c>
      <c r="G3342" s="492" t="s">
        <v>4156</v>
      </c>
      <c r="H3342" s="555"/>
      <c r="I3342" s="556"/>
      <c r="J3342" s="556">
        <f t="shared" si="114"/>
        <v>0</v>
      </c>
      <c r="K3342" s="505"/>
      <c r="L3342" s="505"/>
      <c r="M3342" s="505"/>
      <c r="N3342" s="505"/>
      <c r="O3342" s="505"/>
      <c r="P3342" s="505"/>
      <c r="Q3342" s="505"/>
      <c r="R3342" s="505"/>
      <c r="S3342" s="505"/>
      <c r="T3342" s="505"/>
      <c r="U3342" s="505"/>
      <c r="V3342" s="505"/>
      <c r="W3342" s="505"/>
      <c r="X3342" s="505"/>
      <c r="Y3342" s="505"/>
    </row>
    <row r="3343" spans="1:25" s="88" customFormat="1" ht="30" hidden="1" x14ac:dyDescent="0.25">
      <c r="A3343" s="258"/>
      <c r="B3343" s="258"/>
      <c r="C3343" s="261"/>
      <c r="D3343" s="258"/>
      <c r="E3343" s="679"/>
      <c r="F3343" s="499">
        <v>485</v>
      </c>
      <c r="G3343" s="492" t="s">
        <v>4157</v>
      </c>
      <c r="H3343" s="555"/>
      <c r="I3343" s="556"/>
      <c r="J3343" s="556">
        <f t="shared" si="114"/>
        <v>0</v>
      </c>
      <c r="K3343" s="505"/>
      <c r="L3343" s="505"/>
      <c r="M3343" s="505"/>
      <c r="N3343" s="505"/>
      <c r="O3343" s="505"/>
      <c r="P3343" s="505"/>
      <c r="Q3343" s="505"/>
      <c r="R3343" s="505"/>
      <c r="S3343" s="505"/>
      <c r="T3343" s="505"/>
      <c r="U3343" s="505"/>
      <c r="V3343" s="505"/>
      <c r="W3343" s="505"/>
      <c r="X3343" s="505"/>
      <c r="Y3343" s="505"/>
    </row>
    <row r="3344" spans="1:25" s="88" customFormat="1" ht="30" hidden="1" x14ac:dyDescent="0.25">
      <c r="A3344" s="258"/>
      <c r="B3344" s="258"/>
      <c r="C3344" s="261"/>
      <c r="D3344" s="258"/>
      <c r="E3344" s="679"/>
      <c r="F3344" s="499">
        <v>489</v>
      </c>
      <c r="G3344" s="492" t="s">
        <v>3823</v>
      </c>
      <c r="H3344" s="555"/>
      <c r="I3344" s="556"/>
      <c r="J3344" s="556">
        <f t="shared" si="114"/>
        <v>0</v>
      </c>
      <c r="K3344" s="505"/>
      <c r="L3344" s="505"/>
      <c r="M3344" s="505"/>
      <c r="N3344" s="505"/>
      <c r="O3344" s="505"/>
      <c r="P3344" s="505"/>
      <c r="Q3344" s="505"/>
      <c r="R3344" s="505"/>
      <c r="S3344" s="505"/>
      <c r="T3344" s="505"/>
      <c r="U3344" s="505"/>
      <c r="V3344" s="505"/>
      <c r="W3344" s="505"/>
      <c r="X3344" s="505"/>
      <c r="Y3344" s="505"/>
    </row>
    <row r="3345" spans="1:25" s="88" customFormat="1" hidden="1" x14ac:dyDescent="0.25">
      <c r="A3345" s="258"/>
      <c r="B3345" s="258"/>
      <c r="C3345" s="261"/>
      <c r="D3345" s="258"/>
      <c r="E3345" s="679"/>
      <c r="F3345" s="499">
        <v>494</v>
      </c>
      <c r="G3345" s="492" t="s">
        <v>4135</v>
      </c>
      <c r="H3345" s="555"/>
      <c r="I3345" s="556"/>
      <c r="J3345" s="556">
        <f t="shared" si="114"/>
        <v>0</v>
      </c>
      <c r="K3345" s="505"/>
      <c r="L3345" s="505"/>
      <c r="M3345" s="505"/>
      <c r="N3345" s="505"/>
      <c r="O3345" s="505"/>
      <c r="P3345" s="505"/>
      <c r="Q3345" s="505"/>
      <c r="R3345" s="505"/>
      <c r="S3345" s="505"/>
      <c r="T3345" s="505"/>
      <c r="U3345" s="505"/>
      <c r="V3345" s="505"/>
      <c r="W3345" s="505"/>
      <c r="X3345" s="505"/>
      <c r="Y3345" s="505"/>
    </row>
    <row r="3346" spans="1:25" s="88" customFormat="1" ht="30" hidden="1" x14ac:dyDescent="0.25">
      <c r="A3346" s="258"/>
      <c r="B3346" s="258"/>
      <c r="C3346" s="261"/>
      <c r="D3346" s="258"/>
      <c r="E3346" s="679"/>
      <c r="F3346" s="499">
        <v>495</v>
      </c>
      <c r="G3346" s="492" t="s">
        <v>4136</v>
      </c>
      <c r="H3346" s="555"/>
      <c r="I3346" s="556"/>
      <c r="J3346" s="556">
        <f t="shared" si="114"/>
        <v>0</v>
      </c>
      <c r="K3346" s="505"/>
      <c r="L3346" s="505"/>
      <c r="M3346" s="505"/>
      <c r="N3346" s="505"/>
      <c r="O3346" s="505"/>
      <c r="P3346" s="505"/>
      <c r="Q3346" s="505"/>
      <c r="R3346" s="505"/>
      <c r="S3346" s="505"/>
      <c r="T3346" s="505"/>
      <c r="U3346" s="505"/>
      <c r="V3346" s="505"/>
      <c r="W3346" s="505"/>
      <c r="X3346" s="505"/>
      <c r="Y3346" s="505"/>
    </row>
    <row r="3347" spans="1:25" s="88" customFormat="1" ht="30" hidden="1" x14ac:dyDescent="0.25">
      <c r="A3347" s="258"/>
      <c r="B3347" s="258"/>
      <c r="C3347" s="261"/>
      <c r="D3347" s="258"/>
      <c r="E3347" s="679"/>
      <c r="F3347" s="499">
        <v>496</v>
      </c>
      <c r="G3347" s="492" t="s">
        <v>4137</v>
      </c>
      <c r="H3347" s="555"/>
      <c r="I3347" s="556"/>
      <c r="J3347" s="556">
        <f t="shared" si="114"/>
        <v>0</v>
      </c>
      <c r="K3347" s="505"/>
      <c r="L3347" s="505"/>
      <c r="M3347" s="505"/>
      <c r="N3347" s="505"/>
      <c r="O3347" s="505"/>
      <c r="P3347" s="505"/>
      <c r="Q3347" s="505"/>
      <c r="R3347" s="505"/>
      <c r="S3347" s="505"/>
      <c r="T3347" s="505"/>
      <c r="U3347" s="505"/>
      <c r="V3347" s="505"/>
      <c r="W3347" s="505"/>
      <c r="X3347" s="505"/>
      <c r="Y3347" s="505"/>
    </row>
    <row r="3348" spans="1:25" s="88" customFormat="1" ht="30" hidden="1" x14ac:dyDescent="0.25">
      <c r="A3348" s="258"/>
      <c r="B3348" s="258"/>
      <c r="C3348" s="261"/>
      <c r="D3348" s="258"/>
      <c r="E3348" s="679"/>
      <c r="F3348" s="499">
        <v>499</v>
      </c>
      <c r="G3348" s="492" t="s">
        <v>4138</v>
      </c>
      <c r="H3348" s="555"/>
      <c r="I3348" s="556"/>
      <c r="J3348" s="556">
        <f t="shared" si="114"/>
        <v>0</v>
      </c>
      <c r="K3348" s="505"/>
      <c r="L3348" s="505"/>
      <c r="M3348" s="505"/>
      <c r="N3348" s="505"/>
      <c r="O3348" s="505"/>
      <c r="P3348" s="505"/>
      <c r="Q3348" s="505"/>
      <c r="R3348" s="505"/>
      <c r="S3348" s="505"/>
      <c r="T3348" s="505"/>
      <c r="U3348" s="505"/>
      <c r="V3348" s="505"/>
      <c r="W3348" s="505"/>
      <c r="X3348" s="505"/>
      <c r="Y3348" s="505"/>
    </row>
    <row r="3349" spans="1:25" s="88" customFormat="1" x14ac:dyDescent="0.25">
      <c r="A3349" s="258"/>
      <c r="B3349" s="258"/>
      <c r="C3349" s="261"/>
      <c r="D3349" s="258"/>
      <c r="E3349" s="679">
        <v>114</v>
      </c>
      <c r="F3349" s="499">
        <v>511</v>
      </c>
      <c r="G3349" s="496" t="s">
        <v>4158</v>
      </c>
      <c r="H3349" s="555">
        <v>100000</v>
      </c>
      <c r="I3349" s="556"/>
      <c r="J3349" s="556">
        <f t="shared" si="114"/>
        <v>100000</v>
      </c>
      <c r="K3349" s="505"/>
      <c r="L3349" s="505"/>
      <c r="M3349" s="505"/>
      <c r="N3349" s="505"/>
      <c r="O3349" s="505"/>
      <c r="P3349" s="505"/>
      <c r="Q3349" s="505"/>
      <c r="R3349" s="505"/>
      <c r="S3349" s="505"/>
      <c r="T3349" s="505"/>
      <c r="U3349" s="505"/>
      <c r="V3349" s="505"/>
      <c r="W3349" s="505"/>
      <c r="X3349" s="505"/>
      <c r="Y3349" s="505"/>
    </row>
    <row r="3350" spans="1:25" s="88" customFormat="1" hidden="1" x14ac:dyDescent="0.25">
      <c r="A3350" s="258"/>
      <c r="B3350" s="258"/>
      <c r="C3350" s="261"/>
      <c r="D3350" s="258"/>
      <c r="E3350" s="679"/>
      <c r="F3350" s="499">
        <v>512</v>
      </c>
      <c r="G3350" s="496" t="s">
        <v>4159</v>
      </c>
      <c r="H3350" s="555"/>
      <c r="I3350" s="556"/>
      <c r="J3350" s="556">
        <f t="shared" si="114"/>
        <v>0</v>
      </c>
      <c r="K3350" s="505"/>
      <c r="L3350" s="505"/>
      <c r="M3350" s="505"/>
      <c r="N3350" s="505"/>
      <c r="O3350" s="505"/>
      <c r="P3350" s="505"/>
      <c r="Q3350" s="505"/>
      <c r="R3350" s="505"/>
      <c r="S3350" s="505"/>
      <c r="T3350" s="505"/>
      <c r="U3350" s="505"/>
      <c r="V3350" s="505"/>
      <c r="W3350" s="505"/>
      <c r="X3350" s="505"/>
      <c r="Y3350" s="505"/>
    </row>
    <row r="3351" spans="1:25" s="88" customFormat="1" hidden="1" x14ac:dyDescent="0.25">
      <c r="A3351" s="258"/>
      <c r="B3351" s="258"/>
      <c r="C3351" s="261"/>
      <c r="D3351" s="258"/>
      <c r="E3351" s="679"/>
      <c r="F3351" s="499">
        <v>513</v>
      </c>
      <c r="G3351" s="496" t="s">
        <v>4160</v>
      </c>
      <c r="H3351" s="555"/>
      <c r="I3351" s="556"/>
      <c r="J3351" s="556">
        <f t="shared" si="114"/>
        <v>0</v>
      </c>
      <c r="K3351" s="505"/>
      <c r="L3351" s="505"/>
      <c r="M3351" s="505"/>
      <c r="N3351" s="505"/>
      <c r="O3351" s="505"/>
      <c r="P3351" s="505"/>
      <c r="Q3351" s="505"/>
      <c r="R3351" s="505"/>
      <c r="S3351" s="505"/>
      <c r="T3351" s="505"/>
      <c r="U3351" s="505"/>
      <c r="V3351" s="505"/>
      <c r="W3351" s="505"/>
      <c r="X3351" s="505"/>
      <c r="Y3351" s="505"/>
    </row>
    <row r="3352" spans="1:25" s="88" customFormat="1" hidden="1" x14ac:dyDescent="0.25">
      <c r="A3352" s="258"/>
      <c r="B3352" s="258"/>
      <c r="C3352" s="261"/>
      <c r="D3352" s="258"/>
      <c r="E3352" s="679"/>
      <c r="F3352" s="499">
        <v>514</v>
      </c>
      <c r="G3352" s="492" t="s">
        <v>4161</v>
      </c>
      <c r="H3352" s="555"/>
      <c r="I3352" s="556"/>
      <c r="J3352" s="556">
        <f t="shared" si="114"/>
        <v>0</v>
      </c>
      <c r="K3352" s="505"/>
      <c r="L3352" s="505"/>
      <c r="M3352" s="505"/>
      <c r="N3352" s="505"/>
      <c r="O3352" s="505"/>
      <c r="P3352" s="505"/>
      <c r="Q3352" s="505"/>
      <c r="R3352" s="505"/>
      <c r="S3352" s="505"/>
      <c r="T3352" s="505"/>
      <c r="U3352" s="505"/>
      <c r="V3352" s="505"/>
      <c r="W3352" s="505"/>
      <c r="X3352" s="505"/>
      <c r="Y3352" s="505"/>
    </row>
    <row r="3353" spans="1:25" s="88" customFormat="1" hidden="1" x14ac:dyDescent="0.25">
      <c r="A3353" s="258"/>
      <c r="B3353" s="258"/>
      <c r="C3353" s="261"/>
      <c r="D3353" s="258"/>
      <c r="E3353" s="679"/>
      <c r="F3353" s="499">
        <v>515</v>
      </c>
      <c r="G3353" s="492" t="s">
        <v>3834</v>
      </c>
      <c r="H3353" s="555"/>
      <c r="I3353" s="556"/>
      <c r="J3353" s="556">
        <f t="shared" si="114"/>
        <v>0</v>
      </c>
      <c r="K3353" s="505"/>
      <c r="L3353" s="505"/>
      <c r="M3353" s="505"/>
      <c r="N3353" s="505"/>
      <c r="O3353" s="505"/>
      <c r="P3353" s="505"/>
      <c r="Q3353" s="505"/>
      <c r="R3353" s="505"/>
      <c r="S3353" s="505"/>
      <c r="T3353" s="505"/>
      <c r="U3353" s="505"/>
      <c r="V3353" s="505"/>
      <c r="W3353" s="505"/>
      <c r="X3353" s="505"/>
      <c r="Y3353" s="505"/>
    </row>
    <row r="3354" spans="1:25" s="88" customFormat="1" hidden="1" x14ac:dyDescent="0.25">
      <c r="A3354" s="258"/>
      <c r="B3354" s="258"/>
      <c r="C3354" s="261"/>
      <c r="D3354" s="258"/>
      <c r="E3354" s="679"/>
      <c r="F3354" s="499">
        <v>521</v>
      </c>
      <c r="G3354" s="492" t="s">
        <v>4162</v>
      </c>
      <c r="H3354" s="555"/>
      <c r="I3354" s="556"/>
      <c r="J3354" s="556">
        <f t="shared" si="114"/>
        <v>0</v>
      </c>
      <c r="K3354" s="505"/>
      <c r="L3354" s="505"/>
      <c r="M3354" s="505"/>
      <c r="N3354" s="505"/>
      <c r="O3354" s="505"/>
      <c r="P3354" s="505"/>
      <c r="Q3354" s="505"/>
      <c r="R3354" s="505"/>
      <c r="S3354" s="505"/>
      <c r="T3354" s="505"/>
      <c r="U3354" s="505"/>
      <c r="V3354" s="505"/>
      <c r="W3354" s="505"/>
      <c r="X3354" s="505"/>
      <c r="Y3354" s="505"/>
    </row>
    <row r="3355" spans="1:25" s="88" customFormat="1" hidden="1" x14ac:dyDescent="0.25">
      <c r="A3355" s="258"/>
      <c r="B3355" s="258"/>
      <c r="C3355" s="261"/>
      <c r="D3355" s="258"/>
      <c r="E3355" s="679"/>
      <c r="F3355" s="499">
        <v>522</v>
      </c>
      <c r="G3355" s="492" t="s">
        <v>4163</v>
      </c>
      <c r="H3355" s="555"/>
      <c r="I3355" s="556"/>
      <c r="J3355" s="556">
        <f t="shared" si="114"/>
        <v>0</v>
      </c>
      <c r="K3355" s="505"/>
      <c r="L3355" s="505"/>
      <c r="M3355" s="505"/>
      <c r="N3355" s="505"/>
      <c r="O3355" s="505"/>
      <c r="P3355" s="505"/>
      <c r="Q3355" s="505"/>
      <c r="R3355" s="505"/>
      <c r="S3355" s="505"/>
      <c r="T3355" s="505"/>
      <c r="U3355" s="505"/>
      <c r="V3355" s="505"/>
      <c r="W3355" s="505"/>
      <c r="X3355" s="505"/>
      <c r="Y3355" s="505"/>
    </row>
    <row r="3356" spans="1:25" s="88" customFormat="1" hidden="1" x14ac:dyDescent="0.25">
      <c r="A3356" s="258"/>
      <c r="B3356" s="258"/>
      <c r="C3356" s="261"/>
      <c r="D3356" s="258"/>
      <c r="E3356" s="679"/>
      <c r="F3356" s="499">
        <v>523</v>
      </c>
      <c r="G3356" s="492" t="s">
        <v>3839</v>
      </c>
      <c r="H3356" s="555"/>
      <c r="I3356" s="556"/>
      <c r="J3356" s="556">
        <f t="shared" si="114"/>
        <v>0</v>
      </c>
      <c r="K3356" s="505"/>
      <c r="L3356" s="505"/>
      <c r="M3356" s="505"/>
      <c r="N3356" s="505"/>
      <c r="O3356" s="505"/>
      <c r="P3356" s="505"/>
      <c r="Q3356" s="505"/>
      <c r="R3356" s="505"/>
      <c r="S3356" s="505"/>
      <c r="T3356" s="505"/>
      <c r="U3356" s="505"/>
      <c r="V3356" s="505"/>
      <c r="W3356" s="505"/>
      <c r="X3356" s="505"/>
      <c r="Y3356" s="505"/>
    </row>
    <row r="3357" spans="1:25" s="88" customFormat="1" hidden="1" x14ac:dyDescent="0.25">
      <c r="A3357" s="258"/>
      <c r="B3357" s="258"/>
      <c r="C3357" s="261"/>
      <c r="D3357" s="258"/>
      <c r="E3357" s="679"/>
      <c r="F3357" s="499">
        <v>531</v>
      </c>
      <c r="G3357" s="488" t="s">
        <v>4139</v>
      </c>
      <c r="H3357" s="555"/>
      <c r="I3357" s="556"/>
      <c r="J3357" s="556">
        <f t="shared" si="114"/>
        <v>0</v>
      </c>
      <c r="K3357" s="505"/>
      <c r="L3357" s="505"/>
      <c r="M3357" s="505"/>
      <c r="N3357" s="505"/>
      <c r="O3357" s="505"/>
      <c r="P3357" s="505"/>
      <c r="Q3357" s="505"/>
      <c r="R3357" s="505"/>
      <c r="S3357" s="505"/>
      <c r="T3357" s="505"/>
      <c r="U3357" s="505"/>
      <c r="V3357" s="505"/>
      <c r="W3357" s="505"/>
      <c r="X3357" s="505"/>
      <c r="Y3357" s="505"/>
    </row>
    <row r="3358" spans="1:25" s="88" customFormat="1" hidden="1" x14ac:dyDescent="0.25">
      <c r="A3358" s="258"/>
      <c r="B3358" s="258"/>
      <c r="C3358" s="261"/>
      <c r="D3358" s="258"/>
      <c r="E3358" s="679"/>
      <c r="F3358" s="499">
        <v>541</v>
      </c>
      <c r="G3358" s="492" t="s">
        <v>4164</v>
      </c>
      <c r="H3358" s="555"/>
      <c r="I3358" s="556"/>
      <c r="J3358" s="556">
        <f t="shared" si="114"/>
        <v>0</v>
      </c>
      <c r="K3358" s="505"/>
      <c r="L3358" s="505"/>
      <c r="M3358" s="505"/>
      <c r="N3358" s="505"/>
      <c r="O3358" s="505"/>
      <c r="P3358" s="505"/>
      <c r="Q3358" s="505"/>
      <c r="R3358" s="505"/>
      <c r="S3358" s="505"/>
      <c r="T3358" s="505"/>
      <c r="U3358" s="505"/>
      <c r="V3358" s="505"/>
      <c r="W3358" s="505"/>
      <c r="X3358" s="505"/>
      <c r="Y3358" s="505"/>
    </row>
    <row r="3359" spans="1:25" s="88" customFormat="1" hidden="1" x14ac:dyDescent="0.25">
      <c r="A3359" s="258"/>
      <c r="B3359" s="258"/>
      <c r="C3359" s="261"/>
      <c r="D3359" s="258"/>
      <c r="E3359" s="679"/>
      <c r="F3359" s="499">
        <v>542</v>
      </c>
      <c r="G3359" s="492" t="s">
        <v>4165</v>
      </c>
      <c r="H3359" s="555"/>
      <c r="I3359" s="556"/>
      <c r="J3359" s="556">
        <f t="shared" si="114"/>
        <v>0</v>
      </c>
      <c r="K3359" s="505"/>
      <c r="L3359" s="505"/>
      <c r="M3359" s="505"/>
      <c r="N3359" s="505"/>
      <c r="O3359" s="505"/>
      <c r="P3359" s="505"/>
      <c r="Q3359" s="505"/>
      <c r="R3359" s="505"/>
      <c r="S3359" s="505"/>
      <c r="T3359" s="505"/>
      <c r="U3359" s="505"/>
      <c r="V3359" s="505"/>
      <c r="W3359" s="505"/>
      <c r="X3359" s="505"/>
      <c r="Y3359" s="505"/>
    </row>
    <row r="3360" spans="1:25" s="88" customFormat="1" hidden="1" x14ac:dyDescent="0.25">
      <c r="A3360" s="258"/>
      <c r="B3360" s="258"/>
      <c r="C3360" s="261"/>
      <c r="D3360" s="258"/>
      <c r="E3360" s="679"/>
      <c r="F3360" s="499">
        <v>543</v>
      </c>
      <c r="G3360" s="492" t="s">
        <v>3844</v>
      </c>
      <c r="H3360" s="555"/>
      <c r="I3360" s="556"/>
      <c r="J3360" s="556">
        <f t="shared" si="114"/>
        <v>0</v>
      </c>
      <c r="K3360" s="505"/>
      <c r="L3360" s="505"/>
      <c r="M3360" s="505"/>
      <c r="N3360" s="505"/>
      <c r="O3360" s="505"/>
      <c r="P3360" s="505"/>
      <c r="Q3360" s="505"/>
      <c r="R3360" s="505"/>
      <c r="S3360" s="505"/>
      <c r="T3360" s="505"/>
      <c r="U3360" s="505"/>
      <c r="V3360" s="505"/>
      <c r="W3360" s="505"/>
      <c r="X3360" s="505"/>
      <c r="Y3360" s="505"/>
    </row>
    <row r="3361" spans="1:25" s="88" customFormat="1" ht="30" hidden="1" x14ac:dyDescent="0.25">
      <c r="A3361" s="258"/>
      <c r="B3361" s="258"/>
      <c r="C3361" s="261"/>
      <c r="D3361" s="258"/>
      <c r="E3361" s="679"/>
      <c r="F3361" s="499">
        <v>551</v>
      </c>
      <c r="G3361" s="492" t="s">
        <v>4140</v>
      </c>
      <c r="H3361" s="555"/>
      <c r="I3361" s="556"/>
      <c r="J3361" s="556">
        <f t="shared" si="114"/>
        <v>0</v>
      </c>
      <c r="K3361" s="505"/>
      <c r="L3361" s="505"/>
      <c r="M3361" s="505"/>
      <c r="N3361" s="505"/>
      <c r="O3361" s="505"/>
      <c r="P3361" s="505"/>
      <c r="Q3361" s="505"/>
      <c r="R3361" s="505"/>
      <c r="S3361" s="505"/>
      <c r="T3361" s="505"/>
      <c r="U3361" s="505"/>
      <c r="V3361" s="505"/>
      <c r="W3361" s="505"/>
      <c r="X3361" s="505"/>
      <c r="Y3361" s="505"/>
    </row>
    <row r="3362" spans="1:25" s="88" customFormat="1" hidden="1" x14ac:dyDescent="0.25">
      <c r="A3362" s="258"/>
      <c r="B3362" s="258"/>
      <c r="C3362" s="261"/>
      <c r="D3362" s="258"/>
      <c r="E3362" s="679"/>
      <c r="F3362" s="500">
        <v>611</v>
      </c>
      <c r="G3362" s="498" t="s">
        <v>3850</v>
      </c>
      <c r="H3362" s="555"/>
      <c r="I3362" s="556"/>
      <c r="J3362" s="556">
        <f t="shared" si="114"/>
        <v>0</v>
      </c>
      <c r="K3362" s="505"/>
      <c r="L3362" s="505"/>
      <c r="M3362" s="505"/>
      <c r="N3362" s="505"/>
      <c r="O3362" s="505"/>
      <c r="P3362" s="505"/>
      <c r="Q3362" s="505"/>
      <c r="R3362" s="505"/>
      <c r="S3362" s="505"/>
      <c r="T3362" s="505"/>
      <c r="U3362" s="505"/>
      <c r="V3362" s="505"/>
      <c r="W3362" s="505"/>
      <c r="X3362" s="505"/>
      <c r="Y3362" s="505"/>
    </row>
    <row r="3363" spans="1:25" s="88" customFormat="1" ht="0.75" customHeight="1" thickBot="1" x14ac:dyDescent="0.3">
      <c r="A3363" s="258"/>
      <c r="B3363" s="258"/>
      <c r="C3363" s="261"/>
      <c r="D3363" s="258"/>
      <c r="E3363" s="679"/>
      <c r="F3363" s="500">
        <v>620</v>
      </c>
      <c r="G3363" s="498" t="s">
        <v>88</v>
      </c>
      <c r="H3363" s="555"/>
      <c r="I3363" s="556"/>
      <c r="J3363" s="556">
        <f t="shared" si="114"/>
        <v>0</v>
      </c>
      <c r="K3363" s="505"/>
      <c r="L3363" s="505"/>
      <c r="M3363" s="505"/>
      <c r="N3363" s="505"/>
      <c r="O3363" s="505"/>
      <c r="P3363" s="505"/>
      <c r="Q3363" s="505"/>
      <c r="R3363" s="505"/>
      <c r="S3363" s="505"/>
      <c r="T3363" s="505"/>
      <c r="U3363" s="505"/>
      <c r="V3363" s="505"/>
      <c r="W3363" s="505"/>
      <c r="X3363" s="505"/>
      <c r="Y3363" s="505"/>
    </row>
    <row r="3364" spans="1:25" s="88" customFormat="1" x14ac:dyDescent="0.25">
      <c r="A3364" s="258"/>
      <c r="B3364" s="258"/>
      <c r="C3364" s="261"/>
      <c r="D3364" s="258"/>
      <c r="E3364" s="489"/>
      <c r="F3364" s="500"/>
      <c r="G3364" s="343" t="s">
        <v>4297</v>
      </c>
      <c r="H3364" s="557"/>
      <c r="I3364" s="583"/>
      <c r="J3364" s="558"/>
      <c r="K3364" s="505"/>
      <c r="L3364" s="505"/>
      <c r="M3364" s="505"/>
      <c r="N3364" s="505"/>
      <c r="O3364" s="505"/>
      <c r="P3364" s="505"/>
      <c r="Q3364" s="505"/>
      <c r="R3364" s="505"/>
      <c r="S3364" s="505"/>
      <c r="T3364" s="505"/>
      <c r="U3364" s="505"/>
      <c r="V3364" s="505"/>
      <c r="W3364" s="505"/>
      <c r="X3364" s="505"/>
      <c r="Y3364" s="505"/>
    </row>
    <row r="3365" spans="1:25" s="88" customFormat="1" ht="15.75" thickBot="1" x14ac:dyDescent="0.3">
      <c r="A3365" s="258"/>
      <c r="B3365" s="258"/>
      <c r="C3365" s="261"/>
      <c r="D3365" s="258"/>
      <c r="E3365" s="693"/>
      <c r="F3365" s="597" t="s">
        <v>234</v>
      </c>
      <c r="G3365" s="598" t="s">
        <v>235</v>
      </c>
      <c r="H3365" s="559">
        <f>SUM(H3304:H3363)</f>
        <v>1000000</v>
      </c>
      <c r="I3365" s="560"/>
      <c r="J3365" s="560">
        <f t="shared" ref="J3365:J3380" si="115">SUM(H3365:I3365)</f>
        <v>1000000</v>
      </c>
      <c r="K3365" s="505"/>
      <c r="L3365" s="505"/>
      <c r="M3365" s="505"/>
      <c r="N3365" s="505"/>
      <c r="O3365" s="505"/>
      <c r="P3365" s="505"/>
      <c r="Q3365" s="505"/>
      <c r="R3365" s="505"/>
      <c r="S3365" s="505"/>
      <c r="T3365" s="505"/>
      <c r="U3365" s="505"/>
      <c r="V3365" s="505"/>
      <c r="W3365" s="505"/>
      <c r="X3365" s="505"/>
      <c r="Y3365" s="505"/>
    </row>
    <row r="3366" spans="1:25" s="88" customFormat="1" ht="15.75" hidden="1" thickBot="1" x14ac:dyDescent="0.3">
      <c r="A3366" s="258"/>
      <c r="B3366" s="258"/>
      <c r="C3366" s="261"/>
      <c r="D3366" s="258"/>
      <c r="E3366" s="679"/>
      <c r="F3366" s="597" t="s">
        <v>236</v>
      </c>
      <c r="G3366" s="598" t="s">
        <v>237</v>
      </c>
      <c r="H3366" s="555"/>
      <c r="I3366" s="556"/>
      <c r="J3366" s="560">
        <f t="shared" si="115"/>
        <v>0</v>
      </c>
      <c r="K3366" s="505"/>
      <c r="L3366" s="505"/>
      <c r="M3366" s="505"/>
      <c r="N3366" s="505"/>
      <c r="O3366" s="505"/>
      <c r="P3366" s="505"/>
      <c r="Q3366" s="505"/>
      <c r="R3366" s="505"/>
      <c r="S3366" s="505"/>
      <c r="T3366" s="505"/>
      <c r="U3366" s="505"/>
      <c r="V3366" s="505"/>
      <c r="W3366" s="505"/>
      <c r="X3366" s="505"/>
      <c r="Y3366" s="505"/>
    </row>
    <row r="3367" spans="1:25" s="88" customFormat="1" ht="15.75" hidden="1" thickBot="1" x14ac:dyDescent="0.3">
      <c r="A3367" s="258"/>
      <c r="B3367" s="258"/>
      <c r="C3367" s="261"/>
      <c r="D3367" s="258"/>
      <c r="E3367" s="679"/>
      <c r="F3367" s="597" t="s">
        <v>238</v>
      </c>
      <c r="G3367" s="598" t="s">
        <v>239</v>
      </c>
      <c r="H3367" s="555"/>
      <c r="I3367" s="556"/>
      <c r="J3367" s="560">
        <f t="shared" si="115"/>
        <v>0</v>
      </c>
      <c r="K3367" s="505"/>
      <c r="L3367" s="505"/>
      <c r="M3367" s="505"/>
      <c r="N3367" s="505"/>
      <c r="O3367" s="505"/>
      <c r="P3367" s="505"/>
      <c r="Q3367" s="505"/>
      <c r="R3367" s="505"/>
      <c r="S3367" s="505"/>
      <c r="T3367" s="505"/>
      <c r="U3367" s="505"/>
      <c r="V3367" s="505"/>
      <c r="W3367" s="505"/>
      <c r="X3367" s="505"/>
      <c r="Y3367" s="505"/>
    </row>
    <row r="3368" spans="1:25" s="88" customFormat="1" ht="15.75" hidden="1" thickBot="1" x14ac:dyDescent="0.3">
      <c r="A3368" s="258"/>
      <c r="B3368" s="258"/>
      <c r="C3368" s="261"/>
      <c r="D3368" s="258"/>
      <c r="E3368" s="679"/>
      <c r="F3368" s="597" t="s">
        <v>240</v>
      </c>
      <c r="G3368" s="598" t="s">
        <v>241</v>
      </c>
      <c r="H3368" s="555"/>
      <c r="I3368" s="556"/>
      <c r="J3368" s="560">
        <f t="shared" si="115"/>
        <v>0</v>
      </c>
      <c r="K3368" s="505"/>
      <c r="L3368" s="505"/>
      <c r="M3368" s="505"/>
      <c r="N3368" s="505"/>
      <c r="O3368" s="505"/>
      <c r="P3368" s="505"/>
      <c r="Q3368" s="505"/>
      <c r="R3368" s="505"/>
      <c r="S3368" s="505"/>
      <c r="T3368" s="505"/>
      <c r="U3368" s="505"/>
      <c r="V3368" s="505"/>
      <c r="W3368" s="505"/>
      <c r="X3368" s="505"/>
      <c r="Y3368" s="505"/>
    </row>
    <row r="3369" spans="1:25" s="88" customFormat="1" ht="15.75" hidden="1" thickBot="1" x14ac:dyDescent="0.3">
      <c r="A3369" s="258"/>
      <c r="B3369" s="258"/>
      <c r="C3369" s="261"/>
      <c r="D3369" s="258"/>
      <c r="E3369" s="679"/>
      <c r="F3369" s="597" t="s">
        <v>242</v>
      </c>
      <c r="G3369" s="598" t="s">
        <v>243</v>
      </c>
      <c r="H3369" s="555"/>
      <c r="I3369" s="556"/>
      <c r="J3369" s="560">
        <f t="shared" si="115"/>
        <v>0</v>
      </c>
      <c r="K3369" s="505"/>
      <c r="L3369" s="505"/>
      <c r="M3369" s="505"/>
      <c r="N3369" s="505"/>
      <c r="O3369" s="505"/>
      <c r="P3369" s="505"/>
      <c r="Q3369" s="505"/>
      <c r="R3369" s="505"/>
      <c r="S3369" s="505"/>
      <c r="T3369" s="505"/>
      <c r="U3369" s="505"/>
      <c r="V3369" s="505"/>
      <c r="W3369" s="505"/>
      <c r="X3369" s="505"/>
      <c r="Y3369" s="505"/>
    </row>
    <row r="3370" spans="1:25" s="88" customFormat="1" ht="15.75" hidden="1" thickBot="1" x14ac:dyDescent="0.3">
      <c r="A3370" s="258"/>
      <c r="B3370" s="258"/>
      <c r="C3370" s="261"/>
      <c r="D3370" s="258"/>
      <c r="E3370" s="679"/>
      <c r="F3370" s="597" t="s">
        <v>244</v>
      </c>
      <c r="G3370" s="598" t="s">
        <v>245</v>
      </c>
      <c r="H3370" s="555"/>
      <c r="I3370" s="556"/>
      <c r="J3370" s="560">
        <f t="shared" si="115"/>
        <v>0</v>
      </c>
      <c r="K3370" s="505"/>
      <c r="L3370" s="505"/>
      <c r="M3370" s="505"/>
      <c r="N3370" s="505"/>
      <c r="O3370" s="505"/>
      <c r="P3370" s="505"/>
      <c r="Q3370" s="505"/>
      <c r="R3370" s="505"/>
      <c r="S3370" s="505"/>
      <c r="T3370" s="505"/>
      <c r="U3370" s="505"/>
      <c r="V3370" s="505"/>
      <c r="W3370" s="505"/>
      <c r="X3370" s="505"/>
      <c r="Y3370" s="505"/>
    </row>
    <row r="3371" spans="1:25" s="88" customFormat="1" ht="15.75" hidden="1" thickBot="1" x14ac:dyDescent="0.3">
      <c r="A3371" s="258"/>
      <c r="B3371" s="258"/>
      <c r="C3371" s="261"/>
      <c r="D3371" s="258"/>
      <c r="E3371" s="679"/>
      <c r="F3371" s="597" t="s">
        <v>246</v>
      </c>
      <c r="G3371" s="598" t="s">
        <v>4996</v>
      </c>
      <c r="H3371" s="555"/>
      <c r="I3371" s="556"/>
      <c r="J3371" s="560">
        <f t="shared" si="115"/>
        <v>0</v>
      </c>
      <c r="K3371" s="505"/>
      <c r="L3371" s="505"/>
      <c r="M3371" s="505"/>
      <c r="N3371" s="505"/>
      <c r="O3371" s="505"/>
      <c r="P3371" s="505"/>
      <c r="Q3371" s="505"/>
      <c r="R3371" s="505"/>
      <c r="S3371" s="505"/>
      <c r="T3371" s="505"/>
      <c r="U3371" s="505"/>
      <c r="V3371" s="505"/>
      <c r="W3371" s="505"/>
      <c r="X3371" s="505"/>
      <c r="Y3371" s="505"/>
    </row>
    <row r="3372" spans="1:25" s="88" customFormat="1" ht="15.75" hidden="1" thickBot="1" x14ac:dyDescent="0.3">
      <c r="A3372" s="258"/>
      <c r="B3372" s="258"/>
      <c r="C3372" s="261"/>
      <c r="D3372" s="258"/>
      <c r="E3372" s="679"/>
      <c r="F3372" s="597" t="s">
        <v>247</v>
      </c>
      <c r="G3372" s="598" t="s">
        <v>4995</v>
      </c>
      <c r="H3372" s="555"/>
      <c r="I3372" s="556"/>
      <c r="J3372" s="560">
        <f t="shared" si="115"/>
        <v>0</v>
      </c>
      <c r="K3372" s="505"/>
      <c r="L3372" s="505"/>
      <c r="M3372" s="505"/>
      <c r="N3372" s="505"/>
      <c r="O3372" s="505"/>
      <c r="P3372" s="505"/>
      <c r="Q3372" s="505"/>
      <c r="R3372" s="505"/>
      <c r="S3372" s="505"/>
      <c r="T3372" s="505"/>
      <c r="U3372" s="505"/>
      <c r="V3372" s="505"/>
      <c r="W3372" s="505"/>
      <c r="X3372" s="505"/>
      <c r="Y3372" s="505"/>
    </row>
    <row r="3373" spans="1:25" s="88" customFormat="1" ht="15.75" hidden="1" thickBot="1" x14ac:dyDescent="0.3">
      <c r="A3373" s="258"/>
      <c r="B3373" s="258"/>
      <c r="C3373" s="261"/>
      <c r="D3373" s="258"/>
      <c r="E3373" s="679"/>
      <c r="F3373" s="597" t="s">
        <v>248</v>
      </c>
      <c r="G3373" s="598" t="s">
        <v>57</v>
      </c>
      <c r="H3373" s="555"/>
      <c r="I3373" s="556"/>
      <c r="J3373" s="560">
        <f t="shared" si="115"/>
        <v>0</v>
      </c>
      <c r="K3373" s="505"/>
      <c r="L3373" s="505"/>
      <c r="M3373" s="505"/>
      <c r="N3373" s="505"/>
      <c r="O3373" s="505"/>
      <c r="P3373" s="505"/>
      <c r="Q3373" s="505"/>
      <c r="R3373" s="505"/>
      <c r="S3373" s="505"/>
      <c r="T3373" s="505"/>
      <c r="U3373" s="505"/>
      <c r="V3373" s="505"/>
      <c r="W3373" s="505"/>
      <c r="X3373" s="505"/>
      <c r="Y3373" s="505"/>
    </row>
    <row r="3374" spans="1:25" s="88" customFormat="1" ht="15.75" hidden="1" thickBot="1" x14ac:dyDescent="0.3">
      <c r="A3374" s="258"/>
      <c r="B3374" s="258"/>
      <c r="C3374" s="261"/>
      <c r="D3374" s="258"/>
      <c r="E3374" s="679"/>
      <c r="F3374" s="597" t="s">
        <v>249</v>
      </c>
      <c r="G3374" s="598" t="s">
        <v>250</v>
      </c>
      <c r="H3374" s="555"/>
      <c r="I3374" s="556"/>
      <c r="J3374" s="560">
        <f t="shared" si="115"/>
        <v>0</v>
      </c>
      <c r="K3374" s="505"/>
      <c r="L3374" s="505"/>
      <c r="M3374" s="505"/>
      <c r="N3374" s="505"/>
      <c r="O3374" s="505"/>
      <c r="P3374" s="505"/>
      <c r="Q3374" s="505"/>
      <c r="R3374" s="505"/>
      <c r="S3374" s="505"/>
      <c r="T3374" s="505"/>
      <c r="U3374" s="505"/>
      <c r="V3374" s="505"/>
      <c r="W3374" s="505"/>
      <c r="X3374" s="505"/>
      <c r="Y3374" s="505"/>
    </row>
    <row r="3375" spans="1:25" s="88" customFormat="1" ht="15.75" hidden="1" thickBot="1" x14ac:dyDescent="0.3">
      <c r="A3375" s="258"/>
      <c r="B3375" s="258"/>
      <c r="C3375" s="261"/>
      <c r="D3375" s="258"/>
      <c r="E3375" s="679"/>
      <c r="F3375" s="597" t="s">
        <v>251</v>
      </c>
      <c r="G3375" s="598" t="s">
        <v>252</v>
      </c>
      <c r="H3375" s="555"/>
      <c r="I3375" s="556"/>
      <c r="J3375" s="560">
        <f t="shared" si="115"/>
        <v>0</v>
      </c>
      <c r="K3375" s="505"/>
      <c r="L3375" s="505"/>
      <c r="M3375" s="505"/>
      <c r="N3375" s="505"/>
      <c r="O3375" s="505"/>
      <c r="P3375" s="505"/>
      <c r="Q3375" s="505"/>
      <c r="R3375" s="505"/>
      <c r="S3375" s="505"/>
      <c r="T3375" s="505"/>
      <c r="U3375" s="505"/>
      <c r="V3375" s="505"/>
      <c r="W3375" s="505"/>
      <c r="X3375" s="505"/>
      <c r="Y3375" s="505"/>
    </row>
    <row r="3376" spans="1:25" s="88" customFormat="1" ht="30.75" hidden="1" thickBot="1" x14ac:dyDescent="0.3">
      <c r="A3376" s="258"/>
      <c r="B3376" s="258"/>
      <c r="C3376" s="261"/>
      <c r="D3376" s="258"/>
      <c r="E3376" s="679"/>
      <c r="F3376" s="597" t="s">
        <v>253</v>
      </c>
      <c r="G3376" s="598" t="s">
        <v>254</v>
      </c>
      <c r="H3376" s="555"/>
      <c r="I3376" s="556"/>
      <c r="J3376" s="560">
        <f t="shared" si="115"/>
        <v>0</v>
      </c>
      <c r="K3376" s="505"/>
      <c r="L3376" s="505"/>
      <c r="M3376" s="505"/>
      <c r="N3376" s="505"/>
      <c r="O3376" s="505"/>
      <c r="P3376" s="505"/>
      <c r="Q3376" s="505"/>
      <c r="R3376" s="505"/>
      <c r="S3376" s="505"/>
      <c r="T3376" s="505"/>
      <c r="U3376" s="505"/>
      <c r="V3376" s="505"/>
      <c r="W3376" s="505"/>
      <c r="X3376" s="505"/>
      <c r="Y3376" s="505"/>
    </row>
    <row r="3377" spans="1:25" s="88" customFormat="1" ht="15.75" hidden="1" thickBot="1" x14ac:dyDescent="0.3">
      <c r="A3377" s="258"/>
      <c r="B3377" s="258"/>
      <c r="C3377" s="261"/>
      <c r="D3377" s="258"/>
      <c r="E3377" s="679"/>
      <c r="F3377" s="597" t="s">
        <v>255</v>
      </c>
      <c r="G3377" s="598" t="s">
        <v>256</v>
      </c>
      <c r="H3377" s="555"/>
      <c r="I3377" s="556"/>
      <c r="J3377" s="560">
        <f t="shared" si="115"/>
        <v>0</v>
      </c>
      <c r="K3377" s="505"/>
      <c r="L3377" s="505"/>
      <c r="M3377" s="505"/>
      <c r="N3377" s="505"/>
      <c r="O3377" s="505"/>
      <c r="P3377" s="505"/>
      <c r="Q3377" s="505"/>
      <c r="R3377" s="505"/>
      <c r="S3377" s="505"/>
      <c r="T3377" s="505"/>
      <c r="U3377" s="505"/>
      <c r="V3377" s="505"/>
      <c r="W3377" s="505"/>
      <c r="X3377" s="505"/>
      <c r="Y3377" s="505"/>
    </row>
    <row r="3378" spans="1:25" s="88" customFormat="1" ht="30.75" hidden="1" thickBot="1" x14ac:dyDescent="0.3">
      <c r="A3378" s="258"/>
      <c r="B3378" s="258"/>
      <c r="C3378" s="261"/>
      <c r="D3378" s="258"/>
      <c r="E3378" s="679"/>
      <c r="F3378" s="597" t="s">
        <v>257</v>
      </c>
      <c r="G3378" s="598" t="s">
        <v>258</v>
      </c>
      <c r="H3378" s="555"/>
      <c r="I3378" s="556"/>
      <c r="J3378" s="560">
        <f t="shared" si="115"/>
        <v>0</v>
      </c>
      <c r="K3378" s="505"/>
      <c r="L3378" s="505"/>
      <c r="M3378" s="505"/>
      <c r="N3378" s="505"/>
      <c r="O3378" s="505"/>
      <c r="P3378" s="505"/>
      <c r="Q3378" s="505"/>
      <c r="R3378" s="505"/>
      <c r="S3378" s="505"/>
      <c r="T3378" s="505"/>
      <c r="U3378" s="505"/>
      <c r="V3378" s="505"/>
      <c r="W3378" s="505"/>
      <c r="X3378" s="505"/>
      <c r="Y3378" s="505"/>
    </row>
    <row r="3379" spans="1:25" s="88" customFormat="1" ht="15.75" hidden="1" thickBot="1" x14ac:dyDescent="0.3">
      <c r="A3379" s="258"/>
      <c r="B3379" s="258"/>
      <c r="C3379" s="261"/>
      <c r="D3379" s="258"/>
      <c r="E3379" s="679"/>
      <c r="F3379" s="597" t="s">
        <v>259</v>
      </c>
      <c r="G3379" s="598" t="s">
        <v>260</v>
      </c>
      <c r="H3379" s="555"/>
      <c r="I3379" s="556"/>
      <c r="J3379" s="560">
        <f t="shared" si="115"/>
        <v>0</v>
      </c>
      <c r="K3379" s="505"/>
      <c r="L3379" s="505"/>
      <c r="M3379" s="505"/>
      <c r="N3379" s="505"/>
      <c r="O3379" s="505"/>
      <c r="P3379" s="505"/>
      <c r="Q3379" s="505"/>
      <c r="R3379" s="505"/>
      <c r="S3379" s="505"/>
      <c r="T3379" s="505"/>
      <c r="U3379" s="505"/>
      <c r="V3379" s="505"/>
      <c r="W3379" s="505"/>
      <c r="X3379" s="505"/>
      <c r="Y3379" s="505"/>
    </row>
    <row r="3380" spans="1:25" s="88" customFormat="1" ht="15.75" hidden="1" thickBot="1" x14ac:dyDescent="0.3">
      <c r="A3380" s="258"/>
      <c r="B3380" s="258"/>
      <c r="C3380" s="261"/>
      <c r="D3380" s="258"/>
      <c r="E3380" s="679"/>
      <c r="F3380" s="597" t="s">
        <v>261</v>
      </c>
      <c r="G3380" s="598" t="s">
        <v>262</v>
      </c>
      <c r="H3380" s="559"/>
      <c r="I3380" s="560"/>
      <c r="J3380" s="560">
        <f t="shared" si="115"/>
        <v>0</v>
      </c>
      <c r="K3380" s="505"/>
      <c r="L3380" s="505"/>
      <c r="M3380" s="505"/>
      <c r="N3380" s="505"/>
      <c r="O3380" s="505"/>
      <c r="P3380" s="505"/>
      <c r="Q3380" s="505"/>
      <c r="R3380" s="505"/>
      <c r="S3380" s="505"/>
      <c r="T3380" s="505"/>
      <c r="U3380" s="505"/>
      <c r="V3380" s="505"/>
      <c r="W3380" s="505"/>
      <c r="X3380" s="505"/>
      <c r="Y3380" s="505"/>
    </row>
    <row r="3381" spans="1:25" s="88" customFormat="1" ht="18" customHeight="1" thickBot="1" x14ac:dyDescent="0.3">
      <c r="A3381" s="258"/>
      <c r="B3381" s="258"/>
      <c r="C3381" s="261"/>
      <c r="D3381" s="258"/>
      <c r="E3381" s="679"/>
      <c r="F3381" s="258"/>
      <c r="G3381" s="268" t="s">
        <v>4298</v>
      </c>
      <c r="H3381" s="561">
        <f>SUM(H3365:H3380)</f>
        <v>1000000</v>
      </c>
      <c r="I3381" s="562">
        <f>SUM(I3366:I3380)</f>
        <v>0</v>
      </c>
      <c r="J3381" s="562">
        <f>SUM(J3365:J3380)</f>
        <v>1000000</v>
      </c>
      <c r="K3381" s="505"/>
      <c r="L3381" s="505"/>
      <c r="M3381" s="505"/>
      <c r="N3381" s="505"/>
      <c r="O3381" s="505"/>
      <c r="P3381" s="505"/>
      <c r="Q3381" s="505"/>
      <c r="R3381" s="505"/>
      <c r="S3381" s="505"/>
      <c r="T3381" s="505"/>
      <c r="U3381" s="505"/>
      <c r="V3381" s="505"/>
      <c r="W3381" s="505"/>
      <c r="X3381" s="505"/>
      <c r="Y3381" s="505"/>
    </row>
    <row r="3382" spans="1:25" s="88" customFormat="1" ht="28.5" x14ac:dyDescent="0.25">
      <c r="A3382" s="258"/>
      <c r="B3382" s="258"/>
      <c r="C3382" s="261"/>
      <c r="D3382" s="258"/>
      <c r="E3382" s="489"/>
      <c r="F3382" s="500"/>
      <c r="G3382" s="270" t="s">
        <v>5218</v>
      </c>
      <c r="H3382" s="563"/>
      <c r="I3382" s="584"/>
      <c r="J3382" s="564"/>
      <c r="K3382" s="505"/>
      <c r="L3382" s="505"/>
      <c r="M3382" s="505"/>
      <c r="N3382" s="505"/>
      <c r="O3382" s="505"/>
      <c r="P3382" s="505"/>
      <c r="Q3382" s="505"/>
      <c r="R3382" s="505"/>
      <c r="S3382" s="505"/>
      <c r="T3382" s="505"/>
      <c r="U3382" s="505"/>
      <c r="V3382" s="505"/>
      <c r="W3382" s="505"/>
      <c r="X3382" s="505"/>
      <c r="Y3382" s="505"/>
    </row>
    <row r="3383" spans="1:25" s="88" customFormat="1" ht="15.75" thickBot="1" x14ac:dyDescent="0.3">
      <c r="A3383" s="258"/>
      <c r="B3383" s="258"/>
      <c r="C3383" s="261"/>
      <c r="D3383" s="258"/>
      <c r="E3383" s="693"/>
      <c r="F3383" s="597" t="s">
        <v>234</v>
      </c>
      <c r="G3383" s="598" t="s">
        <v>235</v>
      </c>
      <c r="H3383" s="559">
        <f>SUM(H3304:H3363)</f>
        <v>1000000</v>
      </c>
      <c r="I3383" s="560"/>
      <c r="J3383" s="560">
        <f>SUM(H3383:I3383)</f>
        <v>1000000</v>
      </c>
      <c r="K3383" s="505"/>
      <c r="L3383" s="505"/>
      <c r="M3383" s="505"/>
      <c r="N3383" s="505"/>
      <c r="O3383" s="505"/>
      <c r="P3383" s="505"/>
      <c r="Q3383" s="505"/>
      <c r="R3383" s="505"/>
      <c r="S3383" s="505"/>
      <c r="T3383" s="505"/>
      <c r="U3383" s="505"/>
      <c r="V3383" s="505"/>
      <c r="W3383" s="505"/>
      <c r="X3383" s="505"/>
      <c r="Y3383" s="505"/>
    </row>
    <row r="3384" spans="1:25" s="88" customFormat="1" ht="15.75" hidden="1" thickBot="1" x14ac:dyDescent="0.3">
      <c r="A3384" s="258"/>
      <c r="B3384" s="258"/>
      <c r="C3384" s="261"/>
      <c r="D3384" s="258"/>
      <c r="E3384" s="679"/>
      <c r="F3384" s="597" t="s">
        <v>236</v>
      </c>
      <c r="G3384" s="598" t="s">
        <v>237</v>
      </c>
      <c r="H3384" s="555"/>
      <c r="I3384" s="556"/>
      <c r="J3384" s="560">
        <f t="shared" ref="J3384:J3398" si="116">SUM(H3384:I3384)</f>
        <v>0</v>
      </c>
      <c r="K3384" s="505"/>
      <c r="L3384" s="505"/>
      <c r="M3384" s="505"/>
      <c r="N3384" s="505"/>
      <c r="O3384" s="505"/>
      <c r="P3384" s="505"/>
      <c r="Q3384" s="505"/>
      <c r="R3384" s="505"/>
      <c r="S3384" s="505"/>
      <c r="T3384" s="505"/>
      <c r="U3384" s="505"/>
      <c r="V3384" s="505"/>
      <c r="W3384" s="505"/>
      <c r="X3384" s="505"/>
      <c r="Y3384" s="505"/>
    </row>
    <row r="3385" spans="1:25" s="88" customFormat="1" ht="15.75" hidden="1" thickBot="1" x14ac:dyDescent="0.3">
      <c r="A3385" s="258"/>
      <c r="B3385" s="258"/>
      <c r="C3385" s="261"/>
      <c r="D3385" s="258"/>
      <c r="E3385" s="679"/>
      <c r="F3385" s="597" t="s">
        <v>238</v>
      </c>
      <c r="G3385" s="598" t="s">
        <v>239</v>
      </c>
      <c r="H3385" s="555"/>
      <c r="I3385" s="556"/>
      <c r="J3385" s="560">
        <f t="shared" si="116"/>
        <v>0</v>
      </c>
      <c r="K3385" s="505"/>
      <c r="L3385" s="505"/>
      <c r="M3385" s="505"/>
      <c r="N3385" s="505"/>
      <c r="O3385" s="505"/>
      <c r="P3385" s="505"/>
      <c r="Q3385" s="505"/>
      <c r="R3385" s="505"/>
      <c r="S3385" s="505"/>
      <c r="T3385" s="505"/>
      <c r="U3385" s="505"/>
      <c r="V3385" s="505"/>
      <c r="W3385" s="505"/>
      <c r="X3385" s="505"/>
      <c r="Y3385" s="505"/>
    </row>
    <row r="3386" spans="1:25" s="88" customFormat="1" ht="15.75" hidden="1" thickBot="1" x14ac:dyDescent="0.3">
      <c r="A3386" s="258"/>
      <c r="B3386" s="258"/>
      <c r="C3386" s="261"/>
      <c r="D3386" s="258"/>
      <c r="E3386" s="679"/>
      <c r="F3386" s="597" t="s">
        <v>240</v>
      </c>
      <c r="G3386" s="598" t="s">
        <v>241</v>
      </c>
      <c r="H3386" s="555"/>
      <c r="I3386" s="556"/>
      <c r="J3386" s="560">
        <f t="shared" si="116"/>
        <v>0</v>
      </c>
      <c r="K3386" s="505"/>
      <c r="L3386" s="505"/>
      <c r="M3386" s="505"/>
      <c r="N3386" s="505"/>
      <c r="O3386" s="505"/>
      <c r="P3386" s="505"/>
      <c r="Q3386" s="505"/>
      <c r="R3386" s="505"/>
      <c r="S3386" s="505"/>
      <c r="T3386" s="505"/>
      <c r="U3386" s="505"/>
      <c r="V3386" s="505"/>
      <c r="W3386" s="505"/>
      <c r="X3386" s="505"/>
      <c r="Y3386" s="505"/>
    </row>
    <row r="3387" spans="1:25" s="88" customFormat="1" ht="15.75" hidden="1" thickBot="1" x14ac:dyDescent="0.3">
      <c r="A3387" s="258"/>
      <c r="B3387" s="258"/>
      <c r="C3387" s="261"/>
      <c r="D3387" s="258"/>
      <c r="E3387" s="679"/>
      <c r="F3387" s="597" t="s">
        <v>242</v>
      </c>
      <c r="G3387" s="598" t="s">
        <v>243</v>
      </c>
      <c r="H3387" s="555"/>
      <c r="I3387" s="556"/>
      <c r="J3387" s="560">
        <f t="shared" si="116"/>
        <v>0</v>
      </c>
      <c r="K3387" s="505"/>
      <c r="L3387" s="505"/>
      <c r="M3387" s="505"/>
      <c r="N3387" s="505"/>
      <c r="O3387" s="505"/>
      <c r="P3387" s="505"/>
      <c r="Q3387" s="505"/>
      <c r="R3387" s="505"/>
      <c r="S3387" s="505"/>
      <c r="T3387" s="505"/>
      <c r="U3387" s="505"/>
      <c r="V3387" s="505"/>
      <c r="W3387" s="505"/>
      <c r="X3387" s="505"/>
      <c r="Y3387" s="505"/>
    </row>
    <row r="3388" spans="1:25" s="88" customFormat="1" ht="15.75" hidden="1" thickBot="1" x14ac:dyDescent="0.3">
      <c r="A3388" s="258"/>
      <c r="B3388" s="258"/>
      <c r="C3388" s="261"/>
      <c r="D3388" s="258"/>
      <c r="E3388" s="679"/>
      <c r="F3388" s="597" t="s">
        <v>244</v>
      </c>
      <c r="G3388" s="598" t="s">
        <v>245</v>
      </c>
      <c r="H3388" s="555"/>
      <c r="I3388" s="556"/>
      <c r="J3388" s="560">
        <f t="shared" si="116"/>
        <v>0</v>
      </c>
      <c r="K3388" s="505"/>
      <c r="L3388" s="505"/>
      <c r="M3388" s="505"/>
      <c r="N3388" s="505"/>
      <c r="O3388" s="505"/>
      <c r="P3388" s="505"/>
      <c r="Q3388" s="505"/>
      <c r="R3388" s="505"/>
      <c r="S3388" s="505"/>
      <c r="T3388" s="505"/>
      <c r="U3388" s="505"/>
      <c r="V3388" s="505"/>
      <c r="W3388" s="505"/>
      <c r="X3388" s="505"/>
      <c r="Y3388" s="505"/>
    </row>
    <row r="3389" spans="1:25" s="88" customFormat="1" ht="15.75" hidden="1" thickBot="1" x14ac:dyDescent="0.3">
      <c r="A3389" s="258"/>
      <c r="B3389" s="258"/>
      <c r="C3389" s="261"/>
      <c r="D3389" s="258"/>
      <c r="E3389" s="679"/>
      <c r="F3389" s="597" t="s">
        <v>246</v>
      </c>
      <c r="G3389" s="598" t="s">
        <v>4996</v>
      </c>
      <c r="H3389" s="555"/>
      <c r="I3389" s="556"/>
      <c r="J3389" s="560">
        <f t="shared" si="116"/>
        <v>0</v>
      </c>
      <c r="K3389" s="505"/>
      <c r="L3389" s="505"/>
      <c r="M3389" s="505"/>
      <c r="N3389" s="505"/>
      <c r="O3389" s="505"/>
      <c r="P3389" s="505"/>
      <c r="Q3389" s="505"/>
      <c r="R3389" s="505"/>
      <c r="S3389" s="505"/>
      <c r="T3389" s="505"/>
      <c r="U3389" s="505"/>
      <c r="V3389" s="505"/>
      <c r="W3389" s="505"/>
      <c r="X3389" s="505"/>
      <c r="Y3389" s="505"/>
    </row>
    <row r="3390" spans="1:25" s="88" customFormat="1" ht="15.75" hidden="1" thickBot="1" x14ac:dyDescent="0.3">
      <c r="A3390" s="258"/>
      <c r="B3390" s="258"/>
      <c r="C3390" s="261"/>
      <c r="D3390" s="258"/>
      <c r="E3390" s="679"/>
      <c r="F3390" s="597" t="s">
        <v>247</v>
      </c>
      <c r="G3390" s="598" t="s">
        <v>4995</v>
      </c>
      <c r="H3390" s="555"/>
      <c r="I3390" s="556"/>
      <c r="J3390" s="560">
        <f t="shared" si="116"/>
        <v>0</v>
      </c>
      <c r="K3390" s="505"/>
      <c r="L3390" s="505"/>
      <c r="M3390" s="505"/>
      <c r="N3390" s="505"/>
      <c r="O3390" s="505"/>
      <c r="P3390" s="505"/>
      <c r="Q3390" s="505"/>
      <c r="R3390" s="505"/>
      <c r="S3390" s="505"/>
      <c r="T3390" s="505"/>
      <c r="U3390" s="505"/>
      <c r="V3390" s="505"/>
      <c r="W3390" s="505"/>
      <c r="X3390" s="505"/>
      <c r="Y3390" s="505"/>
    </row>
    <row r="3391" spans="1:25" s="88" customFormat="1" ht="15.75" hidden="1" thickBot="1" x14ac:dyDescent="0.3">
      <c r="A3391" s="258"/>
      <c r="B3391" s="258"/>
      <c r="C3391" s="261"/>
      <c r="D3391" s="258"/>
      <c r="E3391" s="679"/>
      <c r="F3391" s="597" t="s">
        <v>248</v>
      </c>
      <c r="G3391" s="598" t="s">
        <v>57</v>
      </c>
      <c r="H3391" s="555"/>
      <c r="I3391" s="556"/>
      <c r="J3391" s="560">
        <f t="shared" si="116"/>
        <v>0</v>
      </c>
      <c r="K3391" s="505"/>
      <c r="L3391" s="505"/>
      <c r="M3391" s="505"/>
      <c r="N3391" s="505"/>
      <c r="O3391" s="505"/>
      <c r="P3391" s="505"/>
      <c r="Q3391" s="505"/>
      <c r="R3391" s="505"/>
      <c r="S3391" s="505"/>
      <c r="T3391" s="505"/>
      <c r="U3391" s="505"/>
      <c r="V3391" s="505"/>
      <c r="W3391" s="505"/>
      <c r="X3391" s="505"/>
      <c r="Y3391" s="505"/>
    </row>
    <row r="3392" spans="1:25" s="88" customFormat="1" ht="15.75" hidden="1" thickBot="1" x14ac:dyDescent="0.3">
      <c r="A3392" s="258"/>
      <c r="B3392" s="258"/>
      <c r="C3392" s="261"/>
      <c r="D3392" s="258"/>
      <c r="E3392" s="679"/>
      <c r="F3392" s="597" t="s">
        <v>249</v>
      </c>
      <c r="G3392" s="598" t="s">
        <v>250</v>
      </c>
      <c r="H3392" s="555"/>
      <c r="I3392" s="556"/>
      <c r="J3392" s="560">
        <f t="shared" si="116"/>
        <v>0</v>
      </c>
      <c r="K3392" s="505"/>
      <c r="L3392" s="505"/>
      <c r="M3392" s="505"/>
      <c r="N3392" s="505"/>
      <c r="O3392" s="505"/>
      <c r="P3392" s="505"/>
      <c r="Q3392" s="505"/>
      <c r="R3392" s="505"/>
      <c r="S3392" s="505"/>
      <c r="T3392" s="505"/>
      <c r="U3392" s="505"/>
      <c r="V3392" s="505"/>
      <c r="W3392" s="505"/>
      <c r="X3392" s="505"/>
      <c r="Y3392" s="505"/>
    </row>
    <row r="3393" spans="1:25" s="88" customFormat="1" ht="15.75" hidden="1" thickBot="1" x14ac:dyDescent="0.3">
      <c r="A3393" s="258"/>
      <c r="B3393" s="258"/>
      <c r="C3393" s="261"/>
      <c r="D3393" s="258"/>
      <c r="E3393" s="679"/>
      <c r="F3393" s="597" t="s">
        <v>251</v>
      </c>
      <c r="G3393" s="598" t="s">
        <v>252</v>
      </c>
      <c r="H3393" s="555"/>
      <c r="I3393" s="556"/>
      <c r="J3393" s="560">
        <f t="shared" si="116"/>
        <v>0</v>
      </c>
      <c r="K3393" s="505"/>
      <c r="L3393" s="505"/>
      <c r="M3393" s="505"/>
      <c r="N3393" s="505"/>
      <c r="O3393" s="505"/>
      <c r="P3393" s="505"/>
      <c r="Q3393" s="505"/>
      <c r="R3393" s="505"/>
      <c r="S3393" s="505"/>
      <c r="T3393" s="505"/>
      <c r="U3393" s="505"/>
      <c r="V3393" s="505"/>
      <c r="W3393" s="505"/>
      <c r="X3393" s="505"/>
      <c r="Y3393" s="505"/>
    </row>
    <row r="3394" spans="1:25" s="88" customFormat="1" ht="30.75" hidden="1" thickBot="1" x14ac:dyDescent="0.3">
      <c r="A3394" s="258"/>
      <c r="B3394" s="258"/>
      <c r="C3394" s="261"/>
      <c r="D3394" s="258"/>
      <c r="E3394" s="679"/>
      <c r="F3394" s="597" t="s">
        <v>253</v>
      </c>
      <c r="G3394" s="598" t="s">
        <v>254</v>
      </c>
      <c r="H3394" s="555"/>
      <c r="I3394" s="556"/>
      <c r="J3394" s="560">
        <f t="shared" si="116"/>
        <v>0</v>
      </c>
      <c r="K3394" s="505"/>
      <c r="L3394" s="505"/>
      <c r="M3394" s="505"/>
      <c r="N3394" s="505"/>
      <c r="O3394" s="505"/>
      <c r="P3394" s="505"/>
      <c r="Q3394" s="505"/>
      <c r="R3394" s="505"/>
      <c r="S3394" s="505"/>
      <c r="T3394" s="505"/>
      <c r="U3394" s="505"/>
      <c r="V3394" s="505"/>
      <c r="W3394" s="505"/>
      <c r="X3394" s="505"/>
      <c r="Y3394" s="505"/>
    </row>
    <row r="3395" spans="1:25" s="88" customFormat="1" ht="15.75" hidden="1" thickBot="1" x14ac:dyDescent="0.3">
      <c r="A3395" s="258"/>
      <c r="B3395" s="258"/>
      <c r="C3395" s="261"/>
      <c r="D3395" s="258"/>
      <c r="E3395" s="679"/>
      <c r="F3395" s="597" t="s">
        <v>255</v>
      </c>
      <c r="G3395" s="598" t="s">
        <v>256</v>
      </c>
      <c r="H3395" s="555"/>
      <c r="I3395" s="556"/>
      <c r="J3395" s="560">
        <f t="shared" si="116"/>
        <v>0</v>
      </c>
      <c r="K3395" s="505"/>
      <c r="L3395" s="505"/>
      <c r="M3395" s="505"/>
      <c r="N3395" s="505"/>
      <c r="O3395" s="505"/>
      <c r="P3395" s="505"/>
      <c r="Q3395" s="505"/>
      <c r="R3395" s="505"/>
      <c r="S3395" s="505"/>
      <c r="T3395" s="505"/>
      <c r="U3395" s="505"/>
      <c r="V3395" s="505"/>
      <c r="W3395" s="505"/>
      <c r="X3395" s="505"/>
      <c r="Y3395" s="505"/>
    </row>
    <row r="3396" spans="1:25" s="88" customFormat="1" ht="30.75" hidden="1" thickBot="1" x14ac:dyDescent="0.3">
      <c r="A3396" s="258"/>
      <c r="B3396" s="258"/>
      <c r="C3396" s="261"/>
      <c r="D3396" s="258"/>
      <c r="E3396" s="679"/>
      <c r="F3396" s="597" t="s">
        <v>257</v>
      </c>
      <c r="G3396" s="598" t="s">
        <v>258</v>
      </c>
      <c r="H3396" s="555"/>
      <c r="I3396" s="556"/>
      <c r="J3396" s="560">
        <f t="shared" si="116"/>
        <v>0</v>
      </c>
      <c r="K3396" s="505"/>
      <c r="L3396" s="505"/>
      <c r="M3396" s="505"/>
      <c r="N3396" s="505"/>
      <c r="O3396" s="505"/>
      <c r="P3396" s="505"/>
      <c r="Q3396" s="505"/>
      <c r="R3396" s="505"/>
      <c r="S3396" s="505"/>
      <c r="T3396" s="505"/>
      <c r="U3396" s="505"/>
      <c r="V3396" s="505"/>
      <c r="W3396" s="505"/>
      <c r="X3396" s="505"/>
      <c r="Y3396" s="505"/>
    </row>
    <row r="3397" spans="1:25" s="88" customFormat="1" ht="15.75" hidden="1" thickBot="1" x14ac:dyDescent="0.3">
      <c r="A3397" s="258"/>
      <c r="B3397" s="258"/>
      <c r="C3397" s="261"/>
      <c r="D3397" s="258"/>
      <c r="E3397" s="679"/>
      <c r="F3397" s="597" t="s">
        <v>259</v>
      </c>
      <c r="G3397" s="598" t="s">
        <v>260</v>
      </c>
      <c r="H3397" s="555"/>
      <c r="I3397" s="556"/>
      <c r="J3397" s="560">
        <f t="shared" si="116"/>
        <v>0</v>
      </c>
      <c r="K3397" s="505"/>
      <c r="L3397" s="505"/>
      <c r="M3397" s="505"/>
      <c r="N3397" s="505"/>
      <c r="O3397" s="505"/>
      <c r="P3397" s="505"/>
      <c r="Q3397" s="505"/>
      <c r="R3397" s="505"/>
      <c r="S3397" s="505"/>
      <c r="T3397" s="505"/>
      <c r="U3397" s="505"/>
      <c r="V3397" s="505"/>
      <c r="W3397" s="505"/>
      <c r="X3397" s="505"/>
      <c r="Y3397" s="505"/>
    </row>
    <row r="3398" spans="1:25" s="88" customFormat="1" ht="15.75" hidden="1" thickBot="1" x14ac:dyDescent="0.3">
      <c r="A3398" s="258"/>
      <c r="B3398" s="258"/>
      <c r="C3398" s="261"/>
      <c r="D3398" s="258"/>
      <c r="E3398" s="679"/>
      <c r="F3398" s="597" t="s">
        <v>261</v>
      </c>
      <c r="G3398" s="598" t="s">
        <v>262</v>
      </c>
      <c r="H3398" s="559"/>
      <c r="I3398" s="560"/>
      <c r="J3398" s="560">
        <f t="shared" si="116"/>
        <v>0</v>
      </c>
      <c r="K3398" s="505"/>
      <c r="L3398" s="505"/>
      <c r="M3398" s="505"/>
      <c r="N3398" s="505"/>
      <c r="O3398" s="505"/>
      <c r="P3398" s="505"/>
      <c r="Q3398" s="505"/>
      <c r="R3398" s="505"/>
      <c r="S3398" s="505"/>
      <c r="T3398" s="505"/>
      <c r="U3398" s="505"/>
      <c r="V3398" s="505"/>
      <c r="W3398" s="505"/>
      <c r="X3398" s="505"/>
      <c r="Y3398" s="505"/>
    </row>
    <row r="3399" spans="1:25" s="88" customFormat="1" ht="18" customHeight="1" thickBot="1" x14ac:dyDescent="0.3">
      <c r="A3399" s="258"/>
      <c r="B3399" s="258"/>
      <c r="C3399" s="261"/>
      <c r="D3399" s="258"/>
      <c r="E3399" s="679"/>
      <c r="F3399" s="258"/>
      <c r="G3399" s="268" t="s">
        <v>5219</v>
      </c>
      <c r="H3399" s="561">
        <f>SUM(H3383:H3398)</f>
        <v>1000000</v>
      </c>
      <c r="I3399" s="562">
        <f>SUM(I3384:I3398)</f>
        <v>0</v>
      </c>
      <c r="J3399" s="562">
        <f>SUM(J3383:J3398)</f>
        <v>1000000</v>
      </c>
      <c r="K3399" s="505"/>
      <c r="L3399" s="505"/>
      <c r="M3399" s="505"/>
      <c r="N3399" s="505"/>
      <c r="O3399" s="505"/>
      <c r="P3399" s="505"/>
      <c r="Q3399" s="505"/>
      <c r="R3399" s="505"/>
      <c r="S3399" s="505"/>
      <c r="T3399" s="505"/>
      <c r="U3399" s="505"/>
      <c r="V3399" s="505"/>
      <c r="W3399" s="505"/>
      <c r="X3399" s="505"/>
      <c r="Y3399" s="505"/>
    </row>
    <row r="3400" spans="1:25" s="88" customFormat="1" ht="17.25" customHeight="1" x14ac:dyDescent="0.25">
      <c r="A3400" s="258"/>
      <c r="B3400" s="288"/>
      <c r="C3400" s="302" t="s">
        <v>5084</v>
      </c>
      <c r="D3400" s="259"/>
      <c r="E3400" s="702"/>
      <c r="F3400" s="303"/>
      <c r="G3400" s="406" t="s">
        <v>5085</v>
      </c>
      <c r="H3400" s="588"/>
      <c r="I3400" s="571"/>
      <c r="K3400" s="505"/>
      <c r="L3400" s="505"/>
      <c r="M3400" s="505"/>
      <c r="N3400" s="505"/>
      <c r="O3400" s="505"/>
      <c r="P3400" s="505"/>
      <c r="Q3400" s="505"/>
      <c r="R3400" s="505"/>
      <c r="S3400" s="505"/>
      <c r="T3400" s="505"/>
      <c r="U3400" s="505"/>
      <c r="V3400" s="505"/>
      <c r="W3400" s="505"/>
      <c r="X3400" s="505"/>
      <c r="Y3400" s="505"/>
    </row>
    <row r="3401" spans="1:25" s="88" customFormat="1" ht="13.5" customHeight="1" x14ac:dyDescent="0.25">
      <c r="A3401" s="481"/>
      <c r="B3401" s="258"/>
      <c r="C3401" s="267"/>
      <c r="D3401" s="331">
        <v>660</v>
      </c>
      <c r="E3401" s="869"/>
      <c r="F3401" s="331"/>
      <c r="G3401" s="332" t="s">
        <v>186</v>
      </c>
      <c r="H3401" s="555"/>
      <c r="I3401" s="556"/>
      <c r="J3401" s="556"/>
      <c r="K3401" s="505"/>
      <c r="L3401" s="505"/>
      <c r="M3401" s="505"/>
      <c r="N3401" s="505"/>
      <c r="O3401" s="505"/>
      <c r="P3401" s="505"/>
      <c r="Q3401" s="505"/>
      <c r="R3401" s="505"/>
      <c r="S3401" s="505"/>
      <c r="T3401" s="505"/>
      <c r="U3401" s="505"/>
      <c r="V3401" s="505"/>
      <c r="W3401" s="505"/>
      <c r="X3401" s="505"/>
      <c r="Y3401" s="505"/>
    </row>
    <row r="3402" spans="1:25" s="88" customFormat="1" hidden="1" x14ac:dyDescent="0.25">
      <c r="A3402" s="258"/>
      <c r="B3402" s="258"/>
      <c r="C3402" s="261"/>
      <c r="D3402" s="258"/>
      <c r="E3402" s="679"/>
      <c r="F3402" s="499">
        <v>411</v>
      </c>
      <c r="G3402" s="492" t="s">
        <v>4131</v>
      </c>
      <c r="H3402" s="555"/>
      <c r="I3402" s="556"/>
      <c r="J3402" s="556">
        <f>SUM(H3402:I3402)</f>
        <v>0</v>
      </c>
      <c r="K3402" s="505"/>
      <c r="L3402" s="505"/>
      <c r="M3402" s="505"/>
      <c r="N3402" s="505"/>
      <c r="O3402" s="505"/>
      <c r="P3402" s="505"/>
      <c r="Q3402" s="505"/>
      <c r="R3402" s="505"/>
      <c r="S3402" s="505"/>
      <c r="T3402" s="505"/>
      <c r="U3402" s="505"/>
      <c r="V3402" s="505"/>
      <c r="W3402" s="505"/>
      <c r="X3402" s="505"/>
      <c r="Y3402" s="505"/>
    </row>
    <row r="3403" spans="1:25" s="88" customFormat="1" hidden="1" x14ac:dyDescent="0.25">
      <c r="A3403" s="258"/>
      <c r="B3403" s="258"/>
      <c r="C3403" s="261"/>
      <c r="D3403" s="258"/>
      <c r="E3403" s="679"/>
      <c r="F3403" s="499">
        <v>412</v>
      </c>
      <c r="G3403" s="488" t="s">
        <v>3766</v>
      </c>
      <c r="H3403" s="555"/>
      <c r="I3403" s="556"/>
      <c r="J3403" s="556">
        <f t="shared" ref="J3403:J3461" si="117">SUM(H3403:I3403)</f>
        <v>0</v>
      </c>
      <c r="K3403" s="505"/>
      <c r="L3403" s="505"/>
      <c r="M3403" s="505"/>
      <c r="N3403" s="505"/>
      <c r="O3403" s="505"/>
      <c r="P3403" s="505"/>
      <c r="Q3403" s="505"/>
      <c r="R3403" s="505"/>
      <c r="S3403" s="505"/>
      <c r="T3403" s="505"/>
      <c r="U3403" s="505"/>
      <c r="V3403" s="505"/>
      <c r="W3403" s="505"/>
      <c r="X3403" s="505"/>
      <c r="Y3403" s="505"/>
    </row>
    <row r="3404" spans="1:25" s="88" customFormat="1" hidden="1" x14ac:dyDescent="0.25">
      <c r="A3404" s="258"/>
      <c r="B3404" s="258"/>
      <c r="C3404" s="261"/>
      <c r="D3404" s="258"/>
      <c r="E3404" s="679"/>
      <c r="F3404" s="499">
        <v>413</v>
      </c>
      <c r="G3404" s="492" t="s">
        <v>4132</v>
      </c>
      <c r="H3404" s="555"/>
      <c r="I3404" s="556"/>
      <c r="J3404" s="556">
        <f t="shared" si="117"/>
        <v>0</v>
      </c>
      <c r="K3404" s="505"/>
      <c r="L3404" s="505"/>
      <c r="M3404" s="505"/>
      <c r="N3404" s="505"/>
      <c r="O3404" s="505"/>
      <c r="P3404" s="505"/>
      <c r="Q3404" s="505"/>
      <c r="R3404" s="505"/>
      <c r="S3404" s="505"/>
      <c r="T3404" s="505"/>
      <c r="U3404" s="505"/>
      <c r="V3404" s="505"/>
      <c r="W3404" s="505"/>
      <c r="X3404" s="505"/>
      <c r="Y3404" s="505"/>
    </row>
    <row r="3405" spans="1:25" s="88" customFormat="1" hidden="1" x14ac:dyDescent="0.25">
      <c r="A3405" s="258"/>
      <c r="B3405" s="258"/>
      <c r="C3405" s="261"/>
      <c r="D3405" s="258"/>
      <c r="E3405" s="679"/>
      <c r="F3405" s="499">
        <v>414</v>
      </c>
      <c r="G3405" s="492" t="s">
        <v>3769</v>
      </c>
      <c r="H3405" s="555"/>
      <c r="I3405" s="556"/>
      <c r="J3405" s="556">
        <f t="shared" si="117"/>
        <v>0</v>
      </c>
      <c r="K3405" s="505"/>
      <c r="L3405" s="505"/>
      <c r="M3405" s="505"/>
      <c r="N3405" s="505"/>
      <c r="O3405" s="505"/>
      <c r="P3405" s="505"/>
      <c r="Q3405" s="505"/>
      <c r="R3405" s="505"/>
      <c r="S3405" s="505"/>
      <c r="T3405" s="505"/>
      <c r="U3405" s="505"/>
      <c r="V3405" s="505"/>
      <c r="W3405" s="505"/>
      <c r="X3405" s="505"/>
      <c r="Y3405" s="505"/>
    </row>
    <row r="3406" spans="1:25" s="88" customFormat="1" hidden="1" x14ac:dyDescent="0.25">
      <c r="A3406" s="258"/>
      <c r="B3406" s="258"/>
      <c r="C3406" s="261"/>
      <c r="D3406" s="258"/>
      <c r="E3406" s="679"/>
      <c r="F3406" s="499">
        <v>415</v>
      </c>
      <c r="G3406" s="492" t="s">
        <v>4141</v>
      </c>
      <c r="H3406" s="555"/>
      <c r="I3406" s="556"/>
      <c r="J3406" s="556">
        <f t="shared" si="117"/>
        <v>0</v>
      </c>
      <c r="K3406" s="505"/>
      <c r="L3406" s="505"/>
      <c r="M3406" s="505"/>
      <c r="N3406" s="505"/>
      <c r="O3406" s="505"/>
      <c r="P3406" s="505"/>
      <c r="Q3406" s="505"/>
      <c r="R3406" s="505"/>
      <c r="S3406" s="505"/>
      <c r="T3406" s="505"/>
      <c r="U3406" s="505"/>
      <c r="V3406" s="505"/>
      <c r="W3406" s="505"/>
      <c r="X3406" s="505"/>
      <c r="Y3406" s="505"/>
    </row>
    <row r="3407" spans="1:25" s="88" customFormat="1" hidden="1" x14ac:dyDescent="0.25">
      <c r="A3407" s="258"/>
      <c r="B3407" s="258"/>
      <c r="C3407" s="261"/>
      <c r="D3407" s="258"/>
      <c r="E3407" s="679"/>
      <c r="F3407" s="499">
        <v>416</v>
      </c>
      <c r="G3407" s="492" t="s">
        <v>4142</v>
      </c>
      <c r="H3407" s="555"/>
      <c r="I3407" s="556"/>
      <c r="J3407" s="556">
        <f t="shared" si="117"/>
        <v>0</v>
      </c>
      <c r="K3407" s="505"/>
      <c r="L3407" s="505"/>
      <c r="M3407" s="505"/>
      <c r="N3407" s="505"/>
      <c r="O3407" s="505"/>
      <c r="P3407" s="505"/>
      <c r="Q3407" s="505"/>
      <c r="R3407" s="505"/>
      <c r="S3407" s="505"/>
      <c r="T3407" s="505"/>
      <c r="U3407" s="505"/>
      <c r="V3407" s="505"/>
      <c r="W3407" s="505"/>
      <c r="X3407" s="505"/>
      <c r="Y3407" s="505"/>
    </row>
    <row r="3408" spans="1:25" s="88" customFormat="1" hidden="1" x14ac:dyDescent="0.25">
      <c r="A3408" s="258"/>
      <c r="B3408" s="258"/>
      <c r="C3408" s="261"/>
      <c r="D3408" s="258"/>
      <c r="E3408" s="679"/>
      <c r="F3408" s="499">
        <v>417</v>
      </c>
      <c r="G3408" s="492" t="s">
        <v>4143</v>
      </c>
      <c r="H3408" s="555"/>
      <c r="I3408" s="556"/>
      <c r="J3408" s="556">
        <f t="shared" si="117"/>
        <v>0</v>
      </c>
      <c r="K3408" s="505"/>
      <c r="L3408" s="505"/>
      <c r="M3408" s="505"/>
      <c r="N3408" s="505"/>
      <c r="O3408" s="505"/>
      <c r="P3408" s="505"/>
      <c r="Q3408" s="505"/>
      <c r="R3408" s="505"/>
      <c r="S3408" s="505"/>
      <c r="T3408" s="505"/>
      <c r="U3408" s="505"/>
      <c r="V3408" s="505"/>
      <c r="W3408" s="505"/>
      <c r="X3408" s="505"/>
      <c r="Y3408" s="505"/>
    </row>
    <row r="3409" spans="1:25" s="88" customFormat="1" hidden="1" x14ac:dyDescent="0.25">
      <c r="A3409" s="258"/>
      <c r="B3409" s="258"/>
      <c r="C3409" s="261"/>
      <c r="D3409" s="258"/>
      <c r="E3409" s="679"/>
      <c r="F3409" s="499">
        <v>418</v>
      </c>
      <c r="G3409" s="492" t="s">
        <v>3775</v>
      </c>
      <c r="H3409" s="555"/>
      <c r="I3409" s="556"/>
      <c r="J3409" s="556">
        <f t="shared" si="117"/>
        <v>0</v>
      </c>
      <c r="K3409" s="505"/>
      <c r="L3409" s="505"/>
      <c r="M3409" s="505"/>
      <c r="N3409" s="505"/>
      <c r="O3409" s="505"/>
      <c r="P3409" s="505"/>
      <c r="Q3409" s="505"/>
      <c r="R3409" s="505"/>
      <c r="S3409" s="505"/>
      <c r="T3409" s="505"/>
      <c r="U3409" s="505"/>
      <c r="V3409" s="505"/>
      <c r="W3409" s="505"/>
      <c r="X3409" s="505"/>
      <c r="Y3409" s="505"/>
    </row>
    <row r="3410" spans="1:25" s="88" customFormat="1" hidden="1" x14ac:dyDescent="0.25">
      <c r="A3410" s="258"/>
      <c r="B3410" s="258"/>
      <c r="C3410" s="261"/>
      <c r="D3410" s="258"/>
      <c r="E3410" s="679"/>
      <c r="F3410" s="499">
        <v>421</v>
      </c>
      <c r="G3410" s="492" t="s">
        <v>3779</v>
      </c>
      <c r="H3410" s="555"/>
      <c r="I3410" s="556"/>
      <c r="J3410" s="556">
        <f t="shared" si="117"/>
        <v>0</v>
      </c>
      <c r="K3410" s="505"/>
      <c r="L3410" s="505"/>
      <c r="M3410" s="505"/>
      <c r="N3410" s="505"/>
      <c r="O3410" s="505"/>
      <c r="P3410" s="505"/>
      <c r="Q3410" s="505"/>
      <c r="R3410" s="505"/>
      <c r="S3410" s="505"/>
      <c r="T3410" s="505"/>
      <c r="U3410" s="505"/>
      <c r="V3410" s="505"/>
      <c r="W3410" s="505"/>
      <c r="X3410" s="505"/>
      <c r="Y3410" s="505"/>
    </row>
    <row r="3411" spans="1:25" s="88" customFormat="1" hidden="1" x14ac:dyDescent="0.25">
      <c r="A3411" s="258"/>
      <c r="B3411" s="258"/>
      <c r="C3411" s="261"/>
      <c r="D3411" s="258"/>
      <c r="E3411" s="679"/>
      <c r="F3411" s="499">
        <v>422</v>
      </c>
      <c r="G3411" s="492" t="s">
        <v>3780</v>
      </c>
      <c r="H3411" s="555"/>
      <c r="I3411" s="556"/>
      <c r="J3411" s="556">
        <f t="shared" si="117"/>
        <v>0</v>
      </c>
      <c r="K3411" s="505"/>
      <c r="L3411" s="505"/>
      <c r="M3411" s="505"/>
      <c r="N3411" s="505"/>
      <c r="O3411" s="505"/>
      <c r="P3411" s="505"/>
      <c r="Q3411" s="505"/>
      <c r="R3411" s="505"/>
      <c r="S3411" s="505"/>
      <c r="T3411" s="505"/>
      <c r="U3411" s="505"/>
      <c r="V3411" s="505"/>
      <c r="W3411" s="505"/>
      <c r="X3411" s="505"/>
      <c r="Y3411" s="505"/>
    </row>
    <row r="3412" spans="1:25" s="88" customFormat="1" ht="15.75" thickBot="1" x14ac:dyDescent="0.3">
      <c r="A3412" s="258"/>
      <c r="B3412" s="258"/>
      <c r="C3412" s="261"/>
      <c r="D3412" s="258"/>
      <c r="E3412" s="679">
        <v>115</v>
      </c>
      <c r="F3412" s="499">
        <v>423</v>
      </c>
      <c r="G3412" s="492" t="s">
        <v>3781</v>
      </c>
      <c r="H3412" s="555">
        <v>800000</v>
      </c>
      <c r="I3412" s="556"/>
      <c r="J3412" s="556">
        <f t="shared" si="117"/>
        <v>800000</v>
      </c>
      <c r="K3412" s="505"/>
      <c r="L3412" s="505"/>
      <c r="M3412" s="505"/>
      <c r="N3412" s="505"/>
      <c r="O3412" s="505"/>
      <c r="P3412" s="505"/>
      <c r="Q3412" s="505"/>
      <c r="R3412" s="505"/>
      <c r="S3412" s="505"/>
      <c r="T3412" s="505"/>
      <c r="U3412" s="505"/>
      <c r="V3412" s="505"/>
      <c r="W3412" s="505"/>
      <c r="X3412" s="505"/>
      <c r="Y3412" s="505"/>
    </row>
    <row r="3413" spans="1:25" s="88" customFormat="1" ht="16.5" hidden="1" customHeight="1" x14ac:dyDescent="0.25">
      <c r="A3413" s="258"/>
      <c r="B3413" s="258"/>
      <c r="C3413" s="261"/>
      <c r="D3413" s="258"/>
      <c r="E3413" s="679">
        <v>71</v>
      </c>
      <c r="F3413" s="499">
        <v>424</v>
      </c>
      <c r="G3413" s="492" t="s">
        <v>5086</v>
      </c>
      <c r="H3413" s="555">
        <v>0</v>
      </c>
      <c r="I3413" s="556"/>
      <c r="J3413" s="556">
        <f t="shared" si="117"/>
        <v>0</v>
      </c>
      <c r="K3413" s="505"/>
      <c r="L3413" s="505"/>
      <c r="M3413" s="505"/>
      <c r="N3413" s="505"/>
      <c r="O3413" s="505"/>
      <c r="P3413" s="505"/>
      <c r="Q3413" s="505"/>
      <c r="R3413" s="505"/>
      <c r="S3413" s="505"/>
      <c r="T3413" s="505"/>
      <c r="U3413" s="505"/>
      <c r="V3413" s="505"/>
      <c r="W3413" s="505"/>
      <c r="X3413" s="505"/>
      <c r="Y3413" s="505"/>
    </row>
    <row r="3414" spans="1:25" s="88" customFormat="1" ht="11.25" hidden="1" customHeight="1" x14ac:dyDescent="0.25">
      <c r="A3414" s="258"/>
      <c r="B3414" s="258"/>
      <c r="C3414" s="261"/>
      <c r="D3414" s="258"/>
      <c r="E3414" s="679"/>
      <c r="F3414" s="499">
        <v>425</v>
      </c>
      <c r="G3414" s="492" t="s">
        <v>4144</v>
      </c>
      <c r="H3414" s="555"/>
      <c r="I3414" s="556"/>
      <c r="J3414" s="556">
        <f t="shared" si="117"/>
        <v>0</v>
      </c>
      <c r="K3414" s="505"/>
      <c r="L3414" s="505"/>
      <c r="M3414" s="505"/>
      <c r="N3414" s="505"/>
      <c r="O3414" s="505"/>
      <c r="P3414" s="505"/>
      <c r="Q3414" s="505"/>
      <c r="R3414" s="505"/>
      <c r="S3414" s="505"/>
      <c r="T3414" s="505"/>
      <c r="U3414" s="505"/>
      <c r="V3414" s="505"/>
      <c r="W3414" s="505"/>
      <c r="X3414" s="505"/>
      <c r="Y3414" s="505"/>
    </row>
    <row r="3415" spans="1:25" s="88" customFormat="1" hidden="1" x14ac:dyDescent="0.25">
      <c r="A3415" s="258"/>
      <c r="B3415" s="258"/>
      <c r="C3415" s="261"/>
      <c r="D3415" s="258"/>
      <c r="E3415" s="679"/>
      <c r="F3415" s="499">
        <v>426</v>
      </c>
      <c r="G3415" s="492" t="s">
        <v>3787</v>
      </c>
      <c r="H3415" s="555"/>
      <c r="I3415" s="556"/>
      <c r="J3415" s="556">
        <f t="shared" si="117"/>
        <v>0</v>
      </c>
      <c r="K3415" s="505"/>
      <c r="L3415" s="505"/>
      <c r="M3415" s="505"/>
      <c r="N3415" s="505"/>
      <c r="O3415" s="505"/>
      <c r="P3415" s="505"/>
      <c r="Q3415" s="505"/>
      <c r="R3415" s="505"/>
      <c r="S3415" s="505"/>
      <c r="T3415" s="505"/>
      <c r="U3415" s="505"/>
      <c r="V3415" s="505"/>
      <c r="W3415" s="505"/>
      <c r="X3415" s="505"/>
      <c r="Y3415" s="505"/>
    </row>
    <row r="3416" spans="1:25" s="88" customFormat="1" hidden="1" x14ac:dyDescent="0.25">
      <c r="A3416" s="258"/>
      <c r="B3416" s="258"/>
      <c r="C3416" s="261"/>
      <c r="D3416" s="258"/>
      <c r="E3416" s="679"/>
      <c r="F3416" s="499">
        <v>431</v>
      </c>
      <c r="G3416" s="492" t="s">
        <v>4145</v>
      </c>
      <c r="H3416" s="555"/>
      <c r="I3416" s="556"/>
      <c r="J3416" s="556">
        <f t="shared" si="117"/>
        <v>0</v>
      </c>
      <c r="K3416" s="505"/>
      <c r="L3416" s="505"/>
      <c r="M3416" s="505"/>
      <c r="N3416" s="505"/>
      <c r="O3416" s="505"/>
      <c r="P3416" s="505"/>
      <c r="Q3416" s="505"/>
      <c r="R3416" s="505"/>
      <c r="S3416" s="505"/>
      <c r="T3416" s="505"/>
      <c r="U3416" s="505"/>
      <c r="V3416" s="505"/>
      <c r="W3416" s="505"/>
      <c r="X3416" s="505"/>
      <c r="Y3416" s="505"/>
    </row>
    <row r="3417" spans="1:25" s="88" customFormat="1" hidden="1" x14ac:dyDescent="0.25">
      <c r="A3417" s="258"/>
      <c r="B3417" s="258"/>
      <c r="C3417" s="261"/>
      <c r="D3417" s="258"/>
      <c r="E3417" s="679"/>
      <c r="F3417" s="499">
        <v>432</v>
      </c>
      <c r="G3417" s="492" t="s">
        <v>4146</v>
      </c>
      <c r="H3417" s="555"/>
      <c r="I3417" s="556"/>
      <c r="J3417" s="556">
        <f t="shared" si="117"/>
        <v>0</v>
      </c>
      <c r="K3417" s="505"/>
      <c r="L3417" s="505"/>
      <c r="M3417" s="505"/>
      <c r="N3417" s="505"/>
      <c r="O3417" s="505"/>
      <c r="P3417" s="505"/>
      <c r="Q3417" s="505"/>
      <c r="R3417" s="505"/>
      <c r="S3417" s="505"/>
      <c r="T3417" s="505"/>
      <c r="U3417" s="505"/>
      <c r="V3417" s="505"/>
      <c r="W3417" s="505"/>
      <c r="X3417" s="505"/>
      <c r="Y3417" s="505"/>
    </row>
    <row r="3418" spans="1:25" s="88" customFormat="1" hidden="1" x14ac:dyDescent="0.25">
      <c r="A3418" s="258"/>
      <c r="B3418" s="258"/>
      <c r="C3418" s="261"/>
      <c r="D3418" s="258"/>
      <c r="E3418" s="679"/>
      <c r="F3418" s="499">
        <v>433</v>
      </c>
      <c r="G3418" s="492" t="s">
        <v>4147</v>
      </c>
      <c r="H3418" s="555"/>
      <c r="I3418" s="556"/>
      <c r="J3418" s="556">
        <f t="shared" si="117"/>
        <v>0</v>
      </c>
      <c r="K3418" s="505"/>
      <c r="L3418" s="505"/>
      <c r="M3418" s="505"/>
      <c r="N3418" s="505"/>
      <c r="O3418" s="505"/>
      <c r="P3418" s="505"/>
      <c r="Q3418" s="505"/>
      <c r="R3418" s="505"/>
      <c r="S3418" s="505"/>
      <c r="T3418" s="505"/>
      <c r="U3418" s="505"/>
      <c r="V3418" s="505"/>
      <c r="W3418" s="505"/>
      <c r="X3418" s="505"/>
      <c r="Y3418" s="505"/>
    </row>
    <row r="3419" spans="1:25" s="88" customFormat="1" hidden="1" x14ac:dyDescent="0.25">
      <c r="A3419" s="258"/>
      <c r="B3419" s="258"/>
      <c r="C3419" s="261"/>
      <c r="D3419" s="258"/>
      <c r="E3419" s="679"/>
      <c r="F3419" s="499">
        <v>434</v>
      </c>
      <c r="G3419" s="492" t="s">
        <v>4148</v>
      </c>
      <c r="H3419" s="555"/>
      <c r="I3419" s="556"/>
      <c r="J3419" s="556">
        <f t="shared" si="117"/>
        <v>0</v>
      </c>
      <c r="K3419" s="505"/>
      <c r="L3419" s="505"/>
      <c r="M3419" s="505"/>
      <c r="N3419" s="505"/>
      <c r="O3419" s="505"/>
      <c r="P3419" s="505"/>
      <c r="Q3419" s="505"/>
      <c r="R3419" s="505"/>
      <c r="S3419" s="505"/>
      <c r="T3419" s="505"/>
      <c r="U3419" s="505"/>
      <c r="V3419" s="505"/>
      <c r="W3419" s="505"/>
      <c r="X3419" s="505"/>
      <c r="Y3419" s="505"/>
    </row>
    <row r="3420" spans="1:25" s="88" customFormat="1" hidden="1" x14ac:dyDescent="0.25">
      <c r="A3420" s="258"/>
      <c r="B3420" s="258"/>
      <c r="C3420" s="261"/>
      <c r="D3420" s="258"/>
      <c r="E3420" s="679"/>
      <c r="F3420" s="499">
        <v>435</v>
      </c>
      <c r="G3420" s="492" t="s">
        <v>3794</v>
      </c>
      <c r="H3420" s="555"/>
      <c r="I3420" s="556"/>
      <c r="J3420" s="556">
        <f t="shared" si="117"/>
        <v>0</v>
      </c>
      <c r="K3420" s="505"/>
      <c r="L3420" s="505"/>
      <c r="M3420" s="505"/>
      <c r="N3420" s="505"/>
      <c r="O3420" s="505"/>
      <c r="P3420" s="505"/>
      <c r="Q3420" s="505"/>
      <c r="R3420" s="505"/>
      <c r="S3420" s="505"/>
      <c r="T3420" s="505"/>
      <c r="U3420" s="505"/>
      <c r="V3420" s="505"/>
      <c r="W3420" s="505"/>
      <c r="X3420" s="505"/>
      <c r="Y3420" s="505"/>
    </row>
    <row r="3421" spans="1:25" s="88" customFormat="1" hidden="1" x14ac:dyDescent="0.25">
      <c r="A3421" s="258"/>
      <c r="B3421" s="258"/>
      <c r="C3421" s="261"/>
      <c r="D3421" s="258"/>
      <c r="E3421" s="679"/>
      <c r="F3421" s="499">
        <v>441</v>
      </c>
      <c r="G3421" s="492" t="s">
        <v>4149</v>
      </c>
      <c r="H3421" s="555"/>
      <c r="I3421" s="556"/>
      <c r="J3421" s="556">
        <f t="shared" si="117"/>
        <v>0</v>
      </c>
      <c r="K3421" s="505"/>
      <c r="L3421" s="505"/>
      <c r="M3421" s="505"/>
      <c r="N3421" s="505"/>
      <c r="O3421" s="505"/>
      <c r="P3421" s="505"/>
      <c r="Q3421" s="505"/>
      <c r="R3421" s="505"/>
      <c r="S3421" s="505"/>
      <c r="T3421" s="505"/>
      <c r="U3421" s="505"/>
      <c r="V3421" s="505"/>
      <c r="W3421" s="505"/>
      <c r="X3421" s="505"/>
      <c r="Y3421" s="505"/>
    </row>
    <row r="3422" spans="1:25" s="88" customFormat="1" hidden="1" x14ac:dyDescent="0.25">
      <c r="A3422" s="258"/>
      <c r="B3422" s="258"/>
      <c r="C3422" s="261"/>
      <c r="D3422" s="258"/>
      <c r="E3422" s="679"/>
      <c r="F3422" s="499">
        <v>442</v>
      </c>
      <c r="G3422" s="492" t="s">
        <v>4150</v>
      </c>
      <c r="H3422" s="555"/>
      <c r="I3422" s="556"/>
      <c r="J3422" s="556">
        <f t="shared" si="117"/>
        <v>0</v>
      </c>
      <c r="K3422" s="505"/>
      <c r="L3422" s="505"/>
      <c r="M3422" s="505"/>
      <c r="N3422" s="505"/>
      <c r="O3422" s="505"/>
      <c r="P3422" s="505"/>
      <c r="Q3422" s="505"/>
      <c r="R3422" s="505"/>
      <c r="S3422" s="505"/>
      <c r="T3422" s="505"/>
      <c r="U3422" s="505"/>
      <c r="V3422" s="505"/>
      <c r="W3422" s="505"/>
      <c r="X3422" s="505"/>
      <c r="Y3422" s="505"/>
    </row>
    <row r="3423" spans="1:25" s="88" customFormat="1" hidden="1" x14ac:dyDescent="0.25">
      <c r="A3423" s="258"/>
      <c r="B3423" s="258"/>
      <c r="C3423" s="261"/>
      <c r="D3423" s="258"/>
      <c r="E3423" s="679"/>
      <c r="F3423" s="499">
        <v>443</v>
      </c>
      <c r="G3423" s="492" t="s">
        <v>3799</v>
      </c>
      <c r="H3423" s="555"/>
      <c r="I3423" s="556"/>
      <c r="J3423" s="556">
        <f t="shared" si="117"/>
        <v>0</v>
      </c>
      <c r="K3423" s="505"/>
      <c r="L3423" s="505"/>
      <c r="M3423" s="505"/>
      <c r="N3423" s="505"/>
      <c r="O3423" s="505"/>
      <c r="P3423" s="505"/>
      <c r="Q3423" s="505"/>
      <c r="R3423" s="505"/>
      <c r="S3423" s="505"/>
      <c r="T3423" s="505"/>
      <c r="U3423" s="505"/>
      <c r="V3423" s="505"/>
      <c r="W3423" s="505"/>
      <c r="X3423" s="505"/>
      <c r="Y3423" s="505"/>
    </row>
    <row r="3424" spans="1:25" s="88" customFormat="1" hidden="1" x14ac:dyDescent="0.25">
      <c r="A3424" s="258"/>
      <c r="B3424" s="258"/>
      <c r="C3424" s="261"/>
      <c r="D3424" s="258"/>
      <c r="E3424" s="679"/>
      <c r="F3424" s="499">
        <v>444</v>
      </c>
      <c r="G3424" s="492" t="s">
        <v>3800</v>
      </c>
      <c r="H3424" s="555"/>
      <c r="I3424" s="556"/>
      <c r="J3424" s="556">
        <f t="shared" si="117"/>
        <v>0</v>
      </c>
      <c r="K3424" s="505"/>
      <c r="L3424" s="505"/>
      <c r="M3424" s="505"/>
      <c r="N3424" s="505"/>
      <c r="O3424" s="505"/>
      <c r="P3424" s="505"/>
      <c r="Q3424" s="505"/>
      <c r="R3424" s="505"/>
      <c r="S3424" s="505"/>
      <c r="T3424" s="505"/>
      <c r="U3424" s="505"/>
      <c r="V3424" s="505"/>
      <c r="W3424" s="505"/>
      <c r="X3424" s="505"/>
      <c r="Y3424" s="505"/>
    </row>
    <row r="3425" spans="1:25" s="88" customFormat="1" ht="30" hidden="1" x14ac:dyDescent="0.25">
      <c r="A3425" s="258"/>
      <c r="B3425" s="258"/>
      <c r="C3425" s="261"/>
      <c r="D3425" s="258"/>
      <c r="E3425" s="679"/>
      <c r="F3425" s="499">
        <v>4511</v>
      </c>
      <c r="G3425" s="771" t="s">
        <v>1690</v>
      </c>
      <c r="H3425" s="555"/>
      <c r="I3425" s="556"/>
      <c r="J3425" s="556">
        <f t="shared" si="117"/>
        <v>0</v>
      </c>
      <c r="K3425" s="505"/>
      <c r="L3425" s="505"/>
      <c r="M3425" s="505"/>
      <c r="N3425" s="505"/>
      <c r="O3425" s="505"/>
      <c r="P3425" s="505"/>
      <c r="Q3425" s="505"/>
      <c r="R3425" s="505"/>
      <c r="S3425" s="505"/>
      <c r="T3425" s="505"/>
      <c r="U3425" s="505"/>
      <c r="V3425" s="505"/>
      <c r="W3425" s="505"/>
      <c r="X3425" s="505"/>
      <c r="Y3425" s="505"/>
    </row>
    <row r="3426" spans="1:25" s="88" customFormat="1" ht="30" hidden="1" x14ac:dyDescent="0.25">
      <c r="A3426" s="258"/>
      <c r="B3426" s="258"/>
      <c r="C3426" s="261"/>
      <c r="D3426" s="258"/>
      <c r="E3426" s="679"/>
      <c r="F3426" s="499">
        <v>4512</v>
      </c>
      <c r="G3426" s="771" t="s">
        <v>1699</v>
      </c>
      <c r="H3426" s="555"/>
      <c r="I3426" s="556"/>
      <c r="J3426" s="556">
        <f t="shared" si="117"/>
        <v>0</v>
      </c>
      <c r="K3426" s="505"/>
      <c r="L3426" s="505"/>
      <c r="M3426" s="505"/>
      <c r="N3426" s="505"/>
      <c r="O3426" s="505"/>
      <c r="P3426" s="505"/>
      <c r="Q3426" s="505"/>
      <c r="R3426" s="505"/>
      <c r="S3426" s="505"/>
      <c r="T3426" s="505"/>
      <c r="U3426" s="505"/>
      <c r="V3426" s="505"/>
      <c r="W3426" s="505"/>
      <c r="X3426" s="505"/>
      <c r="Y3426" s="505"/>
    </row>
    <row r="3427" spans="1:25" s="88" customFormat="1" hidden="1" x14ac:dyDescent="0.25">
      <c r="A3427" s="258"/>
      <c r="B3427" s="258"/>
      <c r="C3427" s="261"/>
      <c r="D3427" s="258"/>
      <c r="E3427" s="679"/>
      <c r="F3427" s="499">
        <v>452</v>
      </c>
      <c r="G3427" s="492" t="s">
        <v>4151</v>
      </c>
      <c r="H3427" s="555"/>
      <c r="I3427" s="556"/>
      <c r="J3427" s="556">
        <f t="shared" si="117"/>
        <v>0</v>
      </c>
      <c r="K3427" s="505"/>
      <c r="L3427" s="505"/>
      <c r="M3427" s="505"/>
      <c r="N3427" s="505"/>
      <c r="O3427" s="505"/>
      <c r="P3427" s="505"/>
      <c r="Q3427" s="505"/>
      <c r="R3427" s="505"/>
      <c r="S3427" s="505"/>
      <c r="T3427" s="505"/>
      <c r="U3427" s="505"/>
      <c r="V3427" s="505"/>
      <c r="W3427" s="505"/>
      <c r="X3427" s="505"/>
      <c r="Y3427" s="505"/>
    </row>
    <row r="3428" spans="1:25" s="88" customFormat="1" hidden="1" x14ac:dyDescent="0.25">
      <c r="A3428" s="258"/>
      <c r="B3428" s="258"/>
      <c r="C3428" s="261"/>
      <c r="D3428" s="258"/>
      <c r="E3428" s="679"/>
      <c r="F3428" s="499">
        <v>453</v>
      </c>
      <c r="G3428" s="492" t="s">
        <v>4152</v>
      </c>
      <c r="H3428" s="555"/>
      <c r="I3428" s="556"/>
      <c r="J3428" s="556">
        <f t="shared" si="117"/>
        <v>0</v>
      </c>
      <c r="K3428" s="505"/>
      <c r="L3428" s="505"/>
      <c r="M3428" s="505"/>
      <c r="N3428" s="505"/>
      <c r="O3428" s="505"/>
      <c r="P3428" s="505"/>
      <c r="Q3428" s="505"/>
      <c r="R3428" s="505"/>
      <c r="S3428" s="505"/>
      <c r="T3428" s="505"/>
      <c r="U3428" s="505"/>
      <c r="V3428" s="505"/>
      <c r="W3428" s="505"/>
      <c r="X3428" s="505"/>
      <c r="Y3428" s="505"/>
    </row>
    <row r="3429" spans="1:25" s="88" customFormat="1" hidden="1" x14ac:dyDescent="0.25">
      <c r="A3429" s="258"/>
      <c r="B3429" s="258"/>
      <c r="C3429" s="261"/>
      <c r="D3429" s="258"/>
      <c r="E3429" s="679"/>
      <c r="F3429" s="499">
        <v>454</v>
      </c>
      <c r="G3429" s="492" t="s">
        <v>3805</v>
      </c>
      <c r="H3429" s="555"/>
      <c r="I3429" s="556"/>
      <c r="J3429" s="556">
        <f t="shared" si="117"/>
        <v>0</v>
      </c>
      <c r="K3429" s="505"/>
      <c r="L3429" s="505"/>
      <c r="M3429" s="505"/>
      <c r="N3429" s="505"/>
      <c r="O3429" s="505"/>
      <c r="P3429" s="505"/>
      <c r="Q3429" s="505"/>
      <c r="R3429" s="505"/>
      <c r="S3429" s="505"/>
      <c r="T3429" s="505"/>
      <c r="U3429" s="505"/>
      <c r="V3429" s="505"/>
      <c r="W3429" s="505"/>
      <c r="X3429" s="505"/>
      <c r="Y3429" s="505"/>
    </row>
    <row r="3430" spans="1:25" s="88" customFormat="1" hidden="1" x14ac:dyDescent="0.25">
      <c r="A3430" s="258"/>
      <c r="B3430" s="258"/>
      <c r="C3430" s="261"/>
      <c r="D3430" s="258"/>
      <c r="E3430" s="679"/>
      <c r="F3430" s="499">
        <v>461</v>
      </c>
      <c r="G3430" s="492" t="s">
        <v>4133</v>
      </c>
      <c r="H3430" s="555"/>
      <c r="I3430" s="556"/>
      <c r="J3430" s="556">
        <f t="shared" si="117"/>
        <v>0</v>
      </c>
      <c r="K3430" s="505"/>
      <c r="L3430" s="505"/>
      <c r="M3430" s="505"/>
      <c r="N3430" s="505"/>
      <c r="O3430" s="505"/>
      <c r="P3430" s="505"/>
      <c r="Q3430" s="505"/>
      <c r="R3430" s="505"/>
      <c r="S3430" s="505"/>
      <c r="T3430" s="505"/>
      <c r="U3430" s="505"/>
      <c r="V3430" s="505"/>
      <c r="W3430" s="505"/>
      <c r="X3430" s="505"/>
      <c r="Y3430" s="505"/>
    </row>
    <row r="3431" spans="1:25" s="88" customFormat="1" hidden="1" x14ac:dyDescent="0.25">
      <c r="A3431" s="258"/>
      <c r="B3431" s="258"/>
      <c r="C3431" s="261"/>
      <c r="D3431" s="258"/>
      <c r="E3431" s="679"/>
      <c r="F3431" s="499">
        <v>462</v>
      </c>
      <c r="G3431" s="492" t="s">
        <v>3808</v>
      </c>
      <c r="H3431" s="555"/>
      <c r="I3431" s="556"/>
      <c r="J3431" s="556">
        <f t="shared" si="117"/>
        <v>0</v>
      </c>
      <c r="K3431" s="505"/>
      <c r="L3431" s="505"/>
      <c r="M3431" s="505"/>
      <c r="N3431" s="505"/>
      <c r="O3431" s="505"/>
      <c r="P3431" s="505"/>
      <c r="Q3431" s="505"/>
      <c r="R3431" s="505"/>
      <c r="S3431" s="505"/>
      <c r="T3431" s="505"/>
      <c r="U3431" s="505"/>
      <c r="V3431" s="505"/>
      <c r="W3431" s="505"/>
      <c r="X3431" s="505"/>
      <c r="Y3431" s="505"/>
    </row>
    <row r="3432" spans="1:25" s="88" customFormat="1" hidden="1" x14ac:dyDescent="0.25">
      <c r="A3432" s="258"/>
      <c r="B3432" s="258"/>
      <c r="C3432" s="261"/>
      <c r="D3432" s="258"/>
      <c r="E3432" s="679"/>
      <c r="F3432" s="499">
        <v>4631</v>
      </c>
      <c r="G3432" s="492" t="s">
        <v>3809</v>
      </c>
      <c r="H3432" s="555"/>
      <c r="I3432" s="556"/>
      <c r="J3432" s="556">
        <f t="shared" si="117"/>
        <v>0</v>
      </c>
      <c r="K3432" s="505"/>
      <c r="L3432" s="505"/>
      <c r="M3432" s="505"/>
      <c r="N3432" s="505"/>
      <c r="O3432" s="505"/>
      <c r="P3432" s="505"/>
      <c r="Q3432" s="505"/>
      <c r="R3432" s="505"/>
      <c r="S3432" s="505"/>
      <c r="T3432" s="505"/>
      <c r="U3432" s="505"/>
      <c r="V3432" s="505"/>
      <c r="W3432" s="505"/>
      <c r="X3432" s="505"/>
      <c r="Y3432" s="505"/>
    </row>
    <row r="3433" spans="1:25" s="88" customFormat="1" hidden="1" x14ac:dyDescent="0.25">
      <c r="A3433" s="258"/>
      <c r="B3433" s="258"/>
      <c r="C3433" s="261"/>
      <c r="D3433" s="258"/>
      <c r="E3433" s="679"/>
      <c r="F3433" s="499">
        <v>4632</v>
      </c>
      <c r="G3433" s="492" t="s">
        <v>3810</v>
      </c>
      <c r="H3433" s="555"/>
      <c r="I3433" s="556"/>
      <c r="J3433" s="556">
        <f t="shared" si="117"/>
        <v>0</v>
      </c>
      <c r="K3433" s="505"/>
      <c r="L3433" s="505"/>
      <c r="M3433" s="505"/>
      <c r="N3433" s="505"/>
      <c r="O3433" s="505"/>
      <c r="P3433" s="505"/>
      <c r="Q3433" s="505"/>
      <c r="R3433" s="505"/>
      <c r="S3433" s="505"/>
      <c r="T3433" s="505"/>
      <c r="U3433" s="505"/>
      <c r="V3433" s="505"/>
      <c r="W3433" s="505"/>
      <c r="X3433" s="505"/>
      <c r="Y3433" s="505"/>
    </row>
    <row r="3434" spans="1:25" s="88" customFormat="1" hidden="1" x14ac:dyDescent="0.25">
      <c r="A3434" s="258"/>
      <c r="B3434" s="258"/>
      <c r="C3434" s="261"/>
      <c r="D3434" s="258"/>
      <c r="E3434" s="679"/>
      <c r="F3434" s="499">
        <v>464</v>
      </c>
      <c r="G3434" s="492" t="s">
        <v>3811</v>
      </c>
      <c r="H3434" s="555"/>
      <c r="I3434" s="556"/>
      <c r="J3434" s="556">
        <f t="shared" si="117"/>
        <v>0</v>
      </c>
      <c r="K3434" s="505"/>
      <c r="L3434" s="505"/>
      <c r="M3434" s="505"/>
      <c r="N3434" s="505"/>
      <c r="O3434" s="505"/>
      <c r="P3434" s="505"/>
      <c r="Q3434" s="505"/>
      <c r="R3434" s="505"/>
      <c r="S3434" s="505"/>
      <c r="T3434" s="505"/>
      <c r="U3434" s="505"/>
      <c r="V3434" s="505"/>
      <c r="W3434" s="505"/>
      <c r="X3434" s="505"/>
      <c r="Y3434" s="505"/>
    </row>
    <row r="3435" spans="1:25" s="88" customFormat="1" hidden="1" x14ac:dyDescent="0.25">
      <c r="A3435" s="258"/>
      <c r="B3435" s="258"/>
      <c r="C3435" s="261"/>
      <c r="D3435" s="258"/>
      <c r="E3435" s="679"/>
      <c r="F3435" s="499">
        <v>465</v>
      </c>
      <c r="G3435" s="492" t="s">
        <v>4134</v>
      </c>
      <c r="H3435" s="555"/>
      <c r="I3435" s="556"/>
      <c r="J3435" s="556">
        <f t="shared" si="117"/>
        <v>0</v>
      </c>
      <c r="K3435" s="505"/>
      <c r="L3435" s="505"/>
      <c r="M3435" s="505"/>
      <c r="N3435" s="505"/>
      <c r="O3435" s="505"/>
      <c r="P3435" s="505"/>
      <c r="Q3435" s="505"/>
      <c r="R3435" s="505"/>
      <c r="S3435" s="505"/>
      <c r="T3435" s="505"/>
      <c r="U3435" s="505"/>
      <c r="V3435" s="505"/>
      <c r="W3435" s="505"/>
      <c r="X3435" s="505"/>
      <c r="Y3435" s="505"/>
    </row>
    <row r="3436" spans="1:25" s="88" customFormat="1" hidden="1" x14ac:dyDescent="0.25">
      <c r="A3436" s="258"/>
      <c r="B3436" s="258"/>
      <c r="C3436" s="261"/>
      <c r="D3436" s="258"/>
      <c r="E3436" s="679"/>
      <c r="F3436" s="499">
        <v>472</v>
      </c>
      <c r="G3436" s="492" t="s">
        <v>3815</v>
      </c>
      <c r="H3436" s="555"/>
      <c r="I3436" s="556"/>
      <c r="J3436" s="556">
        <f t="shared" si="117"/>
        <v>0</v>
      </c>
      <c r="K3436" s="505"/>
      <c r="L3436" s="505"/>
      <c r="M3436" s="505"/>
      <c r="N3436" s="505"/>
      <c r="O3436" s="505"/>
      <c r="P3436" s="505"/>
      <c r="Q3436" s="505"/>
      <c r="R3436" s="505"/>
      <c r="S3436" s="505"/>
      <c r="T3436" s="505"/>
      <c r="U3436" s="505"/>
      <c r="V3436" s="505"/>
      <c r="W3436" s="505"/>
      <c r="X3436" s="505"/>
      <c r="Y3436" s="505"/>
    </row>
    <row r="3437" spans="1:25" s="88" customFormat="1" hidden="1" x14ac:dyDescent="0.25">
      <c r="A3437" s="258"/>
      <c r="B3437" s="258"/>
      <c r="C3437" s="261"/>
      <c r="D3437" s="258"/>
      <c r="E3437" s="679"/>
      <c r="F3437" s="499">
        <v>481</v>
      </c>
      <c r="G3437" s="492" t="s">
        <v>4153</v>
      </c>
      <c r="H3437" s="555"/>
      <c r="I3437" s="556"/>
      <c r="J3437" s="556">
        <f t="shared" si="117"/>
        <v>0</v>
      </c>
      <c r="K3437" s="505"/>
      <c r="L3437" s="505"/>
      <c r="M3437" s="505"/>
      <c r="N3437" s="505"/>
      <c r="O3437" s="505"/>
      <c r="P3437" s="505"/>
      <c r="Q3437" s="505"/>
      <c r="R3437" s="505"/>
      <c r="S3437" s="505"/>
      <c r="T3437" s="505"/>
      <c r="U3437" s="505"/>
      <c r="V3437" s="505"/>
      <c r="W3437" s="505"/>
      <c r="X3437" s="505"/>
      <c r="Y3437" s="505"/>
    </row>
    <row r="3438" spans="1:25" s="88" customFormat="1" hidden="1" x14ac:dyDescent="0.25">
      <c r="A3438" s="258"/>
      <c r="B3438" s="258"/>
      <c r="C3438" s="261"/>
      <c r="D3438" s="258"/>
      <c r="E3438" s="679"/>
      <c r="F3438" s="499">
        <v>482</v>
      </c>
      <c r="G3438" s="492" t="s">
        <v>4154</v>
      </c>
      <c r="H3438" s="555"/>
      <c r="I3438" s="556"/>
      <c r="J3438" s="556">
        <f t="shared" si="117"/>
        <v>0</v>
      </c>
      <c r="K3438" s="505"/>
      <c r="L3438" s="505"/>
      <c r="M3438" s="505"/>
      <c r="N3438" s="505"/>
      <c r="O3438" s="505"/>
      <c r="P3438" s="505"/>
      <c r="Q3438" s="505"/>
      <c r="R3438" s="505"/>
      <c r="S3438" s="505"/>
      <c r="T3438" s="505"/>
      <c r="U3438" s="505"/>
      <c r="V3438" s="505"/>
      <c r="W3438" s="505"/>
      <c r="X3438" s="505"/>
      <c r="Y3438" s="505"/>
    </row>
    <row r="3439" spans="1:25" s="88" customFormat="1" hidden="1" x14ac:dyDescent="0.25">
      <c r="A3439" s="258"/>
      <c r="B3439" s="258"/>
      <c r="C3439" s="261"/>
      <c r="D3439" s="258"/>
      <c r="E3439" s="679"/>
      <c r="F3439" s="499">
        <v>483</v>
      </c>
      <c r="G3439" s="496" t="s">
        <v>4155</v>
      </c>
      <c r="H3439" s="555"/>
      <c r="I3439" s="556"/>
      <c r="J3439" s="556">
        <f t="shared" si="117"/>
        <v>0</v>
      </c>
      <c r="K3439" s="505"/>
      <c r="L3439" s="505"/>
      <c r="M3439" s="505"/>
      <c r="N3439" s="505"/>
      <c r="O3439" s="505"/>
      <c r="P3439" s="505"/>
      <c r="Q3439" s="505"/>
      <c r="R3439" s="505"/>
      <c r="S3439" s="505"/>
      <c r="T3439" s="505"/>
      <c r="U3439" s="505"/>
      <c r="V3439" s="505"/>
      <c r="W3439" s="505"/>
      <c r="X3439" s="505"/>
      <c r="Y3439" s="505"/>
    </row>
    <row r="3440" spans="1:25" s="88" customFormat="1" ht="30" hidden="1" x14ac:dyDescent="0.25">
      <c r="A3440" s="258"/>
      <c r="B3440" s="258"/>
      <c r="C3440" s="261"/>
      <c r="D3440" s="258"/>
      <c r="E3440" s="679"/>
      <c r="F3440" s="499">
        <v>484</v>
      </c>
      <c r="G3440" s="492" t="s">
        <v>4156</v>
      </c>
      <c r="H3440" s="555"/>
      <c r="I3440" s="556"/>
      <c r="J3440" s="556">
        <f t="shared" si="117"/>
        <v>0</v>
      </c>
      <c r="K3440" s="505"/>
      <c r="L3440" s="505"/>
      <c r="M3440" s="505"/>
      <c r="N3440" s="505"/>
      <c r="O3440" s="505"/>
      <c r="P3440" s="505"/>
      <c r="Q3440" s="505"/>
      <c r="R3440" s="505"/>
      <c r="S3440" s="505"/>
      <c r="T3440" s="505"/>
      <c r="U3440" s="505"/>
      <c r="V3440" s="505"/>
      <c r="W3440" s="505"/>
      <c r="X3440" s="505"/>
      <c r="Y3440" s="505"/>
    </row>
    <row r="3441" spans="1:25" s="88" customFormat="1" ht="30" hidden="1" x14ac:dyDescent="0.25">
      <c r="A3441" s="258"/>
      <c r="B3441" s="258"/>
      <c r="C3441" s="261"/>
      <c r="D3441" s="258"/>
      <c r="E3441" s="679"/>
      <c r="F3441" s="499">
        <v>485</v>
      </c>
      <c r="G3441" s="492" t="s">
        <v>4157</v>
      </c>
      <c r="H3441" s="555"/>
      <c r="I3441" s="556"/>
      <c r="J3441" s="556">
        <f t="shared" si="117"/>
        <v>0</v>
      </c>
      <c r="K3441" s="505"/>
      <c r="L3441" s="505"/>
      <c r="M3441" s="505"/>
      <c r="N3441" s="505"/>
      <c r="O3441" s="505"/>
      <c r="P3441" s="505"/>
      <c r="Q3441" s="505"/>
      <c r="R3441" s="505"/>
      <c r="S3441" s="505"/>
      <c r="T3441" s="505"/>
      <c r="U3441" s="505"/>
      <c r="V3441" s="505"/>
      <c r="W3441" s="505"/>
      <c r="X3441" s="505"/>
      <c r="Y3441" s="505"/>
    </row>
    <row r="3442" spans="1:25" s="88" customFormat="1" ht="30" hidden="1" x14ac:dyDescent="0.25">
      <c r="A3442" s="258"/>
      <c r="B3442" s="258"/>
      <c r="C3442" s="261"/>
      <c r="D3442" s="258"/>
      <c r="E3442" s="679"/>
      <c r="F3442" s="499">
        <v>489</v>
      </c>
      <c r="G3442" s="492" t="s">
        <v>3823</v>
      </c>
      <c r="H3442" s="555"/>
      <c r="I3442" s="556"/>
      <c r="J3442" s="556">
        <f t="shared" si="117"/>
        <v>0</v>
      </c>
      <c r="K3442" s="505"/>
      <c r="L3442" s="505"/>
      <c r="M3442" s="505"/>
      <c r="N3442" s="505"/>
      <c r="O3442" s="505"/>
      <c r="P3442" s="505"/>
      <c r="Q3442" s="505"/>
      <c r="R3442" s="505"/>
      <c r="S3442" s="505"/>
      <c r="T3442" s="505"/>
      <c r="U3442" s="505"/>
      <c r="V3442" s="505"/>
      <c r="W3442" s="505"/>
      <c r="X3442" s="505"/>
      <c r="Y3442" s="505"/>
    </row>
    <row r="3443" spans="1:25" s="88" customFormat="1" hidden="1" x14ac:dyDescent="0.25">
      <c r="A3443" s="258"/>
      <c r="B3443" s="258"/>
      <c r="C3443" s="261"/>
      <c r="D3443" s="258"/>
      <c r="E3443" s="679"/>
      <c r="F3443" s="499">
        <v>494</v>
      </c>
      <c r="G3443" s="492" t="s">
        <v>4135</v>
      </c>
      <c r="H3443" s="555"/>
      <c r="I3443" s="556"/>
      <c r="J3443" s="556">
        <f t="shared" si="117"/>
        <v>0</v>
      </c>
      <c r="K3443" s="505"/>
      <c r="L3443" s="505"/>
      <c r="M3443" s="505"/>
      <c r="N3443" s="505"/>
      <c r="O3443" s="505"/>
      <c r="P3443" s="505"/>
      <c r="Q3443" s="505"/>
      <c r="R3443" s="505"/>
      <c r="S3443" s="505"/>
      <c r="T3443" s="505"/>
      <c r="U3443" s="505"/>
      <c r="V3443" s="505"/>
      <c r="W3443" s="505"/>
      <c r="X3443" s="505"/>
      <c r="Y3443" s="505"/>
    </row>
    <row r="3444" spans="1:25" s="88" customFormat="1" ht="30" hidden="1" x14ac:dyDescent="0.25">
      <c r="A3444" s="258"/>
      <c r="B3444" s="258"/>
      <c r="C3444" s="261"/>
      <c r="D3444" s="258"/>
      <c r="E3444" s="679"/>
      <c r="F3444" s="499">
        <v>495</v>
      </c>
      <c r="G3444" s="492" t="s">
        <v>4136</v>
      </c>
      <c r="H3444" s="555"/>
      <c r="I3444" s="556"/>
      <c r="J3444" s="556">
        <f t="shared" si="117"/>
        <v>0</v>
      </c>
      <c r="K3444" s="505"/>
      <c r="L3444" s="505"/>
      <c r="M3444" s="505"/>
      <c r="N3444" s="505"/>
      <c r="O3444" s="505"/>
      <c r="P3444" s="505"/>
      <c r="Q3444" s="505"/>
      <c r="R3444" s="505"/>
      <c r="S3444" s="505"/>
      <c r="T3444" s="505"/>
      <c r="U3444" s="505"/>
      <c r="V3444" s="505"/>
      <c r="W3444" s="505"/>
      <c r="X3444" s="505"/>
      <c r="Y3444" s="505"/>
    </row>
    <row r="3445" spans="1:25" s="88" customFormat="1" ht="30" hidden="1" x14ac:dyDescent="0.25">
      <c r="A3445" s="258"/>
      <c r="B3445" s="258"/>
      <c r="C3445" s="261"/>
      <c r="D3445" s="258"/>
      <c r="E3445" s="679"/>
      <c r="F3445" s="499">
        <v>496</v>
      </c>
      <c r="G3445" s="492" t="s">
        <v>4137</v>
      </c>
      <c r="H3445" s="555"/>
      <c r="I3445" s="556"/>
      <c r="J3445" s="556">
        <f t="shared" si="117"/>
        <v>0</v>
      </c>
      <c r="K3445" s="505"/>
      <c r="L3445" s="505"/>
      <c r="M3445" s="505"/>
      <c r="N3445" s="505"/>
      <c r="O3445" s="505"/>
      <c r="P3445" s="505"/>
      <c r="Q3445" s="505"/>
      <c r="R3445" s="505"/>
      <c r="S3445" s="505"/>
      <c r="T3445" s="505"/>
      <c r="U3445" s="505"/>
      <c r="V3445" s="505"/>
      <c r="W3445" s="505"/>
      <c r="X3445" s="505"/>
      <c r="Y3445" s="505"/>
    </row>
    <row r="3446" spans="1:25" s="88" customFormat="1" ht="30" hidden="1" x14ac:dyDescent="0.25">
      <c r="A3446" s="258"/>
      <c r="B3446" s="258"/>
      <c r="C3446" s="261"/>
      <c r="D3446" s="258"/>
      <c r="E3446" s="679"/>
      <c r="F3446" s="499">
        <v>499</v>
      </c>
      <c r="G3446" s="492" t="s">
        <v>4138</v>
      </c>
      <c r="H3446" s="555"/>
      <c r="I3446" s="556"/>
      <c r="J3446" s="556">
        <f t="shared" si="117"/>
        <v>0</v>
      </c>
      <c r="K3446" s="505"/>
      <c r="L3446" s="505"/>
      <c r="M3446" s="505"/>
      <c r="N3446" s="505"/>
      <c r="O3446" s="505"/>
      <c r="P3446" s="505"/>
      <c r="Q3446" s="505"/>
      <c r="R3446" s="505"/>
      <c r="S3446" s="505"/>
      <c r="T3446" s="505"/>
      <c r="U3446" s="505"/>
      <c r="V3446" s="505"/>
      <c r="W3446" s="505"/>
      <c r="X3446" s="505"/>
      <c r="Y3446" s="505"/>
    </row>
    <row r="3447" spans="1:25" s="88" customFormat="1" hidden="1" x14ac:dyDescent="0.25">
      <c r="A3447" s="258"/>
      <c r="B3447" s="258"/>
      <c r="C3447" s="261"/>
      <c r="D3447" s="258"/>
      <c r="E3447" s="679"/>
      <c r="F3447" s="499">
        <v>511</v>
      </c>
      <c r="G3447" s="496" t="s">
        <v>4158</v>
      </c>
      <c r="H3447" s="555"/>
      <c r="I3447" s="556"/>
      <c r="J3447" s="556">
        <f t="shared" si="117"/>
        <v>0</v>
      </c>
      <c r="K3447" s="505"/>
      <c r="L3447" s="505"/>
      <c r="M3447" s="505"/>
      <c r="N3447" s="505"/>
      <c r="O3447" s="505"/>
      <c r="P3447" s="505"/>
      <c r="Q3447" s="505"/>
      <c r="R3447" s="505"/>
      <c r="S3447" s="505"/>
      <c r="T3447" s="505"/>
      <c r="U3447" s="505"/>
      <c r="V3447" s="505"/>
      <c r="W3447" s="505"/>
      <c r="X3447" s="505"/>
      <c r="Y3447" s="505"/>
    </row>
    <row r="3448" spans="1:25" s="88" customFormat="1" hidden="1" x14ac:dyDescent="0.25">
      <c r="A3448" s="258"/>
      <c r="B3448" s="258"/>
      <c r="C3448" s="261"/>
      <c r="D3448" s="258"/>
      <c r="E3448" s="679"/>
      <c r="F3448" s="499">
        <v>512</v>
      </c>
      <c r="G3448" s="496" t="s">
        <v>4159</v>
      </c>
      <c r="H3448" s="555"/>
      <c r="I3448" s="556"/>
      <c r="J3448" s="556">
        <f t="shared" si="117"/>
        <v>0</v>
      </c>
      <c r="K3448" s="505"/>
      <c r="L3448" s="505"/>
      <c r="M3448" s="505"/>
      <c r="N3448" s="505"/>
      <c r="O3448" s="505"/>
      <c r="P3448" s="505"/>
      <c r="Q3448" s="505"/>
      <c r="R3448" s="505"/>
      <c r="S3448" s="505"/>
      <c r="T3448" s="505"/>
      <c r="U3448" s="505"/>
      <c r="V3448" s="505"/>
      <c r="W3448" s="505"/>
      <c r="X3448" s="505"/>
      <c r="Y3448" s="505"/>
    </row>
    <row r="3449" spans="1:25" s="88" customFormat="1" hidden="1" x14ac:dyDescent="0.25">
      <c r="A3449" s="258"/>
      <c r="B3449" s="258"/>
      <c r="C3449" s="261"/>
      <c r="D3449" s="258"/>
      <c r="E3449" s="679"/>
      <c r="F3449" s="499">
        <v>513</v>
      </c>
      <c r="G3449" s="496" t="s">
        <v>4160</v>
      </c>
      <c r="H3449" s="555"/>
      <c r="I3449" s="556"/>
      <c r="J3449" s="556">
        <f t="shared" si="117"/>
        <v>0</v>
      </c>
      <c r="K3449" s="505"/>
      <c r="L3449" s="505"/>
      <c r="M3449" s="505"/>
      <c r="N3449" s="505"/>
      <c r="O3449" s="505"/>
      <c r="P3449" s="505"/>
      <c r="Q3449" s="505"/>
      <c r="R3449" s="505"/>
      <c r="S3449" s="505"/>
      <c r="T3449" s="505"/>
      <c r="U3449" s="505"/>
      <c r="V3449" s="505"/>
      <c r="W3449" s="505"/>
      <c r="X3449" s="505"/>
      <c r="Y3449" s="505"/>
    </row>
    <row r="3450" spans="1:25" s="88" customFormat="1" hidden="1" x14ac:dyDescent="0.25">
      <c r="A3450" s="258"/>
      <c r="B3450" s="258"/>
      <c r="C3450" s="261"/>
      <c r="D3450" s="258"/>
      <c r="E3450" s="679"/>
      <c r="F3450" s="499">
        <v>514</v>
      </c>
      <c r="G3450" s="492" t="s">
        <v>4161</v>
      </c>
      <c r="H3450" s="555"/>
      <c r="I3450" s="556"/>
      <c r="J3450" s="556">
        <f t="shared" si="117"/>
        <v>0</v>
      </c>
      <c r="K3450" s="505"/>
      <c r="L3450" s="505"/>
      <c r="M3450" s="505"/>
      <c r="N3450" s="505"/>
      <c r="O3450" s="505"/>
      <c r="P3450" s="505"/>
      <c r="Q3450" s="505"/>
      <c r="R3450" s="505"/>
      <c r="S3450" s="505"/>
      <c r="T3450" s="505"/>
      <c r="U3450" s="505"/>
      <c r="V3450" s="505"/>
      <c r="W3450" s="505"/>
      <c r="X3450" s="505"/>
      <c r="Y3450" s="505"/>
    </row>
    <row r="3451" spans="1:25" s="88" customFormat="1" hidden="1" x14ac:dyDescent="0.25">
      <c r="A3451" s="258"/>
      <c r="B3451" s="258"/>
      <c r="C3451" s="261"/>
      <c r="D3451" s="258"/>
      <c r="E3451" s="679"/>
      <c r="F3451" s="499">
        <v>515</v>
      </c>
      <c r="G3451" s="492" t="s">
        <v>3834</v>
      </c>
      <c r="H3451" s="555"/>
      <c r="I3451" s="556"/>
      <c r="J3451" s="556">
        <f t="shared" si="117"/>
        <v>0</v>
      </c>
      <c r="K3451" s="505"/>
      <c r="L3451" s="505"/>
      <c r="M3451" s="505"/>
      <c r="N3451" s="505"/>
      <c r="O3451" s="505"/>
      <c r="P3451" s="505"/>
      <c r="Q3451" s="505"/>
      <c r="R3451" s="505"/>
      <c r="S3451" s="505"/>
      <c r="T3451" s="505"/>
      <c r="U3451" s="505"/>
      <c r="V3451" s="505"/>
      <c r="W3451" s="505"/>
      <c r="X3451" s="505"/>
      <c r="Y3451" s="505"/>
    </row>
    <row r="3452" spans="1:25" s="88" customFormat="1" hidden="1" x14ac:dyDescent="0.25">
      <c r="A3452" s="258"/>
      <c r="B3452" s="258"/>
      <c r="C3452" s="261"/>
      <c r="D3452" s="258"/>
      <c r="E3452" s="679"/>
      <c r="F3452" s="499">
        <v>521</v>
      </c>
      <c r="G3452" s="492" t="s">
        <v>4162</v>
      </c>
      <c r="H3452" s="555"/>
      <c r="I3452" s="556"/>
      <c r="J3452" s="556">
        <f t="shared" si="117"/>
        <v>0</v>
      </c>
      <c r="K3452" s="505"/>
      <c r="L3452" s="505"/>
      <c r="M3452" s="505"/>
      <c r="N3452" s="505"/>
      <c r="O3452" s="505"/>
      <c r="P3452" s="505"/>
      <c r="Q3452" s="505"/>
      <c r="R3452" s="505"/>
      <c r="S3452" s="505"/>
      <c r="T3452" s="505"/>
      <c r="U3452" s="505"/>
      <c r="V3452" s="505"/>
      <c r="W3452" s="505"/>
      <c r="X3452" s="505"/>
      <c r="Y3452" s="505"/>
    </row>
    <row r="3453" spans="1:25" s="88" customFormat="1" hidden="1" x14ac:dyDescent="0.25">
      <c r="A3453" s="258"/>
      <c r="B3453" s="258"/>
      <c r="C3453" s="261"/>
      <c r="D3453" s="258"/>
      <c r="E3453" s="679"/>
      <c r="F3453" s="499">
        <v>522</v>
      </c>
      <c r="G3453" s="492" t="s">
        <v>4163</v>
      </c>
      <c r="H3453" s="555"/>
      <c r="I3453" s="556"/>
      <c r="J3453" s="556">
        <f t="shared" si="117"/>
        <v>0</v>
      </c>
      <c r="K3453" s="505"/>
      <c r="L3453" s="505"/>
      <c r="M3453" s="505"/>
      <c r="N3453" s="505"/>
      <c r="O3453" s="505"/>
      <c r="P3453" s="505"/>
      <c r="Q3453" s="505"/>
      <c r="R3453" s="505"/>
      <c r="S3453" s="505"/>
      <c r="T3453" s="505"/>
      <c r="U3453" s="505"/>
      <c r="V3453" s="505"/>
      <c r="W3453" s="505"/>
      <c r="X3453" s="505"/>
      <c r="Y3453" s="505"/>
    </row>
    <row r="3454" spans="1:25" s="88" customFormat="1" hidden="1" x14ac:dyDescent="0.25">
      <c r="A3454" s="258"/>
      <c r="B3454" s="258"/>
      <c r="C3454" s="261"/>
      <c r="D3454" s="258"/>
      <c r="E3454" s="679"/>
      <c r="F3454" s="499">
        <v>523</v>
      </c>
      <c r="G3454" s="492" t="s">
        <v>3839</v>
      </c>
      <c r="H3454" s="555"/>
      <c r="I3454" s="556"/>
      <c r="J3454" s="556">
        <f t="shared" si="117"/>
        <v>0</v>
      </c>
      <c r="K3454" s="505"/>
      <c r="L3454" s="505"/>
      <c r="M3454" s="505"/>
      <c r="N3454" s="505"/>
      <c r="O3454" s="505"/>
      <c r="P3454" s="505"/>
      <c r="Q3454" s="505"/>
      <c r="R3454" s="505"/>
      <c r="S3454" s="505"/>
      <c r="T3454" s="505"/>
      <c r="U3454" s="505"/>
      <c r="V3454" s="505"/>
      <c r="W3454" s="505"/>
      <c r="X3454" s="505"/>
      <c r="Y3454" s="505"/>
    </row>
    <row r="3455" spans="1:25" s="88" customFormat="1" hidden="1" x14ac:dyDescent="0.25">
      <c r="A3455" s="258"/>
      <c r="B3455" s="258"/>
      <c r="C3455" s="261"/>
      <c r="D3455" s="258"/>
      <c r="E3455" s="679"/>
      <c r="F3455" s="499">
        <v>531</v>
      </c>
      <c r="G3455" s="488" t="s">
        <v>4139</v>
      </c>
      <c r="H3455" s="555"/>
      <c r="I3455" s="556"/>
      <c r="J3455" s="556">
        <f t="shared" si="117"/>
        <v>0</v>
      </c>
      <c r="K3455" s="505"/>
      <c r="L3455" s="505"/>
      <c r="M3455" s="505"/>
      <c r="N3455" s="505"/>
      <c r="O3455" s="505"/>
      <c r="P3455" s="505"/>
      <c r="Q3455" s="505"/>
      <c r="R3455" s="505"/>
      <c r="S3455" s="505"/>
      <c r="T3455" s="505"/>
      <c r="U3455" s="505"/>
      <c r="V3455" s="505"/>
      <c r="W3455" s="505"/>
      <c r="X3455" s="505"/>
      <c r="Y3455" s="505"/>
    </row>
    <row r="3456" spans="1:25" s="88" customFormat="1" hidden="1" x14ac:dyDescent="0.25">
      <c r="A3456" s="258"/>
      <c r="B3456" s="258"/>
      <c r="C3456" s="261"/>
      <c r="D3456" s="258"/>
      <c r="E3456" s="679"/>
      <c r="F3456" s="499">
        <v>541</v>
      </c>
      <c r="G3456" s="492" t="s">
        <v>4164</v>
      </c>
      <c r="H3456" s="555"/>
      <c r="I3456" s="556"/>
      <c r="J3456" s="556">
        <f t="shared" si="117"/>
        <v>0</v>
      </c>
      <c r="K3456" s="505"/>
      <c r="L3456" s="505"/>
      <c r="M3456" s="505"/>
      <c r="N3456" s="505"/>
      <c r="O3456" s="505"/>
      <c r="P3456" s="505"/>
      <c r="Q3456" s="505"/>
      <c r="R3456" s="505"/>
      <c r="S3456" s="505"/>
      <c r="T3456" s="505"/>
      <c r="U3456" s="505"/>
      <c r="V3456" s="505"/>
      <c r="W3456" s="505"/>
      <c r="X3456" s="505"/>
      <c r="Y3456" s="505"/>
    </row>
    <row r="3457" spans="1:25" s="88" customFormat="1" hidden="1" x14ac:dyDescent="0.25">
      <c r="A3457" s="258"/>
      <c r="B3457" s="258"/>
      <c r="C3457" s="261"/>
      <c r="D3457" s="258"/>
      <c r="E3457" s="679"/>
      <c r="F3457" s="499">
        <v>542</v>
      </c>
      <c r="G3457" s="492" t="s">
        <v>4165</v>
      </c>
      <c r="H3457" s="555"/>
      <c r="I3457" s="556"/>
      <c r="J3457" s="556">
        <f t="shared" si="117"/>
        <v>0</v>
      </c>
      <c r="K3457" s="505"/>
      <c r="L3457" s="505"/>
      <c r="M3457" s="505"/>
      <c r="N3457" s="505"/>
      <c r="O3457" s="505"/>
      <c r="P3457" s="505"/>
      <c r="Q3457" s="505"/>
      <c r="R3457" s="505"/>
      <c r="S3457" s="505"/>
      <c r="T3457" s="505"/>
      <c r="U3457" s="505"/>
      <c r="V3457" s="505"/>
      <c r="W3457" s="505"/>
      <c r="X3457" s="505"/>
      <c r="Y3457" s="505"/>
    </row>
    <row r="3458" spans="1:25" s="88" customFormat="1" hidden="1" x14ac:dyDescent="0.25">
      <c r="A3458" s="258"/>
      <c r="B3458" s="258"/>
      <c r="C3458" s="261"/>
      <c r="D3458" s="258"/>
      <c r="E3458" s="679"/>
      <c r="F3458" s="499">
        <v>543</v>
      </c>
      <c r="G3458" s="492" t="s">
        <v>3844</v>
      </c>
      <c r="H3458" s="555"/>
      <c r="I3458" s="556"/>
      <c r="J3458" s="556">
        <f t="shared" si="117"/>
        <v>0</v>
      </c>
      <c r="K3458" s="505"/>
      <c r="L3458" s="505"/>
      <c r="M3458" s="505"/>
      <c r="N3458" s="505"/>
      <c r="O3458" s="505"/>
      <c r="P3458" s="505"/>
      <c r="Q3458" s="505"/>
      <c r="R3458" s="505"/>
      <c r="S3458" s="505"/>
      <c r="T3458" s="505"/>
      <c r="U3458" s="505"/>
      <c r="V3458" s="505"/>
      <c r="W3458" s="505"/>
      <c r="X3458" s="505"/>
      <c r="Y3458" s="505"/>
    </row>
    <row r="3459" spans="1:25" s="88" customFormat="1" ht="30" hidden="1" x14ac:dyDescent="0.25">
      <c r="A3459" s="258"/>
      <c r="B3459" s="258"/>
      <c r="C3459" s="261"/>
      <c r="D3459" s="258"/>
      <c r="E3459" s="679"/>
      <c r="F3459" s="499">
        <v>551</v>
      </c>
      <c r="G3459" s="492" t="s">
        <v>4140</v>
      </c>
      <c r="H3459" s="555"/>
      <c r="I3459" s="556"/>
      <c r="J3459" s="556">
        <f t="shared" si="117"/>
        <v>0</v>
      </c>
      <c r="K3459" s="505"/>
      <c r="L3459" s="505"/>
      <c r="M3459" s="505"/>
      <c r="N3459" s="505"/>
      <c r="O3459" s="505"/>
      <c r="P3459" s="505"/>
      <c r="Q3459" s="505"/>
      <c r="R3459" s="505"/>
      <c r="S3459" s="505"/>
      <c r="T3459" s="505"/>
      <c r="U3459" s="505"/>
      <c r="V3459" s="505"/>
      <c r="W3459" s="505"/>
      <c r="X3459" s="505"/>
      <c r="Y3459" s="505"/>
    </row>
    <row r="3460" spans="1:25" s="88" customFormat="1" hidden="1" x14ac:dyDescent="0.25">
      <c r="A3460" s="258"/>
      <c r="B3460" s="258"/>
      <c r="C3460" s="261"/>
      <c r="D3460" s="258"/>
      <c r="E3460" s="679"/>
      <c r="F3460" s="500">
        <v>611</v>
      </c>
      <c r="G3460" s="498" t="s">
        <v>3850</v>
      </c>
      <c r="H3460" s="555"/>
      <c r="I3460" s="556"/>
      <c r="J3460" s="556">
        <f t="shared" si="117"/>
        <v>0</v>
      </c>
      <c r="K3460" s="505"/>
      <c r="L3460" s="505"/>
      <c r="M3460" s="505"/>
      <c r="N3460" s="505"/>
      <c r="O3460" s="505"/>
      <c r="P3460" s="505"/>
      <c r="Q3460" s="505"/>
      <c r="R3460" s="505"/>
      <c r="S3460" s="505"/>
      <c r="T3460" s="505"/>
      <c r="U3460" s="505"/>
      <c r="V3460" s="505"/>
      <c r="W3460" s="505"/>
      <c r="X3460" s="505"/>
      <c r="Y3460" s="505"/>
    </row>
    <row r="3461" spans="1:25" s="88" customFormat="1" ht="15.75" hidden="1" thickBot="1" x14ac:dyDescent="0.3">
      <c r="A3461" s="258"/>
      <c r="B3461" s="258"/>
      <c r="C3461" s="261"/>
      <c r="D3461" s="258"/>
      <c r="E3461" s="679"/>
      <c r="F3461" s="500">
        <v>620</v>
      </c>
      <c r="G3461" s="498" t="s">
        <v>88</v>
      </c>
      <c r="H3461" s="555"/>
      <c r="I3461" s="556"/>
      <c r="J3461" s="556">
        <f t="shared" si="117"/>
        <v>0</v>
      </c>
      <c r="K3461" s="505"/>
      <c r="L3461" s="505"/>
      <c r="M3461" s="505"/>
      <c r="N3461" s="505"/>
      <c r="O3461" s="505"/>
      <c r="P3461" s="505"/>
      <c r="Q3461" s="505"/>
      <c r="R3461" s="505"/>
      <c r="S3461" s="505"/>
      <c r="T3461" s="505"/>
      <c r="U3461" s="505"/>
      <c r="V3461" s="505"/>
      <c r="W3461" s="505"/>
      <c r="X3461" s="505"/>
      <c r="Y3461" s="505"/>
    </row>
    <row r="3462" spans="1:25" s="88" customFormat="1" x14ac:dyDescent="0.25">
      <c r="A3462" s="258"/>
      <c r="B3462" s="258"/>
      <c r="C3462" s="261"/>
      <c r="D3462" s="258"/>
      <c r="E3462" s="489"/>
      <c r="F3462" s="500"/>
      <c r="G3462" s="343" t="s">
        <v>4337</v>
      </c>
      <c r="H3462" s="557"/>
      <c r="I3462" s="583"/>
      <c r="J3462" s="558"/>
      <c r="K3462" s="505"/>
      <c r="L3462" s="505"/>
      <c r="M3462" s="505"/>
      <c r="N3462" s="505"/>
      <c r="O3462" s="505"/>
      <c r="P3462" s="505"/>
      <c r="Q3462" s="505"/>
      <c r="R3462" s="505"/>
      <c r="S3462" s="505"/>
      <c r="T3462" s="505"/>
      <c r="U3462" s="505"/>
      <c r="V3462" s="505"/>
      <c r="W3462" s="505"/>
      <c r="X3462" s="505"/>
      <c r="Y3462" s="505"/>
    </row>
    <row r="3463" spans="1:25" s="88" customFormat="1" ht="15" customHeight="1" thickBot="1" x14ac:dyDescent="0.3">
      <c r="A3463" s="258"/>
      <c r="B3463" s="258"/>
      <c r="C3463" s="261"/>
      <c r="D3463" s="258"/>
      <c r="E3463" s="693"/>
      <c r="F3463" s="597" t="s">
        <v>234</v>
      </c>
      <c r="G3463" s="598" t="s">
        <v>235</v>
      </c>
      <c r="H3463" s="559">
        <f>SUM(H3402:H3461)</f>
        <v>800000</v>
      </c>
      <c r="I3463" s="560"/>
      <c r="J3463" s="560">
        <f t="shared" ref="J3463:J3478" si="118">SUM(H3463:I3463)</f>
        <v>800000</v>
      </c>
      <c r="K3463" s="505"/>
      <c r="L3463" s="505"/>
      <c r="M3463" s="505"/>
      <c r="N3463" s="505"/>
      <c r="O3463" s="505"/>
      <c r="P3463" s="505"/>
      <c r="Q3463" s="505"/>
      <c r="R3463" s="505"/>
      <c r="S3463" s="505"/>
      <c r="T3463" s="505"/>
      <c r="U3463" s="505"/>
      <c r="V3463" s="505"/>
      <c r="W3463" s="505"/>
      <c r="X3463" s="505"/>
      <c r="Y3463" s="505"/>
    </row>
    <row r="3464" spans="1:25" s="88" customFormat="1" hidden="1" x14ac:dyDescent="0.25">
      <c r="A3464" s="258"/>
      <c r="B3464" s="258"/>
      <c r="C3464" s="261"/>
      <c r="D3464" s="258"/>
      <c r="E3464" s="679"/>
      <c r="F3464" s="597" t="s">
        <v>236</v>
      </c>
      <c r="G3464" s="598" t="s">
        <v>237</v>
      </c>
      <c r="H3464" s="555"/>
      <c r="I3464" s="556"/>
      <c r="J3464" s="560">
        <f t="shared" si="118"/>
        <v>0</v>
      </c>
      <c r="K3464" s="505"/>
      <c r="L3464" s="505"/>
      <c r="M3464" s="505"/>
      <c r="N3464" s="505"/>
      <c r="O3464" s="505"/>
      <c r="P3464" s="505"/>
      <c r="Q3464" s="505"/>
      <c r="R3464" s="505"/>
      <c r="S3464" s="505"/>
      <c r="T3464" s="505"/>
      <c r="U3464" s="505"/>
      <c r="V3464" s="505"/>
      <c r="W3464" s="505"/>
      <c r="X3464" s="505"/>
      <c r="Y3464" s="505"/>
    </row>
    <row r="3465" spans="1:25" s="88" customFormat="1" hidden="1" x14ac:dyDescent="0.25">
      <c r="A3465" s="258"/>
      <c r="B3465" s="258"/>
      <c r="C3465" s="261"/>
      <c r="D3465" s="258"/>
      <c r="E3465" s="679"/>
      <c r="F3465" s="597" t="s">
        <v>238</v>
      </c>
      <c r="G3465" s="598" t="s">
        <v>239</v>
      </c>
      <c r="H3465" s="555"/>
      <c r="I3465" s="556"/>
      <c r="J3465" s="560">
        <f t="shared" si="118"/>
        <v>0</v>
      </c>
      <c r="K3465" s="505"/>
      <c r="L3465" s="505"/>
      <c r="M3465" s="505"/>
      <c r="N3465" s="505"/>
      <c r="O3465" s="505"/>
      <c r="P3465" s="505"/>
      <c r="Q3465" s="505"/>
      <c r="R3465" s="505"/>
      <c r="S3465" s="505"/>
      <c r="T3465" s="505"/>
      <c r="U3465" s="505"/>
      <c r="V3465" s="505"/>
      <c r="W3465" s="505"/>
      <c r="X3465" s="505"/>
      <c r="Y3465" s="505"/>
    </row>
    <row r="3466" spans="1:25" s="88" customFormat="1" hidden="1" x14ac:dyDescent="0.25">
      <c r="A3466" s="258"/>
      <c r="B3466" s="258"/>
      <c r="C3466" s="261"/>
      <c r="D3466" s="258"/>
      <c r="E3466" s="679"/>
      <c r="F3466" s="597" t="s">
        <v>240</v>
      </c>
      <c r="G3466" s="598" t="s">
        <v>241</v>
      </c>
      <c r="H3466" s="555"/>
      <c r="I3466" s="556"/>
      <c r="J3466" s="560">
        <f t="shared" si="118"/>
        <v>0</v>
      </c>
      <c r="K3466" s="505"/>
      <c r="L3466" s="505"/>
      <c r="M3466" s="505"/>
      <c r="N3466" s="505"/>
      <c r="O3466" s="505"/>
      <c r="P3466" s="505"/>
      <c r="Q3466" s="505"/>
      <c r="R3466" s="505"/>
      <c r="S3466" s="505"/>
      <c r="T3466" s="505"/>
      <c r="U3466" s="505"/>
      <c r="V3466" s="505"/>
      <c r="W3466" s="505"/>
      <c r="X3466" s="505"/>
      <c r="Y3466" s="505"/>
    </row>
    <row r="3467" spans="1:25" s="88" customFormat="1" hidden="1" x14ac:dyDescent="0.25">
      <c r="A3467" s="258"/>
      <c r="B3467" s="258"/>
      <c r="C3467" s="261"/>
      <c r="D3467" s="258"/>
      <c r="E3467" s="679"/>
      <c r="F3467" s="597" t="s">
        <v>242</v>
      </c>
      <c r="G3467" s="598" t="s">
        <v>243</v>
      </c>
      <c r="H3467" s="555"/>
      <c r="I3467" s="556"/>
      <c r="J3467" s="560">
        <f t="shared" si="118"/>
        <v>0</v>
      </c>
      <c r="K3467" s="505"/>
      <c r="L3467" s="505"/>
      <c r="M3467" s="505"/>
      <c r="N3467" s="505"/>
      <c r="O3467" s="505"/>
      <c r="P3467" s="505"/>
      <c r="Q3467" s="505"/>
      <c r="R3467" s="505"/>
      <c r="S3467" s="505"/>
      <c r="T3467" s="505"/>
      <c r="U3467" s="505"/>
      <c r="V3467" s="505"/>
      <c r="W3467" s="505"/>
      <c r="X3467" s="505"/>
      <c r="Y3467" s="505"/>
    </row>
    <row r="3468" spans="1:25" s="88" customFormat="1" hidden="1" x14ac:dyDescent="0.25">
      <c r="A3468" s="258"/>
      <c r="B3468" s="258"/>
      <c r="C3468" s="261"/>
      <c r="D3468" s="258"/>
      <c r="E3468" s="679"/>
      <c r="F3468" s="597" t="s">
        <v>244</v>
      </c>
      <c r="G3468" s="598" t="s">
        <v>245</v>
      </c>
      <c r="H3468" s="555"/>
      <c r="I3468" s="556"/>
      <c r="J3468" s="560">
        <f t="shared" si="118"/>
        <v>0</v>
      </c>
      <c r="K3468" s="505"/>
      <c r="L3468" s="505"/>
      <c r="M3468" s="505"/>
      <c r="N3468" s="505"/>
      <c r="O3468" s="505"/>
      <c r="P3468" s="505"/>
      <c r="Q3468" s="505"/>
      <c r="R3468" s="505"/>
      <c r="S3468" s="505"/>
      <c r="T3468" s="505"/>
      <c r="U3468" s="505"/>
      <c r="V3468" s="505"/>
      <c r="W3468" s="505"/>
      <c r="X3468" s="505"/>
      <c r="Y3468" s="505"/>
    </row>
    <row r="3469" spans="1:25" s="88" customFormat="1" hidden="1" x14ac:dyDescent="0.25">
      <c r="A3469" s="258"/>
      <c r="B3469" s="258"/>
      <c r="C3469" s="261"/>
      <c r="D3469" s="258"/>
      <c r="E3469" s="679"/>
      <c r="F3469" s="597" t="s">
        <v>246</v>
      </c>
      <c r="G3469" s="598" t="s">
        <v>4996</v>
      </c>
      <c r="H3469" s="555"/>
      <c r="I3469" s="556"/>
      <c r="J3469" s="560">
        <f t="shared" si="118"/>
        <v>0</v>
      </c>
      <c r="K3469" s="505"/>
      <c r="L3469" s="505"/>
      <c r="M3469" s="505"/>
      <c r="N3469" s="505"/>
      <c r="O3469" s="505"/>
      <c r="P3469" s="505"/>
      <c r="Q3469" s="505"/>
      <c r="R3469" s="505"/>
      <c r="S3469" s="505"/>
      <c r="T3469" s="505"/>
      <c r="U3469" s="505"/>
      <c r="V3469" s="505"/>
      <c r="W3469" s="505"/>
      <c r="X3469" s="505"/>
      <c r="Y3469" s="505"/>
    </row>
    <row r="3470" spans="1:25" s="88" customFormat="1" hidden="1" x14ac:dyDescent="0.25">
      <c r="A3470" s="258"/>
      <c r="B3470" s="258"/>
      <c r="C3470" s="261"/>
      <c r="D3470" s="258"/>
      <c r="E3470" s="679"/>
      <c r="F3470" s="597" t="s">
        <v>247</v>
      </c>
      <c r="G3470" s="598" t="s">
        <v>4995</v>
      </c>
      <c r="H3470" s="555"/>
      <c r="I3470" s="556"/>
      <c r="J3470" s="560">
        <f t="shared" si="118"/>
        <v>0</v>
      </c>
      <c r="K3470" s="505"/>
      <c r="L3470" s="505"/>
      <c r="M3470" s="505"/>
      <c r="N3470" s="505"/>
      <c r="O3470" s="505"/>
      <c r="P3470" s="505"/>
      <c r="Q3470" s="505"/>
      <c r="R3470" s="505"/>
      <c r="S3470" s="505"/>
      <c r="T3470" s="505"/>
      <c r="U3470" s="505"/>
      <c r="V3470" s="505"/>
      <c r="W3470" s="505"/>
      <c r="X3470" s="505"/>
      <c r="Y3470" s="505"/>
    </row>
    <row r="3471" spans="1:25" s="88" customFormat="1" hidden="1" x14ac:dyDescent="0.25">
      <c r="A3471" s="258"/>
      <c r="B3471" s="258"/>
      <c r="C3471" s="261"/>
      <c r="D3471" s="258"/>
      <c r="E3471" s="679"/>
      <c r="F3471" s="597" t="s">
        <v>248</v>
      </c>
      <c r="G3471" s="598" t="s">
        <v>57</v>
      </c>
      <c r="H3471" s="555"/>
      <c r="I3471" s="556"/>
      <c r="J3471" s="560">
        <f t="shared" si="118"/>
        <v>0</v>
      </c>
      <c r="K3471" s="505"/>
      <c r="L3471" s="505"/>
      <c r="M3471" s="505"/>
      <c r="N3471" s="505"/>
      <c r="O3471" s="505"/>
      <c r="P3471" s="505"/>
      <c r="Q3471" s="505"/>
      <c r="R3471" s="505"/>
      <c r="S3471" s="505"/>
      <c r="T3471" s="505"/>
      <c r="U3471" s="505"/>
      <c r="V3471" s="505"/>
      <c r="W3471" s="505"/>
      <c r="X3471" s="505"/>
      <c r="Y3471" s="505"/>
    </row>
    <row r="3472" spans="1:25" s="88" customFormat="1" hidden="1" x14ac:dyDescent="0.25">
      <c r="A3472" s="258"/>
      <c r="B3472" s="258"/>
      <c r="C3472" s="261"/>
      <c r="D3472" s="258"/>
      <c r="E3472" s="679"/>
      <c r="F3472" s="597" t="s">
        <v>249</v>
      </c>
      <c r="G3472" s="598" t="s">
        <v>250</v>
      </c>
      <c r="H3472" s="555"/>
      <c r="I3472" s="556"/>
      <c r="J3472" s="560">
        <f t="shared" si="118"/>
        <v>0</v>
      </c>
      <c r="K3472" s="505"/>
      <c r="L3472" s="505"/>
      <c r="M3472" s="505"/>
      <c r="N3472" s="505"/>
      <c r="O3472" s="505"/>
      <c r="P3472" s="505"/>
      <c r="Q3472" s="505"/>
      <c r="R3472" s="505"/>
      <c r="S3472" s="505"/>
      <c r="T3472" s="505"/>
      <c r="U3472" s="505"/>
      <c r="V3472" s="505"/>
      <c r="W3472" s="505"/>
      <c r="X3472" s="505"/>
      <c r="Y3472" s="505"/>
    </row>
    <row r="3473" spans="1:25" s="88" customFormat="1" hidden="1" x14ac:dyDescent="0.25">
      <c r="A3473" s="258"/>
      <c r="B3473" s="258"/>
      <c r="C3473" s="261"/>
      <c r="D3473" s="258"/>
      <c r="E3473" s="679"/>
      <c r="F3473" s="597" t="s">
        <v>251</v>
      </c>
      <c r="G3473" s="598" t="s">
        <v>252</v>
      </c>
      <c r="H3473" s="555"/>
      <c r="I3473" s="556"/>
      <c r="J3473" s="560">
        <f t="shared" si="118"/>
        <v>0</v>
      </c>
      <c r="K3473" s="505"/>
      <c r="L3473" s="505"/>
      <c r="M3473" s="505"/>
      <c r="N3473" s="505"/>
      <c r="O3473" s="505"/>
      <c r="P3473" s="505"/>
      <c r="Q3473" s="505"/>
      <c r="R3473" s="505"/>
      <c r="S3473" s="505"/>
      <c r="T3473" s="505"/>
      <c r="U3473" s="505"/>
      <c r="V3473" s="505"/>
      <c r="W3473" s="505"/>
      <c r="X3473" s="505"/>
      <c r="Y3473" s="505"/>
    </row>
    <row r="3474" spans="1:25" s="88" customFormat="1" ht="30" hidden="1" x14ac:dyDescent="0.25">
      <c r="A3474" s="258"/>
      <c r="B3474" s="258"/>
      <c r="C3474" s="261"/>
      <c r="D3474" s="258"/>
      <c r="E3474" s="679"/>
      <c r="F3474" s="597" t="s">
        <v>253</v>
      </c>
      <c r="G3474" s="598" t="s">
        <v>254</v>
      </c>
      <c r="H3474" s="555"/>
      <c r="I3474" s="556"/>
      <c r="J3474" s="560">
        <f t="shared" si="118"/>
        <v>0</v>
      </c>
      <c r="K3474" s="505"/>
      <c r="L3474" s="505"/>
      <c r="M3474" s="505"/>
      <c r="N3474" s="505"/>
      <c r="O3474" s="505"/>
      <c r="P3474" s="505"/>
      <c r="Q3474" s="505"/>
      <c r="R3474" s="505"/>
      <c r="S3474" s="505"/>
      <c r="T3474" s="505"/>
      <c r="U3474" s="505"/>
      <c r="V3474" s="505"/>
      <c r="W3474" s="505"/>
      <c r="X3474" s="505"/>
      <c r="Y3474" s="505"/>
    </row>
    <row r="3475" spans="1:25" s="88" customFormat="1" hidden="1" x14ac:dyDescent="0.25">
      <c r="A3475" s="258"/>
      <c r="B3475" s="258"/>
      <c r="C3475" s="261"/>
      <c r="D3475" s="258"/>
      <c r="E3475" s="679"/>
      <c r="F3475" s="597" t="s">
        <v>255</v>
      </c>
      <c r="G3475" s="598" t="s">
        <v>256</v>
      </c>
      <c r="H3475" s="555"/>
      <c r="I3475" s="556"/>
      <c r="J3475" s="560">
        <f t="shared" si="118"/>
        <v>0</v>
      </c>
      <c r="K3475" s="505"/>
      <c r="L3475" s="505"/>
      <c r="M3475" s="505"/>
      <c r="N3475" s="505"/>
      <c r="O3475" s="505"/>
      <c r="P3475" s="505"/>
      <c r="Q3475" s="505"/>
      <c r="R3475" s="505"/>
      <c r="S3475" s="505"/>
      <c r="T3475" s="505"/>
      <c r="U3475" s="505"/>
      <c r="V3475" s="505"/>
      <c r="W3475" s="505"/>
      <c r="X3475" s="505"/>
      <c r="Y3475" s="505"/>
    </row>
    <row r="3476" spans="1:25" s="88" customFormat="1" ht="30" hidden="1" x14ac:dyDescent="0.25">
      <c r="A3476" s="258"/>
      <c r="B3476" s="258"/>
      <c r="C3476" s="261"/>
      <c r="D3476" s="258"/>
      <c r="E3476" s="679"/>
      <c r="F3476" s="597" t="s">
        <v>257</v>
      </c>
      <c r="G3476" s="598" t="s">
        <v>258</v>
      </c>
      <c r="H3476" s="555"/>
      <c r="I3476" s="556"/>
      <c r="J3476" s="560">
        <f t="shared" si="118"/>
        <v>0</v>
      </c>
      <c r="K3476" s="505"/>
      <c r="L3476" s="505"/>
      <c r="M3476" s="505"/>
      <c r="N3476" s="505"/>
      <c r="O3476" s="505"/>
      <c r="P3476" s="505"/>
      <c r="Q3476" s="505"/>
      <c r="R3476" s="505"/>
      <c r="S3476" s="505"/>
      <c r="T3476" s="505"/>
      <c r="U3476" s="505"/>
      <c r="V3476" s="505"/>
      <c r="W3476" s="505"/>
      <c r="X3476" s="505"/>
      <c r="Y3476" s="505"/>
    </row>
    <row r="3477" spans="1:25" s="88" customFormat="1" hidden="1" x14ac:dyDescent="0.25">
      <c r="A3477" s="258"/>
      <c r="B3477" s="258"/>
      <c r="C3477" s="261"/>
      <c r="D3477" s="258"/>
      <c r="E3477" s="679"/>
      <c r="F3477" s="597" t="s">
        <v>259</v>
      </c>
      <c r="G3477" s="598" t="s">
        <v>260</v>
      </c>
      <c r="H3477" s="555"/>
      <c r="I3477" s="556"/>
      <c r="J3477" s="560">
        <f t="shared" si="118"/>
        <v>0</v>
      </c>
      <c r="K3477" s="505"/>
      <c r="L3477" s="505"/>
      <c r="M3477" s="505"/>
      <c r="N3477" s="505"/>
      <c r="O3477" s="505"/>
      <c r="P3477" s="505"/>
      <c r="Q3477" s="505"/>
      <c r="R3477" s="505"/>
      <c r="S3477" s="505"/>
      <c r="T3477" s="505"/>
      <c r="U3477" s="505"/>
      <c r="V3477" s="505"/>
      <c r="W3477" s="505"/>
      <c r="X3477" s="505"/>
      <c r="Y3477" s="505"/>
    </row>
    <row r="3478" spans="1:25" s="88" customFormat="1" ht="15.75" hidden="1" thickBot="1" x14ac:dyDescent="0.3">
      <c r="A3478" s="258"/>
      <c r="B3478" s="258"/>
      <c r="C3478" s="261"/>
      <c r="D3478" s="258"/>
      <c r="E3478" s="679"/>
      <c r="F3478" s="597" t="s">
        <v>261</v>
      </c>
      <c r="G3478" s="598" t="s">
        <v>262</v>
      </c>
      <c r="H3478" s="559"/>
      <c r="I3478" s="560"/>
      <c r="J3478" s="560">
        <f t="shared" si="118"/>
        <v>0</v>
      </c>
      <c r="K3478" s="505"/>
      <c r="L3478" s="505"/>
      <c r="M3478" s="505"/>
      <c r="N3478" s="505"/>
      <c r="O3478" s="505"/>
      <c r="P3478" s="505"/>
      <c r="Q3478" s="505"/>
      <c r="R3478" s="505"/>
      <c r="S3478" s="505"/>
      <c r="T3478" s="505"/>
      <c r="U3478" s="505"/>
      <c r="V3478" s="505"/>
      <c r="W3478" s="505"/>
      <c r="X3478" s="505"/>
      <c r="Y3478" s="505"/>
    </row>
    <row r="3479" spans="1:25" s="88" customFormat="1" ht="14.25" customHeight="1" thickBot="1" x14ac:dyDescent="0.3">
      <c r="A3479" s="258"/>
      <c r="B3479" s="258"/>
      <c r="C3479" s="261"/>
      <c r="D3479" s="258"/>
      <c r="E3479" s="679"/>
      <c r="F3479" s="258"/>
      <c r="G3479" s="728" t="s">
        <v>4338</v>
      </c>
      <c r="H3479" s="561">
        <f>SUM(H3463:H3478)</f>
        <v>800000</v>
      </c>
      <c r="I3479" s="562">
        <f>SUM(I3464:I3478)</f>
        <v>0</v>
      </c>
      <c r="J3479" s="562">
        <f>SUM(J3463:J3478)</f>
        <v>800000</v>
      </c>
      <c r="K3479" s="505"/>
      <c r="L3479" s="505"/>
      <c r="M3479" s="505"/>
      <c r="N3479" s="505"/>
      <c r="O3479" s="505"/>
      <c r="P3479" s="505"/>
      <c r="Q3479" s="505"/>
      <c r="R3479" s="505"/>
      <c r="S3479" s="505"/>
      <c r="T3479" s="505"/>
      <c r="U3479" s="505"/>
      <c r="V3479" s="505"/>
      <c r="W3479" s="505"/>
      <c r="X3479" s="505"/>
      <c r="Y3479" s="505"/>
    </row>
    <row r="3480" spans="1:25" s="88" customFormat="1" ht="15" customHeight="1" x14ac:dyDescent="0.25">
      <c r="A3480" s="258"/>
      <c r="B3480" s="258"/>
      <c r="C3480" s="261"/>
      <c r="D3480" s="258"/>
      <c r="E3480" s="489"/>
      <c r="F3480" s="500"/>
      <c r="G3480" s="270" t="s">
        <v>5087</v>
      </c>
      <c r="H3480" s="563"/>
      <c r="I3480" s="584"/>
      <c r="J3480" s="564"/>
      <c r="K3480" s="505"/>
      <c r="L3480" s="505"/>
      <c r="M3480" s="505"/>
      <c r="N3480" s="505"/>
      <c r="O3480" s="505"/>
      <c r="P3480" s="505"/>
      <c r="Q3480" s="505"/>
      <c r="R3480" s="505"/>
      <c r="S3480" s="505"/>
      <c r="T3480" s="505"/>
      <c r="U3480" s="505"/>
      <c r="V3480" s="505"/>
      <c r="W3480" s="505"/>
      <c r="X3480" s="505"/>
      <c r="Y3480" s="505"/>
    </row>
    <row r="3481" spans="1:25" s="88" customFormat="1" ht="16.5" customHeight="1" thickBot="1" x14ac:dyDescent="0.3">
      <c r="A3481" s="258"/>
      <c r="B3481" s="258"/>
      <c r="C3481" s="261"/>
      <c r="D3481" s="258"/>
      <c r="E3481" s="693"/>
      <c r="F3481" s="597" t="s">
        <v>234</v>
      </c>
      <c r="G3481" s="598" t="s">
        <v>235</v>
      </c>
      <c r="H3481" s="559">
        <f>SUM(H3402:H3461)</f>
        <v>800000</v>
      </c>
      <c r="I3481" s="560"/>
      <c r="J3481" s="560">
        <f>SUM(H3481:I3481)</f>
        <v>800000</v>
      </c>
      <c r="K3481" s="505"/>
      <c r="L3481" s="505"/>
      <c r="M3481" s="505"/>
      <c r="N3481" s="505"/>
      <c r="O3481" s="505"/>
      <c r="P3481" s="505"/>
      <c r="Q3481" s="505"/>
      <c r="R3481" s="505"/>
      <c r="S3481" s="505"/>
      <c r="T3481" s="505"/>
      <c r="U3481" s="505"/>
      <c r="V3481" s="505"/>
      <c r="W3481" s="505"/>
      <c r="X3481" s="505"/>
      <c r="Y3481" s="505"/>
    </row>
    <row r="3482" spans="1:25" s="88" customFormat="1" hidden="1" x14ac:dyDescent="0.25">
      <c r="A3482" s="258"/>
      <c r="B3482" s="258"/>
      <c r="C3482" s="261"/>
      <c r="D3482" s="258"/>
      <c r="E3482" s="679"/>
      <c r="F3482" s="597" t="s">
        <v>236</v>
      </c>
      <c r="G3482" s="598" t="s">
        <v>237</v>
      </c>
      <c r="H3482" s="555"/>
      <c r="I3482" s="556"/>
      <c r="J3482" s="560">
        <f t="shared" ref="J3482:J3496" si="119">SUM(H3482:I3482)</f>
        <v>0</v>
      </c>
      <c r="K3482" s="505"/>
      <c r="L3482" s="505"/>
      <c r="M3482" s="505"/>
      <c r="N3482" s="505"/>
      <c r="O3482" s="505"/>
      <c r="P3482" s="505"/>
      <c r="Q3482" s="505"/>
      <c r="R3482" s="505"/>
      <c r="S3482" s="505"/>
      <c r="T3482" s="505"/>
      <c r="U3482" s="505"/>
      <c r="V3482" s="505"/>
      <c r="W3482" s="505"/>
      <c r="X3482" s="505"/>
      <c r="Y3482" s="505"/>
    </row>
    <row r="3483" spans="1:25" s="88" customFormat="1" hidden="1" x14ac:dyDescent="0.25">
      <c r="A3483" s="258"/>
      <c r="B3483" s="258"/>
      <c r="C3483" s="261"/>
      <c r="D3483" s="258"/>
      <c r="E3483" s="679"/>
      <c r="F3483" s="597" t="s">
        <v>238</v>
      </c>
      <c r="G3483" s="598" t="s">
        <v>239</v>
      </c>
      <c r="H3483" s="555"/>
      <c r="I3483" s="556"/>
      <c r="J3483" s="560">
        <f t="shared" si="119"/>
        <v>0</v>
      </c>
      <c r="K3483" s="505"/>
      <c r="L3483" s="505"/>
      <c r="M3483" s="505"/>
      <c r="N3483" s="505"/>
      <c r="O3483" s="505"/>
      <c r="P3483" s="505"/>
      <c r="Q3483" s="505"/>
      <c r="R3483" s="505"/>
      <c r="S3483" s="505"/>
      <c r="T3483" s="505"/>
      <c r="U3483" s="505"/>
      <c r="V3483" s="505"/>
      <c r="W3483" s="505"/>
      <c r="X3483" s="505"/>
      <c r="Y3483" s="505"/>
    </row>
    <row r="3484" spans="1:25" s="88" customFormat="1" hidden="1" x14ac:dyDescent="0.25">
      <c r="A3484" s="258"/>
      <c r="B3484" s="258"/>
      <c r="C3484" s="261"/>
      <c r="D3484" s="258"/>
      <c r="E3484" s="679"/>
      <c r="F3484" s="597" t="s">
        <v>240</v>
      </c>
      <c r="G3484" s="598" t="s">
        <v>241</v>
      </c>
      <c r="H3484" s="555"/>
      <c r="I3484" s="556"/>
      <c r="J3484" s="560">
        <f t="shared" si="119"/>
        <v>0</v>
      </c>
      <c r="K3484" s="505"/>
      <c r="L3484" s="505"/>
      <c r="M3484" s="505"/>
      <c r="N3484" s="505"/>
      <c r="O3484" s="505"/>
      <c r="P3484" s="505"/>
      <c r="Q3484" s="505"/>
      <c r="R3484" s="505"/>
      <c r="S3484" s="505"/>
      <c r="T3484" s="505"/>
      <c r="U3484" s="505"/>
      <c r="V3484" s="505"/>
      <c r="W3484" s="505"/>
      <c r="X3484" s="505"/>
      <c r="Y3484" s="505"/>
    </row>
    <row r="3485" spans="1:25" s="88" customFormat="1" hidden="1" x14ac:dyDescent="0.25">
      <c r="A3485" s="258"/>
      <c r="B3485" s="258"/>
      <c r="C3485" s="261"/>
      <c r="D3485" s="258"/>
      <c r="E3485" s="679"/>
      <c r="F3485" s="597" t="s">
        <v>242</v>
      </c>
      <c r="G3485" s="598" t="s">
        <v>243</v>
      </c>
      <c r="H3485" s="555"/>
      <c r="I3485" s="556"/>
      <c r="J3485" s="560">
        <f t="shared" si="119"/>
        <v>0</v>
      </c>
      <c r="K3485" s="505"/>
      <c r="L3485" s="505"/>
      <c r="M3485" s="505"/>
      <c r="N3485" s="505"/>
      <c r="O3485" s="505"/>
      <c r="P3485" s="505"/>
      <c r="Q3485" s="505"/>
      <c r="R3485" s="505"/>
      <c r="S3485" s="505"/>
      <c r="T3485" s="505"/>
      <c r="U3485" s="505"/>
      <c r="V3485" s="505"/>
      <c r="W3485" s="505"/>
      <c r="X3485" s="505"/>
      <c r="Y3485" s="505"/>
    </row>
    <row r="3486" spans="1:25" s="88" customFormat="1" hidden="1" x14ac:dyDescent="0.25">
      <c r="A3486" s="258"/>
      <c r="B3486" s="258"/>
      <c r="C3486" s="261"/>
      <c r="D3486" s="258"/>
      <c r="E3486" s="679"/>
      <c r="F3486" s="597" t="s">
        <v>244</v>
      </c>
      <c r="G3486" s="598" t="s">
        <v>245</v>
      </c>
      <c r="H3486" s="555"/>
      <c r="I3486" s="556"/>
      <c r="J3486" s="560">
        <f t="shared" si="119"/>
        <v>0</v>
      </c>
      <c r="K3486" s="505"/>
      <c r="L3486" s="505"/>
      <c r="M3486" s="505"/>
      <c r="N3486" s="505"/>
      <c r="O3486" s="505"/>
      <c r="P3486" s="505"/>
      <c r="Q3486" s="505"/>
      <c r="R3486" s="505"/>
      <c r="S3486" s="505"/>
      <c r="T3486" s="505"/>
      <c r="U3486" s="505"/>
      <c r="V3486" s="505"/>
      <c r="W3486" s="505"/>
      <c r="X3486" s="505"/>
      <c r="Y3486" s="505"/>
    </row>
    <row r="3487" spans="1:25" s="88" customFormat="1" hidden="1" x14ac:dyDescent="0.25">
      <c r="A3487" s="258"/>
      <c r="B3487" s="258"/>
      <c r="C3487" s="261"/>
      <c r="D3487" s="258"/>
      <c r="E3487" s="679"/>
      <c r="F3487" s="597" t="s">
        <v>246</v>
      </c>
      <c r="G3487" s="598" t="s">
        <v>4996</v>
      </c>
      <c r="H3487" s="555"/>
      <c r="I3487" s="556"/>
      <c r="J3487" s="560">
        <f t="shared" si="119"/>
        <v>0</v>
      </c>
      <c r="K3487" s="505"/>
      <c r="L3487" s="505"/>
      <c r="M3487" s="505"/>
      <c r="N3487" s="505"/>
      <c r="O3487" s="505"/>
      <c r="P3487" s="505"/>
      <c r="Q3487" s="505"/>
      <c r="R3487" s="505"/>
      <c r="S3487" s="505"/>
      <c r="T3487" s="505"/>
      <c r="U3487" s="505"/>
      <c r="V3487" s="505"/>
      <c r="W3487" s="505"/>
      <c r="X3487" s="505"/>
      <c r="Y3487" s="505"/>
    </row>
    <row r="3488" spans="1:25" s="88" customFormat="1" hidden="1" x14ac:dyDescent="0.25">
      <c r="A3488" s="258"/>
      <c r="B3488" s="258"/>
      <c r="C3488" s="261"/>
      <c r="D3488" s="258"/>
      <c r="E3488" s="679"/>
      <c r="F3488" s="597" t="s">
        <v>247</v>
      </c>
      <c r="G3488" s="598" t="s">
        <v>4995</v>
      </c>
      <c r="H3488" s="555"/>
      <c r="I3488" s="556"/>
      <c r="J3488" s="560">
        <f t="shared" si="119"/>
        <v>0</v>
      </c>
      <c r="K3488" s="505"/>
      <c r="L3488" s="505"/>
      <c r="M3488" s="505"/>
      <c r="N3488" s="505"/>
      <c r="O3488" s="505"/>
      <c r="P3488" s="505"/>
      <c r="Q3488" s="505"/>
      <c r="R3488" s="505"/>
      <c r="S3488" s="505"/>
      <c r="T3488" s="505"/>
      <c r="U3488" s="505"/>
      <c r="V3488" s="505"/>
      <c r="W3488" s="505"/>
      <c r="X3488" s="505"/>
      <c r="Y3488" s="505"/>
    </row>
    <row r="3489" spans="1:25" s="88" customFormat="1" hidden="1" x14ac:dyDescent="0.25">
      <c r="A3489" s="258"/>
      <c r="B3489" s="258"/>
      <c r="C3489" s="261"/>
      <c r="D3489" s="258"/>
      <c r="E3489" s="679"/>
      <c r="F3489" s="597" t="s">
        <v>248</v>
      </c>
      <c r="G3489" s="598" t="s">
        <v>57</v>
      </c>
      <c r="H3489" s="555"/>
      <c r="I3489" s="556"/>
      <c r="J3489" s="560">
        <f t="shared" si="119"/>
        <v>0</v>
      </c>
      <c r="K3489" s="505"/>
      <c r="L3489" s="505"/>
      <c r="M3489" s="505"/>
      <c r="N3489" s="505"/>
      <c r="O3489" s="505"/>
      <c r="P3489" s="505"/>
      <c r="Q3489" s="505"/>
      <c r="R3489" s="505"/>
      <c r="S3489" s="505"/>
      <c r="T3489" s="505"/>
      <c r="U3489" s="505"/>
      <c r="V3489" s="505"/>
      <c r="W3489" s="505"/>
      <c r="X3489" s="505"/>
      <c r="Y3489" s="505"/>
    </row>
    <row r="3490" spans="1:25" s="88" customFormat="1" hidden="1" x14ac:dyDescent="0.25">
      <c r="A3490" s="258"/>
      <c r="B3490" s="258"/>
      <c r="C3490" s="261"/>
      <c r="D3490" s="258"/>
      <c r="E3490" s="679"/>
      <c r="F3490" s="597" t="s">
        <v>249</v>
      </c>
      <c r="G3490" s="598" t="s">
        <v>250</v>
      </c>
      <c r="H3490" s="555"/>
      <c r="I3490" s="556"/>
      <c r="J3490" s="560">
        <f t="shared" si="119"/>
        <v>0</v>
      </c>
      <c r="K3490" s="505"/>
      <c r="L3490" s="505"/>
      <c r="M3490" s="505"/>
      <c r="N3490" s="505"/>
      <c r="O3490" s="505"/>
      <c r="P3490" s="505"/>
      <c r="Q3490" s="505"/>
      <c r="R3490" s="505"/>
      <c r="S3490" s="505"/>
      <c r="T3490" s="505"/>
      <c r="U3490" s="505"/>
      <c r="V3490" s="505"/>
      <c r="W3490" s="505"/>
      <c r="X3490" s="505"/>
      <c r="Y3490" s="505"/>
    </row>
    <row r="3491" spans="1:25" s="88" customFormat="1" hidden="1" x14ac:dyDescent="0.25">
      <c r="A3491" s="258"/>
      <c r="B3491" s="258"/>
      <c r="C3491" s="261"/>
      <c r="D3491" s="258"/>
      <c r="E3491" s="679"/>
      <c r="F3491" s="597" t="s">
        <v>251</v>
      </c>
      <c r="G3491" s="598" t="s">
        <v>252</v>
      </c>
      <c r="H3491" s="555"/>
      <c r="I3491" s="556"/>
      <c r="J3491" s="560">
        <f t="shared" si="119"/>
        <v>0</v>
      </c>
      <c r="K3491" s="505"/>
      <c r="L3491" s="505"/>
      <c r="M3491" s="505"/>
      <c r="N3491" s="505"/>
      <c r="O3491" s="505"/>
      <c r="P3491" s="505"/>
      <c r="Q3491" s="505"/>
      <c r="R3491" s="505"/>
      <c r="S3491" s="505"/>
      <c r="T3491" s="505"/>
      <c r="U3491" s="505"/>
      <c r="V3491" s="505"/>
      <c r="W3491" s="505"/>
      <c r="X3491" s="505"/>
      <c r="Y3491" s="505"/>
    </row>
    <row r="3492" spans="1:25" s="88" customFormat="1" ht="30" hidden="1" x14ac:dyDescent="0.25">
      <c r="A3492" s="258"/>
      <c r="B3492" s="258"/>
      <c r="C3492" s="261"/>
      <c r="D3492" s="258"/>
      <c r="E3492" s="679"/>
      <c r="F3492" s="597" t="s">
        <v>253</v>
      </c>
      <c r="G3492" s="598" t="s">
        <v>254</v>
      </c>
      <c r="H3492" s="555"/>
      <c r="I3492" s="556"/>
      <c r="J3492" s="560">
        <f t="shared" si="119"/>
        <v>0</v>
      </c>
      <c r="K3492" s="505"/>
      <c r="L3492" s="505"/>
      <c r="M3492" s="505"/>
      <c r="N3492" s="505"/>
      <c r="O3492" s="505"/>
      <c r="P3492" s="505"/>
      <c r="Q3492" s="505"/>
      <c r="R3492" s="505"/>
      <c r="S3492" s="505"/>
      <c r="T3492" s="505"/>
      <c r="U3492" s="505"/>
      <c r="V3492" s="505"/>
      <c r="W3492" s="505"/>
      <c r="X3492" s="505"/>
      <c r="Y3492" s="505"/>
    </row>
    <row r="3493" spans="1:25" s="88" customFormat="1" hidden="1" x14ac:dyDescent="0.25">
      <c r="A3493" s="258"/>
      <c r="B3493" s="258"/>
      <c r="C3493" s="261"/>
      <c r="D3493" s="258"/>
      <c r="E3493" s="679"/>
      <c r="F3493" s="597" t="s">
        <v>255</v>
      </c>
      <c r="G3493" s="598" t="s">
        <v>256</v>
      </c>
      <c r="H3493" s="555"/>
      <c r="I3493" s="556"/>
      <c r="J3493" s="560">
        <f t="shared" si="119"/>
        <v>0</v>
      </c>
      <c r="K3493" s="505"/>
      <c r="L3493" s="505"/>
      <c r="M3493" s="505"/>
      <c r="N3493" s="505"/>
      <c r="O3493" s="505"/>
      <c r="P3493" s="505"/>
      <c r="Q3493" s="505"/>
      <c r="R3493" s="505"/>
      <c r="S3493" s="505"/>
      <c r="T3493" s="505"/>
      <c r="U3493" s="505"/>
      <c r="V3493" s="505"/>
      <c r="W3493" s="505"/>
      <c r="X3493" s="505"/>
      <c r="Y3493" s="505"/>
    </row>
    <row r="3494" spans="1:25" s="88" customFormat="1" ht="30" hidden="1" x14ac:dyDescent="0.25">
      <c r="A3494" s="258"/>
      <c r="B3494" s="258"/>
      <c r="C3494" s="261"/>
      <c r="D3494" s="258"/>
      <c r="E3494" s="679"/>
      <c r="F3494" s="597" t="s">
        <v>257</v>
      </c>
      <c r="G3494" s="598" t="s">
        <v>258</v>
      </c>
      <c r="H3494" s="555"/>
      <c r="I3494" s="556"/>
      <c r="J3494" s="560">
        <f t="shared" si="119"/>
        <v>0</v>
      </c>
      <c r="K3494" s="505"/>
      <c r="L3494" s="505"/>
      <c r="M3494" s="505"/>
      <c r="N3494" s="505"/>
      <c r="O3494" s="505"/>
      <c r="P3494" s="505"/>
      <c r="Q3494" s="505"/>
      <c r="R3494" s="505"/>
      <c r="S3494" s="505"/>
      <c r="T3494" s="505"/>
      <c r="U3494" s="505"/>
      <c r="V3494" s="505"/>
      <c r="W3494" s="505"/>
      <c r="X3494" s="505"/>
      <c r="Y3494" s="505"/>
    </row>
    <row r="3495" spans="1:25" s="88" customFormat="1" hidden="1" x14ac:dyDescent="0.25">
      <c r="A3495" s="258"/>
      <c r="B3495" s="258"/>
      <c r="C3495" s="261"/>
      <c r="D3495" s="258"/>
      <c r="E3495" s="679"/>
      <c r="F3495" s="597" t="s">
        <v>259</v>
      </c>
      <c r="G3495" s="598" t="s">
        <v>260</v>
      </c>
      <c r="H3495" s="555"/>
      <c r="I3495" s="556"/>
      <c r="J3495" s="560">
        <f t="shared" si="119"/>
        <v>0</v>
      </c>
      <c r="K3495" s="505"/>
      <c r="L3495" s="505"/>
      <c r="M3495" s="505"/>
      <c r="N3495" s="505"/>
      <c r="O3495" s="505"/>
      <c r="P3495" s="505"/>
      <c r="Q3495" s="505"/>
      <c r="R3495" s="505"/>
      <c r="S3495" s="505"/>
      <c r="T3495" s="505"/>
      <c r="U3495" s="505"/>
      <c r="V3495" s="505"/>
      <c r="W3495" s="505"/>
      <c r="X3495" s="505"/>
      <c r="Y3495" s="505"/>
    </row>
    <row r="3496" spans="1:25" s="88" customFormat="1" ht="15.75" hidden="1" thickBot="1" x14ac:dyDescent="0.3">
      <c r="A3496" s="258"/>
      <c r="B3496" s="258"/>
      <c r="C3496" s="261"/>
      <c r="D3496" s="258"/>
      <c r="E3496" s="679"/>
      <c r="F3496" s="597" t="s">
        <v>261</v>
      </c>
      <c r="G3496" s="598" t="s">
        <v>262</v>
      </c>
      <c r="H3496" s="559"/>
      <c r="I3496" s="560"/>
      <c r="J3496" s="560">
        <f t="shared" si="119"/>
        <v>0</v>
      </c>
      <c r="K3496" s="505"/>
      <c r="L3496" s="505"/>
      <c r="M3496" s="505"/>
      <c r="N3496" s="505"/>
      <c r="O3496" s="505"/>
      <c r="P3496" s="505"/>
      <c r="Q3496" s="505"/>
      <c r="R3496" s="505"/>
      <c r="S3496" s="505"/>
      <c r="T3496" s="505"/>
      <c r="U3496" s="505"/>
      <c r="V3496" s="505"/>
      <c r="W3496" s="505"/>
      <c r="X3496" s="505"/>
      <c r="Y3496" s="505"/>
    </row>
    <row r="3497" spans="1:25" s="88" customFormat="1" ht="14.25" customHeight="1" thickBot="1" x14ac:dyDescent="0.3">
      <c r="A3497" s="258"/>
      <c r="B3497" s="258"/>
      <c r="C3497" s="261"/>
      <c r="D3497" s="258"/>
      <c r="E3497" s="679"/>
      <c r="F3497" s="258"/>
      <c r="G3497" s="268" t="s">
        <v>5088</v>
      </c>
      <c r="H3497" s="561">
        <f>SUM(H3481:H3496)</f>
        <v>800000</v>
      </c>
      <c r="I3497" s="562">
        <f>SUM(I3482:I3496)</f>
        <v>0</v>
      </c>
      <c r="J3497" s="562">
        <f>SUM(J3481:J3496)</f>
        <v>800000</v>
      </c>
      <c r="K3497" s="505"/>
      <c r="L3497" s="505"/>
      <c r="M3497" s="505"/>
      <c r="N3497" s="505"/>
      <c r="O3497" s="505"/>
      <c r="P3497" s="505"/>
      <c r="Q3497" s="505"/>
      <c r="R3497" s="505"/>
      <c r="S3497" s="505"/>
      <c r="T3497" s="505"/>
      <c r="U3497" s="505"/>
      <c r="V3497" s="505"/>
      <c r="W3497" s="505"/>
      <c r="X3497" s="505"/>
      <c r="Y3497" s="505"/>
    </row>
    <row r="3498" spans="1:25" s="88" customFormat="1" ht="17.25" customHeight="1" x14ac:dyDescent="0.25">
      <c r="A3498" s="258"/>
      <c r="B3498" s="288"/>
      <c r="C3498" s="302" t="s">
        <v>5091</v>
      </c>
      <c r="D3498" s="259"/>
      <c r="E3498" s="702"/>
      <c r="F3498" s="303"/>
      <c r="G3498" s="406" t="s">
        <v>5092</v>
      </c>
      <c r="H3498" s="588"/>
      <c r="I3498" s="571"/>
      <c r="K3498" s="505"/>
      <c r="L3498" s="505"/>
      <c r="M3498" s="505"/>
      <c r="N3498" s="505"/>
      <c r="O3498" s="505"/>
      <c r="P3498" s="505"/>
      <c r="Q3498" s="505"/>
      <c r="R3498" s="505"/>
      <c r="S3498" s="505"/>
      <c r="T3498" s="505"/>
      <c r="U3498" s="505"/>
      <c r="V3498" s="505"/>
      <c r="W3498" s="505"/>
      <c r="X3498" s="505"/>
      <c r="Y3498" s="505"/>
    </row>
    <row r="3499" spans="1:25" s="88" customFormat="1" ht="13.5" customHeight="1" x14ac:dyDescent="0.25">
      <c r="A3499" s="481"/>
      <c r="B3499" s="258"/>
      <c r="C3499" s="267"/>
      <c r="D3499" s="331">
        <v>660</v>
      </c>
      <c r="E3499" s="869"/>
      <c r="F3499" s="331"/>
      <c r="G3499" s="332" t="s">
        <v>186</v>
      </c>
      <c r="H3499" s="555"/>
      <c r="I3499" s="556"/>
      <c r="J3499" s="556"/>
      <c r="K3499" s="505"/>
      <c r="L3499" s="505"/>
      <c r="M3499" s="505"/>
      <c r="N3499" s="505"/>
      <c r="O3499" s="505"/>
      <c r="P3499" s="505"/>
      <c r="Q3499" s="505"/>
      <c r="R3499" s="505"/>
      <c r="S3499" s="505"/>
      <c r="T3499" s="505"/>
      <c r="U3499" s="505"/>
      <c r="V3499" s="505"/>
      <c r="W3499" s="505"/>
      <c r="X3499" s="505"/>
      <c r="Y3499" s="505"/>
    </row>
    <row r="3500" spans="1:25" s="88" customFormat="1" hidden="1" x14ac:dyDescent="0.25">
      <c r="A3500" s="258"/>
      <c r="B3500" s="258"/>
      <c r="C3500" s="261"/>
      <c r="D3500" s="258"/>
      <c r="E3500" s="679"/>
      <c r="F3500" s="499">
        <v>411</v>
      </c>
      <c r="G3500" s="492" t="s">
        <v>4131</v>
      </c>
      <c r="H3500" s="555"/>
      <c r="I3500" s="556"/>
      <c r="J3500" s="556">
        <f>SUM(H3500:I3500)</f>
        <v>0</v>
      </c>
      <c r="K3500" s="505"/>
      <c r="L3500" s="505"/>
      <c r="M3500" s="505"/>
      <c r="N3500" s="505"/>
      <c r="O3500" s="505"/>
      <c r="P3500" s="505"/>
      <c r="Q3500" s="505"/>
      <c r="R3500" s="505"/>
      <c r="S3500" s="505"/>
      <c r="T3500" s="505"/>
      <c r="U3500" s="505"/>
      <c r="V3500" s="505"/>
      <c r="W3500" s="505"/>
      <c r="X3500" s="505"/>
      <c r="Y3500" s="505"/>
    </row>
    <row r="3501" spans="1:25" s="88" customFormat="1" hidden="1" x14ac:dyDescent="0.25">
      <c r="A3501" s="258"/>
      <c r="B3501" s="258"/>
      <c r="C3501" s="261"/>
      <c r="D3501" s="258"/>
      <c r="E3501" s="679"/>
      <c r="F3501" s="499">
        <v>412</v>
      </c>
      <c r="G3501" s="488" t="s">
        <v>3766</v>
      </c>
      <c r="H3501" s="555"/>
      <c r="I3501" s="556"/>
      <c r="J3501" s="556">
        <f t="shared" ref="J3501:J3559" si="120">SUM(H3501:I3501)</f>
        <v>0</v>
      </c>
      <c r="K3501" s="505"/>
      <c r="L3501" s="505"/>
      <c r="M3501" s="505"/>
      <c r="N3501" s="505"/>
      <c r="O3501" s="505"/>
      <c r="P3501" s="505"/>
      <c r="Q3501" s="505"/>
      <c r="R3501" s="505"/>
      <c r="S3501" s="505"/>
      <c r="T3501" s="505"/>
      <c r="U3501" s="505"/>
      <c r="V3501" s="505"/>
      <c r="W3501" s="505"/>
      <c r="X3501" s="505"/>
      <c r="Y3501" s="505"/>
    </row>
    <row r="3502" spans="1:25" s="88" customFormat="1" hidden="1" x14ac:dyDescent="0.25">
      <c r="A3502" s="258"/>
      <c r="B3502" s="258"/>
      <c r="C3502" s="261"/>
      <c r="D3502" s="258"/>
      <c r="E3502" s="679"/>
      <c r="F3502" s="499">
        <v>413</v>
      </c>
      <c r="G3502" s="492" t="s">
        <v>4132</v>
      </c>
      <c r="H3502" s="555"/>
      <c r="I3502" s="556"/>
      <c r="J3502" s="556">
        <f t="shared" si="120"/>
        <v>0</v>
      </c>
      <c r="K3502" s="505"/>
      <c r="L3502" s="505"/>
      <c r="M3502" s="505"/>
      <c r="N3502" s="505"/>
      <c r="O3502" s="505"/>
      <c r="P3502" s="505"/>
      <c r="Q3502" s="505"/>
      <c r="R3502" s="505"/>
      <c r="S3502" s="505"/>
      <c r="T3502" s="505"/>
      <c r="U3502" s="505"/>
      <c r="V3502" s="505"/>
      <c r="W3502" s="505"/>
      <c r="X3502" s="505"/>
      <c r="Y3502" s="505"/>
    </row>
    <row r="3503" spans="1:25" s="88" customFormat="1" hidden="1" x14ac:dyDescent="0.25">
      <c r="A3503" s="258"/>
      <c r="B3503" s="258"/>
      <c r="C3503" s="261"/>
      <c r="D3503" s="258"/>
      <c r="E3503" s="679"/>
      <c r="F3503" s="499">
        <v>414</v>
      </c>
      <c r="G3503" s="492" t="s">
        <v>3769</v>
      </c>
      <c r="H3503" s="555"/>
      <c r="I3503" s="556"/>
      <c r="J3503" s="556">
        <f t="shared" si="120"/>
        <v>0</v>
      </c>
      <c r="K3503" s="505"/>
      <c r="L3503" s="505"/>
      <c r="M3503" s="505"/>
      <c r="N3503" s="505"/>
      <c r="O3503" s="505"/>
      <c r="P3503" s="505"/>
      <c r="Q3503" s="505"/>
      <c r="R3503" s="505"/>
      <c r="S3503" s="505"/>
      <c r="T3503" s="505"/>
      <c r="U3503" s="505"/>
      <c r="V3503" s="505"/>
      <c r="W3503" s="505"/>
      <c r="X3503" s="505"/>
      <c r="Y3503" s="505"/>
    </row>
    <row r="3504" spans="1:25" s="88" customFormat="1" hidden="1" x14ac:dyDescent="0.25">
      <c r="A3504" s="258"/>
      <c r="B3504" s="258"/>
      <c r="C3504" s="261"/>
      <c r="D3504" s="258"/>
      <c r="E3504" s="679"/>
      <c r="F3504" s="499">
        <v>415</v>
      </c>
      <c r="G3504" s="492" t="s">
        <v>4141</v>
      </c>
      <c r="H3504" s="555"/>
      <c r="I3504" s="556"/>
      <c r="J3504" s="556">
        <f t="shared" si="120"/>
        <v>0</v>
      </c>
      <c r="K3504" s="505"/>
      <c r="L3504" s="505"/>
      <c r="M3504" s="505"/>
      <c r="N3504" s="505"/>
      <c r="O3504" s="505"/>
      <c r="P3504" s="505"/>
      <c r="Q3504" s="505"/>
      <c r="R3504" s="505"/>
      <c r="S3504" s="505"/>
      <c r="T3504" s="505"/>
      <c r="U3504" s="505"/>
      <c r="V3504" s="505"/>
      <c r="W3504" s="505"/>
      <c r="X3504" s="505"/>
      <c r="Y3504" s="505"/>
    </row>
    <row r="3505" spans="1:25" s="88" customFormat="1" hidden="1" x14ac:dyDescent="0.25">
      <c r="A3505" s="258"/>
      <c r="B3505" s="258"/>
      <c r="C3505" s="261"/>
      <c r="D3505" s="258"/>
      <c r="E3505" s="679"/>
      <c r="F3505" s="499">
        <v>416</v>
      </c>
      <c r="G3505" s="492" t="s">
        <v>4142</v>
      </c>
      <c r="H3505" s="555"/>
      <c r="I3505" s="556"/>
      <c r="J3505" s="556">
        <f t="shared" si="120"/>
        <v>0</v>
      </c>
      <c r="K3505" s="505"/>
      <c r="L3505" s="505"/>
      <c r="M3505" s="505"/>
      <c r="N3505" s="505"/>
      <c r="O3505" s="505"/>
      <c r="P3505" s="505"/>
      <c r="Q3505" s="505"/>
      <c r="R3505" s="505"/>
      <c r="S3505" s="505"/>
      <c r="T3505" s="505"/>
      <c r="U3505" s="505"/>
      <c r="V3505" s="505"/>
      <c r="W3505" s="505"/>
      <c r="X3505" s="505"/>
      <c r="Y3505" s="505"/>
    </row>
    <row r="3506" spans="1:25" s="88" customFormat="1" hidden="1" x14ac:dyDescent="0.25">
      <c r="A3506" s="258"/>
      <c r="B3506" s="258"/>
      <c r="C3506" s="261"/>
      <c r="D3506" s="258"/>
      <c r="E3506" s="679"/>
      <c r="F3506" s="499">
        <v>417</v>
      </c>
      <c r="G3506" s="492" t="s">
        <v>4143</v>
      </c>
      <c r="H3506" s="555"/>
      <c r="I3506" s="556"/>
      <c r="J3506" s="556">
        <f t="shared" si="120"/>
        <v>0</v>
      </c>
      <c r="K3506" s="505"/>
      <c r="L3506" s="505"/>
      <c r="M3506" s="505"/>
      <c r="N3506" s="505"/>
      <c r="O3506" s="505"/>
      <c r="P3506" s="505"/>
      <c r="Q3506" s="505"/>
      <c r="R3506" s="505"/>
      <c r="S3506" s="505"/>
      <c r="T3506" s="505"/>
      <c r="U3506" s="505"/>
      <c r="V3506" s="505"/>
      <c r="W3506" s="505"/>
      <c r="X3506" s="505"/>
      <c r="Y3506" s="505"/>
    </row>
    <row r="3507" spans="1:25" s="88" customFormat="1" hidden="1" x14ac:dyDescent="0.25">
      <c r="A3507" s="258"/>
      <c r="B3507" s="258"/>
      <c r="C3507" s="261"/>
      <c r="D3507" s="258"/>
      <c r="E3507" s="679"/>
      <c r="F3507" s="499">
        <v>418</v>
      </c>
      <c r="G3507" s="492" t="s">
        <v>3775</v>
      </c>
      <c r="H3507" s="555"/>
      <c r="I3507" s="556"/>
      <c r="J3507" s="556">
        <f t="shared" si="120"/>
        <v>0</v>
      </c>
      <c r="K3507" s="505"/>
      <c r="L3507" s="505"/>
      <c r="M3507" s="505"/>
      <c r="N3507" s="505"/>
      <c r="O3507" s="505"/>
      <c r="P3507" s="505"/>
      <c r="Q3507" s="505"/>
      <c r="R3507" s="505"/>
      <c r="S3507" s="505"/>
      <c r="T3507" s="505"/>
      <c r="U3507" s="505"/>
      <c r="V3507" s="505"/>
      <c r="W3507" s="505"/>
      <c r="X3507" s="505"/>
      <c r="Y3507" s="505"/>
    </row>
    <row r="3508" spans="1:25" s="88" customFormat="1" hidden="1" x14ac:dyDescent="0.25">
      <c r="A3508" s="258"/>
      <c r="B3508" s="258"/>
      <c r="C3508" s="261"/>
      <c r="D3508" s="258"/>
      <c r="E3508" s="679"/>
      <c r="F3508" s="499">
        <v>421</v>
      </c>
      <c r="G3508" s="492" t="s">
        <v>3779</v>
      </c>
      <c r="H3508" s="555"/>
      <c r="I3508" s="556"/>
      <c r="J3508" s="556">
        <f t="shared" si="120"/>
        <v>0</v>
      </c>
      <c r="K3508" s="505"/>
      <c r="L3508" s="505"/>
      <c r="M3508" s="505"/>
      <c r="N3508" s="505"/>
      <c r="O3508" s="505"/>
      <c r="P3508" s="505"/>
      <c r="Q3508" s="505"/>
      <c r="R3508" s="505"/>
      <c r="S3508" s="505"/>
      <c r="T3508" s="505"/>
      <c r="U3508" s="505"/>
      <c r="V3508" s="505"/>
      <c r="W3508" s="505"/>
      <c r="X3508" s="505"/>
      <c r="Y3508" s="505"/>
    </row>
    <row r="3509" spans="1:25" s="88" customFormat="1" hidden="1" x14ac:dyDescent="0.25">
      <c r="A3509" s="258"/>
      <c r="B3509" s="258"/>
      <c r="C3509" s="261"/>
      <c r="D3509" s="258"/>
      <c r="E3509" s="679"/>
      <c r="F3509" s="499">
        <v>422</v>
      </c>
      <c r="G3509" s="492" t="s">
        <v>3780</v>
      </c>
      <c r="H3509" s="555"/>
      <c r="I3509" s="556"/>
      <c r="J3509" s="556">
        <f t="shared" si="120"/>
        <v>0</v>
      </c>
      <c r="K3509" s="505"/>
      <c r="L3509" s="505"/>
      <c r="M3509" s="505"/>
      <c r="N3509" s="505"/>
      <c r="O3509" s="505"/>
      <c r="P3509" s="505"/>
      <c r="Q3509" s="505"/>
      <c r="R3509" s="505"/>
      <c r="S3509" s="505"/>
      <c r="T3509" s="505"/>
      <c r="U3509" s="505"/>
      <c r="V3509" s="505"/>
      <c r="W3509" s="505"/>
      <c r="X3509" s="505"/>
      <c r="Y3509" s="505"/>
    </row>
    <row r="3510" spans="1:25" s="88" customFormat="1" ht="15.75" thickBot="1" x14ac:dyDescent="0.3">
      <c r="A3510" s="258"/>
      <c r="B3510" s="258"/>
      <c r="C3510" s="261"/>
      <c r="D3510" s="258"/>
      <c r="E3510" s="679">
        <v>116</v>
      </c>
      <c r="F3510" s="499">
        <v>423</v>
      </c>
      <c r="G3510" s="492" t="s">
        <v>3781</v>
      </c>
      <c r="H3510" s="555">
        <v>950000</v>
      </c>
      <c r="I3510" s="556"/>
      <c r="J3510" s="556">
        <f t="shared" si="120"/>
        <v>950000</v>
      </c>
      <c r="K3510" s="505"/>
      <c r="L3510" s="505"/>
      <c r="M3510" s="505"/>
      <c r="N3510" s="505"/>
      <c r="O3510" s="505"/>
      <c r="P3510" s="505"/>
      <c r="Q3510" s="505"/>
      <c r="R3510" s="505"/>
      <c r="S3510" s="505"/>
      <c r="T3510" s="505"/>
      <c r="U3510" s="505"/>
      <c r="V3510" s="505"/>
      <c r="W3510" s="505"/>
      <c r="X3510" s="505"/>
      <c r="Y3510" s="505"/>
    </row>
    <row r="3511" spans="1:25" s="88" customFormat="1" ht="16.5" hidden="1" customHeight="1" x14ac:dyDescent="0.25">
      <c r="A3511" s="258"/>
      <c r="B3511" s="258"/>
      <c r="C3511" s="261"/>
      <c r="D3511" s="258"/>
      <c r="E3511" s="679">
        <v>71</v>
      </c>
      <c r="F3511" s="499">
        <v>424</v>
      </c>
      <c r="G3511" s="492" t="s">
        <v>5086</v>
      </c>
      <c r="H3511" s="555">
        <v>0</v>
      </c>
      <c r="I3511" s="556"/>
      <c r="J3511" s="556">
        <f t="shared" si="120"/>
        <v>0</v>
      </c>
      <c r="K3511" s="505"/>
      <c r="L3511" s="505"/>
      <c r="M3511" s="505"/>
      <c r="N3511" s="505"/>
      <c r="O3511" s="505"/>
      <c r="P3511" s="505"/>
      <c r="Q3511" s="505"/>
      <c r="R3511" s="505"/>
      <c r="S3511" s="505"/>
      <c r="T3511" s="505"/>
      <c r="U3511" s="505"/>
      <c r="V3511" s="505"/>
      <c r="W3511" s="505"/>
      <c r="X3511" s="505"/>
      <c r="Y3511" s="505"/>
    </row>
    <row r="3512" spans="1:25" s="88" customFormat="1" ht="15" hidden="1" customHeight="1" x14ac:dyDescent="0.25">
      <c r="A3512" s="258"/>
      <c r="B3512" s="258"/>
      <c r="C3512" s="261"/>
      <c r="D3512" s="258"/>
      <c r="E3512" s="679"/>
      <c r="F3512" s="499">
        <v>425</v>
      </c>
      <c r="G3512" s="492" t="s">
        <v>4144</v>
      </c>
      <c r="H3512" s="555"/>
      <c r="I3512" s="556"/>
      <c r="J3512" s="556">
        <f t="shared" si="120"/>
        <v>0</v>
      </c>
      <c r="K3512" s="505"/>
      <c r="L3512" s="505"/>
      <c r="M3512" s="505"/>
      <c r="N3512" s="505"/>
      <c r="O3512" s="505"/>
      <c r="P3512" s="505"/>
      <c r="Q3512" s="505"/>
      <c r="R3512" s="505"/>
      <c r="S3512" s="505"/>
      <c r="T3512" s="505"/>
      <c r="U3512" s="505"/>
      <c r="V3512" s="505"/>
      <c r="W3512" s="505"/>
      <c r="X3512" s="505"/>
      <c r="Y3512" s="505"/>
    </row>
    <row r="3513" spans="1:25" s="88" customFormat="1" hidden="1" x14ac:dyDescent="0.25">
      <c r="A3513" s="258"/>
      <c r="B3513" s="258"/>
      <c r="C3513" s="261"/>
      <c r="D3513" s="258"/>
      <c r="E3513" s="679"/>
      <c r="F3513" s="499">
        <v>426</v>
      </c>
      <c r="G3513" s="492" t="s">
        <v>3787</v>
      </c>
      <c r="H3513" s="555"/>
      <c r="I3513" s="556"/>
      <c r="J3513" s="556">
        <f t="shared" si="120"/>
        <v>0</v>
      </c>
      <c r="K3513" s="505"/>
      <c r="L3513" s="505"/>
      <c r="M3513" s="505"/>
      <c r="N3513" s="505"/>
      <c r="O3513" s="505"/>
      <c r="P3513" s="505"/>
      <c r="Q3513" s="505"/>
      <c r="R3513" s="505"/>
      <c r="S3513" s="505"/>
      <c r="T3513" s="505"/>
      <c r="U3513" s="505"/>
      <c r="V3513" s="505"/>
      <c r="W3513" s="505"/>
      <c r="X3513" s="505"/>
      <c r="Y3513" s="505"/>
    </row>
    <row r="3514" spans="1:25" s="88" customFormat="1" hidden="1" x14ac:dyDescent="0.25">
      <c r="A3514" s="258"/>
      <c r="B3514" s="258"/>
      <c r="C3514" s="261"/>
      <c r="D3514" s="258"/>
      <c r="E3514" s="679"/>
      <c r="F3514" s="499">
        <v>431</v>
      </c>
      <c r="G3514" s="492" t="s">
        <v>4145</v>
      </c>
      <c r="H3514" s="555"/>
      <c r="I3514" s="556"/>
      <c r="J3514" s="556">
        <f t="shared" si="120"/>
        <v>0</v>
      </c>
      <c r="K3514" s="505"/>
      <c r="L3514" s="505"/>
      <c r="M3514" s="505"/>
      <c r="N3514" s="505"/>
      <c r="O3514" s="505"/>
      <c r="P3514" s="505"/>
      <c r="Q3514" s="505"/>
      <c r="R3514" s="505"/>
      <c r="S3514" s="505"/>
      <c r="T3514" s="505"/>
      <c r="U3514" s="505"/>
      <c r="V3514" s="505"/>
      <c r="W3514" s="505"/>
      <c r="X3514" s="505"/>
      <c r="Y3514" s="505"/>
    </row>
    <row r="3515" spans="1:25" s="88" customFormat="1" hidden="1" x14ac:dyDescent="0.25">
      <c r="A3515" s="258"/>
      <c r="B3515" s="258"/>
      <c r="C3515" s="261"/>
      <c r="D3515" s="258"/>
      <c r="E3515" s="679"/>
      <c r="F3515" s="499">
        <v>432</v>
      </c>
      <c r="G3515" s="492" t="s">
        <v>4146</v>
      </c>
      <c r="H3515" s="555"/>
      <c r="I3515" s="556"/>
      <c r="J3515" s="556">
        <f t="shared" si="120"/>
        <v>0</v>
      </c>
      <c r="K3515" s="505"/>
      <c r="L3515" s="505"/>
      <c r="M3515" s="505"/>
      <c r="N3515" s="505"/>
      <c r="O3515" s="505"/>
      <c r="P3515" s="505"/>
      <c r="Q3515" s="505"/>
      <c r="R3515" s="505"/>
      <c r="S3515" s="505"/>
      <c r="T3515" s="505"/>
      <c r="U3515" s="505"/>
      <c r="V3515" s="505"/>
      <c r="W3515" s="505"/>
      <c r="X3515" s="505"/>
      <c r="Y3515" s="505"/>
    </row>
    <row r="3516" spans="1:25" s="88" customFormat="1" hidden="1" x14ac:dyDescent="0.25">
      <c r="A3516" s="258"/>
      <c r="B3516" s="258"/>
      <c r="C3516" s="261"/>
      <c r="D3516" s="258"/>
      <c r="E3516" s="679"/>
      <c r="F3516" s="499">
        <v>433</v>
      </c>
      <c r="G3516" s="492" t="s">
        <v>4147</v>
      </c>
      <c r="H3516" s="555"/>
      <c r="I3516" s="556"/>
      <c r="J3516" s="556">
        <f t="shared" si="120"/>
        <v>0</v>
      </c>
      <c r="K3516" s="505"/>
      <c r="L3516" s="505"/>
      <c r="M3516" s="505"/>
      <c r="N3516" s="505"/>
      <c r="O3516" s="505"/>
      <c r="P3516" s="505"/>
      <c r="Q3516" s="505"/>
      <c r="R3516" s="505"/>
      <c r="S3516" s="505"/>
      <c r="T3516" s="505"/>
      <c r="U3516" s="505"/>
      <c r="V3516" s="505"/>
      <c r="W3516" s="505"/>
      <c r="X3516" s="505"/>
      <c r="Y3516" s="505"/>
    </row>
    <row r="3517" spans="1:25" s="88" customFormat="1" hidden="1" x14ac:dyDescent="0.25">
      <c r="A3517" s="258"/>
      <c r="B3517" s="258"/>
      <c r="C3517" s="261"/>
      <c r="D3517" s="258"/>
      <c r="E3517" s="679"/>
      <c r="F3517" s="499">
        <v>434</v>
      </c>
      <c r="G3517" s="492" t="s">
        <v>4148</v>
      </c>
      <c r="H3517" s="555"/>
      <c r="I3517" s="556"/>
      <c r="J3517" s="556">
        <f t="shared" si="120"/>
        <v>0</v>
      </c>
      <c r="K3517" s="505"/>
      <c r="L3517" s="505"/>
      <c r="M3517" s="505"/>
      <c r="N3517" s="505"/>
      <c r="O3517" s="505"/>
      <c r="P3517" s="505"/>
      <c r="Q3517" s="505"/>
      <c r="R3517" s="505"/>
      <c r="S3517" s="505"/>
      <c r="T3517" s="505"/>
      <c r="U3517" s="505"/>
      <c r="V3517" s="505"/>
      <c r="W3517" s="505"/>
      <c r="X3517" s="505"/>
      <c r="Y3517" s="505"/>
    </row>
    <row r="3518" spans="1:25" s="88" customFormat="1" hidden="1" x14ac:dyDescent="0.25">
      <c r="A3518" s="258"/>
      <c r="B3518" s="258"/>
      <c r="C3518" s="261"/>
      <c r="D3518" s="258"/>
      <c r="E3518" s="679"/>
      <c r="F3518" s="499">
        <v>435</v>
      </c>
      <c r="G3518" s="492" t="s">
        <v>3794</v>
      </c>
      <c r="H3518" s="555"/>
      <c r="I3518" s="556"/>
      <c r="J3518" s="556">
        <f t="shared" si="120"/>
        <v>0</v>
      </c>
      <c r="K3518" s="505"/>
      <c r="L3518" s="505"/>
      <c r="M3518" s="505"/>
      <c r="N3518" s="505"/>
      <c r="O3518" s="505"/>
      <c r="P3518" s="505"/>
      <c r="Q3518" s="505"/>
      <c r="R3518" s="505"/>
      <c r="S3518" s="505"/>
      <c r="T3518" s="505"/>
      <c r="U3518" s="505"/>
      <c r="V3518" s="505"/>
      <c r="W3518" s="505"/>
      <c r="X3518" s="505"/>
      <c r="Y3518" s="505"/>
    </row>
    <row r="3519" spans="1:25" s="88" customFormat="1" hidden="1" x14ac:dyDescent="0.25">
      <c r="A3519" s="258"/>
      <c r="B3519" s="258"/>
      <c r="C3519" s="261"/>
      <c r="D3519" s="258"/>
      <c r="E3519" s="679"/>
      <c r="F3519" s="499">
        <v>441</v>
      </c>
      <c r="G3519" s="492" t="s">
        <v>4149</v>
      </c>
      <c r="H3519" s="555"/>
      <c r="I3519" s="556"/>
      <c r="J3519" s="556">
        <f t="shared" si="120"/>
        <v>0</v>
      </c>
      <c r="K3519" s="505"/>
      <c r="L3519" s="505"/>
      <c r="M3519" s="505"/>
      <c r="N3519" s="505"/>
      <c r="O3519" s="505"/>
      <c r="P3519" s="505"/>
      <c r="Q3519" s="505"/>
      <c r="R3519" s="505"/>
      <c r="S3519" s="505"/>
      <c r="T3519" s="505"/>
      <c r="U3519" s="505"/>
      <c r="V3519" s="505"/>
      <c r="W3519" s="505"/>
      <c r="X3519" s="505"/>
      <c r="Y3519" s="505"/>
    </row>
    <row r="3520" spans="1:25" s="88" customFormat="1" hidden="1" x14ac:dyDescent="0.25">
      <c r="A3520" s="258"/>
      <c r="B3520" s="258"/>
      <c r="C3520" s="261"/>
      <c r="D3520" s="258"/>
      <c r="E3520" s="679"/>
      <c r="F3520" s="499">
        <v>442</v>
      </c>
      <c r="G3520" s="492" t="s">
        <v>4150</v>
      </c>
      <c r="H3520" s="555"/>
      <c r="I3520" s="556"/>
      <c r="J3520" s="556">
        <f t="shared" si="120"/>
        <v>0</v>
      </c>
      <c r="K3520" s="505"/>
      <c r="L3520" s="505"/>
      <c r="M3520" s="505"/>
      <c r="N3520" s="505"/>
      <c r="O3520" s="505"/>
      <c r="P3520" s="505"/>
      <c r="Q3520" s="505"/>
      <c r="R3520" s="505"/>
      <c r="S3520" s="505"/>
      <c r="T3520" s="505"/>
      <c r="U3520" s="505"/>
      <c r="V3520" s="505"/>
      <c r="W3520" s="505"/>
      <c r="X3520" s="505"/>
      <c r="Y3520" s="505"/>
    </row>
    <row r="3521" spans="1:25" s="88" customFormat="1" hidden="1" x14ac:dyDescent="0.25">
      <c r="A3521" s="258"/>
      <c r="B3521" s="258"/>
      <c r="C3521" s="261"/>
      <c r="D3521" s="258"/>
      <c r="E3521" s="679"/>
      <c r="F3521" s="499">
        <v>443</v>
      </c>
      <c r="G3521" s="492" t="s">
        <v>3799</v>
      </c>
      <c r="H3521" s="555"/>
      <c r="I3521" s="556"/>
      <c r="J3521" s="556">
        <f t="shared" si="120"/>
        <v>0</v>
      </c>
      <c r="K3521" s="505"/>
      <c r="L3521" s="505"/>
      <c r="M3521" s="505"/>
      <c r="N3521" s="505"/>
      <c r="O3521" s="505"/>
      <c r="P3521" s="505"/>
      <c r="Q3521" s="505"/>
      <c r="R3521" s="505"/>
      <c r="S3521" s="505"/>
      <c r="T3521" s="505"/>
      <c r="U3521" s="505"/>
      <c r="V3521" s="505"/>
      <c r="W3521" s="505"/>
      <c r="X3521" s="505"/>
      <c r="Y3521" s="505"/>
    </row>
    <row r="3522" spans="1:25" s="88" customFormat="1" hidden="1" x14ac:dyDescent="0.25">
      <c r="A3522" s="258"/>
      <c r="B3522" s="258"/>
      <c r="C3522" s="261"/>
      <c r="D3522" s="258"/>
      <c r="E3522" s="679"/>
      <c r="F3522" s="499">
        <v>444</v>
      </c>
      <c r="G3522" s="492" t="s">
        <v>3800</v>
      </c>
      <c r="H3522" s="555"/>
      <c r="I3522" s="556"/>
      <c r="J3522" s="556">
        <f t="shared" si="120"/>
        <v>0</v>
      </c>
      <c r="K3522" s="505"/>
      <c r="L3522" s="505"/>
      <c r="M3522" s="505"/>
      <c r="N3522" s="505"/>
      <c r="O3522" s="505"/>
      <c r="P3522" s="505"/>
      <c r="Q3522" s="505"/>
      <c r="R3522" s="505"/>
      <c r="S3522" s="505"/>
      <c r="T3522" s="505"/>
      <c r="U3522" s="505"/>
      <c r="V3522" s="505"/>
      <c r="W3522" s="505"/>
      <c r="X3522" s="505"/>
      <c r="Y3522" s="505"/>
    </row>
    <row r="3523" spans="1:25" s="88" customFormat="1" ht="30" hidden="1" x14ac:dyDescent="0.25">
      <c r="A3523" s="258"/>
      <c r="B3523" s="258"/>
      <c r="C3523" s="261"/>
      <c r="D3523" s="258"/>
      <c r="E3523" s="679"/>
      <c r="F3523" s="499">
        <v>4511</v>
      </c>
      <c r="G3523" s="771" t="s">
        <v>1690</v>
      </c>
      <c r="H3523" s="555"/>
      <c r="I3523" s="556"/>
      <c r="J3523" s="556">
        <f t="shared" si="120"/>
        <v>0</v>
      </c>
      <c r="K3523" s="505"/>
      <c r="L3523" s="505"/>
      <c r="M3523" s="505"/>
      <c r="N3523" s="505"/>
      <c r="O3523" s="505"/>
      <c r="P3523" s="505"/>
      <c r="Q3523" s="505"/>
      <c r="R3523" s="505"/>
      <c r="S3523" s="505"/>
      <c r="T3523" s="505"/>
      <c r="U3523" s="505"/>
      <c r="V3523" s="505"/>
      <c r="W3523" s="505"/>
      <c r="X3523" s="505"/>
      <c r="Y3523" s="505"/>
    </row>
    <row r="3524" spans="1:25" s="88" customFormat="1" ht="30" hidden="1" x14ac:dyDescent="0.25">
      <c r="A3524" s="258"/>
      <c r="B3524" s="258"/>
      <c r="C3524" s="261"/>
      <c r="D3524" s="258"/>
      <c r="E3524" s="679"/>
      <c r="F3524" s="499">
        <v>4512</v>
      </c>
      <c r="G3524" s="771" t="s">
        <v>1699</v>
      </c>
      <c r="H3524" s="555"/>
      <c r="I3524" s="556"/>
      <c r="J3524" s="556">
        <f t="shared" si="120"/>
        <v>0</v>
      </c>
      <c r="K3524" s="505"/>
      <c r="L3524" s="505"/>
      <c r="M3524" s="505"/>
      <c r="N3524" s="505"/>
      <c r="O3524" s="505"/>
      <c r="P3524" s="505"/>
      <c r="Q3524" s="505"/>
      <c r="R3524" s="505"/>
      <c r="S3524" s="505"/>
      <c r="T3524" s="505"/>
      <c r="U3524" s="505"/>
      <c r="V3524" s="505"/>
      <c r="W3524" s="505"/>
      <c r="X3524" s="505"/>
      <c r="Y3524" s="505"/>
    </row>
    <row r="3525" spans="1:25" s="88" customFormat="1" hidden="1" x14ac:dyDescent="0.25">
      <c r="A3525" s="258"/>
      <c r="B3525" s="258"/>
      <c r="C3525" s="261"/>
      <c r="D3525" s="258"/>
      <c r="E3525" s="679"/>
      <c r="F3525" s="499">
        <v>452</v>
      </c>
      <c r="G3525" s="492" t="s">
        <v>4151</v>
      </c>
      <c r="H3525" s="555"/>
      <c r="I3525" s="556"/>
      <c r="J3525" s="556">
        <f t="shared" si="120"/>
        <v>0</v>
      </c>
      <c r="K3525" s="505"/>
      <c r="L3525" s="505"/>
      <c r="M3525" s="505"/>
      <c r="N3525" s="505"/>
      <c r="O3525" s="505"/>
      <c r="P3525" s="505"/>
      <c r="Q3525" s="505"/>
      <c r="R3525" s="505"/>
      <c r="S3525" s="505"/>
      <c r="T3525" s="505"/>
      <c r="U3525" s="505"/>
      <c r="V3525" s="505"/>
      <c r="W3525" s="505"/>
      <c r="X3525" s="505"/>
      <c r="Y3525" s="505"/>
    </row>
    <row r="3526" spans="1:25" s="88" customFormat="1" hidden="1" x14ac:dyDescent="0.25">
      <c r="A3526" s="258"/>
      <c r="B3526" s="258"/>
      <c r="C3526" s="261"/>
      <c r="D3526" s="258"/>
      <c r="E3526" s="679"/>
      <c r="F3526" s="499">
        <v>453</v>
      </c>
      <c r="G3526" s="492" t="s">
        <v>4152</v>
      </c>
      <c r="H3526" s="555"/>
      <c r="I3526" s="556"/>
      <c r="J3526" s="556">
        <f t="shared" si="120"/>
        <v>0</v>
      </c>
      <c r="K3526" s="505"/>
      <c r="L3526" s="505"/>
      <c r="M3526" s="505"/>
      <c r="N3526" s="505"/>
      <c r="O3526" s="505"/>
      <c r="P3526" s="505"/>
      <c r="Q3526" s="505"/>
      <c r="R3526" s="505"/>
      <c r="S3526" s="505"/>
      <c r="T3526" s="505"/>
      <c r="U3526" s="505"/>
      <c r="V3526" s="505"/>
      <c r="W3526" s="505"/>
      <c r="X3526" s="505"/>
      <c r="Y3526" s="505"/>
    </row>
    <row r="3527" spans="1:25" s="88" customFormat="1" hidden="1" x14ac:dyDescent="0.25">
      <c r="A3527" s="258"/>
      <c r="B3527" s="258"/>
      <c r="C3527" s="261"/>
      <c r="D3527" s="258"/>
      <c r="E3527" s="679"/>
      <c r="F3527" s="499">
        <v>454</v>
      </c>
      <c r="G3527" s="492" t="s">
        <v>3805</v>
      </c>
      <c r="H3527" s="555"/>
      <c r="I3527" s="556"/>
      <c r="J3527" s="556">
        <f t="shared" si="120"/>
        <v>0</v>
      </c>
      <c r="K3527" s="505"/>
      <c r="L3527" s="505"/>
      <c r="M3527" s="505"/>
      <c r="N3527" s="505"/>
      <c r="O3527" s="505"/>
      <c r="P3527" s="505"/>
      <c r="Q3527" s="505"/>
      <c r="R3527" s="505"/>
      <c r="S3527" s="505"/>
      <c r="T3527" s="505"/>
      <c r="U3527" s="505"/>
      <c r="V3527" s="505"/>
      <c r="W3527" s="505"/>
      <c r="X3527" s="505"/>
      <c r="Y3527" s="505"/>
    </row>
    <row r="3528" spans="1:25" s="88" customFormat="1" hidden="1" x14ac:dyDescent="0.25">
      <c r="A3528" s="258"/>
      <c r="B3528" s="258"/>
      <c r="C3528" s="261"/>
      <c r="D3528" s="258"/>
      <c r="E3528" s="679"/>
      <c r="F3528" s="499">
        <v>461</v>
      </c>
      <c r="G3528" s="492" t="s">
        <v>4133</v>
      </c>
      <c r="H3528" s="555"/>
      <c r="I3528" s="556"/>
      <c r="J3528" s="556">
        <f t="shared" si="120"/>
        <v>0</v>
      </c>
      <c r="K3528" s="505"/>
      <c r="L3528" s="505"/>
      <c r="M3528" s="505"/>
      <c r="N3528" s="505"/>
      <c r="O3528" s="505"/>
      <c r="P3528" s="505"/>
      <c r="Q3528" s="505"/>
      <c r="R3528" s="505"/>
      <c r="S3528" s="505"/>
      <c r="T3528" s="505"/>
      <c r="U3528" s="505"/>
      <c r="V3528" s="505"/>
      <c r="W3528" s="505"/>
      <c r="X3528" s="505"/>
      <c r="Y3528" s="505"/>
    </row>
    <row r="3529" spans="1:25" s="88" customFormat="1" hidden="1" x14ac:dyDescent="0.25">
      <c r="A3529" s="258"/>
      <c r="B3529" s="258"/>
      <c r="C3529" s="261"/>
      <c r="D3529" s="258"/>
      <c r="E3529" s="679"/>
      <c r="F3529" s="499">
        <v>462</v>
      </c>
      <c r="G3529" s="492" t="s">
        <v>3808</v>
      </c>
      <c r="H3529" s="555"/>
      <c r="I3529" s="556"/>
      <c r="J3529" s="556">
        <f t="shared" si="120"/>
        <v>0</v>
      </c>
      <c r="K3529" s="505"/>
      <c r="L3529" s="505"/>
      <c r="M3529" s="505"/>
      <c r="N3529" s="505"/>
      <c r="O3529" s="505"/>
      <c r="P3529" s="505"/>
      <c r="Q3529" s="505"/>
      <c r="R3529" s="505"/>
      <c r="S3529" s="505"/>
      <c r="T3529" s="505"/>
      <c r="U3529" s="505"/>
      <c r="V3529" s="505"/>
      <c r="W3529" s="505"/>
      <c r="X3529" s="505"/>
      <c r="Y3529" s="505"/>
    </row>
    <row r="3530" spans="1:25" s="88" customFormat="1" hidden="1" x14ac:dyDescent="0.25">
      <c r="A3530" s="258"/>
      <c r="B3530" s="258"/>
      <c r="C3530" s="261"/>
      <c r="D3530" s="258"/>
      <c r="E3530" s="679"/>
      <c r="F3530" s="499">
        <v>4631</v>
      </c>
      <c r="G3530" s="492" t="s">
        <v>3809</v>
      </c>
      <c r="H3530" s="555"/>
      <c r="I3530" s="556"/>
      <c r="J3530" s="556">
        <f t="shared" si="120"/>
        <v>0</v>
      </c>
      <c r="K3530" s="505"/>
      <c r="L3530" s="505"/>
      <c r="M3530" s="505"/>
      <c r="N3530" s="505"/>
      <c r="O3530" s="505"/>
      <c r="P3530" s="505"/>
      <c r="Q3530" s="505"/>
      <c r="R3530" s="505"/>
      <c r="S3530" s="505"/>
      <c r="T3530" s="505"/>
      <c r="U3530" s="505"/>
      <c r="V3530" s="505"/>
      <c r="W3530" s="505"/>
      <c r="X3530" s="505"/>
      <c r="Y3530" s="505"/>
    </row>
    <row r="3531" spans="1:25" s="88" customFormat="1" hidden="1" x14ac:dyDescent="0.25">
      <c r="A3531" s="258"/>
      <c r="B3531" s="258"/>
      <c r="C3531" s="261"/>
      <c r="D3531" s="258"/>
      <c r="E3531" s="679"/>
      <c r="F3531" s="499">
        <v>4632</v>
      </c>
      <c r="G3531" s="492" t="s">
        <v>3810</v>
      </c>
      <c r="H3531" s="555"/>
      <c r="I3531" s="556"/>
      <c r="J3531" s="556">
        <f t="shared" si="120"/>
        <v>0</v>
      </c>
      <c r="K3531" s="505"/>
      <c r="L3531" s="505"/>
      <c r="M3531" s="505"/>
      <c r="N3531" s="505"/>
      <c r="O3531" s="505"/>
      <c r="P3531" s="505"/>
      <c r="Q3531" s="505"/>
      <c r="R3531" s="505"/>
      <c r="S3531" s="505"/>
      <c r="T3531" s="505"/>
      <c r="U3531" s="505"/>
      <c r="V3531" s="505"/>
      <c r="W3531" s="505"/>
      <c r="X3531" s="505"/>
      <c r="Y3531" s="505"/>
    </row>
    <row r="3532" spans="1:25" s="88" customFormat="1" hidden="1" x14ac:dyDescent="0.25">
      <c r="A3532" s="258"/>
      <c r="B3532" s="258"/>
      <c r="C3532" s="261"/>
      <c r="D3532" s="258"/>
      <c r="E3532" s="679"/>
      <c r="F3532" s="499">
        <v>464</v>
      </c>
      <c r="G3532" s="492" t="s">
        <v>3811</v>
      </c>
      <c r="H3532" s="555"/>
      <c r="I3532" s="556"/>
      <c r="J3532" s="556">
        <f t="shared" si="120"/>
        <v>0</v>
      </c>
      <c r="K3532" s="505"/>
      <c r="L3532" s="505"/>
      <c r="M3532" s="505"/>
      <c r="N3532" s="505"/>
      <c r="O3532" s="505"/>
      <c r="P3532" s="505"/>
      <c r="Q3532" s="505"/>
      <c r="R3532" s="505"/>
      <c r="S3532" s="505"/>
      <c r="T3532" s="505"/>
      <c r="U3532" s="505"/>
      <c r="V3532" s="505"/>
      <c r="W3532" s="505"/>
      <c r="X3532" s="505"/>
      <c r="Y3532" s="505"/>
    </row>
    <row r="3533" spans="1:25" s="88" customFormat="1" hidden="1" x14ac:dyDescent="0.25">
      <c r="A3533" s="258"/>
      <c r="B3533" s="258"/>
      <c r="C3533" s="261"/>
      <c r="D3533" s="258"/>
      <c r="E3533" s="679"/>
      <c r="F3533" s="499">
        <v>465</v>
      </c>
      <c r="G3533" s="492" t="s">
        <v>4134</v>
      </c>
      <c r="H3533" s="555"/>
      <c r="I3533" s="556"/>
      <c r="J3533" s="556">
        <f t="shared" si="120"/>
        <v>0</v>
      </c>
      <c r="K3533" s="505"/>
      <c r="L3533" s="505"/>
      <c r="M3533" s="505"/>
      <c r="N3533" s="505"/>
      <c r="O3533" s="505"/>
      <c r="P3533" s="505"/>
      <c r="Q3533" s="505"/>
      <c r="R3533" s="505"/>
      <c r="S3533" s="505"/>
      <c r="T3533" s="505"/>
      <c r="U3533" s="505"/>
      <c r="V3533" s="505"/>
      <c r="W3533" s="505"/>
      <c r="X3533" s="505"/>
      <c r="Y3533" s="505"/>
    </row>
    <row r="3534" spans="1:25" s="88" customFormat="1" hidden="1" x14ac:dyDescent="0.25">
      <c r="A3534" s="258"/>
      <c r="B3534" s="258"/>
      <c r="C3534" s="261"/>
      <c r="D3534" s="258"/>
      <c r="E3534" s="679"/>
      <c r="F3534" s="499">
        <v>472</v>
      </c>
      <c r="G3534" s="492" t="s">
        <v>3815</v>
      </c>
      <c r="H3534" s="555"/>
      <c r="I3534" s="556"/>
      <c r="J3534" s="556">
        <f t="shared" si="120"/>
        <v>0</v>
      </c>
      <c r="K3534" s="505"/>
      <c r="L3534" s="505"/>
      <c r="M3534" s="505"/>
      <c r="N3534" s="505"/>
      <c r="O3534" s="505"/>
      <c r="P3534" s="505"/>
      <c r="Q3534" s="505"/>
      <c r="R3534" s="505"/>
      <c r="S3534" s="505"/>
      <c r="T3534" s="505"/>
      <c r="U3534" s="505"/>
      <c r="V3534" s="505"/>
      <c r="W3534" s="505"/>
      <c r="X3534" s="505"/>
      <c r="Y3534" s="505"/>
    </row>
    <row r="3535" spans="1:25" s="88" customFormat="1" hidden="1" x14ac:dyDescent="0.25">
      <c r="A3535" s="258"/>
      <c r="B3535" s="258"/>
      <c r="C3535" s="261"/>
      <c r="D3535" s="258"/>
      <c r="E3535" s="679"/>
      <c r="F3535" s="499">
        <v>481</v>
      </c>
      <c r="G3535" s="492" t="s">
        <v>4153</v>
      </c>
      <c r="H3535" s="555"/>
      <c r="I3535" s="556"/>
      <c r="J3535" s="556">
        <f t="shared" si="120"/>
        <v>0</v>
      </c>
      <c r="K3535" s="505"/>
      <c r="L3535" s="505"/>
      <c r="M3535" s="505"/>
      <c r="N3535" s="505"/>
      <c r="O3535" s="505"/>
      <c r="P3535" s="505"/>
      <c r="Q3535" s="505"/>
      <c r="R3535" s="505"/>
      <c r="S3535" s="505"/>
      <c r="T3535" s="505"/>
      <c r="U3535" s="505"/>
      <c r="V3535" s="505"/>
      <c r="W3535" s="505"/>
      <c r="X3535" s="505"/>
      <c r="Y3535" s="505"/>
    </row>
    <row r="3536" spans="1:25" s="88" customFormat="1" hidden="1" x14ac:dyDescent="0.25">
      <c r="A3536" s="258"/>
      <c r="B3536" s="258"/>
      <c r="C3536" s="261"/>
      <c r="D3536" s="258"/>
      <c r="E3536" s="679"/>
      <c r="F3536" s="499">
        <v>482</v>
      </c>
      <c r="G3536" s="492" t="s">
        <v>4154</v>
      </c>
      <c r="H3536" s="555"/>
      <c r="I3536" s="556"/>
      <c r="J3536" s="556">
        <f t="shared" si="120"/>
        <v>0</v>
      </c>
      <c r="K3536" s="505"/>
      <c r="L3536" s="505"/>
      <c r="M3536" s="505"/>
      <c r="N3536" s="505"/>
      <c r="O3536" s="505"/>
      <c r="P3536" s="505"/>
      <c r="Q3536" s="505"/>
      <c r="R3536" s="505"/>
      <c r="S3536" s="505"/>
      <c r="T3536" s="505"/>
      <c r="U3536" s="505"/>
      <c r="V3536" s="505"/>
      <c r="W3536" s="505"/>
      <c r="X3536" s="505"/>
      <c r="Y3536" s="505"/>
    </row>
    <row r="3537" spans="1:25" s="88" customFormat="1" hidden="1" x14ac:dyDescent="0.25">
      <c r="A3537" s="258"/>
      <c r="B3537" s="258"/>
      <c r="C3537" s="261"/>
      <c r="D3537" s="258"/>
      <c r="E3537" s="679"/>
      <c r="F3537" s="499">
        <v>483</v>
      </c>
      <c r="G3537" s="496" t="s">
        <v>4155</v>
      </c>
      <c r="H3537" s="555"/>
      <c r="I3537" s="556"/>
      <c r="J3537" s="556">
        <f t="shared" si="120"/>
        <v>0</v>
      </c>
      <c r="K3537" s="505"/>
      <c r="L3537" s="505"/>
      <c r="M3537" s="505"/>
      <c r="N3537" s="505"/>
      <c r="O3537" s="505"/>
      <c r="P3537" s="505"/>
      <c r="Q3537" s="505"/>
      <c r="R3537" s="505"/>
      <c r="S3537" s="505"/>
      <c r="T3537" s="505"/>
      <c r="U3537" s="505"/>
      <c r="V3537" s="505"/>
      <c r="W3537" s="505"/>
      <c r="X3537" s="505"/>
      <c r="Y3537" s="505"/>
    </row>
    <row r="3538" spans="1:25" s="88" customFormat="1" ht="30" hidden="1" x14ac:dyDescent="0.25">
      <c r="A3538" s="258"/>
      <c r="B3538" s="258"/>
      <c r="C3538" s="261"/>
      <c r="D3538" s="258"/>
      <c r="E3538" s="679"/>
      <c r="F3538" s="499">
        <v>484</v>
      </c>
      <c r="G3538" s="492" t="s">
        <v>4156</v>
      </c>
      <c r="H3538" s="555"/>
      <c r="I3538" s="556"/>
      <c r="J3538" s="556">
        <f t="shared" si="120"/>
        <v>0</v>
      </c>
      <c r="K3538" s="505"/>
      <c r="L3538" s="505"/>
      <c r="M3538" s="505"/>
      <c r="N3538" s="505"/>
      <c r="O3538" s="505"/>
      <c r="P3538" s="505"/>
      <c r="Q3538" s="505"/>
      <c r="R3538" s="505"/>
      <c r="S3538" s="505"/>
      <c r="T3538" s="505"/>
      <c r="U3538" s="505"/>
      <c r="V3538" s="505"/>
      <c r="W3538" s="505"/>
      <c r="X3538" s="505"/>
      <c r="Y3538" s="505"/>
    </row>
    <row r="3539" spans="1:25" s="88" customFormat="1" ht="30" hidden="1" x14ac:dyDescent="0.25">
      <c r="A3539" s="258"/>
      <c r="B3539" s="258"/>
      <c r="C3539" s="261"/>
      <c r="D3539" s="258"/>
      <c r="E3539" s="679"/>
      <c r="F3539" s="499">
        <v>485</v>
      </c>
      <c r="G3539" s="492" t="s">
        <v>4157</v>
      </c>
      <c r="H3539" s="555"/>
      <c r="I3539" s="556"/>
      <c r="J3539" s="556">
        <f t="shared" si="120"/>
        <v>0</v>
      </c>
      <c r="K3539" s="505"/>
      <c r="L3539" s="505"/>
      <c r="M3539" s="505"/>
      <c r="N3539" s="505"/>
      <c r="O3539" s="505"/>
      <c r="P3539" s="505"/>
      <c r="Q3539" s="505"/>
      <c r="R3539" s="505"/>
      <c r="S3539" s="505"/>
      <c r="T3539" s="505"/>
      <c r="U3539" s="505"/>
      <c r="V3539" s="505"/>
      <c r="W3539" s="505"/>
      <c r="X3539" s="505"/>
      <c r="Y3539" s="505"/>
    </row>
    <row r="3540" spans="1:25" s="88" customFormat="1" ht="30" hidden="1" x14ac:dyDescent="0.25">
      <c r="A3540" s="258"/>
      <c r="B3540" s="258"/>
      <c r="C3540" s="261"/>
      <c r="D3540" s="258"/>
      <c r="E3540" s="679"/>
      <c r="F3540" s="499">
        <v>489</v>
      </c>
      <c r="G3540" s="492" t="s">
        <v>3823</v>
      </c>
      <c r="H3540" s="555"/>
      <c r="I3540" s="556"/>
      <c r="J3540" s="556">
        <f t="shared" si="120"/>
        <v>0</v>
      </c>
      <c r="K3540" s="505"/>
      <c r="L3540" s="505"/>
      <c r="M3540" s="505"/>
      <c r="N3540" s="505"/>
      <c r="O3540" s="505"/>
      <c r="P3540" s="505"/>
      <c r="Q3540" s="505"/>
      <c r="R3540" s="505"/>
      <c r="S3540" s="505"/>
      <c r="T3540" s="505"/>
      <c r="U3540" s="505"/>
      <c r="V3540" s="505"/>
      <c r="W3540" s="505"/>
      <c r="X3540" s="505"/>
      <c r="Y3540" s="505"/>
    </row>
    <row r="3541" spans="1:25" s="88" customFormat="1" hidden="1" x14ac:dyDescent="0.25">
      <c r="A3541" s="258"/>
      <c r="B3541" s="258"/>
      <c r="C3541" s="261"/>
      <c r="D3541" s="258"/>
      <c r="E3541" s="679"/>
      <c r="F3541" s="499">
        <v>494</v>
      </c>
      <c r="G3541" s="492" t="s">
        <v>4135</v>
      </c>
      <c r="H3541" s="555"/>
      <c r="I3541" s="556"/>
      <c r="J3541" s="556">
        <f t="shared" si="120"/>
        <v>0</v>
      </c>
      <c r="K3541" s="505"/>
      <c r="L3541" s="505"/>
      <c r="M3541" s="505"/>
      <c r="N3541" s="505"/>
      <c r="O3541" s="505"/>
      <c r="P3541" s="505"/>
      <c r="Q3541" s="505"/>
      <c r="R3541" s="505"/>
      <c r="S3541" s="505"/>
      <c r="T3541" s="505"/>
      <c r="U3541" s="505"/>
      <c r="V3541" s="505"/>
      <c r="W3541" s="505"/>
      <c r="X3541" s="505"/>
      <c r="Y3541" s="505"/>
    </row>
    <row r="3542" spans="1:25" s="88" customFormat="1" ht="30" hidden="1" x14ac:dyDescent="0.25">
      <c r="A3542" s="258"/>
      <c r="B3542" s="258"/>
      <c r="C3542" s="261"/>
      <c r="D3542" s="258"/>
      <c r="E3542" s="679"/>
      <c r="F3542" s="499">
        <v>495</v>
      </c>
      <c r="G3542" s="492" t="s">
        <v>4136</v>
      </c>
      <c r="H3542" s="555"/>
      <c r="I3542" s="556"/>
      <c r="J3542" s="556">
        <f t="shared" si="120"/>
        <v>0</v>
      </c>
      <c r="K3542" s="505"/>
      <c r="L3542" s="505"/>
      <c r="M3542" s="505"/>
      <c r="N3542" s="505"/>
      <c r="O3542" s="505"/>
      <c r="P3542" s="505"/>
      <c r="Q3542" s="505"/>
      <c r="R3542" s="505"/>
      <c r="S3542" s="505"/>
      <c r="T3542" s="505"/>
      <c r="U3542" s="505"/>
      <c r="V3542" s="505"/>
      <c r="W3542" s="505"/>
      <c r="X3542" s="505"/>
      <c r="Y3542" s="505"/>
    </row>
    <row r="3543" spans="1:25" s="88" customFormat="1" ht="30" hidden="1" x14ac:dyDescent="0.25">
      <c r="A3543" s="258"/>
      <c r="B3543" s="258"/>
      <c r="C3543" s="261"/>
      <c r="D3543" s="258"/>
      <c r="E3543" s="679"/>
      <c r="F3543" s="499">
        <v>496</v>
      </c>
      <c r="G3543" s="492" t="s">
        <v>4137</v>
      </c>
      <c r="H3543" s="555"/>
      <c r="I3543" s="556"/>
      <c r="J3543" s="556">
        <f t="shared" si="120"/>
        <v>0</v>
      </c>
      <c r="K3543" s="505"/>
      <c r="L3543" s="505"/>
      <c r="M3543" s="505"/>
      <c r="N3543" s="505"/>
      <c r="O3543" s="505"/>
      <c r="P3543" s="505"/>
      <c r="Q3543" s="505"/>
      <c r="R3543" s="505"/>
      <c r="S3543" s="505"/>
      <c r="T3543" s="505"/>
      <c r="U3543" s="505"/>
      <c r="V3543" s="505"/>
      <c r="W3543" s="505"/>
      <c r="X3543" s="505"/>
      <c r="Y3543" s="505"/>
    </row>
    <row r="3544" spans="1:25" s="88" customFormat="1" ht="30" hidden="1" x14ac:dyDescent="0.25">
      <c r="A3544" s="258"/>
      <c r="B3544" s="258"/>
      <c r="C3544" s="261"/>
      <c r="D3544" s="258"/>
      <c r="E3544" s="679"/>
      <c r="F3544" s="499">
        <v>499</v>
      </c>
      <c r="G3544" s="492" t="s">
        <v>4138</v>
      </c>
      <c r="H3544" s="555"/>
      <c r="I3544" s="556"/>
      <c r="J3544" s="556">
        <f t="shared" si="120"/>
        <v>0</v>
      </c>
      <c r="K3544" s="505"/>
      <c r="L3544" s="505"/>
      <c r="M3544" s="505"/>
      <c r="N3544" s="505"/>
      <c r="O3544" s="505"/>
      <c r="P3544" s="505"/>
      <c r="Q3544" s="505"/>
      <c r="R3544" s="505"/>
      <c r="S3544" s="505"/>
      <c r="T3544" s="505"/>
      <c r="U3544" s="505"/>
      <c r="V3544" s="505"/>
      <c r="W3544" s="505"/>
      <c r="X3544" s="505"/>
      <c r="Y3544" s="505"/>
    </row>
    <row r="3545" spans="1:25" s="88" customFormat="1" hidden="1" x14ac:dyDescent="0.25">
      <c r="A3545" s="258"/>
      <c r="B3545" s="258"/>
      <c r="C3545" s="261"/>
      <c r="D3545" s="258"/>
      <c r="E3545" s="679"/>
      <c r="F3545" s="499">
        <v>511</v>
      </c>
      <c r="G3545" s="496" t="s">
        <v>4158</v>
      </c>
      <c r="H3545" s="555"/>
      <c r="I3545" s="556"/>
      <c r="J3545" s="556">
        <f t="shared" si="120"/>
        <v>0</v>
      </c>
      <c r="K3545" s="505"/>
      <c r="L3545" s="505"/>
      <c r="M3545" s="505"/>
      <c r="N3545" s="505"/>
      <c r="O3545" s="505"/>
      <c r="P3545" s="505"/>
      <c r="Q3545" s="505"/>
      <c r="R3545" s="505"/>
      <c r="S3545" s="505"/>
      <c r="T3545" s="505"/>
      <c r="U3545" s="505"/>
      <c r="V3545" s="505"/>
      <c r="W3545" s="505"/>
      <c r="X3545" s="505"/>
      <c r="Y3545" s="505"/>
    </row>
    <row r="3546" spans="1:25" s="88" customFormat="1" hidden="1" x14ac:dyDescent="0.25">
      <c r="A3546" s="258"/>
      <c r="B3546" s="258"/>
      <c r="C3546" s="261"/>
      <c r="D3546" s="258"/>
      <c r="E3546" s="679"/>
      <c r="F3546" s="499">
        <v>512</v>
      </c>
      <c r="G3546" s="496" t="s">
        <v>4159</v>
      </c>
      <c r="H3546" s="555"/>
      <c r="I3546" s="556"/>
      <c r="J3546" s="556">
        <f t="shared" si="120"/>
        <v>0</v>
      </c>
      <c r="K3546" s="505"/>
      <c r="L3546" s="505"/>
      <c r="M3546" s="505"/>
      <c r="N3546" s="505"/>
      <c r="O3546" s="505"/>
      <c r="P3546" s="505"/>
      <c r="Q3546" s="505"/>
      <c r="R3546" s="505"/>
      <c r="S3546" s="505"/>
      <c r="T3546" s="505"/>
      <c r="U3546" s="505"/>
      <c r="V3546" s="505"/>
      <c r="W3546" s="505"/>
      <c r="X3546" s="505"/>
      <c r="Y3546" s="505"/>
    </row>
    <row r="3547" spans="1:25" s="88" customFormat="1" hidden="1" x14ac:dyDescent="0.25">
      <c r="A3547" s="258"/>
      <c r="B3547" s="258"/>
      <c r="C3547" s="261"/>
      <c r="D3547" s="258"/>
      <c r="E3547" s="679"/>
      <c r="F3547" s="499">
        <v>513</v>
      </c>
      <c r="G3547" s="496" t="s">
        <v>4160</v>
      </c>
      <c r="H3547" s="555"/>
      <c r="I3547" s="556"/>
      <c r="J3547" s="556">
        <f t="shared" si="120"/>
        <v>0</v>
      </c>
      <c r="K3547" s="505"/>
      <c r="L3547" s="505"/>
      <c r="M3547" s="505"/>
      <c r="N3547" s="505"/>
      <c r="O3547" s="505"/>
      <c r="P3547" s="505"/>
      <c r="Q3547" s="505"/>
      <c r="R3547" s="505"/>
      <c r="S3547" s="505"/>
      <c r="T3547" s="505"/>
      <c r="U3547" s="505"/>
      <c r="V3547" s="505"/>
      <c r="W3547" s="505"/>
      <c r="X3547" s="505"/>
      <c r="Y3547" s="505"/>
    </row>
    <row r="3548" spans="1:25" s="88" customFormat="1" hidden="1" x14ac:dyDescent="0.25">
      <c r="A3548" s="258"/>
      <c r="B3548" s="258"/>
      <c r="C3548" s="261"/>
      <c r="D3548" s="258"/>
      <c r="E3548" s="679"/>
      <c r="F3548" s="499">
        <v>514</v>
      </c>
      <c r="G3548" s="492" t="s">
        <v>4161</v>
      </c>
      <c r="H3548" s="555"/>
      <c r="I3548" s="556"/>
      <c r="J3548" s="556">
        <f t="shared" si="120"/>
        <v>0</v>
      </c>
      <c r="K3548" s="505"/>
      <c r="L3548" s="505"/>
      <c r="M3548" s="505"/>
      <c r="N3548" s="505"/>
      <c r="O3548" s="505"/>
      <c r="P3548" s="505"/>
      <c r="Q3548" s="505"/>
      <c r="R3548" s="505"/>
      <c r="S3548" s="505"/>
      <c r="T3548" s="505"/>
      <c r="U3548" s="505"/>
      <c r="V3548" s="505"/>
      <c r="W3548" s="505"/>
      <c r="X3548" s="505"/>
      <c r="Y3548" s="505"/>
    </row>
    <row r="3549" spans="1:25" s="88" customFormat="1" hidden="1" x14ac:dyDescent="0.25">
      <c r="A3549" s="258"/>
      <c r="B3549" s="258"/>
      <c r="C3549" s="261"/>
      <c r="D3549" s="258"/>
      <c r="E3549" s="679"/>
      <c r="F3549" s="499">
        <v>515</v>
      </c>
      <c r="G3549" s="492" t="s">
        <v>3834</v>
      </c>
      <c r="H3549" s="555"/>
      <c r="I3549" s="556"/>
      <c r="J3549" s="556">
        <f t="shared" si="120"/>
        <v>0</v>
      </c>
      <c r="K3549" s="505"/>
      <c r="L3549" s="505"/>
      <c r="M3549" s="505"/>
      <c r="N3549" s="505"/>
      <c r="O3549" s="505"/>
      <c r="P3549" s="505"/>
      <c r="Q3549" s="505"/>
      <c r="R3549" s="505"/>
      <c r="S3549" s="505"/>
      <c r="T3549" s="505"/>
      <c r="U3549" s="505"/>
      <c r="V3549" s="505"/>
      <c r="W3549" s="505"/>
      <c r="X3549" s="505"/>
      <c r="Y3549" s="505"/>
    </row>
    <row r="3550" spans="1:25" s="88" customFormat="1" hidden="1" x14ac:dyDescent="0.25">
      <c r="A3550" s="258"/>
      <c r="B3550" s="258"/>
      <c r="C3550" s="261"/>
      <c r="D3550" s="258"/>
      <c r="E3550" s="679"/>
      <c r="F3550" s="499">
        <v>521</v>
      </c>
      <c r="G3550" s="492" t="s">
        <v>4162</v>
      </c>
      <c r="H3550" s="555"/>
      <c r="I3550" s="556"/>
      <c r="J3550" s="556">
        <f t="shared" si="120"/>
        <v>0</v>
      </c>
      <c r="K3550" s="505"/>
      <c r="L3550" s="505"/>
      <c r="M3550" s="505"/>
      <c r="N3550" s="505"/>
      <c r="O3550" s="505"/>
      <c r="P3550" s="505"/>
      <c r="Q3550" s="505"/>
      <c r="R3550" s="505"/>
      <c r="S3550" s="505"/>
      <c r="T3550" s="505"/>
      <c r="U3550" s="505"/>
      <c r="V3550" s="505"/>
      <c r="W3550" s="505"/>
      <c r="X3550" s="505"/>
      <c r="Y3550" s="505"/>
    </row>
    <row r="3551" spans="1:25" s="88" customFormat="1" hidden="1" x14ac:dyDescent="0.25">
      <c r="A3551" s="258"/>
      <c r="B3551" s="258"/>
      <c r="C3551" s="261"/>
      <c r="D3551" s="258"/>
      <c r="E3551" s="679"/>
      <c r="F3551" s="499">
        <v>522</v>
      </c>
      <c r="G3551" s="492" t="s">
        <v>4163</v>
      </c>
      <c r="H3551" s="555"/>
      <c r="I3551" s="556"/>
      <c r="J3551" s="556">
        <f t="shared" si="120"/>
        <v>0</v>
      </c>
      <c r="K3551" s="505"/>
      <c r="L3551" s="505"/>
      <c r="M3551" s="505"/>
      <c r="N3551" s="505"/>
      <c r="O3551" s="505"/>
      <c r="P3551" s="505"/>
      <c r="Q3551" s="505"/>
      <c r="R3551" s="505"/>
      <c r="S3551" s="505"/>
      <c r="T3551" s="505"/>
      <c r="U3551" s="505"/>
      <c r="V3551" s="505"/>
      <c r="W3551" s="505"/>
      <c r="X3551" s="505"/>
      <c r="Y3551" s="505"/>
    </row>
    <row r="3552" spans="1:25" s="88" customFormat="1" hidden="1" x14ac:dyDescent="0.25">
      <c r="A3552" s="258"/>
      <c r="B3552" s="258"/>
      <c r="C3552" s="261"/>
      <c r="D3552" s="258"/>
      <c r="E3552" s="679"/>
      <c r="F3552" s="499">
        <v>523</v>
      </c>
      <c r="G3552" s="492" t="s">
        <v>3839</v>
      </c>
      <c r="H3552" s="555"/>
      <c r="I3552" s="556"/>
      <c r="J3552" s="556">
        <f t="shared" si="120"/>
        <v>0</v>
      </c>
      <c r="K3552" s="505"/>
      <c r="L3552" s="505"/>
      <c r="M3552" s="505"/>
      <c r="N3552" s="505"/>
      <c r="O3552" s="505"/>
      <c r="P3552" s="505"/>
      <c r="Q3552" s="505"/>
      <c r="R3552" s="505"/>
      <c r="S3552" s="505"/>
      <c r="T3552" s="505"/>
      <c r="U3552" s="505"/>
      <c r="V3552" s="505"/>
      <c r="W3552" s="505"/>
      <c r="X3552" s="505"/>
      <c r="Y3552" s="505"/>
    </row>
    <row r="3553" spans="1:25" s="88" customFormat="1" hidden="1" x14ac:dyDescent="0.25">
      <c r="A3553" s="258"/>
      <c r="B3553" s="258"/>
      <c r="C3553" s="261"/>
      <c r="D3553" s="258"/>
      <c r="E3553" s="679"/>
      <c r="F3553" s="499">
        <v>531</v>
      </c>
      <c r="G3553" s="488" t="s">
        <v>4139</v>
      </c>
      <c r="H3553" s="555"/>
      <c r="I3553" s="556"/>
      <c r="J3553" s="556">
        <f t="shared" si="120"/>
        <v>0</v>
      </c>
      <c r="K3553" s="505"/>
      <c r="L3553" s="505"/>
      <c r="M3553" s="505"/>
      <c r="N3553" s="505"/>
      <c r="O3553" s="505"/>
      <c r="P3553" s="505"/>
      <c r="Q3553" s="505"/>
      <c r="R3553" s="505"/>
      <c r="S3553" s="505"/>
      <c r="T3553" s="505"/>
      <c r="U3553" s="505"/>
      <c r="V3553" s="505"/>
      <c r="W3553" s="505"/>
      <c r="X3553" s="505"/>
      <c r="Y3553" s="505"/>
    </row>
    <row r="3554" spans="1:25" s="88" customFormat="1" hidden="1" x14ac:dyDescent="0.25">
      <c r="A3554" s="258"/>
      <c r="B3554" s="258"/>
      <c r="C3554" s="261"/>
      <c r="D3554" s="258"/>
      <c r="E3554" s="679"/>
      <c r="F3554" s="499">
        <v>541</v>
      </c>
      <c r="G3554" s="492" t="s">
        <v>4164</v>
      </c>
      <c r="H3554" s="555"/>
      <c r="I3554" s="556"/>
      <c r="J3554" s="556">
        <f t="shared" si="120"/>
        <v>0</v>
      </c>
      <c r="K3554" s="505"/>
      <c r="L3554" s="505"/>
      <c r="M3554" s="505"/>
      <c r="N3554" s="505"/>
      <c r="O3554" s="505"/>
      <c r="P3554" s="505"/>
      <c r="Q3554" s="505"/>
      <c r="R3554" s="505"/>
      <c r="S3554" s="505"/>
      <c r="T3554" s="505"/>
      <c r="U3554" s="505"/>
      <c r="V3554" s="505"/>
      <c r="W3554" s="505"/>
      <c r="X3554" s="505"/>
      <c r="Y3554" s="505"/>
    </row>
    <row r="3555" spans="1:25" s="88" customFormat="1" hidden="1" x14ac:dyDescent="0.25">
      <c r="A3555" s="258"/>
      <c r="B3555" s="258"/>
      <c r="C3555" s="261"/>
      <c r="D3555" s="258"/>
      <c r="E3555" s="679"/>
      <c r="F3555" s="499">
        <v>542</v>
      </c>
      <c r="G3555" s="492" t="s">
        <v>4165</v>
      </c>
      <c r="H3555" s="555"/>
      <c r="I3555" s="556"/>
      <c r="J3555" s="556">
        <f t="shared" si="120"/>
        <v>0</v>
      </c>
      <c r="K3555" s="505"/>
      <c r="L3555" s="505"/>
      <c r="M3555" s="505"/>
      <c r="N3555" s="505"/>
      <c r="O3555" s="505"/>
      <c r="P3555" s="505"/>
      <c r="Q3555" s="505"/>
      <c r="R3555" s="505"/>
      <c r="S3555" s="505"/>
      <c r="T3555" s="505"/>
      <c r="U3555" s="505"/>
      <c r="V3555" s="505"/>
      <c r="W3555" s="505"/>
      <c r="X3555" s="505"/>
      <c r="Y3555" s="505"/>
    </row>
    <row r="3556" spans="1:25" s="88" customFormat="1" hidden="1" x14ac:dyDescent="0.25">
      <c r="A3556" s="258"/>
      <c r="B3556" s="258"/>
      <c r="C3556" s="261"/>
      <c r="D3556" s="258"/>
      <c r="E3556" s="679"/>
      <c r="F3556" s="499">
        <v>543</v>
      </c>
      <c r="G3556" s="492" t="s">
        <v>3844</v>
      </c>
      <c r="H3556" s="555"/>
      <c r="I3556" s="556"/>
      <c r="J3556" s="556">
        <f t="shared" si="120"/>
        <v>0</v>
      </c>
      <c r="K3556" s="505"/>
      <c r="L3556" s="505"/>
      <c r="M3556" s="505"/>
      <c r="N3556" s="505"/>
      <c r="O3556" s="505"/>
      <c r="P3556" s="505"/>
      <c r="Q3556" s="505"/>
      <c r="R3556" s="505"/>
      <c r="S3556" s="505"/>
      <c r="T3556" s="505"/>
      <c r="U3556" s="505"/>
      <c r="V3556" s="505"/>
      <c r="W3556" s="505"/>
      <c r="X3556" s="505"/>
      <c r="Y3556" s="505"/>
    </row>
    <row r="3557" spans="1:25" s="88" customFormat="1" ht="30" hidden="1" x14ac:dyDescent="0.25">
      <c r="A3557" s="258"/>
      <c r="B3557" s="258"/>
      <c r="C3557" s="261"/>
      <c r="D3557" s="258"/>
      <c r="E3557" s="679"/>
      <c r="F3557" s="499">
        <v>551</v>
      </c>
      <c r="G3557" s="492" t="s">
        <v>4140</v>
      </c>
      <c r="H3557" s="555"/>
      <c r="I3557" s="556"/>
      <c r="J3557" s="556">
        <f t="shared" si="120"/>
        <v>0</v>
      </c>
      <c r="K3557" s="505"/>
      <c r="L3557" s="505"/>
      <c r="M3557" s="505"/>
      <c r="N3557" s="505"/>
      <c r="O3557" s="505"/>
      <c r="P3557" s="505"/>
      <c r="Q3557" s="505"/>
      <c r="R3557" s="505"/>
      <c r="S3557" s="505"/>
      <c r="T3557" s="505"/>
      <c r="U3557" s="505"/>
      <c r="V3557" s="505"/>
      <c r="W3557" s="505"/>
      <c r="X3557" s="505"/>
      <c r="Y3557" s="505"/>
    </row>
    <row r="3558" spans="1:25" s="88" customFormat="1" hidden="1" x14ac:dyDescent="0.25">
      <c r="A3558" s="258"/>
      <c r="B3558" s="258"/>
      <c r="C3558" s="261"/>
      <c r="D3558" s="258"/>
      <c r="E3558" s="679"/>
      <c r="F3558" s="500">
        <v>611</v>
      </c>
      <c r="G3558" s="498" t="s">
        <v>3850</v>
      </c>
      <c r="H3558" s="555"/>
      <c r="I3558" s="556"/>
      <c r="J3558" s="556">
        <f t="shared" si="120"/>
        <v>0</v>
      </c>
      <c r="K3558" s="505"/>
      <c r="L3558" s="505"/>
      <c r="M3558" s="505"/>
      <c r="N3558" s="505"/>
      <c r="O3558" s="505"/>
      <c r="P3558" s="505"/>
      <c r="Q3558" s="505"/>
      <c r="R3558" s="505"/>
      <c r="S3558" s="505"/>
      <c r="T3558" s="505"/>
      <c r="U3558" s="505"/>
      <c r="V3558" s="505"/>
      <c r="W3558" s="505"/>
      <c r="X3558" s="505"/>
      <c r="Y3558" s="505"/>
    </row>
    <row r="3559" spans="1:25" s="88" customFormat="1" ht="15.75" hidden="1" thickBot="1" x14ac:dyDescent="0.3">
      <c r="A3559" s="258"/>
      <c r="B3559" s="258"/>
      <c r="C3559" s="261"/>
      <c r="D3559" s="258"/>
      <c r="E3559" s="679"/>
      <c r="F3559" s="500">
        <v>620</v>
      </c>
      <c r="G3559" s="498" t="s">
        <v>88</v>
      </c>
      <c r="H3559" s="555"/>
      <c r="I3559" s="556"/>
      <c r="J3559" s="556">
        <f t="shared" si="120"/>
        <v>0</v>
      </c>
      <c r="K3559" s="505"/>
      <c r="L3559" s="505"/>
      <c r="M3559" s="505"/>
      <c r="N3559" s="505"/>
      <c r="O3559" s="505"/>
      <c r="P3559" s="505"/>
      <c r="Q3559" s="505"/>
      <c r="R3559" s="505"/>
      <c r="S3559" s="505"/>
      <c r="T3559" s="505"/>
      <c r="U3559" s="505"/>
      <c r="V3559" s="505"/>
      <c r="W3559" s="505"/>
      <c r="X3559" s="505"/>
      <c r="Y3559" s="505"/>
    </row>
    <row r="3560" spans="1:25" s="88" customFormat="1" x14ac:dyDescent="0.25">
      <c r="A3560" s="258"/>
      <c r="B3560" s="258"/>
      <c r="C3560" s="261"/>
      <c r="D3560" s="258"/>
      <c r="E3560" s="489"/>
      <c r="F3560" s="500"/>
      <c r="G3560" s="343" t="s">
        <v>4337</v>
      </c>
      <c r="H3560" s="557"/>
      <c r="I3560" s="583"/>
      <c r="J3560" s="558"/>
      <c r="K3560" s="505"/>
      <c r="L3560" s="505"/>
      <c r="M3560" s="505"/>
      <c r="N3560" s="505"/>
      <c r="O3560" s="505"/>
      <c r="P3560" s="505"/>
      <c r="Q3560" s="505"/>
      <c r="R3560" s="505"/>
      <c r="S3560" s="505"/>
      <c r="T3560" s="505"/>
      <c r="U3560" s="505"/>
      <c r="V3560" s="505"/>
      <c r="W3560" s="505"/>
      <c r="X3560" s="505"/>
      <c r="Y3560" s="505"/>
    </row>
    <row r="3561" spans="1:25" s="88" customFormat="1" ht="15" customHeight="1" thickBot="1" x14ac:dyDescent="0.3">
      <c r="A3561" s="258"/>
      <c r="B3561" s="258"/>
      <c r="C3561" s="261"/>
      <c r="D3561" s="258"/>
      <c r="E3561" s="693"/>
      <c r="F3561" s="597" t="s">
        <v>234</v>
      </c>
      <c r="G3561" s="598" t="s">
        <v>235</v>
      </c>
      <c r="H3561" s="559">
        <f>SUM(H3500:H3559)</f>
        <v>950000</v>
      </c>
      <c r="I3561" s="560"/>
      <c r="J3561" s="560">
        <f t="shared" ref="J3561:J3576" si="121">SUM(H3561:I3561)</f>
        <v>950000</v>
      </c>
      <c r="K3561" s="505"/>
      <c r="L3561" s="505"/>
      <c r="M3561" s="505"/>
      <c r="N3561" s="505"/>
      <c r="O3561" s="505"/>
      <c r="P3561" s="505"/>
      <c r="Q3561" s="505"/>
      <c r="R3561" s="505"/>
      <c r="S3561" s="505"/>
      <c r="T3561" s="505"/>
      <c r="U3561" s="505"/>
      <c r="V3561" s="505"/>
      <c r="W3561" s="505"/>
      <c r="X3561" s="505"/>
      <c r="Y3561" s="505"/>
    </row>
    <row r="3562" spans="1:25" s="88" customFormat="1" hidden="1" x14ac:dyDescent="0.25">
      <c r="A3562" s="258"/>
      <c r="B3562" s="258"/>
      <c r="C3562" s="261"/>
      <c r="D3562" s="258"/>
      <c r="E3562" s="679"/>
      <c r="F3562" s="597" t="s">
        <v>236</v>
      </c>
      <c r="G3562" s="598" t="s">
        <v>237</v>
      </c>
      <c r="H3562" s="555"/>
      <c r="I3562" s="556"/>
      <c r="J3562" s="560">
        <f t="shared" si="121"/>
        <v>0</v>
      </c>
      <c r="K3562" s="505"/>
      <c r="L3562" s="505"/>
      <c r="M3562" s="505"/>
      <c r="N3562" s="505"/>
      <c r="O3562" s="505"/>
      <c r="P3562" s="505"/>
      <c r="Q3562" s="505"/>
      <c r="R3562" s="505"/>
      <c r="S3562" s="505"/>
      <c r="T3562" s="505"/>
      <c r="U3562" s="505"/>
      <c r="V3562" s="505"/>
      <c r="W3562" s="505"/>
      <c r="X3562" s="505"/>
      <c r="Y3562" s="505"/>
    </row>
    <row r="3563" spans="1:25" s="88" customFormat="1" hidden="1" x14ac:dyDescent="0.25">
      <c r="A3563" s="258"/>
      <c r="B3563" s="258"/>
      <c r="C3563" s="261"/>
      <c r="D3563" s="258"/>
      <c r="E3563" s="679"/>
      <c r="F3563" s="597" t="s">
        <v>238</v>
      </c>
      <c r="G3563" s="598" t="s">
        <v>239</v>
      </c>
      <c r="H3563" s="555"/>
      <c r="I3563" s="556"/>
      <c r="J3563" s="560">
        <f t="shared" si="121"/>
        <v>0</v>
      </c>
      <c r="K3563" s="505"/>
      <c r="L3563" s="505"/>
      <c r="M3563" s="505"/>
      <c r="N3563" s="505"/>
      <c r="O3563" s="505"/>
      <c r="P3563" s="505"/>
      <c r="Q3563" s="505"/>
      <c r="R3563" s="505"/>
      <c r="S3563" s="505"/>
      <c r="T3563" s="505"/>
      <c r="U3563" s="505"/>
      <c r="V3563" s="505"/>
      <c r="W3563" s="505"/>
      <c r="X3563" s="505"/>
      <c r="Y3563" s="505"/>
    </row>
    <row r="3564" spans="1:25" s="88" customFormat="1" hidden="1" x14ac:dyDescent="0.25">
      <c r="A3564" s="258"/>
      <c r="B3564" s="258"/>
      <c r="C3564" s="261"/>
      <c r="D3564" s="258"/>
      <c r="E3564" s="679"/>
      <c r="F3564" s="597" t="s">
        <v>240</v>
      </c>
      <c r="G3564" s="598" t="s">
        <v>241</v>
      </c>
      <c r="H3564" s="555"/>
      <c r="I3564" s="556"/>
      <c r="J3564" s="560">
        <f t="shared" si="121"/>
        <v>0</v>
      </c>
      <c r="K3564" s="505"/>
      <c r="L3564" s="505"/>
      <c r="M3564" s="505"/>
      <c r="N3564" s="505"/>
      <c r="O3564" s="505"/>
      <c r="P3564" s="505"/>
      <c r="Q3564" s="505"/>
      <c r="R3564" s="505"/>
      <c r="S3564" s="505"/>
      <c r="T3564" s="505"/>
      <c r="U3564" s="505"/>
      <c r="V3564" s="505"/>
      <c r="W3564" s="505"/>
      <c r="X3564" s="505"/>
      <c r="Y3564" s="505"/>
    </row>
    <row r="3565" spans="1:25" s="88" customFormat="1" hidden="1" x14ac:dyDescent="0.25">
      <c r="A3565" s="258"/>
      <c r="B3565" s="258"/>
      <c r="C3565" s="261"/>
      <c r="D3565" s="258"/>
      <c r="E3565" s="679"/>
      <c r="F3565" s="597" t="s">
        <v>242</v>
      </c>
      <c r="G3565" s="598" t="s">
        <v>243</v>
      </c>
      <c r="H3565" s="555"/>
      <c r="I3565" s="556"/>
      <c r="J3565" s="560">
        <f t="shared" si="121"/>
        <v>0</v>
      </c>
      <c r="K3565" s="505"/>
      <c r="L3565" s="505"/>
      <c r="M3565" s="505"/>
      <c r="N3565" s="505"/>
      <c r="O3565" s="505"/>
      <c r="P3565" s="505"/>
      <c r="Q3565" s="505"/>
      <c r="R3565" s="505"/>
      <c r="S3565" s="505"/>
      <c r="T3565" s="505"/>
      <c r="U3565" s="505"/>
      <c r="V3565" s="505"/>
      <c r="W3565" s="505"/>
      <c r="X3565" s="505"/>
      <c r="Y3565" s="505"/>
    </row>
    <row r="3566" spans="1:25" s="88" customFormat="1" hidden="1" x14ac:dyDescent="0.25">
      <c r="A3566" s="258"/>
      <c r="B3566" s="258"/>
      <c r="C3566" s="261"/>
      <c r="D3566" s="258"/>
      <c r="E3566" s="679"/>
      <c r="F3566" s="597" t="s">
        <v>244</v>
      </c>
      <c r="G3566" s="598" t="s">
        <v>245</v>
      </c>
      <c r="H3566" s="555"/>
      <c r="I3566" s="556"/>
      <c r="J3566" s="560">
        <f t="shared" si="121"/>
        <v>0</v>
      </c>
      <c r="K3566" s="505"/>
      <c r="L3566" s="505"/>
      <c r="M3566" s="505"/>
      <c r="N3566" s="505"/>
      <c r="O3566" s="505"/>
      <c r="P3566" s="505"/>
      <c r="Q3566" s="505"/>
      <c r="R3566" s="505"/>
      <c r="S3566" s="505"/>
      <c r="T3566" s="505"/>
      <c r="U3566" s="505"/>
      <c r="V3566" s="505"/>
      <c r="W3566" s="505"/>
      <c r="X3566" s="505"/>
      <c r="Y3566" s="505"/>
    </row>
    <row r="3567" spans="1:25" s="88" customFormat="1" hidden="1" x14ac:dyDescent="0.25">
      <c r="A3567" s="258"/>
      <c r="B3567" s="258"/>
      <c r="C3567" s="261"/>
      <c r="D3567" s="258"/>
      <c r="E3567" s="679"/>
      <c r="F3567" s="597" t="s">
        <v>246</v>
      </c>
      <c r="G3567" s="598" t="s">
        <v>4996</v>
      </c>
      <c r="H3567" s="555"/>
      <c r="I3567" s="556"/>
      <c r="J3567" s="560">
        <f t="shared" si="121"/>
        <v>0</v>
      </c>
      <c r="K3567" s="505"/>
      <c r="L3567" s="505"/>
      <c r="M3567" s="505"/>
      <c r="N3567" s="505"/>
      <c r="O3567" s="505"/>
      <c r="P3567" s="505"/>
      <c r="Q3567" s="505"/>
      <c r="R3567" s="505"/>
      <c r="S3567" s="505"/>
      <c r="T3567" s="505"/>
      <c r="U3567" s="505"/>
      <c r="V3567" s="505"/>
      <c r="W3567" s="505"/>
      <c r="X3567" s="505"/>
      <c r="Y3567" s="505"/>
    </row>
    <row r="3568" spans="1:25" s="88" customFormat="1" hidden="1" x14ac:dyDescent="0.25">
      <c r="A3568" s="258"/>
      <c r="B3568" s="258"/>
      <c r="C3568" s="261"/>
      <c r="D3568" s="258"/>
      <c r="E3568" s="679"/>
      <c r="F3568" s="597" t="s">
        <v>247</v>
      </c>
      <c r="G3568" s="598" t="s">
        <v>4995</v>
      </c>
      <c r="H3568" s="555"/>
      <c r="I3568" s="556"/>
      <c r="J3568" s="560">
        <f t="shared" si="121"/>
        <v>0</v>
      </c>
      <c r="K3568" s="505"/>
      <c r="L3568" s="505"/>
      <c r="M3568" s="505"/>
      <c r="N3568" s="505"/>
      <c r="O3568" s="505"/>
      <c r="P3568" s="505"/>
      <c r="Q3568" s="505"/>
      <c r="R3568" s="505"/>
      <c r="S3568" s="505"/>
      <c r="T3568" s="505"/>
      <c r="U3568" s="505"/>
      <c r="V3568" s="505"/>
      <c r="W3568" s="505"/>
      <c r="X3568" s="505"/>
      <c r="Y3568" s="505"/>
    </row>
    <row r="3569" spans="1:25" s="88" customFormat="1" hidden="1" x14ac:dyDescent="0.25">
      <c r="A3569" s="258"/>
      <c r="B3569" s="258"/>
      <c r="C3569" s="261"/>
      <c r="D3569" s="258"/>
      <c r="E3569" s="679"/>
      <c r="F3569" s="597" t="s">
        <v>248</v>
      </c>
      <c r="G3569" s="598" t="s">
        <v>57</v>
      </c>
      <c r="H3569" s="555"/>
      <c r="I3569" s="556"/>
      <c r="J3569" s="560">
        <f t="shared" si="121"/>
        <v>0</v>
      </c>
      <c r="K3569" s="505"/>
      <c r="L3569" s="505"/>
      <c r="M3569" s="505"/>
      <c r="N3569" s="505"/>
      <c r="O3569" s="505"/>
      <c r="P3569" s="505"/>
      <c r="Q3569" s="505"/>
      <c r="R3569" s="505"/>
      <c r="S3569" s="505"/>
      <c r="T3569" s="505"/>
      <c r="U3569" s="505"/>
      <c r="V3569" s="505"/>
      <c r="W3569" s="505"/>
      <c r="X3569" s="505"/>
      <c r="Y3569" s="505"/>
    </row>
    <row r="3570" spans="1:25" s="88" customFormat="1" hidden="1" x14ac:dyDescent="0.25">
      <c r="A3570" s="258"/>
      <c r="B3570" s="258"/>
      <c r="C3570" s="261"/>
      <c r="D3570" s="258"/>
      <c r="E3570" s="679"/>
      <c r="F3570" s="597" t="s">
        <v>249</v>
      </c>
      <c r="G3570" s="598" t="s">
        <v>250</v>
      </c>
      <c r="H3570" s="555"/>
      <c r="I3570" s="556"/>
      <c r="J3570" s="560">
        <f t="shared" si="121"/>
        <v>0</v>
      </c>
      <c r="K3570" s="505"/>
      <c r="L3570" s="505"/>
      <c r="M3570" s="505"/>
      <c r="N3570" s="505"/>
      <c r="O3570" s="505"/>
      <c r="P3570" s="505"/>
      <c r="Q3570" s="505"/>
      <c r="R3570" s="505"/>
      <c r="S3570" s="505"/>
      <c r="T3570" s="505"/>
      <c r="U3570" s="505"/>
      <c r="V3570" s="505"/>
      <c r="W3570" s="505"/>
      <c r="X3570" s="505"/>
      <c r="Y3570" s="505"/>
    </row>
    <row r="3571" spans="1:25" s="88" customFormat="1" hidden="1" x14ac:dyDescent="0.25">
      <c r="A3571" s="258"/>
      <c r="B3571" s="258"/>
      <c r="C3571" s="261"/>
      <c r="D3571" s="258"/>
      <c r="E3571" s="679"/>
      <c r="F3571" s="597" t="s">
        <v>251</v>
      </c>
      <c r="G3571" s="598" t="s">
        <v>252</v>
      </c>
      <c r="H3571" s="555"/>
      <c r="I3571" s="556"/>
      <c r="J3571" s="560">
        <f t="shared" si="121"/>
        <v>0</v>
      </c>
      <c r="K3571" s="505"/>
      <c r="L3571" s="505"/>
      <c r="M3571" s="505"/>
      <c r="N3571" s="505"/>
      <c r="O3571" s="505"/>
      <c r="P3571" s="505"/>
      <c r="Q3571" s="505"/>
      <c r="R3571" s="505"/>
      <c r="S3571" s="505"/>
      <c r="T3571" s="505"/>
      <c r="U3571" s="505"/>
      <c r="V3571" s="505"/>
      <c r="W3571" s="505"/>
      <c r="X3571" s="505"/>
      <c r="Y3571" s="505"/>
    </row>
    <row r="3572" spans="1:25" s="88" customFormat="1" ht="30" hidden="1" x14ac:dyDescent="0.25">
      <c r="A3572" s="258"/>
      <c r="B3572" s="258"/>
      <c r="C3572" s="261"/>
      <c r="D3572" s="258"/>
      <c r="E3572" s="679"/>
      <c r="F3572" s="597" t="s">
        <v>253</v>
      </c>
      <c r="G3572" s="598" t="s">
        <v>254</v>
      </c>
      <c r="H3572" s="555"/>
      <c r="I3572" s="556"/>
      <c r="J3572" s="560">
        <f t="shared" si="121"/>
        <v>0</v>
      </c>
      <c r="K3572" s="505"/>
      <c r="L3572" s="505"/>
      <c r="M3572" s="505"/>
      <c r="N3572" s="505"/>
      <c r="O3572" s="505"/>
      <c r="P3572" s="505"/>
      <c r="Q3572" s="505"/>
      <c r="R3572" s="505"/>
      <c r="S3572" s="505"/>
      <c r="T3572" s="505"/>
      <c r="U3572" s="505"/>
      <c r="V3572" s="505"/>
      <c r="W3572" s="505"/>
      <c r="X3572" s="505"/>
      <c r="Y3572" s="505"/>
    </row>
    <row r="3573" spans="1:25" s="88" customFormat="1" hidden="1" x14ac:dyDescent="0.25">
      <c r="A3573" s="258"/>
      <c r="B3573" s="258"/>
      <c r="C3573" s="261"/>
      <c r="D3573" s="258"/>
      <c r="E3573" s="679"/>
      <c r="F3573" s="597" t="s">
        <v>255</v>
      </c>
      <c r="G3573" s="598" t="s">
        <v>256</v>
      </c>
      <c r="H3573" s="555"/>
      <c r="I3573" s="556"/>
      <c r="J3573" s="560">
        <f t="shared" si="121"/>
        <v>0</v>
      </c>
      <c r="K3573" s="505"/>
      <c r="L3573" s="505"/>
      <c r="M3573" s="505"/>
      <c r="N3573" s="505"/>
      <c r="O3573" s="505"/>
      <c r="P3573" s="505"/>
      <c r="Q3573" s="505"/>
      <c r="R3573" s="505"/>
      <c r="S3573" s="505"/>
      <c r="T3573" s="505"/>
      <c r="U3573" s="505"/>
      <c r="V3573" s="505"/>
      <c r="W3573" s="505"/>
      <c r="X3573" s="505"/>
      <c r="Y3573" s="505"/>
    </row>
    <row r="3574" spans="1:25" s="88" customFormat="1" ht="30" hidden="1" x14ac:dyDescent="0.25">
      <c r="A3574" s="258"/>
      <c r="B3574" s="258"/>
      <c r="C3574" s="261"/>
      <c r="D3574" s="258"/>
      <c r="E3574" s="679"/>
      <c r="F3574" s="597" t="s">
        <v>257</v>
      </c>
      <c r="G3574" s="598" t="s">
        <v>258</v>
      </c>
      <c r="H3574" s="555"/>
      <c r="I3574" s="556"/>
      <c r="J3574" s="560">
        <f t="shared" si="121"/>
        <v>0</v>
      </c>
      <c r="K3574" s="505"/>
      <c r="L3574" s="505"/>
      <c r="M3574" s="505"/>
      <c r="N3574" s="505"/>
      <c r="O3574" s="505"/>
      <c r="P3574" s="505"/>
      <c r="Q3574" s="505"/>
      <c r="R3574" s="505"/>
      <c r="S3574" s="505"/>
      <c r="T3574" s="505"/>
      <c r="U3574" s="505"/>
      <c r="V3574" s="505"/>
      <c r="W3574" s="505"/>
      <c r="X3574" s="505"/>
      <c r="Y3574" s="505"/>
    </row>
    <row r="3575" spans="1:25" s="88" customFormat="1" hidden="1" x14ac:dyDescent="0.25">
      <c r="A3575" s="258"/>
      <c r="B3575" s="258"/>
      <c r="C3575" s="261"/>
      <c r="D3575" s="258"/>
      <c r="E3575" s="679"/>
      <c r="F3575" s="597" t="s">
        <v>259</v>
      </c>
      <c r="G3575" s="598" t="s">
        <v>260</v>
      </c>
      <c r="H3575" s="555"/>
      <c r="I3575" s="556"/>
      <c r="J3575" s="560">
        <f t="shared" si="121"/>
        <v>0</v>
      </c>
      <c r="K3575" s="505"/>
      <c r="L3575" s="505"/>
      <c r="M3575" s="505"/>
      <c r="N3575" s="505"/>
      <c r="O3575" s="505"/>
      <c r="P3575" s="505"/>
      <c r="Q3575" s="505"/>
      <c r="R3575" s="505"/>
      <c r="S3575" s="505"/>
      <c r="T3575" s="505"/>
      <c r="U3575" s="505"/>
      <c r="V3575" s="505"/>
      <c r="W3575" s="505"/>
      <c r="X3575" s="505"/>
      <c r="Y3575" s="505"/>
    </row>
    <row r="3576" spans="1:25" s="88" customFormat="1" ht="15.75" hidden="1" thickBot="1" x14ac:dyDescent="0.3">
      <c r="A3576" s="258"/>
      <c r="B3576" s="258"/>
      <c r="C3576" s="261"/>
      <c r="D3576" s="258"/>
      <c r="E3576" s="679"/>
      <c r="F3576" s="597" t="s">
        <v>261</v>
      </c>
      <c r="G3576" s="598" t="s">
        <v>262</v>
      </c>
      <c r="H3576" s="559"/>
      <c r="I3576" s="560"/>
      <c r="J3576" s="560">
        <f t="shared" si="121"/>
        <v>0</v>
      </c>
      <c r="K3576" s="505"/>
      <c r="L3576" s="505"/>
      <c r="M3576" s="505"/>
      <c r="N3576" s="505"/>
      <c r="O3576" s="505"/>
      <c r="P3576" s="505"/>
      <c r="Q3576" s="505"/>
      <c r="R3576" s="505"/>
      <c r="S3576" s="505"/>
      <c r="T3576" s="505"/>
      <c r="U3576" s="505"/>
      <c r="V3576" s="505"/>
      <c r="W3576" s="505"/>
      <c r="X3576" s="505"/>
      <c r="Y3576" s="505"/>
    </row>
    <row r="3577" spans="1:25" s="88" customFormat="1" ht="14.25" customHeight="1" thickBot="1" x14ac:dyDescent="0.3">
      <c r="A3577" s="258"/>
      <c r="B3577" s="258"/>
      <c r="C3577" s="261"/>
      <c r="D3577" s="258"/>
      <c r="E3577" s="679"/>
      <c r="F3577" s="258"/>
      <c r="G3577" s="728" t="s">
        <v>4338</v>
      </c>
      <c r="H3577" s="561">
        <f>SUM(H3561:H3576)</f>
        <v>950000</v>
      </c>
      <c r="I3577" s="562">
        <f>SUM(I3562:I3576)</f>
        <v>0</v>
      </c>
      <c r="J3577" s="562">
        <f>SUM(J3561:J3576)</f>
        <v>950000</v>
      </c>
      <c r="K3577" s="505"/>
      <c r="L3577" s="505"/>
      <c r="M3577" s="505"/>
      <c r="N3577" s="505"/>
      <c r="O3577" s="505"/>
      <c r="P3577" s="505"/>
      <c r="Q3577" s="505"/>
      <c r="R3577" s="505"/>
      <c r="S3577" s="505"/>
      <c r="T3577" s="505"/>
      <c r="U3577" s="505"/>
      <c r="V3577" s="505"/>
      <c r="W3577" s="505"/>
      <c r="X3577" s="505"/>
      <c r="Y3577" s="505"/>
    </row>
    <row r="3578" spans="1:25" s="88" customFormat="1" ht="15" customHeight="1" x14ac:dyDescent="0.25">
      <c r="A3578" s="258"/>
      <c r="B3578" s="258"/>
      <c r="C3578" s="261"/>
      <c r="D3578" s="258"/>
      <c r="E3578" s="489"/>
      <c r="F3578" s="500"/>
      <c r="G3578" s="270" t="s">
        <v>5287</v>
      </c>
      <c r="H3578" s="563"/>
      <c r="I3578" s="584"/>
      <c r="J3578" s="564"/>
      <c r="K3578" s="505"/>
      <c r="L3578" s="505"/>
      <c r="M3578" s="505"/>
      <c r="N3578" s="505"/>
      <c r="O3578" s="505"/>
      <c r="P3578" s="505"/>
      <c r="Q3578" s="505"/>
      <c r="R3578" s="505"/>
      <c r="S3578" s="505"/>
      <c r="T3578" s="505"/>
      <c r="U3578" s="505"/>
      <c r="V3578" s="505"/>
      <c r="W3578" s="505"/>
      <c r="X3578" s="505"/>
      <c r="Y3578" s="505"/>
    </row>
    <row r="3579" spans="1:25" s="88" customFormat="1" ht="16.5" customHeight="1" thickBot="1" x14ac:dyDescent="0.3">
      <c r="A3579" s="258"/>
      <c r="B3579" s="258"/>
      <c r="C3579" s="261"/>
      <c r="D3579" s="258"/>
      <c r="E3579" s="693"/>
      <c r="F3579" s="597" t="s">
        <v>234</v>
      </c>
      <c r="G3579" s="598" t="s">
        <v>235</v>
      </c>
      <c r="H3579" s="559">
        <f>SUM(H3500:H3559)</f>
        <v>950000</v>
      </c>
      <c r="I3579" s="560"/>
      <c r="J3579" s="560">
        <f>SUM(H3579:I3579)</f>
        <v>950000</v>
      </c>
      <c r="K3579" s="505"/>
      <c r="L3579" s="505"/>
      <c r="M3579" s="505"/>
      <c r="N3579" s="505"/>
      <c r="O3579" s="505"/>
      <c r="P3579" s="505"/>
      <c r="Q3579" s="505"/>
      <c r="R3579" s="505"/>
      <c r="S3579" s="505"/>
      <c r="T3579" s="505"/>
      <c r="U3579" s="505"/>
      <c r="V3579" s="505"/>
      <c r="W3579" s="505"/>
      <c r="X3579" s="505"/>
      <c r="Y3579" s="505"/>
    </row>
    <row r="3580" spans="1:25" s="88" customFormat="1" hidden="1" x14ac:dyDescent="0.25">
      <c r="A3580" s="258"/>
      <c r="B3580" s="258"/>
      <c r="C3580" s="261"/>
      <c r="D3580" s="258"/>
      <c r="E3580" s="679"/>
      <c r="F3580" s="597" t="s">
        <v>236</v>
      </c>
      <c r="G3580" s="598" t="s">
        <v>237</v>
      </c>
      <c r="H3580" s="555"/>
      <c r="I3580" s="556"/>
      <c r="J3580" s="560">
        <f t="shared" ref="J3580:J3594" si="122">SUM(H3580:I3580)</f>
        <v>0</v>
      </c>
      <c r="K3580" s="505"/>
      <c r="L3580" s="505"/>
      <c r="M3580" s="505"/>
      <c r="N3580" s="505"/>
      <c r="O3580" s="505"/>
      <c r="P3580" s="505"/>
      <c r="Q3580" s="505"/>
      <c r="R3580" s="505"/>
      <c r="S3580" s="505"/>
      <c r="T3580" s="505"/>
      <c r="U3580" s="505"/>
      <c r="V3580" s="505"/>
      <c r="W3580" s="505"/>
      <c r="X3580" s="505"/>
      <c r="Y3580" s="505"/>
    </row>
    <row r="3581" spans="1:25" s="88" customFormat="1" hidden="1" x14ac:dyDescent="0.25">
      <c r="A3581" s="258"/>
      <c r="B3581" s="258"/>
      <c r="C3581" s="261"/>
      <c r="D3581" s="258"/>
      <c r="E3581" s="679"/>
      <c r="F3581" s="597" t="s">
        <v>238</v>
      </c>
      <c r="G3581" s="598" t="s">
        <v>239</v>
      </c>
      <c r="H3581" s="555"/>
      <c r="I3581" s="556"/>
      <c r="J3581" s="560">
        <f t="shared" si="122"/>
        <v>0</v>
      </c>
      <c r="K3581" s="505"/>
      <c r="L3581" s="505"/>
      <c r="M3581" s="505"/>
      <c r="N3581" s="505"/>
      <c r="O3581" s="505"/>
      <c r="P3581" s="505"/>
      <c r="Q3581" s="505"/>
      <c r="R3581" s="505"/>
      <c r="S3581" s="505"/>
      <c r="T3581" s="505"/>
      <c r="U3581" s="505"/>
      <c r="V3581" s="505"/>
      <c r="W3581" s="505"/>
      <c r="X3581" s="505"/>
      <c r="Y3581" s="505"/>
    </row>
    <row r="3582" spans="1:25" s="88" customFormat="1" hidden="1" x14ac:dyDescent="0.25">
      <c r="A3582" s="258"/>
      <c r="B3582" s="258"/>
      <c r="C3582" s="261"/>
      <c r="D3582" s="258"/>
      <c r="E3582" s="679"/>
      <c r="F3582" s="597" t="s">
        <v>240</v>
      </c>
      <c r="G3582" s="598" t="s">
        <v>241</v>
      </c>
      <c r="H3582" s="555"/>
      <c r="I3582" s="556"/>
      <c r="J3582" s="560">
        <f t="shared" si="122"/>
        <v>0</v>
      </c>
      <c r="K3582" s="505"/>
      <c r="L3582" s="505"/>
      <c r="M3582" s="505"/>
      <c r="N3582" s="505"/>
      <c r="O3582" s="505"/>
      <c r="P3582" s="505"/>
      <c r="Q3582" s="505"/>
      <c r="R3582" s="505"/>
      <c r="S3582" s="505"/>
      <c r="T3582" s="505"/>
      <c r="U3582" s="505"/>
      <c r="V3582" s="505"/>
      <c r="W3582" s="505"/>
      <c r="X3582" s="505"/>
      <c r="Y3582" s="505"/>
    </row>
    <row r="3583" spans="1:25" s="88" customFormat="1" hidden="1" x14ac:dyDescent="0.25">
      <c r="A3583" s="258"/>
      <c r="B3583" s="258"/>
      <c r="C3583" s="261"/>
      <c r="D3583" s="258"/>
      <c r="E3583" s="679"/>
      <c r="F3583" s="597" t="s">
        <v>242</v>
      </c>
      <c r="G3583" s="598" t="s">
        <v>243</v>
      </c>
      <c r="H3583" s="555"/>
      <c r="I3583" s="556"/>
      <c r="J3583" s="560">
        <f t="shared" si="122"/>
        <v>0</v>
      </c>
      <c r="K3583" s="505"/>
      <c r="L3583" s="505"/>
      <c r="M3583" s="505"/>
      <c r="N3583" s="505"/>
      <c r="O3583" s="505"/>
      <c r="P3583" s="505"/>
      <c r="Q3583" s="505"/>
      <c r="R3583" s="505"/>
      <c r="S3583" s="505"/>
      <c r="T3583" s="505"/>
      <c r="U3583" s="505"/>
      <c r="V3583" s="505"/>
      <c r="W3583" s="505"/>
      <c r="X3583" s="505"/>
      <c r="Y3583" s="505"/>
    </row>
    <row r="3584" spans="1:25" s="88" customFormat="1" hidden="1" x14ac:dyDescent="0.25">
      <c r="A3584" s="258"/>
      <c r="B3584" s="258"/>
      <c r="C3584" s="261"/>
      <c r="D3584" s="258"/>
      <c r="E3584" s="679"/>
      <c r="F3584" s="597" t="s">
        <v>244</v>
      </c>
      <c r="G3584" s="598" t="s">
        <v>245</v>
      </c>
      <c r="H3584" s="555"/>
      <c r="I3584" s="556"/>
      <c r="J3584" s="560">
        <f t="shared" si="122"/>
        <v>0</v>
      </c>
      <c r="K3584" s="505"/>
      <c r="L3584" s="505"/>
      <c r="M3584" s="505"/>
      <c r="N3584" s="505"/>
      <c r="O3584" s="505"/>
      <c r="P3584" s="505"/>
      <c r="Q3584" s="505"/>
      <c r="R3584" s="505"/>
      <c r="S3584" s="505"/>
      <c r="T3584" s="505"/>
      <c r="U3584" s="505"/>
      <c r="V3584" s="505"/>
      <c r="W3584" s="505"/>
      <c r="X3584" s="505"/>
      <c r="Y3584" s="505"/>
    </row>
    <row r="3585" spans="1:25" s="88" customFormat="1" hidden="1" x14ac:dyDescent="0.25">
      <c r="A3585" s="258"/>
      <c r="B3585" s="258"/>
      <c r="C3585" s="261"/>
      <c r="D3585" s="258"/>
      <c r="E3585" s="679"/>
      <c r="F3585" s="597" t="s">
        <v>246</v>
      </c>
      <c r="G3585" s="598" t="s">
        <v>4996</v>
      </c>
      <c r="H3585" s="555"/>
      <c r="I3585" s="556"/>
      <c r="J3585" s="560">
        <f t="shared" si="122"/>
        <v>0</v>
      </c>
      <c r="K3585" s="505"/>
      <c r="L3585" s="505"/>
      <c r="M3585" s="505"/>
      <c r="N3585" s="505"/>
      <c r="O3585" s="505"/>
      <c r="P3585" s="505"/>
      <c r="Q3585" s="505"/>
      <c r="R3585" s="505"/>
      <c r="S3585" s="505"/>
      <c r="T3585" s="505"/>
      <c r="U3585" s="505"/>
      <c r="V3585" s="505"/>
      <c r="W3585" s="505"/>
      <c r="X3585" s="505"/>
      <c r="Y3585" s="505"/>
    </row>
    <row r="3586" spans="1:25" s="88" customFormat="1" hidden="1" x14ac:dyDescent="0.25">
      <c r="A3586" s="258"/>
      <c r="B3586" s="258"/>
      <c r="C3586" s="261"/>
      <c r="D3586" s="258"/>
      <c r="E3586" s="679"/>
      <c r="F3586" s="597" t="s">
        <v>247</v>
      </c>
      <c r="G3586" s="598" t="s">
        <v>4995</v>
      </c>
      <c r="H3586" s="555"/>
      <c r="I3586" s="556"/>
      <c r="J3586" s="560">
        <f t="shared" si="122"/>
        <v>0</v>
      </c>
      <c r="K3586" s="505"/>
      <c r="L3586" s="505"/>
      <c r="M3586" s="505"/>
      <c r="N3586" s="505"/>
      <c r="O3586" s="505"/>
      <c r="P3586" s="505"/>
      <c r="Q3586" s="505"/>
      <c r="R3586" s="505"/>
      <c r="S3586" s="505"/>
      <c r="T3586" s="505"/>
      <c r="U3586" s="505"/>
      <c r="V3586" s="505"/>
      <c r="W3586" s="505"/>
      <c r="X3586" s="505"/>
      <c r="Y3586" s="505"/>
    </row>
    <row r="3587" spans="1:25" s="88" customFormat="1" hidden="1" x14ac:dyDescent="0.25">
      <c r="A3587" s="258"/>
      <c r="B3587" s="258"/>
      <c r="C3587" s="261"/>
      <c r="D3587" s="258"/>
      <c r="E3587" s="679"/>
      <c r="F3587" s="597" t="s">
        <v>248</v>
      </c>
      <c r="G3587" s="598" t="s">
        <v>57</v>
      </c>
      <c r="H3587" s="555"/>
      <c r="I3587" s="556"/>
      <c r="J3587" s="560">
        <f t="shared" si="122"/>
        <v>0</v>
      </c>
      <c r="K3587" s="505"/>
      <c r="L3587" s="505"/>
      <c r="M3587" s="505"/>
      <c r="N3587" s="505"/>
      <c r="O3587" s="505"/>
      <c r="P3587" s="505"/>
      <c r="Q3587" s="505"/>
      <c r="R3587" s="505"/>
      <c r="S3587" s="505"/>
      <c r="T3587" s="505"/>
      <c r="U3587" s="505"/>
      <c r="V3587" s="505"/>
      <c r="W3587" s="505"/>
      <c r="X3587" s="505"/>
      <c r="Y3587" s="505"/>
    </row>
    <row r="3588" spans="1:25" s="88" customFormat="1" hidden="1" x14ac:dyDescent="0.25">
      <c r="A3588" s="258"/>
      <c r="B3588" s="258"/>
      <c r="C3588" s="261"/>
      <c r="D3588" s="258"/>
      <c r="E3588" s="679"/>
      <c r="F3588" s="597" t="s">
        <v>249</v>
      </c>
      <c r="G3588" s="598" t="s">
        <v>250</v>
      </c>
      <c r="H3588" s="555"/>
      <c r="I3588" s="556"/>
      <c r="J3588" s="560">
        <f t="shared" si="122"/>
        <v>0</v>
      </c>
      <c r="K3588" s="505"/>
      <c r="L3588" s="505"/>
      <c r="M3588" s="505"/>
      <c r="N3588" s="505"/>
      <c r="O3588" s="505"/>
      <c r="P3588" s="505"/>
      <c r="Q3588" s="505"/>
      <c r="R3588" s="505"/>
      <c r="S3588" s="505"/>
      <c r="T3588" s="505"/>
      <c r="U3588" s="505"/>
      <c r="V3588" s="505"/>
      <c r="W3588" s="505"/>
      <c r="X3588" s="505"/>
      <c r="Y3588" s="505"/>
    </row>
    <row r="3589" spans="1:25" s="88" customFormat="1" hidden="1" x14ac:dyDescent="0.25">
      <c r="A3589" s="258"/>
      <c r="B3589" s="258"/>
      <c r="C3589" s="261"/>
      <c r="D3589" s="258"/>
      <c r="E3589" s="679"/>
      <c r="F3589" s="597" t="s">
        <v>251</v>
      </c>
      <c r="G3589" s="598" t="s">
        <v>252</v>
      </c>
      <c r="H3589" s="555"/>
      <c r="I3589" s="556"/>
      <c r="J3589" s="560">
        <f t="shared" si="122"/>
        <v>0</v>
      </c>
      <c r="K3589" s="505"/>
      <c r="L3589" s="505"/>
      <c r="M3589" s="505"/>
      <c r="N3589" s="505"/>
      <c r="O3589" s="505"/>
      <c r="P3589" s="505"/>
      <c r="Q3589" s="505"/>
      <c r="R3589" s="505"/>
      <c r="S3589" s="505"/>
      <c r="T3589" s="505"/>
      <c r="U3589" s="505"/>
      <c r="V3589" s="505"/>
      <c r="W3589" s="505"/>
      <c r="X3589" s="505"/>
      <c r="Y3589" s="505"/>
    </row>
    <row r="3590" spans="1:25" s="88" customFormat="1" ht="30" hidden="1" x14ac:dyDescent="0.25">
      <c r="A3590" s="258"/>
      <c r="B3590" s="258"/>
      <c r="C3590" s="261"/>
      <c r="D3590" s="258"/>
      <c r="E3590" s="679"/>
      <c r="F3590" s="597" t="s">
        <v>253</v>
      </c>
      <c r="G3590" s="598" t="s">
        <v>254</v>
      </c>
      <c r="H3590" s="555"/>
      <c r="I3590" s="556"/>
      <c r="J3590" s="560">
        <f t="shared" si="122"/>
        <v>0</v>
      </c>
      <c r="K3590" s="505"/>
      <c r="L3590" s="505"/>
      <c r="M3590" s="505"/>
      <c r="N3590" s="505"/>
      <c r="O3590" s="505"/>
      <c r="P3590" s="505"/>
      <c r="Q3590" s="505"/>
      <c r="R3590" s="505"/>
      <c r="S3590" s="505"/>
      <c r="T3590" s="505"/>
      <c r="U3590" s="505"/>
      <c r="V3590" s="505"/>
      <c r="W3590" s="505"/>
      <c r="X3590" s="505"/>
      <c r="Y3590" s="505"/>
    </row>
    <row r="3591" spans="1:25" s="88" customFormat="1" hidden="1" x14ac:dyDescent="0.25">
      <c r="A3591" s="258"/>
      <c r="B3591" s="258"/>
      <c r="C3591" s="261"/>
      <c r="D3591" s="258"/>
      <c r="E3591" s="679"/>
      <c r="F3591" s="597" t="s">
        <v>255</v>
      </c>
      <c r="G3591" s="598" t="s">
        <v>256</v>
      </c>
      <c r="H3591" s="555"/>
      <c r="I3591" s="556"/>
      <c r="J3591" s="560">
        <f t="shared" si="122"/>
        <v>0</v>
      </c>
      <c r="K3591" s="505"/>
      <c r="L3591" s="505"/>
      <c r="M3591" s="505"/>
      <c r="N3591" s="505"/>
      <c r="O3591" s="505"/>
      <c r="P3591" s="505"/>
      <c r="Q3591" s="505"/>
      <c r="R3591" s="505"/>
      <c r="S3591" s="505"/>
      <c r="T3591" s="505"/>
      <c r="U3591" s="505"/>
      <c r="V3591" s="505"/>
      <c r="W3591" s="505"/>
      <c r="X3591" s="505"/>
      <c r="Y3591" s="505"/>
    </row>
    <row r="3592" spans="1:25" s="88" customFormat="1" ht="30" hidden="1" x14ac:dyDescent="0.25">
      <c r="A3592" s="258"/>
      <c r="B3592" s="258"/>
      <c r="C3592" s="261"/>
      <c r="D3592" s="258"/>
      <c r="E3592" s="679"/>
      <c r="F3592" s="597" t="s">
        <v>257</v>
      </c>
      <c r="G3592" s="598" t="s">
        <v>258</v>
      </c>
      <c r="H3592" s="555"/>
      <c r="I3592" s="556"/>
      <c r="J3592" s="560">
        <f t="shared" si="122"/>
        <v>0</v>
      </c>
      <c r="K3592" s="505"/>
      <c r="L3592" s="505"/>
      <c r="M3592" s="505"/>
      <c r="N3592" s="505"/>
      <c r="O3592" s="505"/>
      <c r="P3592" s="505"/>
      <c r="Q3592" s="505"/>
      <c r="R3592" s="505"/>
      <c r="S3592" s="505"/>
      <c r="T3592" s="505"/>
      <c r="U3592" s="505"/>
      <c r="V3592" s="505"/>
      <c r="W3592" s="505"/>
      <c r="X3592" s="505"/>
      <c r="Y3592" s="505"/>
    </row>
    <row r="3593" spans="1:25" s="88" customFormat="1" hidden="1" x14ac:dyDescent="0.25">
      <c r="A3593" s="258"/>
      <c r="B3593" s="258"/>
      <c r="C3593" s="261"/>
      <c r="D3593" s="258"/>
      <c r="E3593" s="679"/>
      <c r="F3593" s="597" t="s">
        <v>259</v>
      </c>
      <c r="G3593" s="598" t="s">
        <v>260</v>
      </c>
      <c r="H3593" s="555"/>
      <c r="I3593" s="556"/>
      <c r="J3593" s="560">
        <f t="shared" si="122"/>
        <v>0</v>
      </c>
      <c r="K3593" s="505"/>
      <c r="L3593" s="505"/>
      <c r="M3593" s="505"/>
      <c r="N3593" s="505"/>
      <c r="O3593" s="505"/>
      <c r="P3593" s="505"/>
      <c r="Q3593" s="505"/>
      <c r="R3593" s="505"/>
      <c r="S3593" s="505"/>
      <c r="T3593" s="505"/>
      <c r="U3593" s="505"/>
      <c r="V3593" s="505"/>
      <c r="W3593" s="505"/>
      <c r="X3593" s="505"/>
      <c r="Y3593" s="505"/>
    </row>
    <row r="3594" spans="1:25" s="88" customFormat="1" ht="15.75" hidden="1" thickBot="1" x14ac:dyDescent="0.3">
      <c r="A3594" s="258"/>
      <c r="B3594" s="258"/>
      <c r="C3594" s="261"/>
      <c r="D3594" s="258"/>
      <c r="E3594" s="679"/>
      <c r="F3594" s="597" t="s">
        <v>261</v>
      </c>
      <c r="G3594" s="598" t="s">
        <v>262</v>
      </c>
      <c r="H3594" s="559"/>
      <c r="I3594" s="560"/>
      <c r="J3594" s="560">
        <f t="shared" si="122"/>
        <v>0</v>
      </c>
      <c r="K3594" s="505"/>
      <c r="L3594" s="505"/>
      <c r="M3594" s="505"/>
      <c r="N3594" s="505"/>
      <c r="O3594" s="505"/>
      <c r="P3594" s="505"/>
      <c r="Q3594" s="505"/>
      <c r="R3594" s="505"/>
      <c r="S3594" s="505"/>
      <c r="T3594" s="505"/>
      <c r="U3594" s="505"/>
      <c r="V3594" s="505"/>
      <c r="W3594" s="505"/>
      <c r="X3594" s="505"/>
      <c r="Y3594" s="505"/>
    </row>
    <row r="3595" spans="1:25" s="88" customFormat="1" ht="14.25" customHeight="1" thickBot="1" x14ac:dyDescent="0.3">
      <c r="A3595" s="258"/>
      <c r="B3595" s="258"/>
      <c r="C3595" s="261"/>
      <c r="D3595" s="258"/>
      <c r="E3595" s="679"/>
      <c r="F3595" s="258"/>
      <c r="G3595" s="268" t="s">
        <v>5288</v>
      </c>
      <c r="H3595" s="561">
        <f>SUM(H3579:H3594)</f>
        <v>950000</v>
      </c>
      <c r="I3595" s="562">
        <f>SUM(I3580:I3594)</f>
        <v>0</v>
      </c>
      <c r="J3595" s="562">
        <f>SUM(J3579:J3594)</f>
        <v>950000</v>
      </c>
      <c r="K3595" s="505"/>
      <c r="L3595" s="505"/>
      <c r="M3595" s="505"/>
      <c r="N3595" s="505"/>
      <c r="O3595" s="505"/>
      <c r="P3595" s="505"/>
      <c r="Q3595" s="505"/>
      <c r="R3595" s="505"/>
      <c r="S3595" s="505"/>
      <c r="T3595" s="505"/>
      <c r="U3595" s="505"/>
      <c r="V3595" s="505"/>
      <c r="W3595" s="505"/>
      <c r="X3595" s="505"/>
      <c r="Y3595" s="505"/>
    </row>
    <row r="3596" spans="1:25" s="88" customFormat="1" ht="17.25" customHeight="1" x14ac:dyDescent="0.25">
      <c r="A3596" s="258"/>
      <c r="B3596" s="288"/>
      <c r="C3596" s="302" t="s">
        <v>5093</v>
      </c>
      <c r="D3596" s="259"/>
      <c r="E3596" s="702"/>
      <c r="F3596" s="303"/>
      <c r="G3596" s="406" t="s">
        <v>5094</v>
      </c>
      <c r="H3596" s="588"/>
      <c r="I3596" s="571"/>
      <c r="K3596" s="505"/>
      <c r="L3596" s="505"/>
      <c r="M3596" s="505"/>
      <c r="N3596" s="505"/>
      <c r="O3596" s="505"/>
      <c r="P3596" s="505"/>
      <c r="Q3596" s="505"/>
      <c r="R3596" s="505"/>
      <c r="S3596" s="505"/>
      <c r="T3596" s="505"/>
      <c r="U3596" s="505"/>
      <c r="V3596" s="505"/>
      <c r="W3596" s="505"/>
      <c r="X3596" s="505"/>
      <c r="Y3596" s="505"/>
    </row>
    <row r="3597" spans="1:25" s="88" customFormat="1" ht="13.5" customHeight="1" x14ac:dyDescent="0.25">
      <c r="A3597" s="481"/>
      <c r="B3597" s="258"/>
      <c r="C3597" s="267"/>
      <c r="D3597" s="331">
        <v>660</v>
      </c>
      <c r="E3597" s="869"/>
      <c r="F3597" s="331"/>
      <c r="G3597" s="332" t="s">
        <v>186</v>
      </c>
      <c r="H3597" s="555"/>
      <c r="I3597" s="556"/>
      <c r="J3597" s="556"/>
      <c r="K3597" s="505"/>
      <c r="L3597" s="505"/>
      <c r="M3597" s="505"/>
      <c r="N3597" s="505"/>
      <c r="O3597" s="505"/>
      <c r="P3597" s="505"/>
      <c r="Q3597" s="505"/>
      <c r="R3597" s="505"/>
      <c r="S3597" s="505"/>
      <c r="T3597" s="505"/>
      <c r="U3597" s="505"/>
      <c r="V3597" s="505"/>
      <c r="W3597" s="505"/>
      <c r="X3597" s="505"/>
      <c r="Y3597" s="505"/>
    </row>
    <row r="3598" spans="1:25" s="88" customFormat="1" hidden="1" x14ac:dyDescent="0.25">
      <c r="A3598" s="258"/>
      <c r="B3598" s="258"/>
      <c r="C3598" s="261"/>
      <c r="D3598" s="258"/>
      <c r="E3598" s="679"/>
      <c r="F3598" s="499">
        <v>411</v>
      </c>
      <c r="G3598" s="492" t="s">
        <v>4131</v>
      </c>
      <c r="H3598" s="555"/>
      <c r="I3598" s="556"/>
      <c r="J3598" s="556">
        <f>SUM(H3598:I3598)</f>
        <v>0</v>
      </c>
      <c r="K3598" s="505"/>
      <c r="L3598" s="505"/>
      <c r="M3598" s="505"/>
      <c r="N3598" s="505"/>
      <c r="O3598" s="505"/>
      <c r="P3598" s="505"/>
      <c r="Q3598" s="505"/>
      <c r="R3598" s="505"/>
      <c r="S3598" s="505"/>
      <c r="T3598" s="505"/>
      <c r="U3598" s="505"/>
      <c r="V3598" s="505"/>
      <c r="W3598" s="505"/>
      <c r="X3598" s="505"/>
      <c r="Y3598" s="505"/>
    </row>
    <row r="3599" spans="1:25" s="88" customFormat="1" hidden="1" x14ac:dyDescent="0.25">
      <c r="A3599" s="258"/>
      <c r="B3599" s="258"/>
      <c r="C3599" s="261"/>
      <c r="D3599" s="258"/>
      <c r="E3599" s="679"/>
      <c r="F3599" s="499">
        <v>412</v>
      </c>
      <c r="G3599" s="488" t="s">
        <v>3766</v>
      </c>
      <c r="H3599" s="555"/>
      <c r="I3599" s="556"/>
      <c r="J3599" s="556">
        <f t="shared" ref="J3599:J3657" si="123">SUM(H3599:I3599)</f>
        <v>0</v>
      </c>
      <c r="K3599" s="505"/>
      <c r="L3599" s="505"/>
      <c r="M3599" s="505"/>
      <c r="N3599" s="505"/>
      <c r="O3599" s="505"/>
      <c r="P3599" s="505"/>
      <c r="Q3599" s="505"/>
      <c r="R3599" s="505"/>
      <c r="S3599" s="505"/>
      <c r="T3599" s="505"/>
      <c r="U3599" s="505"/>
      <c r="V3599" s="505"/>
      <c r="W3599" s="505"/>
      <c r="X3599" s="505"/>
      <c r="Y3599" s="505"/>
    </row>
    <row r="3600" spans="1:25" s="88" customFormat="1" hidden="1" x14ac:dyDescent="0.25">
      <c r="A3600" s="258"/>
      <c r="B3600" s="258"/>
      <c r="C3600" s="261"/>
      <c r="D3600" s="258"/>
      <c r="E3600" s="679"/>
      <c r="F3600" s="499">
        <v>413</v>
      </c>
      <c r="G3600" s="492" t="s">
        <v>4132</v>
      </c>
      <c r="H3600" s="555"/>
      <c r="I3600" s="556"/>
      <c r="J3600" s="556">
        <f t="shared" si="123"/>
        <v>0</v>
      </c>
      <c r="K3600" s="505"/>
      <c r="L3600" s="505"/>
      <c r="M3600" s="505"/>
      <c r="N3600" s="505"/>
      <c r="O3600" s="505"/>
      <c r="P3600" s="505"/>
      <c r="Q3600" s="505"/>
      <c r="R3600" s="505"/>
      <c r="S3600" s="505"/>
      <c r="T3600" s="505"/>
      <c r="U3600" s="505"/>
      <c r="V3600" s="505"/>
      <c r="W3600" s="505"/>
      <c r="X3600" s="505"/>
      <c r="Y3600" s="505"/>
    </row>
    <row r="3601" spans="1:25" s="88" customFormat="1" hidden="1" x14ac:dyDescent="0.25">
      <c r="A3601" s="258"/>
      <c r="B3601" s="258"/>
      <c r="C3601" s="261"/>
      <c r="D3601" s="258"/>
      <c r="E3601" s="679"/>
      <c r="F3601" s="499">
        <v>414</v>
      </c>
      <c r="G3601" s="492" t="s">
        <v>3769</v>
      </c>
      <c r="H3601" s="555"/>
      <c r="I3601" s="556"/>
      <c r="J3601" s="556">
        <f t="shared" si="123"/>
        <v>0</v>
      </c>
      <c r="K3601" s="505"/>
      <c r="L3601" s="505"/>
      <c r="M3601" s="505"/>
      <c r="N3601" s="505"/>
      <c r="O3601" s="505"/>
      <c r="P3601" s="505"/>
      <c r="Q3601" s="505"/>
      <c r="R3601" s="505"/>
      <c r="S3601" s="505"/>
      <c r="T3601" s="505"/>
      <c r="U3601" s="505"/>
      <c r="V3601" s="505"/>
      <c r="W3601" s="505"/>
      <c r="X3601" s="505"/>
      <c r="Y3601" s="505"/>
    </row>
    <row r="3602" spans="1:25" s="88" customFormat="1" hidden="1" x14ac:dyDescent="0.25">
      <c r="A3602" s="258"/>
      <c r="B3602" s="258"/>
      <c r="C3602" s="261"/>
      <c r="D3602" s="258"/>
      <c r="E3602" s="679"/>
      <c r="F3602" s="499">
        <v>415</v>
      </c>
      <c r="G3602" s="492" t="s">
        <v>4141</v>
      </c>
      <c r="H3602" s="555"/>
      <c r="I3602" s="556"/>
      <c r="J3602" s="556">
        <f t="shared" si="123"/>
        <v>0</v>
      </c>
      <c r="K3602" s="505"/>
      <c r="L3602" s="505"/>
      <c r="M3602" s="505"/>
      <c r="N3602" s="505"/>
      <c r="O3602" s="505"/>
      <c r="P3602" s="505"/>
      <c r="Q3602" s="505"/>
      <c r="R3602" s="505"/>
      <c r="S3602" s="505"/>
      <c r="T3602" s="505"/>
      <c r="U3602" s="505"/>
      <c r="V3602" s="505"/>
      <c r="W3602" s="505"/>
      <c r="X3602" s="505"/>
      <c r="Y3602" s="505"/>
    </row>
    <row r="3603" spans="1:25" s="88" customFormat="1" hidden="1" x14ac:dyDescent="0.25">
      <c r="A3603" s="258"/>
      <c r="B3603" s="258"/>
      <c r="C3603" s="261"/>
      <c r="D3603" s="258"/>
      <c r="E3603" s="679"/>
      <c r="F3603" s="499">
        <v>416</v>
      </c>
      <c r="G3603" s="492" t="s">
        <v>4142</v>
      </c>
      <c r="H3603" s="555"/>
      <c r="I3603" s="556"/>
      <c r="J3603" s="556">
        <f t="shared" si="123"/>
        <v>0</v>
      </c>
      <c r="K3603" s="505"/>
      <c r="L3603" s="505"/>
      <c r="M3603" s="505"/>
      <c r="N3603" s="505"/>
      <c r="O3603" s="505"/>
      <c r="P3603" s="505"/>
      <c r="Q3603" s="505"/>
      <c r="R3603" s="505"/>
      <c r="S3603" s="505"/>
      <c r="T3603" s="505"/>
      <c r="U3603" s="505"/>
      <c r="V3603" s="505"/>
      <c r="W3603" s="505"/>
      <c r="X3603" s="505"/>
      <c r="Y3603" s="505"/>
    </row>
    <row r="3604" spans="1:25" s="88" customFormat="1" hidden="1" x14ac:dyDescent="0.25">
      <c r="A3604" s="258"/>
      <c r="B3604" s="258"/>
      <c r="C3604" s="261"/>
      <c r="D3604" s="258"/>
      <c r="E3604" s="679"/>
      <c r="F3604" s="499">
        <v>417</v>
      </c>
      <c r="G3604" s="492" t="s">
        <v>4143</v>
      </c>
      <c r="H3604" s="555"/>
      <c r="I3604" s="556"/>
      <c r="J3604" s="556">
        <f t="shared" si="123"/>
        <v>0</v>
      </c>
      <c r="K3604" s="505"/>
      <c r="L3604" s="505"/>
      <c r="M3604" s="505"/>
      <c r="N3604" s="505"/>
      <c r="O3604" s="505"/>
      <c r="P3604" s="505"/>
      <c r="Q3604" s="505"/>
      <c r="R3604" s="505"/>
      <c r="S3604" s="505"/>
      <c r="T3604" s="505"/>
      <c r="U3604" s="505"/>
      <c r="V3604" s="505"/>
      <c r="W3604" s="505"/>
      <c r="X3604" s="505"/>
      <c r="Y3604" s="505"/>
    </row>
    <row r="3605" spans="1:25" s="88" customFormat="1" hidden="1" x14ac:dyDescent="0.25">
      <c r="A3605" s="258"/>
      <c r="B3605" s="258"/>
      <c r="C3605" s="261"/>
      <c r="D3605" s="258"/>
      <c r="E3605" s="679"/>
      <c r="F3605" s="499">
        <v>418</v>
      </c>
      <c r="G3605" s="492" t="s">
        <v>3775</v>
      </c>
      <c r="H3605" s="555"/>
      <c r="I3605" s="556"/>
      <c r="J3605" s="556">
        <f t="shared" si="123"/>
        <v>0</v>
      </c>
      <c r="K3605" s="505"/>
      <c r="L3605" s="505"/>
      <c r="M3605" s="505"/>
      <c r="N3605" s="505"/>
      <c r="O3605" s="505"/>
      <c r="P3605" s="505"/>
      <c r="Q3605" s="505"/>
      <c r="R3605" s="505"/>
      <c r="S3605" s="505"/>
      <c r="T3605" s="505"/>
      <c r="U3605" s="505"/>
      <c r="V3605" s="505"/>
      <c r="W3605" s="505"/>
      <c r="X3605" s="505"/>
      <c r="Y3605" s="505"/>
    </row>
    <row r="3606" spans="1:25" s="88" customFormat="1" hidden="1" x14ac:dyDescent="0.25">
      <c r="A3606" s="258"/>
      <c r="B3606" s="258"/>
      <c r="C3606" s="261"/>
      <c r="D3606" s="258"/>
      <c r="E3606" s="679"/>
      <c r="F3606" s="499">
        <v>421</v>
      </c>
      <c r="G3606" s="492" t="s">
        <v>3779</v>
      </c>
      <c r="H3606" s="555"/>
      <c r="I3606" s="556"/>
      <c r="J3606" s="556">
        <f t="shared" si="123"/>
        <v>0</v>
      </c>
      <c r="K3606" s="505"/>
      <c r="L3606" s="505"/>
      <c r="M3606" s="505"/>
      <c r="N3606" s="505"/>
      <c r="O3606" s="505"/>
      <c r="P3606" s="505"/>
      <c r="Q3606" s="505"/>
      <c r="R3606" s="505"/>
      <c r="S3606" s="505"/>
      <c r="T3606" s="505"/>
      <c r="U3606" s="505"/>
      <c r="V3606" s="505"/>
      <c r="W3606" s="505"/>
      <c r="X3606" s="505"/>
      <c r="Y3606" s="505"/>
    </row>
    <row r="3607" spans="1:25" s="88" customFormat="1" hidden="1" x14ac:dyDescent="0.25">
      <c r="A3607" s="258"/>
      <c r="B3607" s="258"/>
      <c r="C3607" s="261"/>
      <c r="D3607" s="258"/>
      <c r="E3607" s="679"/>
      <c r="F3607" s="499">
        <v>422</v>
      </c>
      <c r="G3607" s="492" t="s">
        <v>3780</v>
      </c>
      <c r="H3607" s="555"/>
      <c r="I3607" s="556"/>
      <c r="J3607" s="556">
        <f t="shared" si="123"/>
        <v>0</v>
      </c>
      <c r="K3607" s="505"/>
      <c r="L3607" s="505"/>
      <c r="M3607" s="505"/>
      <c r="N3607" s="505"/>
      <c r="O3607" s="505"/>
      <c r="P3607" s="505"/>
      <c r="Q3607" s="505"/>
      <c r="R3607" s="505"/>
      <c r="S3607" s="505"/>
      <c r="T3607" s="505"/>
      <c r="U3607" s="505"/>
      <c r="V3607" s="505"/>
      <c r="W3607" s="505"/>
      <c r="X3607" s="505"/>
      <c r="Y3607" s="505"/>
    </row>
    <row r="3608" spans="1:25" s="88" customFormat="1" ht="15.75" thickBot="1" x14ac:dyDescent="0.3">
      <c r="A3608" s="258"/>
      <c r="B3608" s="258"/>
      <c r="C3608" s="261"/>
      <c r="D3608" s="258"/>
      <c r="E3608" s="679">
        <v>117</v>
      </c>
      <c r="F3608" s="499">
        <v>423</v>
      </c>
      <c r="G3608" s="492" t="s">
        <v>3781</v>
      </c>
      <c r="H3608" s="555">
        <v>150000</v>
      </c>
      <c r="I3608" s="556"/>
      <c r="J3608" s="556">
        <f t="shared" si="123"/>
        <v>150000</v>
      </c>
      <c r="K3608" s="505"/>
      <c r="L3608" s="505"/>
      <c r="M3608" s="505"/>
      <c r="N3608" s="505"/>
      <c r="O3608" s="505"/>
      <c r="P3608" s="505"/>
      <c r="Q3608" s="505"/>
      <c r="R3608" s="505"/>
      <c r="S3608" s="505"/>
      <c r="T3608" s="505"/>
      <c r="U3608" s="505"/>
      <c r="V3608" s="505"/>
      <c r="W3608" s="505"/>
      <c r="X3608" s="505"/>
      <c r="Y3608" s="505"/>
    </row>
    <row r="3609" spans="1:25" s="88" customFormat="1" ht="16.5" hidden="1" customHeight="1" x14ac:dyDescent="0.25">
      <c r="A3609" s="258"/>
      <c r="B3609" s="258"/>
      <c r="C3609" s="261"/>
      <c r="D3609" s="258"/>
      <c r="E3609" s="679">
        <v>71</v>
      </c>
      <c r="F3609" s="499">
        <v>424</v>
      </c>
      <c r="G3609" s="492" t="s">
        <v>5086</v>
      </c>
      <c r="H3609" s="555">
        <v>0</v>
      </c>
      <c r="I3609" s="556"/>
      <c r="J3609" s="556">
        <f t="shared" si="123"/>
        <v>0</v>
      </c>
      <c r="K3609" s="505"/>
      <c r="L3609" s="505"/>
      <c r="M3609" s="505"/>
      <c r="N3609" s="505"/>
      <c r="O3609" s="505"/>
      <c r="P3609" s="505"/>
      <c r="Q3609" s="505"/>
      <c r="R3609" s="505"/>
      <c r="S3609" s="505"/>
      <c r="T3609" s="505"/>
      <c r="U3609" s="505"/>
      <c r="V3609" s="505"/>
      <c r="W3609" s="505"/>
      <c r="X3609" s="505"/>
      <c r="Y3609" s="505"/>
    </row>
    <row r="3610" spans="1:25" s="88" customFormat="1" ht="15.75" hidden="1" customHeight="1" x14ac:dyDescent="0.25">
      <c r="A3610" s="258"/>
      <c r="B3610" s="258"/>
      <c r="C3610" s="261"/>
      <c r="D3610" s="258"/>
      <c r="E3610" s="679"/>
      <c r="F3610" s="499">
        <v>425</v>
      </c>
      <c r="G3610" s="492" t="s">
        <v>4144</v>
      </c>
      <c r="H3610" s="555"/>
      <c r="I3610" s="556"/>
      <c r="J3610" s="556">
        <f t="shared" si="123"/>
        <v>0</v>
      </c>
      <c r="K3610" s="505"/>
      <c r="L3610" s="505"/>
      <c r="M3610" s="505"/>
      <c r="N3610" s="505"/>
      <c r="O3610" s="505"/>
      <c r="P3610" s="505"/>
      <c r="Q3610" s="505"/>
      <c r="R3610" s="505"/>
      <c r="S3610" s="505"/>
      <c r="T3610" s="505"/>
      <c r="U3610" s="505"/>
      <c r="V3610" s="505"/>
      <c r="W3610" s="505"/>
      <c r="X3610" s="505"/>
      <c r="Y3610" s="505"/>
    </row>
    <row r="3611" spans="1:25" s="88" customFormat="1" hidden="1" x14ac:dyDescent="0.25">
      <c r="A3611" s="258"/>
      <c r="B3611" s="258"/>
      <c r="C3611" s="261"/>
      <c r="D3611" s="258"/>
      <c r="E3611" s="679"/>
      <c r="F3611" s="499">
        <v>426</v>
      </c>
      <c r="G3611" s="492" t="s">
        <v>3787</v>
      </c>
      <c r="H3611" s="555"/>
      <c r="I3611" s="556"/>
      <c r="J3611" s="556">
        <f t="shared" si="123"/>
        <v>0</v>
      </c>
      <c r="K3611" s="505"/>
      <c r="L3611" s="505"/>
      <c r="M3611" s="505"/>
      <c r="N3611" s="505"/>
      <c r="O3611" s="505"/>
      <c r="P3611" s="505"/>
      <c r="Q3611" s="505"/>
      <c r="R3611" s="505"/>
      <c r="S3611" s="505"/>
      <c r="T3611" s="505"/>
      <c r="U3611" s="505"/>
      <c r="V3611" s="505"/>
      <c r="W3611" s="505"/>
      <c r="X3611" s="505"/>
      <c r="Y3611" s="505"/>
    </row>
    <row r="3612" spans="1:25" s="88" customFormat="1" hidden="1" x14ac:dyDescent="0.25">
      <c r="A3612" s="258"/>
      <c r="B3612" s="258"/>
      <c r="C3612" s="261"/>
      <c r="D3612" s="258"/>
      <c r="E3612" s="679"/>
      <c r="F3612" s="499">
        <v>431</v>
      </c>
      <c r="G3612" s="492" t="s">
        <v>4145</v>
      </c>
      <c r="H3612" s="555"/>
      <c r="I3612" s="556"/>
      <c r="J3612" s="556">
        <f t="shared" si="123"/>
        <v>0</v>
      </c>
      <c r="K3612" s="505"/>
      <c r="L3612" s="505"/>
      <c r="M3612" s="505"/>
      <c r="N3612" s="505"/>
      <c r="O3612" s="505"/>
      <c r="P3612" s="505"/>
      <c r="Q3612" s="505"/>
      <c r="R3612" s="505"/>
      <c r="S3612" s="505"/>
      <c r="T3612" s="505"/>
      <c r="U3612" s="505"/>
      <c r="V3612" s="505"/>
      <c r="W3612" s="505"/>
      <c r="X3612" s="505"/>
      <c r="Y3612" s="505"/>
    </row>
    <row r="3613" spans="1:25" s="88" customFormat="1" hidden="1" x14ac:dyDescent="0.25">
      <c r="A3613" s="258"/>
      <c r="B3613" s="258"/>
      <c r="C3613" s="261"/>
      <c r="D3613" s="258"/>
      <c r="E3613" s="679"/>
      <c r="F3613" s="499">
        <v>432</v>
      </c>
      <c r="G3613" s="492" t="s">
        <v>4146</v>
      </c>
      <c r="H3613" s="555"/>
      <c r="I3613" s="556"/>
      <c r="J3613" s="556">
        <f t="shared" si="123"/>
        <v>0</v>
      </c>
      <c r="K3613" s="505"/>
      <c r="L3613" s="505"/>
      <c r="M3613" s="505"/>
      <c r="N3613" s="505"/>
      <c r="O3613" s="505"/>
      <c r="P3613" s="505"/>
      <c r="Q3613" s="505"/>
      <c r="R3613" s="505"/>
      <c r="S3613" s="505"/>
      <c r="T3613" s="505"/>
      <c r="U3613" s="505"/>
      <c r="V3613" s="505"/>
      <c r="W3613" s="505"/>
      <c r="X3613" s="505"/>
      <c r="Y3613" s="505"/>
    </row>
    <row r="3614" spans="1:25" s="88" customFormat="1" hidden="1" x14ac:dyDescent="0.25">
      <c r="A3614" s="258"/>
      <c r="B3614" s="258"/>
      <c r="C3614" s="261"/>
      <c r="D3614" s="258"/>
      <c r="E3614" s="679"/>
      <c r="F3614" s="499">
        <v>433</v>
      </c>
      <c r="G3614" s="492" t="s">
        <v>4147</v>
      </c>
      <c r="H3614" s="555"/>
      <c r="I3614" s="556"/>
      <c r="J3614" s="556">
        <f t="shared" si="123"/>
        <v>0</v>
      </c>
      <c r="K3614" s="505"/>
      <c r="L3614" s="505"/>
      <c r="M3614" s="505"/>
      <c r="N3614" s="505"/>
      <c r="O3614" s="505"/>
      <c r="P3614" s="505"/>
      <c r="Q3614" s="505"/>
      <c r="R3614" s="505"/>
      <c r="S3614" s="505"/>
      <c r="T3614" s="505"/>
      <c r="U3614" s="505"/>
      <c r="V3614" s="505"/>
      <c r="W3614" s="505"/>
      <c r="X3614" s="505"/>
      <c r="Y3614" s="505"/>
    </row>
    <row r="3615" spans="1:25" s="88" customFormat="1" hidden="1" x14ac:dyDescent="0.25">
      <c r="A3615" s="258"/>
      <c r="B3615" s="258"/>
      <c r="C3615" s="261"/>
      <c r="D3615" s="258"/>
      <c r="E3615" s="679"/>
      <c r="F3615" s="499">
        <v>434</v>
      </c>
      <c r="G3615" s="492" t="s">
        <v>4148</v>
      </c>
      <c r="H3615" s="555"/>
      <c r="I3615" s="556"/>
      <c r="J3615" s="556">
        <f t="shared" si="123"/>
        <v>0</v>
      </c>
      <c r="K3615" s="505"/>
      <c r="L3615" s="505"/>
      <c r="M3615" s="505"/>
      <c r="N3615" s="505"/>
      <c r="O3615" s="505"/>
      <c r="P3615" s="505"/>
      <c r="Q3615" s="505"/>
      <c r="R3615" s="505"/>
      <c r="S3615" s="505"/>
      <c r="T3615" s="505"/>
      <c r="U3615" s="505"/>
      <c r="V3615" s="505"/>
      <c r="W3615" s="505"/>
      <c r="X3615" s="505"/>
      <c r="Y3615" s="505"/>
    </row>
    <row r="3616" spans="1:25" s="88" customFormat="1" hidden="1" x14ac:dyDescent="0.25">
      <c r="A3616" s="258"/>
      <c r="B3616" s="258"/>
      <c r="C3616" s="261"/>
      <c r="D3616" s="258"/>
      <c r="E3616" s="679"/>
      <c r="F3616" s="499">
        <v>435</v>
      </c>
      <c r="G3616" s="492" t="s">
        <v>3794</v>
      </c>
      <c r="H3616" s="555"/>
      <c r="I3616" s="556"/>
      <c r="J3616" s="556">
        <f t="shared" si="123"/>
        <v>0</v>
      </c>
      <c r="K3616" s="505"/>
      <c r="L3616" s="505"/>
      <c r="M3616" s="505"/>
      <c r="N3616" s="505"/>
      <c r="O3616" s="505"/>
      <c r="P3616" s="505"/>
      <c r="Q3616" s="505"/>
      <c r="R3616" s="505"/>
      <c r="S3616" s="505"/>
      <c r="T3616" s="505"/>
      <c r="U3616" s="505"/>
      <c r="V3616" s="505"/>
      <c r="W3616" s="505"/>
      <c r="X3616" s="505"/>
      <c r="Y3616" s="505"/>
    </row>
    <row r="3617" spans="1:25" s="88" customFormat="1" hidden="1" x14ac:dyDescent="0.25">
      <c r="A3617" s="258"/>
      <c r="B3617" s="258"/>
      <c r="C3617" s="261"/>
      <c r="D3617" s="258"/>
      <c r="E3617" s="679"/>
      <c r="F3617" s="499">
        <v>441</v>
      </c>
      <c r="G3617" s="492" t="s">
        <v>4149</v>
      </c>
      <c r="H3617" s="555"/>
      <c r="I3617" s="556"/>
      <c r="J3617" s="556">
        <f t="shared" si="123"/>
        <v>0</v>
      </c>
      <c r="K3617" s="505"/>
      <c r="L3617" s="505"/>
      <c r="M3617" s="505"/>
      <c r="N3617" s="505"/>
      <c r="O3617" s="505"/>
      <c r="P3617" s="505"/>
      <c r="Q3617" s="505"/>
      <c r="R3617" s="505"/>
      <c r="S3617" s="505"/>
      <c r="T3617" s="505"/>
      <c r="U3617" s="505"/>
      <c r="V3617" s="505"/>
      <c r="W3617" s="505"/>
      <c r="X3617" s="505"/>
      <c r="Y3617" s="505"/>
    </row>
    <row r="3618" spans="1:25" s="88" customFormat="1" hidden="1" x14ac:dyDescent="0.25">
      <c r="A3618" s="258"/>
      <c r="B3618" s="258"/>
      <c r="C3618" s="261"/>
      <c r="D3618" s="258"/>
      <c r="E3618" s="679"/>
      <c r="F3618" s="499">
        <v>442</v>
      </c>
      <c r="G3618" s="492" t="s">
        <v>4150</v>
      </c>
      <c r="H3618" s="555"/>
      <c r="I3618" s="556"/>
      <c r="J3618" s="556">
        <f t="shared" si="123"/>
        <v>0</v>
      </c>
      <c r="K3618" s="505"/>
      <c r="L3618" s="505"/>
      <c r="M3618" s="505"/>
      <c r="N3618" s="505"/>
      <c r="O3618" s="505"/>
      <c r="P3618" s="505"/>
      <c r="Q3618" s="505"/>
      <c r="R3618" s="505"/>
      <c r="S3618" s="505"/>
      <c r="T3618" s="505"/>
      <c r="U3618" s="505"/>
      <c r="V3618" s="505"/>
      <c r="W3618" s="505"/>
      <c r="X3618" s="505"/>
      <c r="Y3618" s="505"/>
    </row>
    <row r="3619" spans="1:25" s="88" customFormat="1" hidden="1" x14ac:dyDescent="0.25">
      <c r="A3619" s="258"/>
      <c r="B3619" s="258"/>
      <c r="C3619" s="261"/>
      <c r="D3619" s="258"/>
      <c r="E3619" s="679"/>
      <c r="F3619" s="499">
        <v>443</v>
      </c>
      <c r="G3619" s="492" t="s">
        <v>3799</v>
      </c>
      <c r="H3619" s="555"/>
      <c r="I3619" s="556"/>
      <c r="J3619" s="556">
        <f t="shared" si="123"/>
        <v>0</v>
      </c>
      <c r="K3619" s="505"/>
      <c r="L3619" s="505"/>
      <c r="M3619" s="505"/>
      <c r="N3619" s="505"/>
      <c r="O3619" s="505"/>
      <c r="P3619" s="505"/>
      <c r="Q3619" s="505"/>
      <c r="R3619" s="505"/>
      <c r="S3619" s="505"/>
      <c r="T3619" s="505"/>
      <c r="U3619" s="505"/>
      <c r="V3619" s="505"/>
      <c r="W3619" s="505"/>
      <c r="X3619" s="505"/>
      <c r="Y3619" s="505"/>
    </row>
    <row r="3620" spans="1:25" s="88" customFormat="1" hidden="1" x14ac:dyDescent="0.25">
      <c r="A3620" s="258"/>
      <c r="B3620" s="258"/>
      <c r="C3620" s="261"/>
      <c r="D3620" s="258"/>
      <c r="E3620" s="679"/>
      <c r="F3620" s="499">
        <v>444</v>
      </c>
      <c r="G3620" s="492" t="s">
        <v>3800</v>
      </c>
      <c r="H3620" s="555"/>
      <c r="I3620" s="556"/>
      <c r="J3620" s="556">
        <f t="shared" si="123"/>
        <v>0</v>
      </c>
      <c r="K3620" s="505"/>
      <c r="L3620" s="505"/>
      <c r="M3620" s="505"/>
      <c r="N3620" s="505"/>
      <c r="O3620" s="505"/>
      <c r="P3620" s="505"/>
      <c r="Q3620" s="505"/>
      <c r="R3620" s="505"/>
      <c r="S3620" s="505"/>
      <c r="T3620" s="505"/>
      <c r="U3620" s="505"/>
      <c r="V3620" s="505"/>
      <c r="W3620" s="505"/>
      <c r="X3620" s="505"/>
      <c r="Y3620" s="505"/>
    </row>
    <row r="3621" spans="1:25" s="88" customFormat="1" ht="30" hidden="1" x14ac:dyDescent="0.25">
      <c r="A3621" s="258"/>
      <c r="B3621" s="258"/>
      <c r="C3621" s="261"/>
      <c r="D3621" s="258"/>
      <c r="E3621" s="679"/>
      <c r="F3621" s="499">
        <v>4511</v>
      </c>
      <c r="G3621" s="771" t="s">
        <v>1690</v>
      </c>
      <c r="H3621" s="555"/>
      <c r="I3621" s="556"/>
      <c r="J3621" s="556">
        <f t="shared" si="123"/>
        <v>0</v>
      </c>
      <c r="K3621" s="505"/>
      <c r="L3621" s="505"/>
      <c r="M3621" s="505"/>
      <c r="N3621" s="505"/>
      <c r="O3621" s="505"/>
      <c r="P3621" s="505"/>
      <c r="Q3621" s="505"/>
      <c r="R3621" s="505"/>
      <c r="S3621" s="505"/>
      <c r="T3621" s="505"/>
      <c r="U3621" s="505"/>
      <c r="V3621" s="505"/>
      <c r="W3621" s="505"/>
      <c r="X3621" s="505"/>
      <c r="Y3621" s="505"/>
    </row>
    <row r="3622" spans="1:25" s="88" customFormat="1" ht="30" hidden="1" x14ac:dyDescent="0.25">
      <c r="A3622" s="258"/>
      <c r="B3622" s="258"/>
      <c r="C3622" s="261"/>
      <c r="D3622" s="258"/>
      <c r="E3622" s="679"/>
      <c r="F3622" s="499">
        <v>4512</v>
      </c>
      <c r="G3622" s="771" t="s">
        <v>1699</v>
      </c>
      <c r="H3622" s="555"/>
      <c r="I3622" s="556"/>
      <c r="J3622" s="556">
        <f t="shared" si="123"/>
        <v>0</v>
      </c>
      <c r="K3622" s="505"/>
      <c r="L3622" s="505"/>
      <c r="M3622" s="505"/>
      <c r="N3622" s="505"/>
      <c r="O3622" s="505"/>
      <c r="P3622" s="505"/>
      <c r="Q3622" s="505"/>
      <c r="R3622" s="505"/>
      <c r="S3622" s="505"/>
      <c r="T3622" s="505"/>
      <c r="U3622" s="505"/>
      <c r="V3622" s="505"/>
      <c r="W3622" s="505"/>
      <c r="X3622" s="505"/>
      <c r="Y3622" s="505"/>
    </row>
    <row r="3623" spans="1:25" s="88" customFormat="1" hidden="1" x14ac:dyDescent="0.25">
      <c r="A3623" s="258"/>
      <c r="B3623" s="258"/>
      <c r="C3623" s="261"/>
      <c r="D3623" s="258"/>
      <c r="E3623" s="679"/>
      <c r="F3623" s="499">
        <v>452</v>
      </c>
      <c r="G3623" s="492" t="s">
        <v>4151</v>
      </c>
      <c r="H3623" s="555"/>
      <c r="I3623" s="556"/>
      <c r="J3623" s="556">
        <f t="shared" si="123"/>
        <v>0</v>
      </c>
      <c r="K3623" s="505"/>
      <c r="L3623" s="505"/>
      <c r="M3623" s="505"/>
      <c r="N3623" s="505"/>
      <c r="O3623" s="505"/>
      <c r="P3623" s="505"/>
      <c r="Q3623" s="505"/>
      <c r="R3623" s="505"/>
      <c r="S3623" s="505"/>
      <c r="T3623" s="505"/>
      <c r="U3623" s="505"/>
      <c r="V3623" s="505"/>
      <c r="W3623" s="505"/>
      <c r="X3623" s="505"/>
      <c r="Y3623" s="505"/>
    </row>
    <row r="3624" spans="1:25" s="88" customFormat="1" hidden="1" x14ac:dyDescent="0.25">
      <c r="A3624" s="258"/>
      <c r="B3624" s="258"/>
      <c r="C3624" s="261"/>
      <c r="D3624" s="258"/>
      <c r="E3624" s="679"/>
      <c r="F3624" s="499">
        <v>453</v>
      </c>
      <c r="G3624" s="492" t="s">
        <v>4152</v>
      </c>
      <c r="H3624" s="555"/>
      <c r="I3624" s="556"/>
      <c r="J3624" s="556">
        <f t="shared" si="123"/>
        <v>0</v>
      </c>
      <c r="K3624" s="505"/>
      <c r="L3624" s="505"/>
      <c r="M3624" s="505"/>
      <c r="N3624" s="505"/>
      <c r="O3624" s="505"/>
      <c r="P3624" s="505"/>
      <c r="Q3624" s="505"/>
      <c r="R3624" s="505"/>
      <c r="S3624" s="505"/>
      <c r="T3624" s="505"/>
      <c r="U3624" s="505"/>
      <c r="V3624" s="505"/>
      <c r="W3624" s="505"/>
      <c r="X3624" s="505"/>
      <c r="Y3624" s="505"/>
    </row>
    <row r="3625" spans="1:25" s="88" customFormat="1" hidden="1" x14ac:dyDescent="0.25">
      <c r="A3625" s="258"/>
      <c r="B3625" s="258"/>
      <c r="C3625" s="261"/>
      <c r="D3625" s="258"/>
      <c r="E3625" s="679"/>
      <c r="F3625" s="499">
        <v>454</v>
      </c>
      <c r="G3625" s="492" t="s">
        <v>3805</v>
      </c>
      <c r="H3625" s="555"/>
      <c r="I3625" s="556"/>
      <c r="J3625" s="556">
        <f t="shared" si="123"/>
        <v>0</v>
      </c>
      <c r="K3625" s="505"/>
      <c r="L3625" s="505"/>
      <c r="M3625" s="505"/>
      <c r="N3625" s="505"/>
      <c r="O3625" s="505"/>
      <c r="P3625" s="505"/>
      <c r="Q3625" s="505"/>
      <c r="R3625" s="505"/>
      <c r="S3625" s="505"/>
      <c r="T3625" s="505"/>
      <c r="U3625" s="505"/>
      <c r="V3625" s="505"/>
      <c r="W3625" s="505"/>
      <c r="X3625" s="505"/>
      <c r="Y3625" s="505"/>
    </row>
    <row r="3626" spans="1:25" s="88" customFormat="1" hidden="1" x14ac:dyDescent="0.25">
      <c r="A3626" s="258"/>
      <c r="B3626" s="258"/>
      <c r="C3626" s="261"/>
      <c r="D3626" s="258"/>
      <c r="E3626" s="679"/>
      <c r="F3626" s="499">
        <v>461</v>
      </c>
      <c r="G3626" s="492" t="s">
        <v>4133</v>
      </c>
      <c r="H3626" s="555"/>
      <c r="I3626" s="556"/>
      <c r="J3626" s="556">
        <f t="shared" si="123"/>
        <v>0</v>
      </c>
      <c r="K3626" s="505"/>
      <c r="L3626" s="505"/>
      <c r="M3626" s="505"/>
      <c r="N3626" s="505"/>
      <c r="O3626" s="505"/>
      <c r="P3626" s="505"/>
      <c r="Q3626" s="505"/>
      <c r="R3626" s="505"/>
      <c r="S3626" s="505"/>
      <c r="T3626" s="505"/>
      <c r="U3626" s="505"/>
      <c r="V3626" s="505"/>
      <c r="W3626" s="505"/>
      <c r="X3626" s="505"/>
      <c r="Y3626" s="505"/>
    </row>
    <row r="3627" spans="1:25" s="88" customFormat="1" hidden="1" x14ac:dyDescent="0.25">
      <c r="A3627" s="258"/>
      <c r="B3627" s="258"/>
      <c r="C3627" s="261"/>
      <c r="D3627" s="258"/>
      <c r="E3627" s="679"/>
      <c r="F3627" s="499">
        <v>462</v>
      </c>
      <c r="G3627" s="492" t="s">
        <v>3808</v>
      </c>
      <c r="H3627" s="555"/>
      <c r="I3627" s="556"/>
      <c r="J3627" s="556">
        <f t="shared" si="123"/>
        <v>0</v>
      </c>
      <c r="K3627" s="505"/>
      <c r="L3627" s="505"/>
      <c r="M3627" s="505"/>
      <c r="N3627" s="505"/>
      <c r="O3627" s="505"/>
      <c r="P3627" s="505"/>
      <c r="Q3627" s="505"/>
      <c r="R3627" s="505"/>
      <c r="S3627" s="505"/>
      <c r="T3627" s="505"/>
      <c r="U3627" s="505"/>
      <c r="V3627" s="505"/>
      <c r="W3627" s="505"/>
      <c r="X3627" s="505"/>
      <c r="Y3627" s="505"/>
    </row>
    <row r="3628" spans="1:25" s="88" customFormat="1" hidden="1" x14ac:dyDescent="0.25">
      <c r="A3628" s="258"/>
      <c r="B3628" s="258"/>
      <c r="C3628" s="261"/>
      <c r="D3628" s="258"/>
      <c r="E3628" s="679"/>
      <c r="F3628" s="499">
        <v>4631</v>
      </c>
      <c r="G3628" s="492" t="s">
        <v>3809</v>
      </c>
      <c r="H3628" s="555"/>
      <c r="I3628" s="556"/>
      <c r="J3628" s="556">
        <f t="shared" si="123"/>
        <v>0</v>
      </c>
      <c r="K3628" s="505"/>
      <c r="L3628" s="505"/>
      <c r="M3628" s="505"/>
      <c r="N3628" s="505"/>
      <c r="O3628" s="505"/>
      <c r="P3628" s="505"/>
      <c r="Q3628" s="505"/>
      <c r="R3628" s="505"/>
      <c r="S3628" s="505"/>
      <c r="T3628" s="505"/>
      <c r="U3628" s="505"/>
      <c r="V3628" s="505"/>
      <c r="W3628" s="505"/>
      <c r="X3628" s="505"/>
      <c r="Y3628" s="505"/>
    </row>
    <row r="3629" spans="1:25" s="88" customFormat="1" hidden="1" x14ac:dyDescent="0.25">
      <c r="A3629" s="258"/>
      <c r="B3629" s="258"/>
      <c r="C3629" s="261"/>
      <c r="D3629" s="258"/>
      <c r="E3629" s="679"/>
      <c r="F3629" s="499">
        <v>4632</v>
      </c>
      <c r="G3629" s="492" t="s">
        <v>3810</v>
      </c>
      <c r="H3629" s="555"/>
      <c r="I3629" s="556"/>
      <c r="J3629" s="556">
        <f t="shared" si="123"/>
        <v>0</v>
      </c>
      <c r="K3629" s="505"/>
      <c r="L3629" s="505"/>
      <c r="M3629" s="505"/>
      <c r="N3629" s="505"/>
      <c r="O3629" s="505"/>
      <c r="P3629" s="505"/>
      <c r="Q3629" s="505"/>
      <c r="R3629" s="505"/>
      <c r="S3629" s="505"/>
      <c r="T3629" s="505"/>
      <c r="U3629" s="505"/>
      <c r="V3629" s="505"/>
      <c r="W3629" s="505"/>
      <c r="X3629" s="505"/>
      <c r="Y3629" s="505"/>
    </row>
    <row r="3630" spans="1:25" s="88" customFormat="1" hidden="1" x14ac:dyDescent="0.25">
      <c r="A3630" s="258"/>
      <c r="B3630" s="258"/>
      <c r="C3630" s="261"/>
      <c r="D3630" s="258"/>
      <c r="E3630" s="679"/>
      <c r="F3630" s="499">
        <v>464</v>
      </c>
      <c r="G3630" s="492" t="s">
        <v>3811</v>
      </c>
      <c r="H3630" s="555"/>
      <c r="I3630" s="556"/>
      <c r="J3630" s="556">
        <f t="shared" si="123"/>
        <v>0</v>
      </c>
      <c r="K3630" s="505"/>
      <c r="L3630" s="505"/>
      <c r="M3630" s="505"/>
      <c r="N3630" s="505"/>
      <c r="O3630" s="505"/>
      <c r="P3630" s="505"/>
      <c r="Q3630" s="505"/>
      <c r="R3630" s="505"/>
      <c r="S3630" s="505"/>
      <c r="T3630" s="505"/>
      <c r="U3630" s="505"/>
      <c r="V3630" s="505"/>
      <c r="W3630" s="505"/>
      <c r="X3630" s="505"/>
      <c r="Y3630" s="505"/>
    </row>
    <row r="3631" spans="1:25" s="88" customFormat="1" hidden="1" x14ac:dyDescent="0.25">
      <c r="A3631" s="258"/>
      <c r="B3631" s="258"/>
      <c r="C3631" s="261"/>
      <c r="D3631" s="258"/>
      <c r="E3631" s="679"/>
      <c r="F3631" s="499">
        <v>465</v>
      </c>
      <c r="G3631" s="492" t="s">
        <v>4134</v>
      </c>
      <c r="H3631" s="555"/>
      <c r="I3631" s="556"/>
      <c r="J3631" s="556">
        <f t="shared" si="123"/>
        <v>0</v>
      </c>
      <c r="K3631" s="505"/>
      <c r="L3631" s="505"/>
      <c r="M3631" s="505"/>
      <c r="N3631" s="505"/>
      <c r="O3631" s="505"/>
      <c r="P3631" s="505"/>
      <c r="Q3631" s="505"/>
      <c r="R3631" s="505"/>
      <c r="S3631" s="505"/>
      <c r="T3631" s="505"/>
      <c r="U3631" s="505"/>
      <c r="V3631" s="505"/>
      <c r="W3631" s="505"/>
      <c r="X3631" s="505"/>
      <c r="Y3631" s="505"/>
    </row>
    <row r="3632" spans="1:25" s="88" customFormat="1" hidden="1" x14ac:dyDescent="0.25">
      <c r="A3632" s="258"/>
      <c r="B3632" s="258"/>
      <c r="C3632" s="261"/>
      <c r="D3632" s="258"/>
      <c r="E3632" s="679"/>
      <c r="F3632" s="499">
        <v>472</v>
      </c>
      <c r="G3632" s="492" t="s">
        <v>3815</v>
      </c>
      <c r="H3632" s="555"/>
      <c r="I3632" s="556"/>
      <c r="J3632" s="556">
        <f t="shared" si="123"/>
        <v>0</v>
      </c>
      <c r="K3632" s="505"/>
      <c r="L3632" s="505"/>
      <c r="M3632" s="505"/>
      <c r="N3632" s="505"/>
      <c r="O3632" s="505"/>
      <c r="P3632" s="505"/>
      <c r="Q3632" s="505"/>
      <c r="R3632" s="505"/>
      <c r="S3632" s="505"/>
      <c r="T3632" s="505"/>
      <c r="U3632" s="505"/>
      <c r="V3632" s="505"/>
      <c r="W3632" s="505"/>
      <c r="X3632" s="505"/>
      <c r="Y3632" s="505"/>
    </row>
    <row r="3633" spans="1:25" s="88" customFormat="1" hidden="1" x14ac:dyDescent="0.25">
      <c r="A3633" s="258"/>
      <c r="B3633" s="258"/>
      <c r="C3633" s="261"/>
      <c r="D3633" s="258"/>
      <c r="E3633" s="679"/>
      <c r="F3633" s="499">
        <v>481</v>
      </c>
      <c r="G3633" s="492" t="s">
        <v>4153</v>
      </c>
      <c r="H3633" s="555"/>
      <c r="I3633" s="556"/>
      <c r="J3633" s="556">
        <f t="shared" si="123"/>
        <v>0</v>
      </c>
      <c r="K3633" s="505"/>
      <c r="L3633" s="505"/>
      <c r="M3633" s="505"/>
      <c r="N3633" s="505"/>
      <c r="O3633" s="505"/>
      <c r="P3633" s="505"/>
      <c r="Q3633" s="505"/>
      <c r="R3633" s="505"/>
      <c r="S3633" s="505"/>
      <c r="T3633" s="505"/>
      <c r="U3633" s="505"/>
      <c r="V3633" s="505"/>
      <c r="W3633" s="505"/>
      <c r="X3633" s="505"/>
      <c r="Y3633" s="505"/>
    </row>
    <row r="3634" spans="1:25" s="88" customFormat="1" hidden="1" x14ac:dyDescent="0.25">
      <c r="A3634" s="258"/>
      <c r="B3634" s="258"/>
      <c r="C3634" s="261"/>
      <c r="D3634" s="258"/>
      <c r="E3634" s="679"/>
      <c r="F3634" s="499">
        <v>482</v>
      </c>
      <c r="G3634" s="492" t="s">
        <v>4154</v>
      </c>
      <c r="H3634" s="555"/>
      <c r="I3634" s="556"/>
      <c r="J3634" s="556">
        <f t="shared" si="123"/>
        <v>0</v>
      </c>
      <c r="K3634" s="505"/>
      <c r="L3634" s="505"/>
      <c r="M3634" s="505"/>
      <c r="N3634" s="505"/>
      <c r="O3634" s="505"/>
      <c r="P3634" s="505"/>
      <c r="Q3634" s="505"/>
      <c r="R3634" s="505"/>
      <c r="S3634" s="505"/>
      <c r="T3634" s="505"/>
      <c r="U3634" s="505"/>
      <c r="V3634" s="505"/>
      <c r="W3634" s="505"/>
      <c r="X3634" s="505"/>
      <c r="Y3634" s="505"/>
    </row>
    <row r="3635" spans="1:25" s="88" customFormat="1" hidden="1" x14ac:dyDescent="0.25">
      <c r="A3635" s="258"/>
      <c r="B3635" s="258"/>
      <c r="C3635" s="261"/>
      <c r="D3635" s="258"/>
      <c r="E3635" s="679"/>
      <c r="F3635" s="499">
        <v>483</v>
      </c>
      <c r="G3635" s="496" t="s">
        <v>4155</v>
      </c>
      <c r="H3635" s="555"/>
      <c r="I3635" s="556"/>
      <c r="J3635" s="556">
        <f t="shared" si="123"/>
        <v>0</v>
      </c>
      <c r="K3635" s="505"/>
      <c r="L3635" s="505"/>
      <c r="M3635" s="505"/>
      <c r="N3635" s="505"/>
      <c r="O3635" s="505"/>
      <c r="P3635" s="505"/>
      <c r="Q3635" s="505"/>
      <c r="R3635" s="505"/>
      <c r="S3635" s="505"/>
      <c r="T3635" s="505"/>
      <c r="U3635" s="505"/>
      <c r="V3635" s="505"/>
      <c r="W3635" s="505"/>
      <c r="X3635" s="505"/>
      <c r="Y3635" s="505"/>
    </row>
    <row r="3636" spans="1:25" s="88" customFormat="1" ht="30" hidden="1" x14ac:dyDescent="0.25">
      <c r="A3636" s="258"/>
      <c r="B3636" s="258"/>
      <c r="C3636" s="261"/>
      <c r="D3636" s="258"/>
      <c r="E3636" s="679"/>
      <c r="F3636" s="499">
        <v>484</v>
      </c>
      <c r="G3636" s="492" t="s">
        <v>4156</v>
      </c>
      <c r="H3636" s="555"/>
      <c r="I3636" s="556"/>
      <c r="J3636" s="556">
        <f t="shared" si="123"/>
        <v>0</v>
      </c>
      <c r="K3636" s="505"/>
      <c r="L3636" s="505"/>
      <c r="M3636" s="505"/>
      <c r="N3636" s="505"/>
      <c r="O3636" s="505"/>
      <c r="P3636" s="505"/>
      <c r="Q3636" s="505"/>
      <c r="R3636" s="505"/>
      <c r="S3636" s="505"/>
      <c r="T3636" s="505"/>
      <c r="U3636" s="505"/>
      <c r="V3636" s="505"/>
      <c r="W3636" s="505"/>
      <c r="X3636" s="505"/>
      <c r="Y3636" s="505"/>
    </row>
    <row r="3637" spans="1:25" s="88" customFormat="1" ht="30" hidden="1" x14ac:dyDescent="0.25">
      <c r="A3637" s="258"/>
      <c r="B3637" s="258"/>
      <c r="C3637" s="261"/>
      <c r="D3637" s="258"/>
      <c r="E3637" s="679"/>
      <c r="F3637" s="499">
        <v>485</v>
      </c>
      <c r="G3637" s="492" t="s">
        <v>4157</v>
      </c>
      <c r="H3637" s="555"/>
      <c r="I3637" s="556"/>
      <c r="J3637" s="556">
        <f t="shared" si="123"/>
        <v>0</v>
      </c>
      <c r="K3637" s="505"/>
      <c r="L3637" s="505"/>
      <c r="M3637" s="505"/>
      <c r="N3637" s="505"/>
      <c r="O3637" s="505"/>
      <c r="P3637" s="505"/>
      <c r="Q3637" s="505"/>
      <c r="R3637" s="505"/>
      <c r="S3637" s="505"/>
      <c r="T3637" s="505"/>
      <c r="U3637" s="505"/>
      <c r="V3637" s="505"/>
      <c r="W3637" s="505"/>
      <c r="X3637" s="505"/>
      <c r="Y3637" s="505"/>
    </row>
    <row r="3638" spans="1:25" s="88" customFormat="1" ht="30" hidden="1" x14ac:dyDescent="0.25">
      <c r="A3638" s="258"/>
      <c r="B3638" s="258"/>
      <c r="C3638" s="261"/>
      <c r="D3638" s="258"/>
      <c r="E3638" s="679"/>
      <c r="F3638" s="499">
        <v>489</v>
      </c>
      <c r="G3638" s="492" t="s">
        <v>3823</v>
      </c>
      <c r="H3638" s="555"/>
      <c r="I3638" s="556"/>
      <c r="J3638" s="556">
        <f t="shared" si="123"/>
        <v>0</v>
      </c>
      <c r="K3638" s="505"/>
      <c r="L3638" s="505"/>
      <c r="M3638" s="505"/>
      <c r="N3638" s="505"/>
      <c r="O3638" s="505"/>
      <c r="P3638" s="505"/>
      <c r="Q3638" s="505"/>
      <c r="R3638" s="505"/>
      <c r="S3638" s="505"/>
      <c r="T3638" s="505"/>
      <c r="U3638" s="505"/>
      <c r="V3638" s="505"/>
      <c r="W3638" s="505"/>
      <c r="X3638" s="505"/>
      <c r="Y3638" s="505"/>
    </row>
    <row r="3639" spans="1:25" s="88" customFormat="1" hidden="1" x14ac:dyDescent="0.25">
      <c r="A3639" s="258"/>
      <c r="B3639" s="258"/>
      <c r="C3639" s="261"/>
      <c r="D3639" s="258"/>
      <c r="E3639" s="679"/>
      <c r="F3639" s="499">
        <v>494</v>
      </c>
      <c r="G3639" s="492" t="s">
        <v>4135</v>
      </c>
      <c r="H3639" s="555"/>
      <c r="I3639" s="556"/>
      <c r="J3639" s="556">
        <f t="shared" si="123"/>
        <v>0</v>
      </c>
      <c r="K3639" s="505"/>
      <c r="L3639" s="505"/>
      <c r="M3639" s="505"/>
      <c r="N3639" s="505"/>
      <c r="O3639" s="505"/>
      <c r="P3639" s="505"/>
      <c r="Q3639" s="505"/>
      <c r="R3639" s="505"/>
      <c r="S3639" s="505"/>
      <c r="T3639" s="505"/>
      <c r="U3639" s="505"/>
      <c r="V3639" s="505"/>
      <c r="W3639" s="505"/>
      <c r="X3639" s="505"/>
      <c r="Y3639" s="505"/>
    </row>
    <row r="3640" spans="1:25" s="88" customFormat="1" ht="30" hidden="1" x14ac:dyDescent="0.25">
      <c r="A3640" s="258"/>
      <c r="B3640" s="258"/>
      <c r="C3640" s="261"/>
      <c r="D3640" s="258"/>
      <c r="E3640" s="679"/>
      <c r="F3640" s="499">
        <v>495</v>
      </c>
      <c r="G3640" s="492" t="s">
        <v>4136</v>
      </c>
      <c r="H3640" s="555"/>
      <c r="I3640" s="556"/>
      <c r="J3640" s="556">
        <f t="shared" si="123"/>
        <v>0</v>
      </c>
      <c r="K3640" s="505"/>
      <c r="L3640" s="505"/>
      <c r="M3640" s="505"/>
      <c r="N3640" s="505"/>
      <c r="O3640" s="505"/>
      <c r="P3640" s="505"/>
      <c r="Q3640" s="505"/>
      <c r="R3640" s="505"/>
      <c r="S3640" s="505"/>
      <c r="T3640" s="505"/>
      <c r="U3640" s="505"/>
      <c r="V3640" s="505"/>
      <c r="W3640" s="505"/>
      <c r="X3640" s="505"/>
      <c r="Y3640" s="505"/>
    </row>
    <row r="3641" spans="1:25" s="88" customFormat="1" ht="30" hidden="1" x14ac:dyDescent="0.25">
      <c r="A3641" s="258"/>
      <c r="B3641" s="258"/>
      <c r="C3641" s="261"/>
      <c r="D3641" s="258"/>
      <c r="E3641" s="679"/>
      <c r="F3641" s="499">
        <v>496</v>
      </c>
      <c r="G3641" s="492" t="s">
        <v>4137</v>
      </c>
      <c r="H3641" s="555"/>
      <c r="I3641" s="556"/>
      <c r="J3641" s="556">
        <f t="shared" si="123"/>
        <v>0</v>
      </c>
      <c r="K3641" s="505"/>
      <c r="L3641" s="505"/>
      <c r="M3641" s="505"/>
      <c r="N3641" s="505"/>
      <c r="O3641" s="505"/>
      <c r="P3641" s="505"/>
      <c r="Q3641" s="505"/>
      <c r="R3641" s="505"/>
      <c r="S3641" s="505"/>
      <c r="T3641" s="505"/>
      <c r="U3641" s="505"/>
      <c r="V3641" s="505"/>
      <c r="W3641" s="505"/>
      <c r="X3641" s="505"/>
      <c r="Y3641" s="505"/>
    </row>
    <row r="3642" spans="1:25" s="88" customFormat="1" ht="30" hidden="1" x14ac:dyDescent="0.25">
      <c r="A3642" s="258"/>
      <c r="B3642" s="258"/>
      <c r="C3642" s="261"/>
      <c r="D3642" s="258"/>
      <c r="E3642" s="679"/>
      <c r="F3642" s="499">
        <v>499</v>
      </c>
      <c r="G3642" s="492" t="s">
        <v>4138</v>
      </c>
      <c r="H3642" s="555"/>
      <c r="I3642" s="556"/>
      <c r="J3642" s="556">
        <f t="shared" si="123"/>
        <v>0</v>
      </c>
      <c r="K3642" s="505"/>
      <c r="L3642" s="505"/>
      <c r="M3642" s="505"/>
      <c r="N3642" s="505"/>
      <c r="O3642" s="505"/>
      <c r="P3642" s="505"/>
      <c r="Q3642" s="505"/>
      <c r="R3642" s="505"/>
      <c r="S3642" s="505"/>
      <c r="T3642" s="505"/>
      <c r="U3642" s="505"/>
      <c r="V3642" s="505"/>
      <c r="W3642" s="505"/>
      <c r="X3642" s="505"/>
      <c r="Y3642" s="505"/>
    </row>
    <row r="3643" spans="1:25" s="88" customFormat="1" hidden="1" x14ac:dyDescent="0.25">
      <c r="A3643" s="258"/>
      <c r="B3643" s="258"/>
      <c r="C3643" s="261"/>
      <c r="D3643" s="258"/>
      <c r="E3643" s="679"/>
      <c r="F3643" s="499">
        <v>511</v>
      </c>
      <c r="G3643" s="496" t="s">
        <v>4158</v>
      </c>
      <c r="H3643" s="555"/>
      <c r="I3643" s="556"/>
      <c r="J3643" s="556">
        <f t="shared" si="123"/>
        <v>0</v>
      </c>
      <c r="K3643" s="505"/>
      <c r="L3643" s="505"/>
      <c r="M3643" s="505"/>
      <c r="N3643" s="505"/>
      <c r="O3643" s="505"/>
      <c r="P3643" s="505"/>
      <c r="Q3643" s="505"/>
      <c r="R3643" s="505"/>
      <c r="S3643" s="505"/>
      <c r="T3643" s="505"/>
      <c r="U3643" s="505"/>
      <c r="V3643" s="505"/>
      <c r="W3643" s="505"/>
      <c r="X3643" s="505"/>
      <c r="Y3643" s="505"/>
    </row>
    <row r="3644" spans="1:25" s="88" customFormat="1" hidden="1" x14ac:dyDescent="0.25">
      <c r="A3644" s="258"/>
      <c r="B3644" s="258"/>
      <c r="C3644" s="261"/>
      <c r="D3644" s="258"/>
      <c r="E3644" s="679"/>
      <c r="F3644" s="499">
        <v>512</v>
      </c>
      <c r="G3644" s="496" t="s">
        <v>4159</v>
      </c>
      <c r="H3644" s="555"/>
      <c r="I3644" s="556"/>
      <c r="J3644" s="556">
        <f t="shared" si="123"/>
        <v>0</v>
      </c>
      <c r="K3644" s="505"/>
      <c r="L3644" s="505"/>
      <c r="M3644" s="505"/>
      <c r="N3644" s="505"/>
      <c r="O3644" s="505"/>
      <c r="P3644" s="505"/>
      <c r="Q3644" s="505"/>
      <c r="R3644" s="505"/>
      <c r="S3644" s="505"/>
      <c r="T3644" s="505"/>
      <c r="U3644" s="505"/>
      <c r="V3644" s="505"/>
      <c r="W3644" s="505"/>
      <c r="X3644" s="505"/>
      <c r="Y3644" s="505"/>
    </row>
    <row r="3645" spans="1:25" s="88" customFormat="1" hidden="1" x14ac:dyDescent="0.25">
      <c r="A3645" s="258"/>
      <c r="B3645" s="258"/>
      <c r="C3645" s="261"/>
      <c r="D3645" s="258"/>
      <c r="E3645" s="679"/>
      <c r="F3645" s="499">
        <v>513</v>
      </c>
      <c r="G3645" s="496" t="s">
        <v>4160</v>
      </c>
      <c r="H3645" s="555"/>
      <c r="I3645" s="556"/>
      <c r="J3645" s="556">
        <f t="shared" si="123"/>
        <v>0</v>
      </c>
      <c r="K3645" s="505"/>
      <c r="L3645" s="505"/>
      <c r="M3645" s="505"/>
      <c r="N3645" s="505"/>
      <c r="O3645" s="505"/>
      <c r="P3645" s="505"/>
      <c r="Q3645" s="505"/>
      <c r="R3645" s="505"/>
      <c r="S3645" s="505"/>
      <c r="T3645" s="505"/>
      <c r="U3645" s="505"/>
      <c r="V3645" s="505"/>
      <c r="W3645" s="505"/>
      <c r="X3645" s="505"/>
      <c r="Y3645" s="505"/>
    </row>
    <row r="3646" spans="1:25" s="88" customFormat="1" hidden="1" x14ac:dyDescent="0.25">
      <c r="A3646" s="258"/>
      <c r="B3646" s="258"/>
      <c r="C3646" s="261"/>
      <c r="D3646" s="258"/>
      <c r="E3646" s="679"/>
      <c r="F3646" s="499">
        <v>514</v>
      </c>
      <c r="G3646" s="492" t="s">
        <v>4161</v>
      </c>
      <c r="H3646" s="555"/>
      <c r="I3646" s="556"/>
      <c r="J3646" s="556">
        <f t="shared" si="123"/>
        <v>0</v>
      </c>
      <c r="K3646" s="505"/>
      <c r="L3646" s="505"/>
      <c r="M3646" s="505"/>
      <c r="N3646" s="505"/>
      <c r="O3646" s="505"/>
      <c r="P3646" s="505"/>
      <c r="Q3646" s="505"/>
      <c r="R3646" s="505"/>
      <c r="S3646" s="505"/>
      <c r="T3646" s="505"/>
      <c r="U3646" s="505"/>
      <c r="V3646" s="505"/>
      <c r="W3646" s="505"/>
      <c r="X3646" s="505"/>
      <c r="Y3646" s="505"/>
    </row>
    <row r="3647" spans="1:25" s="88" customFormat="1" hidden="1" x14ac:dyDescent="0.25">
      <c r="A3647" s="258"/>
      <c r="B3647" s="258"/>
      <c r="C3647" s="261"/>
      <c r="D3647" s="258"/>
      <c r="E3647" s="679"/>
      <c r="F3647" s="499">
        <v>515</v>
      </c>
      <c r="G3647" s="492" t="s">
        <v>3834</v>
      </c>
      <c r="H3647" s="555"/>
      <c r="I3647" s="556"/>
      <c r="J3647" s="556">
        <f t="shared" si="123"/>
        <v>0</v>
      </c>
      <c r="K3647" s="505"/>
      <c r="L3647" s="505"/>
      <c r="M3647" s="505"/>
      <c r="N3647" s="505"/>
      <c r="O3647" s="505"/>
      <c r="P3647" s="505"/>
      <c r="Q3647" s="505"/>
      <c r="R3647" s="505"/>
      <c r="S3647" s="505"/>
      <c r="T3647" s="505"/>
      <c r="U3647" s="505"/>
      <c r="V3647" s="505"/>
      <c r="W3647" s="505"/>
      <c r="X3647" s="505"/>
      <c r="Y3647" s="505"/>
    </row>
    <row r="3648" spans="1:25" s="88" customFormat="1" hidden="1" x14ac:dyDescent="0.25">
      <c r="A3648" s="258"/>
      <c r="B3648" s="258"/>
      <c r="C3648" s="261"/>
      <c r="D3648" s="258"/>
      <c r="E3648" s="679"/>
      <c r="F3648" s="499">
        <v>521</v>
      </c>
      <c r="G3648" s="492" t="s">
        <v>4162</v>
      </c>
      <c r="H3648" s="555"/>
      <c r="I3648" s="556"/>
      <c r="J3648" s="556">
        <f t="shared" si="123"/>
        <v>0</v>
      </c>
      <c r="K3648" s="505"/>
      <c r="L3648" s="505"/>
      <c r="M3648" s="505"/>
      <c r="N3648" s="505"/>
      <c r="O3648" s="505"/>
      <c r="P3648" s="505"/>
      <c r="Q3648" s="505"/>
      <c r="R3648" s="505"/>
      <c r="S3648" s="505"/>
      <c r="T3648" s="505"/>
      <c r="U3648" s="505"/>
      <c r="V3648" s="505"/>
      <c r="W3648" s="505"/>
      <c r="X3648" s="505"/>
      <c r="Y3648" s="505"/>
    </row>
    <row r="3649" spans="1:25" s="88" customFormat="1" hidden="1" x14ac:dyDescent="0.25">
      <c r="A3649" s="258"/>
      <c r="B3649" s="258"/>
      <c r="C3649" s="261"/>
      <c r="D3649" s="258"/>
      <c r="E3649" s="679"/>
      <c r="F3649" s="499">
        <v>522</v>
      </c>
      <c r="G3649" s="492" t="s">
        <v>4163</v>
      </c>
      <c r="H3649" s="555"/>
      <c r="I3649" s="556"/>
      <c r="J3649" s="556">
        <f t="shared" si="123"/>
        <v>0</v>
      </c>
      <c r="K3649" s="505"/>
      <c r="L3649" s="505"/>
      <c r="M3649" s="505"/>
      <c r="N3649" s="505"/>
      <c r="O3649" s="505"/>
      <c r="P3649" s="505"/>
      <c r="Q3649" s="505"/>
      <c r="R3649" s="505"/>
      <c r="S3649" s="505"/>
      <c r="T3649" s="505"/>
      <c r="U3649" s="505"/>
      <c r="V3649" s="505"/>
      <c r="W3649" s="505"/>
      <c r="X3649" s="505"/>
      <c r="Y3649" s="505"/>
    </row>
    <row r="3650" spans="1:25" s="88" customFormat="1" hidden="1" x14ac:dyDescent="0.25">
      <c r="A3650" s="258"/>
      <c r="B3650" s="258"/>
      <c r="C3650" s="261"/>
      <c r="D3650" s="258"/>
      <c r="E3650" s="679"/>
      <c r="F3650" s="499">
        <v>523</v>
      </c>
      <c r="G3650" s="492" t="s">
        <v>3839</v>
      </c>
      <c r="H3650" s="555"/>
      <c r="I3650" s="556"/>
      <c r="J3650" s="556">
        <f t="shared" si="123"/>
        <v>0</v>
      </c>
      <c r="K3650" s="505"/>
      <c r="L3650" s="505"/>
      <c r="M3650" s="505"/>
      <c r="N3650" s="505"/>
      <c r="O3650" s="505"/>
      <c r="P3650" s="505"/>
      <c r="Q3650" s="505"/>
      <c r="R3650" s="505"/>
      <c r="S3650" s="505"/>
      <c r="T3650" s="505"/>
      <c r="U3650" s="505"/>
      <c r="V3650" s="505"/>
      <c r="W3650" s="505"/>
      <c r="X3650" s="505"/>
      <c r="Y3650" s="505"/>
    </row>
    <row r="3651" spans="1:25" s="88" customFormat="1" hidden="1" x14ac:dyDescent="0.25">
      <c r="A3651" s="258"/>
      <c r="B3651" s="258"/>
      <c r="C3651" s="261"/>
      <c r="D3651" s="258"/>
      <c r="E3651" s="679"/>
      <c r="F3651" s="499">
        <v>531</v>
      </c>
      <c r="G3651" s="488" t="s">
        <v>4139</v>
      </c>
      <c r="H3651" s="555"/>
      <c r="I3651" s="556"/>
      <c r="J3651" s="556">
        <f t="shared" si="123"/>
        <v>0</v>
      </c>
      <c r="K3651" s="505"/>
      <c r="L3651" s="505"/>
      <c r="M3651" s="505"/>
      <c r="N3651" s="505"/>
      <c r="O3651" s="505"/>
      <c r="P3651" s="505"/>
      <c r="Q3651" s="505"/>
      <c r="R3651" s="505"/>
      <c r="S3651" s="505"/>
      <c r="T3651" s="505"/>
      <c r="U3651" s="505"/>
      <c r="V3651" s="505"/>
      <c r="W3651" s="505"/>
      <c r="X3651" s="505"/>
      <c r="Y3651" s="505"/>
    </row>
    <row r="3652" spans="1:25" s="88" customFormat="1" hidden="1" x14ac:dyDescent="0.25">
      <c r="A3652" s="258"/>
      <c r="B3652" s="258"/>
      <c r="C3652" s="261"/>
      <c r="D3652" s="258"/>
      <c r="E3652" s="679"/>
      <c r="F3652" s="499">
        <v>541</v>
      </c>
      <c r="G3652" s="492" t="s">
        <v>4164</v>
      </c>
      <c r="H3652" s="555"/>
      <c r="I3652" s="556"/>
      <c r="J3652" s="556">
        <f t="shared" si="123"/>
        <v>0</v>
      </c>
      <c r="K3652" s="505"/>
      <c r="L3652" s="505"/>
      <c r="M3652" s="505"/>
      <c r="N3652" s="505"/>
      <c r="O3652" s="505"/>
      <c r="P3652" s="505"/>
      <c r="Q3652" s="505"/>
      <c r="R3652" s="505"/>
      <c r="S3652" s="505"/>
      <c r="T3652" s="505"/>
      <c r="U3652" s="505"/>
      <c r="V3652" s="505"/>
      <c r="W3652" s="505"/>
      <c r="X3652" s="505"/>
      <c r="Y3652" s="505"/>
    </row>
    <row r="3653" spans="1:25" s="88" customFormat="1" hidden="1" x14ac:dyDescent="0.25">
      <c r="A3653" s="258"/>
      <c r="B3653" s="258"/>
      <c r="C3653" s="261"/>
      <c r="D3653" s="258"/>
      <c r="E3653" s="679"/>
      <c r="F3653" s="499">
        <v>542</v>
      </c>
      <c r="G3653" s="492" t="s">
        <v>4165</v>
      </c>
      <c r="H3653" s="555"/>
      <c r="I3653" s="556"/>
      <c r="J3653" s="556">
        <f t="shared" si="123"/>
        <v>0</v>
      </c>
      <c r="K3653" s="505"/>
      <c r="L3653" s="505"/>
      <c r="M3653" s="505"/>
      <c r="N3653" s="505"/>
      <c r="O3653" s="505"/>
      <c r="P3653" s="505"/>
      <c r="Q3653" s="505"/>
      <c r="R3653" s="505"/>
      <c r="S3653" s="505"/>
      <c r="T3653" s="505"/>
      <c r="U3653" s="505"/>
      <c r="V3653" s="505"/>
      <c r="W3653" s="505"/>
      <c r="X3653" s="505"/>
      <c r="Y3653" s="505"/>
    </row>
    <row r="3654" spans="1:25" s="88" customFormat="1" hidden="1" x14ac:dyDescent="0.25">
      <c r="A3654" s="258"/>
      <c r="B3654" s="258"/>
      <c r="C3654" s="261"/>
      <c r="D3654" s="258"/>
      <c r="E3654" s="679"/>
      <c r="F3654" s="499">
        <v>543</v>
      </c>
      <c r="G3654" s="492" t="s">
        <v>3844</v>
      </c>
      <c r="H3654" s="555"/>
      <c r="I3654" s="556"/>
      <c r="J3654" s="556">
        <f t="shared" si="123"/>
        <v>0</v>
      </c>
      <c r="K3654" s="505"/>
      <c r="L3654" s="505"/>
      <c r="M3654" s="505"/>
      <c r="N3654" s="505"/>
      <c r="O3654" s="505"/>
      <c r="P3654" s="505"/>
      <c r="Q3654" s="505"/>
      <c r="R3654" s="505"/>
      <c r="S3654" s="505"/>
      <c r="T3654" s="505"/>
      <c r="U3654" s="505"/>
      <c r="V3654" s="505"/>
      <c r="W3654" s="505"/>
      <c r="X3654" s="505"/>
      <c r="Y3654" s="505"/>
    </row>
    <row r="3655" spans="1:25" s="88" customFormat="1" ht="30" hidden="1" x14ac:dyDescent="0.25">
      <c r="A3655" s="258"/>
      <c r="B3655" s="258"/>
      <c r="C3655" s="261"/>
      <c r="D3655" s="258"/>
      <c r="E3655" s="679"/>
      <c r="F3655" s="499">
        <v>551</v>
      </c>
      <c r="G3655" s="492" t="s">
        <v>4140</v>
      </c>
      <c r="H3655" s="555"/>
      <c r="I3655" s="556"/>
      <c r="J3655" s="556">
        <f t="shared" si="123"/>
        <v>0</v>
      </c>
      <c r="K3655" s="505"/>
      <c r="L3655" s="505"/>
      <c r="M3655" s="505"/>
      <c r="N3655" s="505"/>
      <c r="O3655" s="505"/>
      <c r="P3655" s="505"/>
      <c r="Q3655" s="505"/>
      <c r="R3655" s="505"/>
      <c r="S3655" s="505"/>
      <c r="T3655" s="505"/>
      <c r="U3655" s="505"/>
      <c r="V3655" s="505"/>
      <c r="W3655" s="505"/>
      <c r="X3655" s="505"/>
      <c r="Y3655" s="505"/>
    </row>
    <row r="3656" spans="1:25" s="88" customFormat="1" hidden="1" x14ac:dyDescent="0.25">
      <c r="A3656" s="258"/>
      <c r="B3656" s="258"/>
      <c r="C3656" s="261"/>
      <c r="D3656" s="258"/>
      <c r="E3656" s="679"/>
      <c r="F3656" s="500">
        <v>611</v>
      </c>
      <c r="G3656" s="498" t="s">
        <v>3850</v>
      </c>
      <c r="H3656" s="555"/>
      <c r="I3656" s="556"/>
      <c r="J3656" s="556">
        <f t="shared" si="123"/>
        <v>0</v>
      </c>
      <c r="K3656" s="505"/>
      <c r="L3656" s="505"/>
      <c r="M3656" s="505"/>
      <c r="N3656" s="505"/>
      <c r="O3656" s="505"/>
      <c r="P3656" s="505"/>
      <c r="Q3656" s="505"/>
      <c r="R3656" s="505"/>
      <c r="S3656" s="505"/>
      <c r="T3656" s="505"/>
      <c r="U3656" s="505"/>
      <c r="V3656" s="505"/>
      <c r="W3656" s="505"/>
      <c r="X3656" s="505"/>
      <c r="Y3656" s="505"/>
    </row>
    <row r="3657" spans="1:25" s="88" customFormat="1" ht="15.75" hidden="1" thickBot="1" x14ac:dyDescent="0.3">
      <c r="A3657" s="258"/>
      <c r="B3657" s="258"/>
      <c r="C3657" s="261"/>
      <c r="D3657" s="258"/>
      <c r="E3657" s="679"/>
      <c r="F3657" s="500">
        <v>620</v>
      </c>
      <c r="G3657" s="498" t="s">
        <v>88</v>
      </c>
      <c r="H3657" s="555"/>
      <c r="I3657" s="556"/>
      <c r="J3657" s="556">
        <f t="shared" si="123"/>
        <v>0</v>
      </c>
      <c r="K3657" s="505"/>
      <c r="L3657" s="505"/>
      <c r="M3657" s="505"/>
      <c r="N3657" s="505"/>
      <c r="O3657" s="505"/>
      <c r="P3657" s="505"/>
      <c r="Q3657" s="505"/>
      <c r="R3657" s="505"/>
      <c r="S3657" s="505"/>
      <c r="T3657" s="505"/>
      <c r="U3657" s="505"/>
      <c r="V3657" s="505"/>
      <c r="W3657" s="505"/>
      <c r="X3657" s="505"/>
      <c r="Y3657" s="505"/>
    </row>
    <row r="3658" spans="1:25" s="88" customFormat="1" x14ac:dyDescent="0.25">
      <c r="A3658" s="258"/>
      <c r="B3658" s="258"/>
      <c r="C3658" s="261"/>
      <c r="D3658" s="258"/>
      <c r="E3658" s="489"/>
      <c r="F3658" s="500"/>
      <c r="G3658" s="343" t="s">
        <v>4337</v>
      </c>
      <c r="H3658" s="557"/>
      <c r="I3658" s="583"/>
      <c r="J3658" s="558"/>
      <c r="K3658" s="505"/>
      <c r="L3658" s="505"/>
      <c r="M3658" s="505"/>
      <c r="N3658" s="505"/>
      <c r="O3658" s="505"/>
      <c r="P3658" s="505"/>
      <c r="Q3658" s="505"/>
      <c r="R3658" s="505"/>
      <c r="S3658" s="505"/>
      <c r="T3658" s="505"/>
      <c r="U3658" s="505"/>
      <c r="V3658" s="505"/>
      <c r="W3658" s="505"/>
      <c r="X3658" s="505"/>
      <c r="Y3658" s="505"/>
    </row>
    <row r="3659" spans="1:25" s="88" customFormat="1" ht="15" customHeight="1" thickBot="1" x14ac:dyDescent="0.3">
      <c r="A3659" s="258"/>
      <c r="B3659" s="258"/>
      <c r="C3659" s="261"/>
      <c r="D3659" s="258"/>
      <c r="E3659" s="693"/>
      <c r="F3659" s="597" t="s">
        <v>234</v>
      </c>
      <c r="G3659" s="598" t="s">
        <v>235</v>
      </c>
      <c r="H3659" s="559">
        <f>SUM(H3598:H3657)</f>
        <v>150000</v>
      </c>
      <c r="I3659" s="560"/>
      <c r="J3659" s="560">
        <f t="shared" ref="J3659:J3674" si="124">SUM(H3659:I3659)</f>
        <v>150000</v>
      </c>
      <c r="K3659" s="505"/>
      <c r="L3659" s="505"/>
      <c r="M3659" s="505"/>
      <c r="N3659" s="505"/>
      <c r="O3659" s="505"/>
      <c r="P3659" s="505"/>
      <c r="Q3659" s="505"/>
      <c r="R3659" s="505"/>
      <c r="S3659" s="505"/>
      <c r="T3659" s="505"/>
      <c r="U3659" s="505"/>
      <c r="V3659" s="505"/>
      <c r="W3659" s="505"/>
      <c r="X3659" s="505"/>
      <c r="Y3659" s="505"/>
    </row>
    <row r="3660" spans="1:25" s="88" customFormat="1" hidden="1" x14ac:dyDescent="0.25">
      <c r="A3660" s="258"/>
      <c r="B3660" s="258"/>
      <c r="C3660" s="261"/>
      <c r="D3660" s="258"/>
      <c r="E3660" s="679"/>
      <c r="F3660" s="597" t="s">
        <v>236</v>
      </c>
      <c r="G3660" s="598" t="s">
        <v>237</v>
      </c>
      <c r="H3660" s="555"/>
      <c r="I3660" s="556"/>
      <c r="J3660" s="560">
        <f t="shared" si="124"/>
        <v>0</v>
      </c>
      <c r="K3660" s="505"/>
      <c r="L3660" s="505"/>
      <c r="M3660" s="505"/>
      <c r="N3660" s="505"/>
      <c r="O3660" s="505"/>
      <c r="P3660" s="505"/>
      <c r="Q3660" s="505"/>
      <c r="R3660" s="505"/>
      <c r="S3660" s="505"/>
      <c r="T3660" s="505"/>
      <c r="U3660" s="505"/>
      <c r="V3660" s="505"/>
      <c r="W3660" s="505"/>
      <c r="X3660" s="505"/>
      <c r="Y3660" s="505"/>
    </row>
    <row r="3661" spans="1:25" s="88" customFormat="1" hidden="1" x14ac:dyDescent="0.25">
      <c r="A3661" s="258"/>
      <c r="B3661" s="258"/>
      <c r="C3661" s="261"/>
      <c r="D3661" s="258"/>
      <c r="E3661" s="679"/>
      <c r="F3661" s="597" t="s">
        <v>238</v>
      </c>
      <c r="G3661" s="598" t="s">
        <v>239</v>
      </c>
      <c r="H3661" s="555"/>
      <c r="I3661" s="556"/>
      <c r="J3661" s="560">
        <f t="shared" si="124"/>
        <v>0</v>
      </c>
      <c r="K3661" s="505"/>
      <c r="L3661" s="505"/>
      <c r="M3661" s="505"/>
      <c r="N3661" s="505"/>
      <c r="O3661" s="505"/>
      <c r="P3661" s="505"/>
      <c r="Q3661" s="505"/>
      <c r="R3661" s="505"/>
      <c r="S3661" s="505"/>
      <c r="T3661" s="505"/>
      <c r="U3661" s="505"/>
      <c r="V3661" s="505"/>
      <c r="W3661" s="505"/>
      <c r="X3661" s="505"/>
      <c r="Y3661" s="505"/>
    </row>
    <row r="3662" spans="1:25" s="88" customFormat="1" hidden="1" x14ac:dyDescent="0.25">
      <c r="A3662" s="258"/>
      <c r="B3662" s="258"/>
      <c r="C3662" s="261"/>
      <c r="D3662" s="258"/>
      <c r="E3662" s="679"/>
      <c r="F3662" s="597" t="s">
        <v>240</v>
      </c>
      <c r="G3662" s="598" t="s">
        <v>241</v>
      </c>
      <c r="H3662" s="555"/>
      <c r="I3662" s="556"/>
      <c r="J3662" s="560">
        <f t="shared" si="124"/>
        <v>0</v>
      </c>
      <c r="K3662" s="505"/>
      <c r="L3662" s="505"/>
      <c r="M3662" s="505"/>
      <c r="N3662" s="505"/>
      <c r="O3662" s="505"/>
      <c r="P3662" s="505"/>
      <c r="Q3662" s="505"/>
      <c r="R3662" s="505"/>
      <c r="S3662" s="505"/>
      <c r="T3662" s="505"/>
      <c r="U3662" s="505"/>
      <c r="V3662" s="505"/>
      <c r="W3662" s="505"/>
      <c r="X3662" s="505"/>
      <c r="Y3662" s="505"/>
    </row>
    <row r="3663" spans="1:25" s="88" customFormat="1" hidden="1" x14ac:dyDescent="0.25">
      <c r="A3663" s="258"/>
      <c r="B3663" s="258"/>
      <c r="C3663" s="261"/>
      <c r="D3663" s="258"/>
      <c r="E3663" s="679"/>
      <c r="F3663" s="597" t="s">
        <v>242</v>
      </c>
      <c r="G3663" s="598" t="s">
        <v>243</v>
      </c>
      <c r="H3663" s="555"/>
      <c r="I3663" s="556"/>
      <c r="J3663" s="560">
        <f t="shared" si="124"/>
        <v>0</v>
      </c>
      <c r="K3663" s="505"/>
      <c r="L3663" s="505"/>
      <c r="M3663" s="505"/>
      <c r="N3663" s="505"/>
      <c r="O3663" s="505"/>
      <c r="P3663" s="505"/>
      <c r="Q3663" s="505"/>
      <c r="R3663" s="505"/>
      <c r="S3663" s="505"/>
      <c r="T3663" s="505"/>
      <c r="U3663" s="505"/>
      <c r="V3663" s="505"/>
      <c r="W3663" s="505"/>
      <c r="X3663" s="505"/>
      <c r="Y3663" s="505"/>
    </row>
    <row r="3664" spans="1:25" s="88" customFormat="1" hidden="1" x14ac:dyDescent="0.25">
      <c r="A3664" s="258"/>
      <c r="B3664" s="258"/>
      <c r="C3664" s="261"/>
      <c r="D3664" s="258"/>
      <c r="E3664" s="679"/>
      <c r="F3664" s="597" t="s">
        <v>244</v>
      </c>
      <c r="G3664" s="598" t="s">
        <v>245</v>
      </c>
      <c r="H3664" s="555"/>
      <c r="I3664" s="556"/>
      <c r="J3664" s="560">
        <f t="shared" si="124"/>
        <v>0</v>
      </c>
      <c r="K3664" s="505"/>
      <c r="L3664" s="505"/>
      <c r="M3664" s="505"/>
      <c r="N3664" s="505"/>
      <c r="O3664" s="505"/>
      <c r="P3664" s="505"/>
      <c r="Q3664" s="505"/>
      <c r="R3664" s="505"/>
      <c r="S3664" s="505"/>
      <c r="T3664" s="505"/>
      <c r="U3664" s="505"/>
      <c r="V3664" s="505"/>
      <c r="W3664" s="505"/>
      <c r="X3664" s="505"/>
      <c r="Y3664" s="505"/>
    </row>
    <row r="3665" spans="1:25" s="88" customFormat="1" hidden="1" x14ac:dyDescent="0.25">
      <c r="A3665" s="258"/>
      <c r="B3665" s="258"/>
      <c r="C3665" s="261"/>
      <c r="D3665" s="258"/>
      <c r="E3665" s="679"/>
      <c r="F3665" s="597" t="s">
        <v>246</v>
      </c>
      <c r="G3665" s="598" t="s">
        <v>4996</v>
      </c>
      <c r="H3665" s="555"/>
      <c r="I3665" s="556"/>
      <c r="J3665" s="560">
        <f t="shared" si="124"/>
        <v>0</v>
      </c>
      <c r="K3665" s="505"/>
      <c r="L3665" s="505"/>
      <c r="M3665" s="505"/>
      <c r="N3665" s="505"/>
      <c r="O3665" s="505"/>
      <c r="P3665" s="505"/>
      <c r="Q3665" s="505"/>
      <c r="R3665" s="505"/>
      <c r="S3665" s="505"/>
      <c r="T3665" s="505"/>
      <c r="U3665" s="505"/>
      <c r="V3665" s="505"/>
      <c r="W3665" s="505"/>
      <c r="X3665" s="505"/>
      <c r="Y3665" s="505"/>
    </row>
    <row r="3666" spans="1:25" s="88" customFormat="1" hidden="1" x14ac:dyDescent="0.25">
      <c r="A3666" s="258"/>
      <c r="B3666" s="258"/>
      <c r="C3666" s="261"/>
      <c r="D3666" s="258"/>
      <c r="E3666" s="679"/>
      <c r="F3666" s="597" t="s">
        <v>247</v>
      </c>
      <c r="G3666" s="598" t="s">
        <v>4995</v>
      </c>
      <c r="H3666" s="555"/>
      <c r="I3666" s="556"/>
      <c r="J3666" s="560">
        <f t="shared" si="124"/>
        <v>0</v>
      </c>
      <c r="K3666" s="505"/>
      <c r="L3666" s="505"/>
      <c r="M3666" s="505"/>
      <c r="N3666" s="505"/>
      <c r="O3666" s="505"/>
      <c r="P3666" s="505"/>
      <c r="Q3666" s="505"/>
      <c r="R3666" s="505"/>
      <c r="S3666" s="505"/>
      <c r="T3666" s="505"/>
      <c r="U3666" s="505"/>
      <c r="V3666" s="505"/>
      <c r="W3666" s="505"/>
      <c r="X3666" s="505"/>
      <c r="Y3666" s="505"/>
    </row>
    <row r="3667" spans="1:25" s="88" customFormat="1" hidden="1" x14ac:dyDescent="0.25">
      <c r="A3667" s="258"/>
      <c r="B3667" s="258"/>
      <c r="C3667" s="261"/>
      <c r="D3667" s="258"/>
      <c r="E3667" s="679"/>
      <c r="F3667" s="597" t="s">
        <v>248</v>
      </c>
      <c r="G3667" s="598" t="s">
        <v>57</v>
      </c>
      <c r="H3667" s="555"/>
      <c r="I3667" s="556"/>
      <c r="J3667" s="560">
        <f t="shared" si="124"/>
        <v>0</v>
      </c>
      <c r="K3667" s="505"/>
      <c r="L3667" s="505"/>
      <c r="M3667" s="505"/>
      <c r="N3667" s="505"/>
      <c r="O3667" s="505"/>
      <c r="P3667" s="505"/>
      <c r="Q3667" s="505"/>
      <c r="R3667" s="505"/>
      <c r="S3667" s="505"/>
      <c r="T3667" s="505"/>
      <c r="U3667" s="505"/>
      <c r="V3667" s="505"/>
      <c r="W3667" s="505"/>
      <c r="X3667" s="505"/>
      <c r="Y3667" s="505"/>
    </row>
    <row r="3668" spans="1:25" s="88" customFormat="1" hidden="1" x14ac:dyDescent="0.25">
      <c r="A3668" s="258"/>
      <c r="B3668" s="258"/>
      <c r="C3668" s="261"/>
      <c r="D3668" s="258"/>
      <c r="E3668" s="679"/>
      <c r="F3668" s="597" t="s">
        <v>249</v>
      </c>
      <c r="G3668" s="598" t="s">
        <v>250</v>
      </c>
      <c r="H3668" s="555"/>
      <c r="I3668" s="556"/>
      <c r="J3668" s="560">
        <f t="shared" si="124"/>
        <v>0</v>
      </c>
      <c r="K3668" s="505"/>
      <c r="L3668" s="505"/>
      <c r="M3668" s="505"/>
      <c r="N3668" s="505"/>
      <c r="O3668" s="505"/>
      <c r="P3668" s="505"/>
      <c r="Q3668" s="505"/>
      <c r="R3668" s="505"/>
      <c r="S3668" s="505"/>
      <c r="T3668" s="505"/>
      <c r="U3668" s="505"/>
      <c r="V3668" s="505"/>
      <c r="W3668" s="505"/>
      <c r="X3668" s="505"/>
      <c r="Y3668" s="505"/>
    </row>
    <row r="3669" spans="1:25" s="88" customFormat="1" hidden="1" x14ac:dyDescent="0.25">
      <c r="A3669" s="258"/>
      <c r="B3669" s="258"/>
      <c r="C3669" s="261"/>
      <c r="D3669" s="258"/>
      <c r="E3669" s="679"/>
      <c r="F3669" s="597" t="s">
        <v>251</v>
      </c>
      <c r="G3669" s="598" t="s">
        <v>252</v>
      </c>
      <c r="H3669" s="555"/>
      <c r="I3669" s="556"/>
      <c r="J3669" s="560">
        <f t="shared" si="124"/>
        <v>0</v>
      </c>
      <c r="K3669" s="505"/>
      <c r="L3669" s="505"/>
      <c r="M3669" s="505"/>
      <c r="N3669" s="505"/>
      <c r="O3669" s="505"/>
      <c r="P3669" s="505"/>
      <c r="Q3669" s="505"/>
      <c r="R3669" s="505"/>
      <c r="S3669" s="505"/>
      <c r="T3669" s="505"/>
      <c r="U3669" s="505"/>
      <c r="V3669" s="505"/>
      <c r="W3669" s="505"/>
      <c r="X3669" s="505"/>
      <c r="Y3669" s="505"/>
    </row>
    <row r="3670" spans="1:25" s="88" customFormat="1" ht="30" hidden="1" x14ac:dyDescent="0.25">
      <c r="A3670" s="258"/>
      <c r="B3670" s="258"/>
      <c r="C3670" s="261"/>
      <c r="D3670" s="258"/>
      <c r="E3670" s="679"/>
      <c r="F3670" s="597" t="s">
        <v>253</v>
      </c>
      <c r="G3670" s="598" t="s">
        <v>254</v>
      </c>
      <c r="H3670" s="555"/>
      <c r="I3670" s="556"/>
      <c r="J3670" s="560">
        <f t="shared" si="124"/>
        <v>0</v>
      </c>
      <c r="K3670" s="505"/>
      <c r="L3670" s="505"/>
      <c r="M3670" s="505"/>
      <c r="N3670" s="505"/>
      <c r="O3670" s="505"/>
      <c r="P3670" s="505"/>
      <c r="Q3670" s="505"/>
      <c r="R3670" s="505"/>
      <c r="S3670" s="505"/>
      <c r="T3670" s="505"/>
      <c r="U3670" s="505"/>
      <c r="V3670" s="505"/>
      <c r="W3670" s="505"/>
      <c r="X3670" s="505"/>
      <c r="Y3670" s="505"/>
    </row>
    <row r="3671" spans="1:25" s="88" customFormat="1" hidden="1" x14ac:dyDescent="0.25">
      <c r="A3671" s="258"/>
      <c r="B3671" s="258"/>
      <c r="C3671" s="261"/>
      <c r="D3671" s="258"/>
      <c r="E3671" s="679"/>
      <c r="F3671" s="597" t="s">
        <v>255</v>
      </c>
      <c r="G3671" s="598" t="s">
        <v>256</v>
      </c>
      <c r="H3671" s="555"/>
      <c r="I3671" s="556"/>
      <c r="J3671" s="560">
        <f t="shared" si="124"/>
        <v>0</v>
      </c>
      <c r="K3671" s="505"/>
      <c r="L3671" s="505"/>
      <c r="M3671" s="505"/>
      <c r="N3671" s="505"/>
      <c r="O3671" s="505"/>
      <c r="P3671" s="505"/>
      <c r="Q3671" s="505"/>
      <c r="R3671" s="505"/>
      <c r="S3671" s="505"/>
      <c r="T3671" s="505"/>
      <c r="U3671" s="505"/>
      <c r="V3671" s="505"/>
      <c r="W3671" s="505"/>
      <c r="X3671" s="505"/>
      <c r="Y3671" s="505"/>
    </row>
    <row r="3672" spans="1:25" s="88" customFormat="1" ht="30" hidden="1" x14ac:dyDescent="0.25">
      <c r="A3672" s="258"/>
      <c r="B3672" s="258"/>
      <c r="C3672" s="261"/>
      <c r="D3672" s="258"/>
      <c r="E3672" s="679"/>
      <c r="F3672" s="597" t="s">
        <v>257</v>
      </c>
      <c r="G3672" s="598" t="s">
        <v>258</v>
      </c>
      <c r="H3672" s="555"/>
      <c r="I3672" s="556"/>
      <c r="J3672" s="560">
        <f t="shared" si="124"/>
        <v>0</v>
      </c>
      <c r="K3672" s="505"/>
      <c r="L3672" s="505"/>
      <c r="M3672" s="505"/>
      <c r="N3672" s="505"/>
      <c r="O3672" s="505"/>
      <c r="P3672" s="505"/>
      <c r="Q3672" s="505"/>
      <c r="R3672" s="505"/>
      <c r="S3672" s="505"/>
      <c r="T3672" s="505"/>
      <c r="U3672" s="505"/>
      <c r="V3672" s="505"/>
      <c r="W3672" s="505"/>
      <c r="X3672" s="505"/>
      <c r="Y3672" s="505"/>
    </row>
    <row r="3673" spans="1:25" s="88" customFormat="1" hidden="1" x14ac:dyDescent="0.25">
      <c r="A3673" s="258"/>
      <c r="B3673" s="258"/>
      <c r="C3673" s="261"/>
      <c r="D3673" s="258"/>
      <c r="E3673" s="679"/>
      <c r="F3673" s="597" t="s">
        <v>259</v>
      </c>
      <c r="G3673" s="598" t="s">
        <v>260</v>
      </c>
      <c r="H3673" s="555"/>
      <c r="I3673" s="556"/>
      <c r="J3673" s="560">
        <f t="shared" si="124"/>
        <v>0</v>
      </c>
      <c r="K3673" s="505"/>
      <c r="L3673" s="505"/>
      <c r="M3673" s="505"/>
      <c r="N3673" s="505"/>
      <c r="O3673" s="505"/>
      <c r="P3673" s="505"/>
      <c r="Q3673" s="505"/>
      <c r="R3673" s="505"/>
      <c r="S3673" s="505"/>
      <c r="T3673" s="505"/>
      <c r="U3673" s="505"/>
      <c r="V3673" s="505"/>
      <c r="W3673" s="505"/>
      <c r="X3673" s="505"/>
      <c r="Y3673" s="505"/>
    </row>
    <row r="3674" spans="1:25" s="88" customFormat="1" ht="15.75" hidden="1" thickBot="1" x14ac:dyDescent="0.3">
      <c r="A3674" s="258"/>
      <c r="B3674" s="258"/>
      <c r="C3674" s="261"/>
      <c r="D3674" s="258"/>
      <c r="E3674" s="679"/>
      <c r="F3674" s="597" t="s">
        <v>261</v>
      </c>
      <c r="G3674" s="598" t="s">
        <v>262</v>
      </c>
      <c r="H3674" s="559"/>
      <c r="I3674" s="560"/>
      <c r="J3674" s="560">
        <f t="shared" si="124"/>
        <v>0</v>
      </c>
      <c r="K3674" s="505"/>
      <c r="L3674" s="505"/>
      <c r="M3674" s="505"/>
      <c r="N3674" s="505"/>
      <c r="O3674" s="505"/>
      <c r="P3674" s="505"/>
      <c r="Q3674" s="505"/>
      <c r="R3674" s="505"/>
      <c r="S3674" s="505"/>
      <c r="T3674" s="505"/>
      <c r="U3674" s="505"/>
      <c r="V3674" s="505"/>
      <c r="W3674" s="505"/>
      <c r="X3674" s="505"/>
      <c r="Y3674" s="505"/>
    </row>
    <row r="3675" spans="1:25" s="88" customFormat="1" ht="14.25" customHeight="1" thickBot="1" x14ac:dyDescent="0.3">
      <c r="A3675" s="258"/>
      <c r="B3675" s="258"/>
      <c r="C3675" s="261"/>
      <c r="D3675" s="258"/>
      <c r="E3675" s="679"/>
      <c r="F3675" s="258"/>
      <c r="G3675" s="728" t="s">
        <v>4338</v>
      </c>
      <c r="H3675" s="561">
        <f>SUM(H3659:H3674)</f>
        <v>150000</v>
      </c>
      <c r="I3675" s="562">
        <f>SUM(I3660:I3674)</f>
        <v>0</v>
      </c>
      <c r="J3675" s="562">
        <f>SUM(J3659:J3674)</f>
        <v>150000</v>
      </c>
      <c r="K3675" s="505"/>
      <c r="L3675" s="505"/>
      <c r="M3675" s="505"/>
      <c r="N3675" s="505"/>
      <c r="O3675" s="505"/>
      <c r="P3675" s="505"/>
      <c r="Q3675" s="505"/>
      <c r="R3675" s="505"/>
      <c r="S3675" s="505"/>
      <c r="T3675" s="505"/>
      <c r="U3675" s="505"/>
      <c r="V3675" s="505"/>
      <c r="W3675" s="505"/>
      <c r="X3675" s="505"/>
      <c r="Y3675" s="505"/>
    </row>
    <row r="3676" spans="1:25" s="88" customFormat="1" ht="15" customHeight="1" x14ac:dyDescent="0.25">
      <c r="A3676" s="258"/>
      <c r="B3676" s="258"/>
      <c r="C3676" s="261"/>
      <c r="D3676" s="258"/>
      <c r="E3676" s="489"/>
      <c r="F3676" s="500"/>
      <c r="G3676" s="270" t="s">
        <v>5280</v>
      </c>
      <c r="H3676" s="563"/>
      <c r="I3676" s="584"/>
      <c r="J3676" s="564"/>
      <c r="K3676" s="505"/>
      <c r="L3676" s="505"/>
      <c r="M3676" s="505"/>
      <c r="N3676" s="505"/>
      <c r="O3676" s="505"/>
      <c r="P3676" s="505"/>
      <c r="Q3676" s="505"/>
      <c r="R3676" s="505"/>
      <c r="S3676" s="505"/>
      <c r="T3676" s="505"/>
      <c r="U3676" s="505"/>
      <c r="V3676" s="505"/>
      <c r="W3676" s="505"/>
      <c r="X3676" s="505"/>
      <c r="Y3676" s="505"/>
    </row>
    <row r="3677" spans="1:25" s="88" customFormat="1" ht="16.5" customHeight="1" thickBot="1" x14ac:dyDescent="0.3">
      <c r="A3677" s="258"/>
      <c r="B3677" s="258"/>
      <c r="C3677" s="261"/>
      <c r="D3677" s="258"/>
      <c r="E3677" s="693"/>
      <c r="F3677" s="597" t="s">
        <v>234</v>
      </c>
      <c r="G3677" s="598" t="s">
        <v>235</v>
      </c>
      <c r="H3677" s="559">
        <f>SUM(H3598:H3657)</f>
        <v>150000</v>
      </c>
      <c r="I3677" s="560"/>
      <c r="J3677" s="560">
        <f>SUM(H3677:I3677)</f>
        <v>150000</v>
      </c>
      <c r="K3677" s="505"/>
      <c r="L3677" s="505"/>
      <c r="M3677" s="505"/>
      <c r="N3677" s="505"/>
      <c r="O3677" s="505"/>
      <c r="P3677" s="505"/>
      <c r="Q3677" s="505"/>
      <c r="R3677" s="505"/>
      <c r="S3677" s="505"/>
      <c r="T3677" s="505"/>
      <c r="U3677" s="505"/>
      <c r="V3677" s="505"/>
      <c r="W3677" s="505"/>
      <c r="X3677" s="505"/>
      <c r="Y3677" s="505"/>
    </row>
    <row r="3678" spans="1:25" s="88" customFormat="1" hidden="1" x14ac:dyDescent="0.25">
      <c r="A3678" s="258"/>
      <c r="B3678" s="258"/>
      <c r="C3678" s="261"/>
      <c r="D3678" s="258"/>
      <c r="E3678" s="679"/>
      <c r="F3678" s="597" t="s">
        <v>236</v>
      </c>
      <c r="G3678" s="598" t="s">
        <v>237</v>
      </c>
      <c r="H3678" s="555"/>
      <c r="I3678" s="556"/>
      <c r="J3678" s="560">
        <f t="shared" ref="J3678:J3692" si="125">SUM(H3678:I3678)</f>
        <v>0</v>
      </c>
      <c r="K3678" s="505"/>
      <c r="L3678" s="505"/>
      <c r="M3678" s="505"/>
      <c r="N3678" s="505"/>
      <c r="O3678" s="505"/>
      <c r="P3678" s="505"/>
      <c r="Q3678" s="505"/>
      <c r="R3678" s="505"/>
      <c r="S3678" s="505"/>
      <c r="T3678" s="505"/>
      <c r="U3678" s="505"/>
      <c r="V3678" s="505"/>
      <c r="W3678" s="505"/>
      <c r="X3678" s="505"/>
      <c r="Y3678" s="505"/>
    </row>
    <row r="3679" spans="1:25" s="88" customFormat="1" hidden="1" x14ac:dyDescent="0.25">
      <c r="A3679" s="258"/>
      <c r="B3679" s="258"/>
      <c r="C3679" s="261"/>
      <c r="D3679" s="258"/>
      <c r="E3679" s="679"/>
      <c r="F3679" s="597" t="s">
        <v>238</v>
      </c>
      <c r="G3679" s="598" t="s">
        <v>239</v>
      </c>
      <c r="H3679" s="555"/>
      <c r="I3679" s="556"/>
      <c r="J3679" s="560">
        <f t="shared" si="125"/>
        <v>0</v>
      </c>
      <c r="K3679" s="505"/>
      <c r="L3679" s="505"/>
      <c r="M3679" s="505"/>
      <c r="N3679" s="505"/>
      <c r="O3679" s="505"/>
      <c r="P3679" s="505"/>
      <c r="Q3679" s="505"/>
      <c r="R3679" s="505"/>
      <c r="S3679" s="505"/>
      <c r="T3679" s="505"/>
      <c r="U3679" s="505"/>
      <c r="V3679" s="505"/>
      <c r="W3679" s="505"/>
      <c r="X3679" s="505"/>
      <c r="Y3679" s="505"/>
    </row>
    <row r="3680" spans="1:25" s="88" customFormat="1" hidden="1" x14ac:dyDescent="0.25">
      <c r="A3680" s="258"/>
      <c r="B3680" s="258"/>
      <c r="C3680" s="261"/>
      <c r="D3680" s="258"/>
      <c r="E3680" s="679"/>
      <c r="F3680" s="597" t="s">
        <v>240</v>
      </c>
      <c r="G3680" s="598" t="s">
        <v>241</v>
      </c>
      <c r="H3680" s="555"/>
      <c r="I3680" s="556"/>
      <c r="J3680" s="560">
        <f t="shared" si="125"/>
        <v>0</v>
      </c>
      <c r="K3680" s="505"/>
      <c r="L3680" s="505"/>
      <c r="M3680" s="505"/>
      <c r="N3680" s="505"/>
      <c r="O3680" s="505"/>
      <c r="P3680" s="505"/>
      <c r="Q3680" s="505"/>
      <c r="R3680" s="505"/>
      <c r="S3680" s="505"/>
      <c r="T3680" s="505"/>
      <c r="U3680" s="505"/>
      <c r="V3680" s="505"/>
      <c r="W3680" s="505"/>
      <c r="X3680" s="505"/>
      <c r="Y3680" s="505"/>
    </row>
    <row r="3681" spans="1:25" s="88" customFormat="1" hidden="1" x14ac:dyDescent="0.25">
      <c r="A3681" s="258"/>
      <c r="B3681" s="258"/>
      <c r="C3681" s="261"/>
      <c r="D3681" s="258"/>
      <c r="E3681" s="679"/>
      <c r="F3681" s="597" t="s">
        <v>242</v>
      </c>
      <c r="G3681" s="598" t="s">
        <v>243</v>
      </c>
      <c r="H3681" s="555"/>
      <c r="I3681" s="556"/>
      <c r="J3681" s="560">
        <f t="shared" si="125"/>
        <v>0</v>
      </c>
      <c r="K3681" s="505"/>
      <c r="L3681" s="505"/>
      <c r="M3681" s="505"/>
      <c r="N3681" s="505"/>
      <c r="O3681" s="505"/>
      <c r="P3681" s="505"/>
      <c r="Q3681" s="505"/>
      <c r="R3681" s="505"/>
      <c r="S3681" s="505"/>
      <c r="T3681" s="505"/>
      <c r="U3681" s="505"/>
      <c r="V3681" s="505"/>
      <c r="W3681" s="505"/>
      <c r="X3681" s="505"/>
      <c r="Y3681" s="505"/>
    </row>
    <row r="3682" spans="1:25" s="88" customFormat="1" hidden="1" x14ac:dyDescent="0.25">
      <c r="A3682" s="258"/>
      <c r="B3682" s="258"/>
      <c r="C3682" s="261"/>
      <c r="D3682" s="258"/>
      <c r="E3682" s="679"/>
      <c r="F3682" s="597" t="s">
        <v>244</v>
      </c>
      <c r="G3682" s="598" t="s">
        <v>245</v>
      </c>
      <c r="H3682" s="555"/>
      <c r="I3682" s="556"/>
      <c r="J3682" s="560">
        <f t="shared" si="125"/>
        <v>0</v>
      </c>
      <c r="K3682" s="505"/>
      <c r="L3682" s="505"/>
      <c r="M3682" s="505"/>
      <c r="N3682" s="505"/>
      <c r="O3682" s="505"/>
      <c r="P3682" s="505"/>
      <c r="Q3682" s="505"/>
      <c r="R3682" s="505"/>
      <c r="S3682" s="505"/>
      <c r="T3682" s="505"/>
      <c r="U3682" s="505"/>
      <c r="V3682" s="505"/>
      <c r="W3682" s="505"/>
      <c r="X3682" s="505"/>
      <c r="Y3682" s="505"/>
    </row>
    <row r="3683" spans="1:25" s="88" customFormat="1" hidden="1" x14ac:dyDescent="0.25">
      <c r="A3683" s="258"/>
      <c r="B3683" s="258"/>
      <c r="C3683" s="261"/>
      <c r="D3683" s="258"/>
      <c r="E3683" s="679"/>
      <c r="F3683" s="597" t="s">
        <v>246</v>
      </c>
      <c r="G3683" s="598" t="s">
        <v>4996</v>
      </c>
      <c r="H3683" s="555"/>
      <c r="I3683" s="556"/>
      <c r="J3683" s="560">
        <f t="shared" si="125"/>
        <v>0</v>
      </c>
      <c r="K3683" s="505"/>
      <c r="L3683" s="505"/>
      <c r="M3683" s="505"/>
      <c r="N3683" s="505"/>
      <c r="O3683" s="505"/>
      <c r="P3683" s="505"/>
      <c r="Q3683" s="505"/>
      <c r="R3683" s="505"/>
      <c r="S3683" s="505"/>
      <c r="T3683" s="505"/>
      <c r="U3683" s="505"/>
      <c r="V3683" s="505"/>
      <c r="W3683" s="505"/>
      <c r="X3683" s="505"/>
      <c r="Y3683" s="505"/>
    </row>
    <row r="3684" spans="1:25" s="88" customFormat="1" hidden="1" x14ac:dyDescent="0.25">
      <c r="A3684" s="258"/>
      <c r="B3684" s="258"/>
      <c r="C3684" s="261"/>
      <c r="D3684" s="258"/>
      <c r="E3684" s="679"/>
      <c r="F3684" s="597" t="s">
        <v>247</v>
      </c>
      <c r="G3684" s="598" t="s">
        <v>4995</v>
      </c>
      <c r="H3684" s="555"/>
      <c r="I3684" s="556"/>
      <c r="J3684" s="560">
        <f t="shared" si="125"/>
        <v>0</v>
      </c>
      <c r="K3684" s="505"/>
      <c r="L3684" s="505"/>
      <c r="M3684" s="505"/>
      <c r="N3684" s="505"/>
      <c r="O3684" s="505"/>
      <c r="P3684" s="505"/>
      <c r="Q3684" s="505"/>
      <c r="R3684" s="505"/>
      <c r="S3684" s="505"/>
      <c r="T3684" s="505"/>
      <c r="U3684" s="505"/>
      <c r="V3684" s="505"/>
      <c r="W3684" s="505"/>
      <c r="X3684" s="505"/>
      <c r="Y3684" s="505"/>
    </row>
    <row r="3685" spans="1:25" s="88" customFormat="1" hidden="1" x14ac:dyDescent="0.25">
      <c r="A3685" s="258"/>
      <c r="B3685" s="258"/>
      <c r="C3685" s="261"/>
      <c r="D3685" s="258"/>
      <c r="E3685" s="679"/>
      <c r="F3685" s="597" t="s">
        <v>248</v>
      </c>
      <c r="G3685" s="598" t="s">
        <v>57</v>
      </c>
      <c r="H3685" s="555"/>
      <c r="I3685" s="556"/>
      <c r="J3685" s="560">
        <f t="shared" si="125"/>
        <v>0</v>
      </c>
      <c r="K3685" s="505"/>
      <c r="L3685" s="505"/>
      <c r="M3685" s="505"/>
      <c r="N3685" s="505"/>
      <c r="O3685" s="505"/>
      <c r="P3685" s="505"/>
      <c r="Q3685" s="505"/>
      <c r="R3685" s="505"/>
      <c r="S3685" s="505"/>
      <c r="T3685" s="505"/>
      <c r="U3685" s="505"/>
      <c r="V3685" s="505"/>
      <c r="W3685" s="505"/>
      <c r="X3685" s="505"/>
      <c r="Y3685" s="505"/>
    </row>
    <row r="3686" spans="1:25" s="88" customFormat="1" hidden="1" x14ac:dyDescent="0.25">
      <c r="A3686" s="258"/>
      <c r="B3686" s="258"/>
      <c r="C3686" s="261"/>
      <c r="D3686" s="258"/>
      <c r="E3686" s="679"/>
      <c r="F3686" s="597" t="s">
        <v>249</v>
      </c>
      <c r="G3686" s="598" t="s">
        <v>250</v>
      </c>
      <c r="H3686" s="555"/>
      <c r="I3686" s="556"/>
      <c r="J3686" s="560">
        <f t="shared" si="125"/>
        <v>0</v>
      </c>
      <c r="K3686" s="505"/>
      <c r="L3686" s="505"/>
      <c r="M3686" s="505"/>
      <c r="N3686" s="505"/>
      <c r="O3686" s="505"/>
      <c r="P3686" s="505"/>
      <c r="Q3686" s="505"/>
      <c r="R3686" s="505"/>
      <c r="S3686" s="505"/>
      <c r="T3686" s="505"/>
      <c r="U3686" s="505"/>
      <c r="V3686" s="505"/>
      <c r="W3686" s="505"/>
      <c r="X3686" s="505"/>
      <c r="Y3686" s="505"/>
    </row>
    <row r="3687" spans="1:25" s="88" customFormat="1" hidden="1" x14ac:dyDescent="0.25">
      <c r="A3687" s="258"/>
      <c r="B3687" s="258"/>
      <c r="C3687" s="261"/>
      <c r="D3687" s="258"/>
      <c r="E3687" s="679"/>
      <c r="F3687" s="597" t="s">
        <v>251</v>
      </c>
      <c r="G3687" s="598" t="s">
        <v>252</v>
      </c>
      <c r="H3687" s="555"/>
      <c r="I3687" s="556"/>
      <c r="J3687" s="560">
        <f t="shared" si="125"/>
        <v>0</v>
      </c>
      <c r="K3687" s="505"/>
      <c r="L3687" s="505"/>
      <c r="M3687" s="505"/>
      <c r="N3687" s="505"/>
      <c r="O3687" s="505"/>
      <c r="P3687" s="505"/>
      <c r="Q3687" s="505"/>
      <c r="R3687" s="505"/>
      <c r="S3687" s="505"/>
      <c r="T3687" s="505"/>
      <c r="U3687" s="505"/>
      <c r="V3687" s="505"/>
      <c r="W3687" s="505"/>
      <c r="X3687" s="505"/>
      <c r="Y3687" s="505"/>
    </row>
    <row r="3688" spans="1:25" s="88" customFormat="1" ht="30" hidden="1" x14ac:dyDescent="0.25">
      <c r="A3688" s="258"/>
      <c r="B3688" s="258"/>
      <c r="C3688" s="261"/>
      <c r="D3688" s="258"/>
      <c r="E3688" s="679"/>
      <c r="F3688" s="597" t="s">
        <v>253</v>
      </c>
      <c r="G3688" s="598" t="s">
        <v>254</v>
      </c>
      <c r="H3688" s="555"/>
      <c r="I3688" s="556"/>
      <c r="J3688" s="560">
        <f t="shared" si="125"/>
        <v>0</v>
      </c>
      <c r="K3688" s="505"/>
      <c r="L3688" s="505"/>
      <c r="M3688" s="505"/>
      <c r="N3688" s="505"/>
      <c r="O3688" s="505"/>
      <c r="P3688" s="505"/>
      <c r="Q3688" s="505"/>
      <c r="R3688" s="505"/>
      <c r="S3688" s="505"/>
      <c r="T3688" s="505"/>
      <c r="U3688" s="505"/>
      <c r="V3688" s="505"/>
      <c r="W3688" s="505"/>
      <c r="X3688" s="505"/>
      <c r="Y3688" s="505"/>
    </row>
    <row r="3689" spans="1:25" s="88" customFormat="1" hidden="1" x14ac:dyDescent="0.25">
      <c r="A3689" s="258"/>
      <c r="B3689" s="258"/>
      <c r="C3689" s="261"/>
      <c r="D3689" s="258"/>
      <c r="E3689" s="679"/>
      <c r="F3689" s="597" t="s">
        <v>255</v>
      </c>
      <c r="G3689" s="598" t="s">
        <v>256</v>
      </c>
      <c r="H3689" s="555"/>
      <c r="I3689" s="556"/>
      <c r="J3689" s="560">
        <f t="shared" si="125"/>
        <v>0</v>
      </c>
      <c r="K3689" s="505"/>
      <c r="L3689" s="505"/>
      <c r="M3689" s="505"/>
      <c r="N3689" s="505"/>
      <c r="O3689" s="505"/>
      <c r="P3689" s="505"/>
      <c r="Q3689" s="505"/>
      <c r="R3689" s="505"/>
      <c r="S3689" s="505"/>
      <c r="T3689" s="505"/>
      <c r="U3689" s="505"/>
      <c r="V3689" s="505"/>
      <c r="W3689" s="505"/>
      <c r="X3689" s="505"/>
      <c r="Y3689" s="505"/>
    </row>
    <row r="3690" spans="1:25" s="88" customFormat="1" ht="30" hidden="1" x14ac:dyDescent="0.25">
      <c r="A3690" s="258"/>
      <c r="B3690" s="258"/>
      <c r="C3690" s="261"/>
      <c r="D3690" s="258"/>
      <c r="E3690" s="679"/>
      <c r="F3690" s="597" t="s">
        <v>257</v>
      </c>
      <c r="G3690" s="598" t="s">
        <v>258</v>
      </c>
      <c r="H3690" s="555"/>
      <c r="I3690" s="556"/>
      <c r="J3690" s="560">
        <f t="shared" si="125"/>
        <v>0</v>
      </c>
      <c r="K3690" s="505"/>
      <c r="L3690" s="505"/>
      <c r="M3690" s="505"/>
      <c r="N3690" s="505"/>
      <c r="O3690" s="505"/>
      <c r="P3690" s="505"/>
      <c r="Q3690" s="505"/>
      <c r="R3690" s="505"/>
      <c r="S3690" s="505"/>
      <c r="T3690" s="505"/>
      <c r="U3690" s="505"/>
      <c r="V3690" s="505"/>
      <c r="W3690" s="505"/>
      <c r="X3690" s="505"/>
      <c r="Y3690" s="505"/>
    </row>
    <row r="3691" spans="1:25" s="88" customFormat="1" hidden="1" x14ac:dyDescent="0.25">
      <c r="A3691" s="258"/>
      <c r="B3691" s="258"/>
      <c r="C3691" s="261"/>
      <c r="D3691" s="258"/>
      <c r="E3691" s="679"/>
      <c r="F3691" s="597" t="s">
        <v>259</v>
      </c>
      <c r="G3691" s="598" t="s">
        <v>260</v>
      </c>
      <c r="H3691" s="555"/>
      <c r="I3691" s="556"/>
      <c r="J3691" s="560">
        <f t="shared" si="125"/>
        <v>0</v>
      </c>
      <c r="K3691" s="505"/>
      <c r="L3691" s="505"/>
      <c r="M3691" s="505"/>
      <c r="N3691" s="505"/>
      <c r="O3691" s="505"/>
      <c r="P3691" s="505"/>
      <c r="Q3691" s="505"/>
      <c r="R3691" s="505"/>
      <c r="S3691" s="505"/>
      <c r="T3691" s="505"/>
      <c r="U3691" s="505"/>
      <c r="V3691" s="505"/>
      <c r="W3691" s="505"/>
      <c r="X3691" s="505"/>
      <c r="Y3691" s="505"/>
    </row>
    <row r="3692" spans="1:25" s="88" customFormat="1" ht="15.75" hidden="1" thickBot="1" x14ac:dyDescent="0.3">
      <c r="A3692" s="258"/>
      <c r="B3692" s="258"/>
      <c r="C3692" s="261"/>
      <c r="D3692" s="258"/>
      <c r="E3692" s="679"/>
      <c r="F3692" s="597" t="s">
        <v>261</v>
      </c>
      <c r="G3692" s="598" t="s">
        <v>262</v>
      </c>
      <c r="H3692" s="559"/>
      <c r="I3692" s="560"/>
      <c r="J3692" s="560">
        <f t="shared" si="125"/>
        <v>0</v>
      </c>
      <c r="K3692" s="505"/>
      <c r="L3692" s="505"/>
      <c r="M3692" s="505"/>
      <c r="N3692" s="505"/>
      <c r="O3692" s="505"/>
      <c r="P3692" s="505"/>
      <c r="Q3692" s="505"/>
      <c r="R3692" s="505"/>
      <c r="S3692" s="505"/>
      <c r="T3692" s="505"/>
      <c r="U3692" s="505"/>
      <c r="V3692" s="505"/>
      <c r="W3692" s="505"/>
      <c r="X3692" s="505"/>
      <c r="Y3692" s="505"/>
    </row>
    <row r="3693" spans="1:25" s="88" customFormat="1" ht="14.25" customHeight="1" thickBot="1" x14ac:dyDescent="0.3">
      <c r="A3693" s="258"/>
      <c r="B3693" s="258"/>
      <c r="C3693" s="261"/>
      <c r="D3693" s="258"/>
      <c r="E3693" s="679"/>
      <c r="F3693" s="258"/>
      <c r="G3693" s="268" t="s">
        <v>5281</v>
      </c>
      <c r="H3693" s="561">
        <f>SUM(H3677:H3692)</f>
        <v>150000</v>
      </c>
      <c r="I3693" s="562">
        <f>SUM(I3678:I3692)</f>
        <v>0</v>
      </c>
      <c r="J3693" s="562">
        <f>SUM(J3677:J3692)</f>
        <v>150000</v>
      </c>
      <c r="K3693" s="505"/>
      <c r="L3693" s="505"/>
      <c r="M3693" s="505"/>
      <c r="N3693" s="505"/>
      <c r="O3693" s="505"/>
      <c r="P3693" s="505"/>
      <c r="Q3693" s="505"/>
      <c r="R3693" s="505"/>
      <c r="S3693" s="505"/>
      <c r="T3693" s="505"/>
      <c r="U3693" s="505"/>
      <c r="V3693" s="505"/>
      <c r="W3693" s="505"/>
      <c r="X3693" s="505"/>
      <c r="Y3693" s="505"/>
    </row>
    <row r="3694" spans="1:25" s="88" customFormat="1" ht="17.25" customHeight="1" x14ac:dyDescent="0.25">
      <c r="A3694" s="258"/>
      <c r="B3694" s="288"/>
      <c r="C3694" s="302" t="s">
        <v>5095</v>
      </c>
      <c r="D3694" s="259"/>
      <c r="E3694" s="702"/>
      <c r="F3694" s="303"/>
      <c r="G3694" s="406" t="s">
        <v>5289</v>
      </c>
      <c r="H3694" s="588"/>
      <c r="I3694" s="571"/>
      <c r="K3694" s="505"/>
      <c r="L3694" s="505"/>
      <c r="M3694" s="505"/>
      <c r="N3694" s="505"/>
      <c r="O3694" s="505"/>
      <c r="P3694" s="505"/>
      <c r="Q3694" s="505"/>
      <c r="R3694" s="505"/>
      <c r="S3694" s="505"/>
      <c r="T3694" s="505"/>
      <c r="U3694" s="505"/>
      <c r="V3694" s="505"/>
      <c r="W3694" s="505"/>
      <c r="X3694" s="505"/>
      <c r="Y3694" s="505"/>
    </row>
    <row r="3695" spans="1:25" s="88" customFormat="1" ht="13.5" customHeight="1" x14ac:dyDescent="0.25">
      <c r="A3695" s="481"/>
      <c r="B3695" s="258"/>
      <c r="C3695" s="267"/>
      <c r="D3695" s="331">
        <v>660</v>
      </c>
      <c r="E3695" s="869"/>
      <c r="F3695" s="331"/>
      <c r="G3695" s="332" t="s">
        <v>186</v>
      </c>
      <c r="H3695" s="555"/>
      <c r="I3695" s="556"/>
      <c r="J3695" s="556"/>
      <c r="K3695" s="505"/>
      <c r="L3695" s="505"/>
      <c r="M3695" s="505"/>
      <c r="N3695" s="505"/>
      <c r="O3695" s="505"/>
      <c r="P3695" s="505"/>
      <c r="Q3695" s="505"/>
      <c r="R3695" s="505"/>
      <c r="S3695" s="505"/>
      <c r="T3695" s="505"/>
      <c r="U3695" s="505"/>
      <c r="V3695" s="505"/>
      <c r="W3695" s="505"/>
      <c r="X3695" s="505"/>
      <c r="Y3695" s="505"/>
    </row>
    <row r="3696" spans="1:25" s="88" customFormat="1" hidden="1" x14ac:dyDescent="0.25">
      <c r="A3696" s="258"/>
      <c r="B3696" s="258"/>
      <c r="C3696" s="261"/>
      <c r="D3696" s="258"/>
      <c r="E3696" s="679"/>
      <c r="F3696" s="499">
        <v>411</v>
      </c>
      <c r="G3696" s="492" t="s">
        <v>4131</v>
      </c>
      <c r="H3696" s="555"/>
      <c r="I3696" s="556"/>
      <c r="J3696" s="556">
        <f>SUM(H3696:I3696)</f>
        <v>0</v>
      </c>
      <c r="K3696" s="505"/>
      <c r="L3696" s="505"/>
      <c r="M3696" s="505"/>
      <c r="N3696" s="505"/>
      <c r="O3696" s="505"/>
      <c r="P3696" s="505"/>
      <c r="Q3696" s="505"/>
      <c r="R3696" s="505"/>
      <c r="S3696" s="505"/>
      <c r="T3696" s="505"/>
      <c r="U3696" s="505"/>
      <c r="V3696" s="505"/>
      <c r="W3696" s="505"/>
      <c r="X3696" s="505"/>
      <c r="Y3696" s="505"/>
    </row>
    <row r="3697" spans="1:25" s="88" customFormat="1" hidden="1" x14ac:dyDescent="0.25">
      <c r="A3697" s="258"/>
      <c r="B3697" s="258"/>
      <c r="C3697" s="261"/>
      <c r="D3697" s="258"/>
      <c r="E3697" s="679"/>
      <c r="F3697" s="499">
        <v>412</v>
      </c>
      <c r="G3697" s="488" t="s">
        <v>3766</v>
      </c>
      <c r="H3697" s="555"/>
      <c r="I3697" s="556"/>
      <c r="J3697" s="556">
        <f t="shared" ref="J3697:J3755" si="126">SUM(H3697:I3697)</f>
        <v>0</v>
      </c>
      <c r="K3697" s="505"/>
      <c r="L3697" s="505"/>
      <c r="M3697" s="505"/>
      <c r="N3697" s="505"/>
      <c r="O3697" s="505"/>
      <c r="P3697" s="505"/>
      <c r="Q3697" s="505"/>
      <c r="R3697" s="505"/>
      <c r="S3697" s="505"/>
      <c r="T3697" s="505"/>
      <c r="U3697" s="505"/>
      <c r="V3697" s="505"/>
      <c r="W3697" s="505"/>
      <c r="X3697" s="505"/>
      <c r="Y3697" s="505"/>
    </row>
    <row r="3698" spans="1:25" s="88" customFormat="1" hidden="1" x14ac:dyDescent="0.25">
      <c r="A3698" s="258"/>
      <c r="B3698" s="258"/>
      <c r="C3698" s="261"/>
      <c r="D3698" s="258"/>
      <c r="E3698" s="679"/>
      <c r="F3698" s="499">
        <v>413</v>
      </c>
      <c r="G3698" s="492" t="s">
        <v>4132</v>
      </c>
      <c r="H3698" s="555"/>
      <c r="I3698" s="556"/>
      <c r="J3698" s="556">
        <f t="shared" si="126"/>
        <v>0</v>
      </c>
      <c r="K3698" s="505"/>
      <c r="L3698" s="505"/>
      <c r="M3698" s="505"/>
      <c r="N3698" s="505"/>
      <c r="O3698" s="505"/>
      <c r="P3698" s="505"/>
      <c r="Q3698" s="505"/>
      <c r="R3698" s="505"/>
      <c r="S3698" s="505"/>
      <c r="T3698" s="505"/>
      <c r="U3698" s="505"/>
      <c r="V3698" s="505"/>
      <c r="W3698" s="505"/>
      <c r="X3698" s="505"/>
      <c r="Y3698" s="505"/>
    </row>
    <row r="3699" spans="1:25" s="88" customFormat="1" hidden="1" x14ac:dyDescent="0.25">
      <c r="A3699" s="258"/>
      <c r="B3699" s="258"/>
      <c r="C3699" s="261"/>
      <c r="D3699" s="258"/>
      <c r="E3699" s="679"/>
      <c r="F3699" s="499">
        <v>414</v>
      </c>
      <c r="G3699" s="492" t="s">
        <v>3769</v>
      </c>
      <c r="H3699" s="555"/>
      <c r="I3699" s="556"/>
      <c r="J3699" s="556">
        <f t="shared" si="126"/>
        <v>0</v>
      </c>
      <c r="K3699" s="505"/>
      <c r="L3699" s="505"/>
      <c r="M3699" s="505"/>
      <c r="N3699" s="505"/>
      <c r="O3699" s="505"/>
      <c r="P3699" s="505"/>
      <c r="Q3699" s="505"/>
      <c r="R3699" s="505"/>
      <c r="S3699" s="505"/>
      <c r="T3699" s="505"/>
      <c r="U3699" s="505"/>
      <c r="V3699" s="505"/>
      <c r="W3699" s="505"/>
      <c r="X3699" s="505"/>
      <c r="Y3699" s="505"/>
    </row>
    <row r="3700" spans="1:25" s="88" customFormat="1" hidden="1" x14ac:dyDescent="0.25">
      <c r="A3700" s="258"/>
      <c r="B3700" s="258"/>
      <c r="C3700" s="261"/>
      <c r="D3700" s="258"/>
      <c r="E3700" s="679"/>
      <c r="F3700" s="499">
        <v>415</v>
      </c>
      <c r="G3700" s="492" t="s">
        <v>4141</v>
      </c>
      <c r="H3700" s="555"/>
      <c r="I3700" s="556"/>
      <c r="J3700" s="556">
        <f t="shared" si="126"/>
        <v>0</v>
      </c>
      <c r="K3700" s="505"/>
      <c r="L3700" s="505"/>
      <c r="M3700" s="505"/>
      <c r="N3700" s="505"/>
      <c r="O3700" s="505"/>
      <c r="P3700" s="505"/>
      <c r="Q3700" s="505"/>
      <c r="R3700" s="505"/>
      <c r="S3700" s="505"/>
      <c r="T3700" s="505"/>
      <c r="U3700" s="505"/>
      <c r="V3700" s="505"/>
      <c r="W3700" s="505"/>
      <c r="X3700" s="505"/>
      <c r="Y3700" s="505"/>
    </row>
    <row r="3701" spans="1:25" s="88" customFormat="1" hidden="1" x14ac:dyDescent="0.25">
      <c r="A3701" s="258"/>
      <c r="B3701" s="258"/>
      <c r="C3701" s="261"/>
      <c r="D3701" s="258"/>
      <c r="E3701" s="679"/>
      <c r="F3701" s="499">
        <v>416</v>
      </c>
      <c r="G3701" s="492" t="s">
        <v>4142</v>
      </c>
      <c r="H3701" s="555"/>
      <c r="I3701" s="556"/>
      <c r="J3701" s="556">
        <f t="shared" si="126"/>
        <v>0</v>
      </c>
      <c r="K3701" s="505"/>
      <c r="L3701" s="505"/>
      <c r="M3701" s="505"/>
      <c r="N3701" s="505"/>
      <c r="O3701" s="505"/>
      <c r="P3701" s="505"/>
      <c r="Q3701" s="505"/>
      <c r="R3701" s="505"/>
      <c r="S3701" s="505"/>
      <c r="T3701" s="505"/>
      <c r="U3701" s="505"/>
      <c r="V3701" s="505"/>
      <c r="W3701" s="505"/>
      <c r="X3701" s="505"/>
      <c r="Y3701" s="505"/>
    </row>
    <row r="3702" spans="1:25" s="88" customFormat="1" hidden="1" x14ac:dyDescent="0.25">
      <c r="A3702" s="258"/>
      <c r="B3702" s="258"/>
      <c r="C3702" s="261"/>
      <c r="D3702" s="258"/>
      <c r="E3702" s="679"/>
      <c r="F3702" s="499">
        <v>417</v>
      </c>
      <c r="G3702" s="492" t="s">
        <v>4143</v>
      </c>
      <c r="H3702" s="555"/>
      <c r="I3702" s="556"/>
      <c r="J3702" s="556">
        <f t="shared" si="126"/>
        <v>0</v>
      </c>
      <c r="K3702" s="505"/>
      <c r="L3702" s="505"/>
      <c r="M3702" s="505"/>
      <c r="N3702" s="505"/>
      <c r="O3702" s="505"/>
      <c r="P3702" s="505"/>
      <c r="Q3702" s="505"/>
      <c r="R3702" s="505"/>
      <c r="S3702" s="505"/>
      <c r="T3702" s="505"/>
      <c r="U3702" s="505"/>
      <c r="V3702" s="505"/>
      <c r="W3702" s="505"/>
      <c r="X3702" s="505"/>
      <c r="Y3702" s="505"/>
    </row>
    <row r="3703" spans="1:25" s="88" customFormat="1" hidden="1" x14ac:dyDescent="0.25">
      <c r="A3703" s="258"/>
      <c r="B3703" s="258"/>
      <c r="C3703" s="261"/>
      <c r="D3703" s="258"/>
      <c r="E3703" s="679"/>
      <c r="F3703" s="499">
        <v>418</v>
      </c>
      <c r="G3703" s="492" t="s">
        <v>3775</v>
      </c>
      <c r="H3703" s="555"/>
      <c r="I3703" s="556"/>
      <c r="J3703" s="556">
        <f t="shared" si="126"/>
        <v>0</v>
      </c>
      <c r="K3703" s="505"/>
      <c r="L3703" s="505"/>
      <c r="M3703" s="505"/>
      <c r="N3703" s="505"/>
      <c r="O3703" s="505"/>
      <c r="P3703" s="505"/>
      <c r="Q3703" s="505"/>
      <c r="R3703" s="505"/>
      <c r="S3703" s="505"/>
      <c r="T3703" s="505"/>
      <c r="U3703" s="505"/>
      <c r="V3703" s="505"/>
      <c r="W3703" s="505"/>
      <c r="X3703" s="505"/>
      <c r="Y3703" s="505"/>
    </row>
    <row r="3704" spans="1:25" s="88" customFormat="1" hidden="1" x14ac:dyDescent="0.25">
      <c r="A3704" s="258"/>
      <c r="B3704" s="258"/>
      <c r="C3704" s="261"/>
      <c r="D3704" s="258"/>
      <c r="E3704" s="679"/>
      <c r="F3704" s="499">
        <v>421</v>
      </c>
      <c r="G3704" s="492" t="s">
        <v>3779</v>
      </c>
      <c r="H3704" s="555"/>
      <c r="I3704" s="556"/>
      <c r="J3704" s="556">
        <f t="shared" si="126"/>
        <v>0</v>
      </c>
      <c r="K3704" s="505"/>
      <c r="L3704" s="505"/>
      <c r="M3704" s="505"/>
      <c r="N3704" s="505"/>
      <c r="O3704" s="505"/>
      <c r="P3704" s="505"/>
      <c r="Q3704" s="505"/>
      <c r="R3704" s="505"/>
      <c r="S3704" s="505"/>
      <c r="T3704" s="505"/>
      <c r="U3704" s="505"/>
      <c r="V3704" s="505"/>
      <c r="W3704" s="505"/>
      <c r="X3704" s="505"/>
      <c r="Y3704" s="505"/>
    </row>
    <row r="3705" spans="1:25" s="88" customFormat="1" hidden="1" x14ac:dyDescent="0.25">
      <c r="A3705" s="258"/>
      <c r="B3705" s="258"/>
      <c r="C3705" s="261"/>
      <c r="D3705" s="258"/>
      <c r="E3705" s="679"/>
      <c r="F3705" s="499">
        <v>422</v>
      </c>
      <c r="G3705" s="492" t="s">
        <v>3780</v>
      </c>
      <c r="H3705" s="555"/>
      <c r="I3705" s="556"/>
      <c r="J3705" s="556">
        <f t="shared" si="126"/>
        <v>0</v>
      </c>
      <c r="K3705" s="505"/>
      <c r="L3705" s="505"/>
      <c r="M3705" s="505"/>
      <c r="N3705" s="505"/>
      <c r="O3705" s="505"/>
      <c r="P3705" s="505"/>
      <c r="Q3705" s="505"/>
      <c r="R3705" s="505"/>
      <c r="S3705" s="505"/>
      <c r="T3705" s="505"/>
      <c r="U3705" s="505"/>
      <c r="V3705" s="505"/>
      <c r="W3705" s="505"/>
      <c r="X3705" s="505"/>
      <c r="Y3705" s="505"/>
    </row>
    <row r="3706" spans="1:25" s="88" customFormat="1" ht="15.75" thickBot="1" x14ac:dyDescent="0.3">
      <c r="A3706" s="258"/>
      <c r="B3706" s="258"/>
      <c r="C3706" s="261"/>
      <c r="D3706" s="258"/>
      <c r="E3706" s="679">
        <v>118</v>
      </c>
      <c r="F3706" s="499">
        <v>423</v>
      </c>
      <c r="G3706" s="492" t="s">
        <v>3781</v>
      </c>
      <c r="H3706" s="555">
        <v>150000</v>
      </c>
      <c r="I3706" s="556"/>
      <c r="J3706" s="556">
        <f t="shared" si="126"/>
        <v>150000</v>
      </c>
      <c r="K3706" s="505"/>
      <c r="L3706" s="505"/>
      <c r="M3706" s="505"/>
      <c r="N3706" s="505"/>
      <c r="O3706" s="505"/>
      <c r="P3706" s="505"/>
      <c r="Q3706" s="505"/>
      <c r="R3706" s="505"/>
      <c r="S3706" s="505"/>
      <c r="T3706" s="505"/>
      <c r="U3706" s="505"/>
      <c r="V3706" s="505"/>
      <c r="W3706" s="505"/>
      <c r="X3706" s="505"/>
      <c r="Y3706" s="505"/>
    </row>
    <row r="3707" spans="1:25" s="88" customFormat="1" ht="15" hidden="1" customHeight="1" x14ac:dyDescent="0.25">
      <c r="A3707" s="258"/>
      <c r="B3707" s="258"/>
      <c r="C3707" s="261"/>
      <c r="D3707" s="258"/>
      <c r="E3707" s="679">
        <v>71</v>
      </c>
      <c r="F3707" s="499">
        <v>424</v>
      </c>
      <c r="G3707" s="492" t="s">
        <v>5086</v>
      </c>
      <c r="H3707" s="555">
        <v>0</v>
      </c>
      <c r="I3707" s="556"/>
      <c r="J3707" s="556">
        <f t="shared" si="126"/>
        <v>0</v>
      </c>
      <c r="K3707" s="505"/>
      <c r="L3707" s="505"/>
      <c r="M3707" s="505"/>
      <c r="N3707" s="505"/>
      <c r="O3707" s="505"/>
      <c r="P3707" s="505"/>
      <c r="Q3707" s="505"/>
      <c r="R3707" s="505"/>
      <c r="S3707" s="505"/>
      <c r="T3707" s="505"/>
      <c r="U3707" s="505"/>
      <c r="V3707" s="505"/>
      <c r="W3707" s="505"/>
      <c r="X3707" s="505"/>
      <c r="Y3707" s="505"/>
    </row>
    <row r="3708" spans="1:25" s="88" customFormat="1" ht="12.75" hidden="1" customHeight="1" x14ac:dyDescent="0.25">
      <c r="A3708" s="258"/>
      <c r="B3708" s="258"/>
      <c r="C3708" s="261"/>
      <c r="D3708" s="258"/>
      <c r="E3708" s="679"/>
      <c r="F3708" s="499">
        <v>425</v>
      </c>
      <c r="G3708" s="492" t="s">
        <v>4144</v>
      </c>
      <c r="H3708" s="555"/>
      <c r="I3708" s="556"/>
      <c r="J3708" s="556">
        <f t="shared" si="126"/>
        <v>0</v>
      </c>
      <c r="K3708" s="505"/>
      <c r="L3708" s="505"/>
      <c r="M3708" s="505"/>
      <c r="N3708" s="505"/>
      <c r="O3708" s="505"/>
      <c r="P3708" s="505"/>
      <c r="Q3708" s="505"/>
      <c r="R3708" s="505"/>
      <c r="S3708" s="505"/>
      <c r="T3708" s="505"/>
      <c r="U3708" s="505"/>
      <c r="V3708" s="505"/>
      <c r="W3708" s="505"/>
      <c r="X3708" s="505"/>
      <c r="Y3708" s="505"/>
    </row>
    <row r="3709" spans="1:25" s="88" customFormat="1" hidden="1" x14ac:dyDescent="0.25">
      <c r="A3709" s="258"/>
      <c r="B3709" s="258"/>
      <c r="C3709" s="261"/>
      <c r="D3709" s="258"/>
      <c r="E3709" s="679"/>
      <c r="F3709" s="499">
        <v>426</v>
      </c>
      <c r="G3709" s="492" t="s">
        <v>3787</v>
      </c>
      <c r="H3709" s="555"/>
      <c r="I3709" s="556"/>
      <c r="J3709" s="556">
        <f t="shared" si="126"/>
        <v>0</v>
      </c>
      <c r="K3709" s="505"/>
      <c r="L3709" s="505"/>
      <c r="M3709" s="505"/>
      <c r="N3709" s="505"/>
      <c r="O3709" s="505"/>
      <c r="P3709" s="505"/>
      <c r="Q3709" s="505"/>
      <c r="R3709" s="505"/>
      <c r="S3709" s="505"/>
      <c r="T3709" s="505"/>
      <c r="U3709" s="505"/>
      <c r="V3709" s="505"/>
      <c r="W3709" s="505"/>
      <c r="X3709" s="505"/>
      <c r="Y3709" s="505"/>
    </row>
    <row r="3710" spans="1:25" s="88" customFormat="1" hidden="1" x14ac:dyDescent="0.25">
      <c r="A3710" s="258"/>
      <c r="B3710" s="258"/>
      <c r="C3710" s="261"/>
      <c r="D3710" s="258"/>
      <c r="E3710" s="679"/>
      <c r="F3710" s="499">
        <v>431</v>
      </c>
      <c r="G3710" s="492" t="s">
        <v>4145</v>
      </c>
      <c r="H3710" s="555"/>
      <c r="I3710" s="556"/>
      <c r="J3710" s="556">
        <f t="shared" si="126"/>
        <v>0</v>
      </c>
      <c r="K3710" s="505"/>
      <c r="L3710" s="505"/>
      <c r="M3710" s="505"/>
      <c r="N3710" s="505"/>
      <c r="O3710" s="505"/>
      <c r="P3710" s="505"/>
      <c r="Q3710" s="505"/>
      <c r="R3710" s="505"/>
      <c r="S3710" s="505"/>
      <c r="T3710" s="505"/>
      <c r="U3710" s="505"/>
      <c r="V3710" s="505"/>
      <c r="W3710" s="505"/>
      <c r="X3710" s="505"/>
      <c r="Y3710" s="505"/>
    </row>
    <row r="3711" spans="1:25" s="88" customFormat="1" hidden="1" x14ac:dyDescent="0.25">
      <c r="A3711" s="258"/>
      <c r="B3711" s="258"/>
      <c r="C3711" s="261"/>
      <c r="D3711" s="258"/>
      <c r="E3711" s="679"/>
      <c r="F3711" s="499">
        <v>432</v>
      </c>
      <c r="G3711" s="492" t="s">
        <v>4146</v>
      </c>
      <c r="H3711" s="555"/>
      <c r="I3711" s="556"/>
      <c r="J3711" s="556">
        <f t="shared" si="126"/>
        <v>0</v>
      </c>
      <c r="K3711" s="505"/>
      <c r="L3711" s="505"/>
      <c r="M3711" s="505"/>
      <c r="N3711" s="505"/>
      <c r="O3711" s="505"/>
      <c r="P3711" s="505"/>
      <c r="Q3711" s="505"/>
      <c r="R3711" s="505"/>
      <c r="S3711" s="505"/>
      <c r="T3711" s="505"/>
      <c r="U3711" s="505"/>
      <c r="V3711" s="505"/>
      <c r="W3711" s="505"/>
      <c r="X3711" s="505"/>
      <c r="Y3711" s="505"/>
    </row>
    <row r="3712" spans="1:25" s="88" customFormat="1" hidden="1" x14ac:dyDescent="0.25">
      <c r="A3712" s="258"/>
      <c r="B3712" s="258"/>
      <c r="C3712" s="261"/>
      <c r="D3712" s="258"/>
      <c r="E3712" s="679"/>
      <c r="F3712" s="499">
        <v>433</v>
      </c>
      <c r="G3712" s="492" t="s">
        <v>4147</v>
      </c>
      <c r="H3712" s="555"/>
      <c r="I3712" s="556"/>
      <c r="J3712" s="556">
        <f t="shared" si="126"/>
        <v>0</v>
      </c>
      <c r="K3712" s="505"/>
      <c r="L3712" s="505"/>
      <c r="M3712" s="505"/>
      <c r="N3712" s="505"/>
      <c r="O3712" s="505"/>
      <c r="P3712" s="505"/>
      <c r="Q3712" s="505"/>
      <c r="R3712" s="505"/>
      <c r="S3712" s="505"/>
      <c r="T3712" s="505"/>
      <c r="U3712" s="505"/>
      <c r="V3712" s="505"/>
      <c r="W3712" s="505"/>
      <c r="X3712" s="505"/>
      <c r="Y3712" s="505"/>
    </row>
    <row r="3713" spans="1:25" s="88" customFormat="1" hidden="1" x14ac:dyDescent="0.25">
      <c r="A3713" s="258"/>
      <c r="B3713" s="258"/>
      <c r="C3713" s="261"/>
      <c r="D3713" s="258"/>
      <c r="E3713" s="679"/>
      <c r="F3713" s="499">
        <v>434</v>
      </c>
      <c r="G3713" s="492" t="s">
        <v>4148</v>
      </c>
      <c r="H3713" s="555"/>
      <c r="I3713" s="556"/>
      <c r="J3713" s="556">
        <f t="shared" si="126"/>
        <v>0</v>
      </c>
      <c r="K3713" s="505"/>
      <c r="L3713" s="505"/>
      <c r="M3713" s="505"/>
      <c r="N3713" s="505"/>
      <c r="O3713" s="505"/>
      <c r="P3713" s="505"/>
      <c r="Q3713" s="505"/>
      <c r="R3713" s="505"/>
      <c r="S3713" s="505"/>
      <c r="T3713" s="505"/>
      <c r="U3713" s="505"/>
      <c r="V3713" s="505"/>
      <c r="W3713" s="505"/>
      <c r="X3713" s="505"/>
      <c r="Y3713" s="505"/>
    </row>
    <row r="3714" spans="1:25" s="88" customFormat="1" hidden="1" x14ac:dyDescent="0.25">
      <c r="A3714" s="258"/>
      <c r="B3714" s="258"/>
      <c r="C3714" s="261"/>
      <c r="D3714" s="258"/>
      <c r="E3714" s="679"/>
      <c r="F3714" s="499">
        <v>435</v>
      </c>
      <c r="G3714" s="492" t="s">
        <v>3794</v>
      </c>
      <c r="H3714" s="555"/>
      <c r="I3714" s="556"/>
      <c r="J3714" s="556">
        <f t="shared" si="126"/>
        <v>0</v>
      </c>
      <c r="K3714" s="505"/>
      <c r="L3714" s="505"/>
      <c r="M3714" s="505"/>
      <c r="N3714" s="505"/>
      <c r="O3714" s="505"/>
      <c r="P3714" s="505"/>
      <c r="Q3714" s="505"/>
      <c r="R3714" s="505"/>
      <c r="S3714" s="505"/>
      <c r="T3714" s="505"/>
      <c r="U3714" s="505"/>
      <c r="V3714" s="505"/>
      <c r="W3714" s="505"/>
      <c r="X3714" s="505"/>
      <c r="Y3714" s="505"/>
    </row>
    <row r="3715" spans="1:25" s="88" customFormat="1" hidden="1" x14ac:dyDescent="0.25">
      <c r="A3715" s="258"/>
      <c r="B3715" s="258"/>
      <c r="C3715" s="261"/>
      <c r="D3715" s="258"/>
      <c r="E3715" s="679"/>
      <c r="F3715" s="499">
        <v>441</v>
      </c>
      <c r="G3715" s="492" t="s">
        <v>4149</v>
      </c>
      <c r="H3715" s="555"/>
      <c r="I3715" s="556"/>
      <c r="J3715" s="556">
        <f t="shared" si="126"/>
        <v>0</v>
      </c>
      <c r="K3715" s="505"/>
      <c r="L3715" s="505"/>
      <c r="M3715" s="505"/>
      <c r="N3715" s="505"/>
      <c r="O3715" s="505"/>
      <c r="P3715" s="505"/>
      <c r="Q3715" s="505"/>
      <c r="R3715" s="505"/>
      <c r="S3715" s="505"/>
      <c r="T3715" s="505"/>
      <c r="U3715" s="505"/>
      <c r="V3715" s="505"/>
      <c r="W3715" s="505"/>
      <c r="X3715" s="505"/>
      <c r="Y3715" s="505"/>
    </row>
    <row r="3716" spans="1:25" s="88" customFormat="1" hidden="1" x14ac:dyDescent="0.25">
      <c r="A3716" s="258"/>
      <c r="B3716" s="258"/>
      <c r="C3716" s="261"/>
      <c r="D3716" s="258"/>
      <c r="E3716" s="679"/>
      <c r="F3716" s="499">
        <v>442</v>
      </c>
      <c r="G3716" s="492" t="s">
        <v>4150</v>
      </c>
      <c r="H3716" s="555"/>
      <c r="I3716" s="556"/>
      <c r="J3716" s="556">
        <f t="shared" si="126"/>
        <v>0</v>
      </c>
      <c r="K3716" s="505"/>
      <c r="L3716" s="505"/>
      <c r="M3716" s="505"/>
      <c r="N3716" s="505"/>
      <c r="O3716" s="505"/>
      <c r="P3716" s="505"/>
      <c r="Q3716" s="505"/>
      <c r="R3716" s="505"/>
      <c r="S3716" s="505"/>
      <c r="T3716" s="505"/>
      <c r="U3716" s="505"/>
      <c r="V3716" s="505"/>
      <c r="W3716" s="505"/>
      <c r="X3716" s="505"/>
      <c r="Y3716" s="505"/>
    </row>
    <row r="3717" spans="1:25" s="88" customFormat="1" hidden="1" x14ac:dyDescent="0.25">
      <c r="A3717" s="258"/>
      <c r="B3717" s="258"/>
      <c r="C3717" s="261"/>
      <c r="D3717" s="258"/>
      <c r="E3717" s="679"/>
      <c r="F3717" s="499">
        <v>443</v>
      </c>
      <c r="G3717" s="492" t="s">
        <v>3799</v>
      </c>
      <c r="H3717" s="555"/>
      <c r="I3717" s="556"/>
      <c r="J3717" s="556">
        <f t="shared" si="126"/>
        <v>0</v>
      </c>
      <c r="K3717" s="505"/>
      <c r="L3717" s="505"/>
      <c r="M3717" s="505"/>
      <c r="N3717" s="505"/>
      <c r="O3717" s="505"/>
      <c r="P3717" s="505"/>
      <c r="Q3717" s="505"/>
      <c r="R3717" s="505"/>
      <c r="S3717" s="505"/>
      <c r="T3717" s="505"/>
      <c r="U3717" s="505"/>
      <c r="V3717" s="505"/>
      <c r="W3717" s="505"/>
      <c r="X3717" s="505"/>
      <c r="Y3717" s="505"/>
    </row>
    <row r="3718" spans="1:25" s="88" customFormat="1" hidden="1" x14ac:dyDescent="0.25">
      <c r="A3718" s="258"/>
      <c r="B3718" s="258"/>
      <c r="C3718" s="261"/>
      <c r="D3718" s="258"/>
      <c r="E3718" s="679"/>
      <c r="F3718" s="499">
        <v>444</v>
      </c>
      <c r="G3718" s="492" t="s">
        <v>3800</v>
      </c>
      <c r="H3718" s="555"/>
      <c r="I3718" s="556"/>
      <c r="J3718" s="556">
        <f t="shared" si="126"/>
        <v>0</v>
      </c>
      <c r="K3718" s="505"/>
      <c r="L3718" s="505"/>
      <c r="M3718" s="505"/>
      <c r="N3718" s="505"/>
      <c r="O3718" s="505"/>
      <c r="P3718" s="505"/>
      <c r="Q3718" s="505"/>
      <c r="R3718" s="505"/>
      <c r="S3718" s="505"/>
      <c r="T3718" s="505"/>
      <c r="U3718" s="505"/>
      <c r="V3718" s="505"/>
      <c r="W3718" s="505"/>
      <c r="X3718" s="505"/>
      <c r="Y3718" s="505"/>
    </row>
    <row r="3719" spans="1:25" s="88" customFormat="1" ht="30" hidden="1" x14ac:dyDescent="0.25">
      <c r="A3719" s="258"/>
      <c r="B3719" s="258"/>
      <c r="C3719" s="261"/>
      <c r="D3719" s="258"/>
      <c r="E3719" s="679"/>
      <c r="F3719" s="499">
        <v>4511</v>
      </c>
      <c r="G3719" s="771" t="s">
        <v>1690</v>
      </c>
      <c r="H3719" s="555"/>
      <c r="I3719" s="556"/>
      <c r="J3719" s="556">
        <f t="shared" si="126"/>
        <v>0</v>
      </c>
      <c r="K3719" s="505"/>
      <c r="L3719" s="505"/>
      <c r="M3719" s="505"/>
      <c r="N3719" s="505"/>
      <c r="O3719" s="505"/>
      <c r="P3719" s="505"/>
      <c r="Q3719" s="505"/>
      <c r="R3719" s="505"/>
      <c r="S3719" s="505"/>
      <c r="T3719" s="505"/>
      <c r="U3719" s="505"/>
      <c r="V3719" s="505"/>
      <c r="W3719" s="505"/>
      <c r="X3719" s="505"/>
      <c r="Y3719" s="505"/>
    </row>
    <row r="3720" spans="1:25" s="88" customFormat="1" ht="30" hidden="1" x14ac:dyDescent="0.25">
      <c r="A3720" s="258"/>
      <c r="B3720" s="258"/>
      <c r="C3720" s="261"/>
      <c r="D3720" s="258"/>
      <c r="E3720" s="679"/>
      <c r="F3720" s="499">
        <v>4512</v>
      </c>
      <c r="G3720" s="771" t="s">
        <v>1699</v>
      </c>
      <c r="H3720" s="555"/>
      <c r="I3720" s="556"/>
      <c r="J3720" s="556">
        <f t="shared" si="126"/>
        <v>0</v>
      </c>
      <c r="K3720" s="505"/>
      <c r="L3720" s="505"/>
      <c r="M3720" s="505"/>
      <c r="N3720" s="505"/>
      <c r="O3720" s="505"/>
      <c r="P3720" s="505"/>
      <c r="Q3720" s="505"/>
      <c r="R3720" s="505"/>
      <c r="S3720" s="505"/>
      <c r="T3720" s="505"/>
      <c r="U3720" s="505"/>
      <c r="V3720" s="505"/>
      <c r="W3720" s="505"/>
      <c r="X3720" s="505"/>
      <c r="Y3720" s="505"/>
    </row>
    <row r="3721" spans="1:25" s="88" customFormat="1" hidden="1" x14ac:dyDescent="0.25">
      <c r="A3721" s="258"/>
      <c r="B3721" s="258"/>
      <c r="C3721" s="261"/>
      <c r="D3721" s="258"/>
      <c r="E3721" s="679"/>
      <c r="F3721" s="499">
        <v>452</v>
      </c>
      <c r="G3721" s="492" t="s">
        <v>4151</v>
      </c>
      <c r="H3721" s="555"/>
      <c r="I3721" s="556"/>
      <c r="J3721" s="556">
        <f t="shared" si="126"/>
        <v>0</v>
      </c>
      <c r="K3721" s="505"/>
      <c r="L3721" s="505"/>
      <c r="M3721" s="505"/>
      <c r="N3721" s="505"/>
      <c r="O3721" s="505"/>
      <c r="P3721" s="505"/>
      <c r="Q3721" s="505"/>
      <c r="R3721" s="505"/>
      <c r="S3721" s="505"/>
      <c r="T3721" s="505"/>
      <c r="U3721" s="505"/>
      <c r="V3721" s="505"/>
      <c r="W3721" s="505"/>
      <c r="X3721" s="505"/>
      <c r="Y3721" s="505"/>
    </row>
    <row r="3722" spans="1:25" s="88" customFormat="1" hidden="1" x14ac:dyDescent="0.25">
      <c r="A3722" s="258"/>
      <c r="B3722" s="258"/>
      <c r="C3722" s="261"/>
      <c r="D3722" s="258"/>
      <c r="E3722" s="679"/>
      <c r="F3722" s="499">
        <v>453</v>
      </c>
      <c r="G3722" s="492" t="s">
        <v>4152</v>
      </c>
      <c r="H3722" s="555"/>
      <c r="I3722" s="556"/>
      <c r="J3722" s="556">
        <f t="shared" si="126"/>
        <v>0</v>
      </c>
      <c r="K3722" s="505"/>
      <c r="L3722" s="505"/>
      <c r="M3722" s="505"/>
      <c r="N3722" s="505"/>
      <c r="O3722" s="505"/>
      <c r="P3722" s="505"/>
      <c r="Q3722" s="505"/>
      <c r="R3722" s="505"/>
      <c r="S3722" s="505"/>
      <c r="T3722" s="505"/>
      <c r="U3722" s="505"/>
      <c r="V3722" s="505"/>
      <c r="W3722" s="505"/>
      <c r="X3722" s="505"/>
      <c r="Y3722" s="505"/>
    </row>
    <row r="3723" spans="1:25" s="88" customFormat="1" hidden="1" x14ac:dyDescent="0.25">
      <c r="A3723" s="258"/>
      <c r="B3723" s="258"/>
      <c r="C3723" s="261"/>
      <c r="D3723" s="258"/>
      <c r="E3723" s="679"/>
      <c r="F3723" s="499">
        <v>454</v>
      </c>
      <c r="G3723" s="492" t="s">
        <v>3805</v>
      </c>
      <c r="H3723" s="555"/>
      <c r="I3723" s="556"/>
      <c r="J3723" s="556">
        <f t="shared" si="126"/>
        <v>0</v>
      </c>
      <c r="K3723" s="505"/>
      <c r="L3723" s="505"/>
      <c r="M3723" s="505"/>
      <c r="N3723" s="505"/>
      <c r="O3723" s="505"/>
      <c r="P3723" s="505"/>
      <c r="Q3723" s="505"/>
      <c r="R3723" s="505"/>
      <c r="S3723" s="505"/>
      <c r="T3723" s="505"/>
      <c r="U3723" s="505"/>
      <c r="V3723" s="505"/>
      <c r="W3723" s="505"/>
      <c r="X3723" s="505"/>
      <c r="Y3723" s="505"/>
    </row>
    <row r="3724" spans="1:25" s="88" customFormat="1" hidden="1" x14ac:dyDescent="0.25">
      <c r="A3724" s="258"/>
      <c r="B3724" s="258"/>
      <c r="C3724" s="261"/>
      <c r="D3724" s="258"/>
      <c r="E3724" s="679"/>
      <c r="F3724" s="499">
        <v>461</v>
      </c>
      <c r="G3724" s="492" t="s">
        <v>4133</v>
      </c>
      <c r="H3724" s="555"/>
      <c r="I3724" s="556"/>
      <c r="J3724" s="556">
        <f t="shared" si="126"/>
        <v>0</v>
      </c>
      <c r="K3724" s="505"/>
      <c r="L3724" s="505"/>
      <c r="M3724" s="505"/>
      <c r="N3724" s="505"/>
      <c r="O3724" s="505"/>
      <c r="P3724" s="505"/>
      <c r="Q3724" s="505"/>
      <c r="R3724" s="505"/>
      <c r="S3724" s="505"/>
      <c r="T3724" s="505"/>
      <c r="U3724" s="505"/>
      <c r="V3724" s="505"/>
      <c r="W3724" s="505"/>
      <c r="X3724" s="505"/>
      <c r="Y3724" s="505"/>
    </row>
    <row r="3725" spans="1:25" s="88" customFormat="1" hidden="1" x14ac:dyDescent="0.25">
      <c r="A3725" s="258"/>
      <c r="B3725" s="258"/>
      <c r="C3725" s="261"/>
      <c r="D3725" s="258"/>
      <c r="E3725" s="679"/>
      <c r="F3725" s="499">
        <v>462</v>
      </c>
      <c r="G3725" s="492" t="s">
        <v>3808</v>
      </c>
      <c r="H3725" s="555"/>
      <c r="I3725" s="556"/>
      <c r="J3725" s="556">
        <f t="shared" si="126"/>
        <v>0</v>
      </c>
      <c r="K3725" s="505"/>
      <c r="L3725" s="505"/>
      <c r="M3725" s="505"/>
      <c r="N3725" s="505"/>
      <c r="O3725" s="505"/>
      <c r="P3725" s="505"/>
      <c r="Q3725" s="505"/>
      <c r="R3725" s="505"/>
      <c r="S3725" s="505"/>
      <c r="T3725" s="505"/>
      <c r="U3725" s="505"/>
      <c r="V3725" s="505"/>
      <c r="W3725" s="505"/>
      <c r="X3725" s="505"/>
      <c r="Y3725" s="505"/>
    </row>
    <row r="3726" spans="1:25" s="88" customFormat="1" hidden="1" x14ac:dyDescent="0.25">
      <c r="A3726" s="258"/>
      <c r="B3726" s="258"/>
      <c r="C3726" s="261"/>
      <c r="D3726" s="258"/>
      <c r="E3726" s="679"/>
      <c r="F3726" s="499">
        <v>4631</v>
      </c>
      <c r="G3726" s="492" t="s">
        <v>3809</v>
      </c>
      <c r="H3726" s="555"/>
      <c r="I3726" s="556"/>
      <c r="J3726" s="556">
        <f t="shared" si="126"/>
        <v>0</v>
      </c>
      <c r="K3726" s="505"/>
      <c r="L3726" s="505"/>
      <c r="M3726" s="505"/>
      <c r="N3726" s="505"/>
      <c r="O3726" s="505"/>
      <c r="P3726" s="505"/>
      <c r="Q3726" s="505"/>
      <c r="R3726" s="505"/>
      <c r="S3726" s="505"/>
      <c r="T3726" s="505"/>
      <c r="U3726" s="505"/>
      <c r="V3726" s="505"/>
      <c r="W3726" s="505"/>
      <c r="X3726" s="505"/>
      <c r="Y3726" s="505"/>
    </row>
    <row r="3727" spans="1:25" s="88" customFormat="1" hidden="1" x14ac:dyDescent="0.25">
      <c r="A3727" s="258"/>
      <c r="B3727" s="258"/>
      <c r="C3727" s="261"/>
      <c r="D3727" s="258"/>
      <c r="E3727" s="679"/>
      <c r="F3727" s="499">
        <v>4632</v>
      </c>
      <c r="G3727" s="492" t="s">
        <v>3810</v>
      </c>
      <c r="H3727" s="555"/>
      <c r="I3727" s="556"/>
      <c r="J3727" s="556">
        <f t="shared" si="126"/>
        <v>0</v>
      </c>
      <c r="K3727" s="505"/>
      <c r="L3727" s="505"/>
      <c r="M3727" s="505"/>
      <c r="N3727" s="505"/>
      <c r="O3727" s="505"/>
      <c r="P3727" s="505"/>
      <c r="Q3727" s="505"/>
      <c r="R3727" s="505"/>
      <c r="S3727" s="505"/>
      <c r="T3727" s="505"/>
      <c r="U3727" s="505"/>
      <c r="V3727" s="505"/>
      <c r="W3727" s="505"/>
      <c r="X3727" s="505"/>
      <c r="Y3727" s="505"/>
    </row>
    <row r="3728" spans="1:25" s="88" customFormat="1" hidden="1" x14ac:dyDescent="0.25">
      <c r="A3728" s="258"/>
      <c r="B3728" s="258"/>
      <c r="C3728" s="261"/>
      <c r="D3728" s="258"/>
      <c r="E3728" s="679"/>
      <c r="F3728" s="499">
        <v>464</v>
      </c>
      <c r="G3728" s="492" t="s">
        <v>3811</v>
      </c>
      <c r="H3728" s="555"/>
      <c r="I3728" s="556"/>
      <c r="J3728" s="556">
        <f t="shared" si="126"/>
        <v>0</v>
      </c>
      <c r="K3728" s="505"/>
      <c r="L3728" s="505"/>
      <c r="M3728" s="505"/>
      <c r="N3728" s="505"/>
      <c r="O3728" s="505"/>
      <c r="P3728" s="505"/>
      <c r="Q3728" s="505"/>
      <c r="R3728" s="505"/>
      <c r="S3728" s="505"/>
      <c r="T3728" s="505"/>
      <c r="U3728" s="505"/>
      <c r="V3728" s="505"/>
      <c r="W3728" s="505"/>
      <c r="X3728" s="505"/>
      <c r="Y3728" s="505"/>
    </row>
    <row r="3729" spans="1:25" s="88" customFormat="1" hidden="1" x14ac:dyDescent="0.25">
      <c r="A3729" s="258"/>
      <c r="B3729" s="258"/>
      <c r="C3729" s="261"/>
      <c r="D3729" s="258"/>
      <c r="E3729" s="679"/>
      <c r="F3729" s="499">
        <v>465</v>
      </c>
      <c r="G3729" s="492" t="s">
        <v>4134</v>
      </c>
      <c r="H3729" s="555"/>
      <c r="I3729" s="556"/>
      <c r="J3729" s="556">
        <f t="shared" si="126"/>
        <v>0</v>
      </c>
      <c r="K3729" s="505"/>
      <c r="L3729" s="505"/>
      <c r="M3729" s="505"/>
      <c r="N3729" s="505"/>
      <c r="O3729" s="505"/>
      <c r="P3729" s="505"/>
      <c r="Q3729" s="505"/>
      <c r="R3729" s="505"/>
      <c r="S3729" s="505"/>
      <c r="T3729" s="505"/>
      <c r="U3729" s="505"/>
      <c r="V3729" s="505"/>
      <c r="W3729" s="505"/>
      <c r="X3729" s="505"/>
      <c r="Y3729" s="505"/>
    </row>
    <row r="3730" spans="1:25" s="88" customFormat="1" hidden="1" x14ac:dyDescent="0.25">
      <c r="A3730" s="258"/>
      <c r="B3730" s="258"/>
      <c r="C3730" s="261"/>
      <c r="D3730" s="258"/>
      <c r="E3730" s="679"/>
      <c r="F3730" s="499">
        <v>472</v>
      </c>
      <c r="G3730" s="492" t="s">
        <v>3815</v>
      </c>
      <c r="H3730" s="555"/>
      <c r="I3730" s="556"/>
      <c r="J3730" s="556">
        <f t="shared" si="126"/>
        <v>0</v>
      </c>
      <c r="K3730" s="505"/>
      <c r="L3730" s="505"/>
      <c r="M3730" s="505"/>
      <c r="N3730" s="505"/>
      <c r="O3730" s="505"/>
      <c r="P3730" s="505"/>
      <c r="Q3730" s="505"/>
      <c r="R3730" s="505"/>
      <c r="S3730" s="505"/>
      <c r="T3730" s="505"/>
      <c r="U3730" s="505"/>
      <c r="V3730" s="505"/>
      <c r="W3730" s="505"/>
      <c r="X3730" s="505"/>
      <c r="Y3730" s="505"/>
    </row>
    <row r="3731" spans="1:25" s="88" customFormat="1" hidden="1" x14ac:dyDescent="0.25">
      <c r="A3731" s="258"/>
      <c r="B3731" s="258"/>
      <c r="C3731" s="261"/>
      <c r="D3731" s="258"/>
      <c r="E3731" s="679"/>
      <c r="F3731" s="499">
        <v>481</v>
      </c>
      <c r="G3731" s="492" t="s">
        <v>4153</v>
      </c>
      <c r="H3731" s="555"/>
      <c r="I3731" s="556"/>
      <c r="J3731" s="556">
        <f t="shared" si="126"/>
        <v>0</v>
      </c>
      <c r="K3731" s="505"/>
      <c r="L3731" s="505"/>
      <c r="M3731" s="505"/>
      <c r="N3731" s="505"/>
      <c r="O3731" s="505"/>
      <c r="P3731" s="505"/>
      <c r="Q3731" s="505"/>
      <c r="R3731" s="505"/>
      <c r="S3731" s="505"/>
      <c r="T3731" s="505"/>
      <c r="U3731" s="505"/>
      <c r="V3731" s="505"/>
      <c r="W3731" s="505"/>
      <c r="X3731" s="505"/>
      <c r="Y3731" s="505"/>
    </row>
    <row r="3732" spans="1:25" s="88" customFormat="1" hidden="1" x14ac:dyDescent="0.25">
      <c r="A3732" s="258"/>
      <c r="B3732" s="258"/>
      <c r="C3732" s="261"/>
      <c r="D3732" s="258"/>
      <c r="E3732" s="679"/>
      <c r="F3732" s="499">
        <v>482</v>
      </c>
      <c r="G3732" s="492" t="s">
        <v>4154</v>
      </c>
      <c r="H3732" s="555"/>
      <c r="I3732" s="556"/>
      <c r="J3732" s="556">
        <f t="shared" si="126"/>
        <v>0</v>
      </c>
      <c r="K3732" s="505"/>
      <c r="L3732" s="505"/>
      <c r="M3732" s="505"/>
      <c r="N3732" s="505"/>
      <c r="O3732" s="505"/>
      <c r="P3732" s="505"/>
      <c r="Q3732" s="505"/>
      <c r="R3732" s="505"/>
      <c r="S3732" s="505"/>
      <c r="T3732" s="505"/>
      <c r="U3732" s="505"/>
      <c r="V3732" s="505"/>
      <c r="W3732" s="505"/>
      <c r="X3732" s="505"/>
      <c r="Y3732" s="505"/>
    </row>
    <row r="3733" spans="1:25" s="88" customFormat="1" hidden="1" x14ac:dyDescent="0.25">
      <c r="A3733" s="258"/>
      <c r="B3733" s="258"/>
      <c r="C3733" s="261"/>
      <c r="D3733" s="258"/>
      <c r="E3733" s="679"/>
      <c r="F3733" s="499">
        <v>483</v>
      </c>
      <c r="G3733" s="496" t="s">
        <v>4155</v>
      </c>
      <c r="H3733" s="555"/>
      <c r="I3733" s="556"/>
      <c r="J3733" s="556">
        <f t="shared" si="126"/>
        <v>0</v>
      </c>
      <c r="K3733" s="505"/>
      <c r="L3733" s="505"/>
      <c r="M3733" s="505"/>
      <c r="N3733" s="505"/>
      <c r="O3733" s="505"/>
      <c r="P3733" s="505"/>
      <c r="Q3733" s="505"/>
      <c r="R3733" s="505"/>
      <c r="S3733" s="505"/>
      <c r="T3733" s="505"/>
      <c r="U3733" s="505"/>
      <c r="V3733" s="505"/>
      <c r="W3733" s="505"/>
      <c r="X3733" s="505"/>
      <c r="Y3733" s="505"/>
    </row>
    <row r="3734" spans="1:25" s="88" customFormat="1" ht="30" hidden="1" x14ac:dyDescent="0.25">
      <c r="A3734" s="258"/>
      <c r="B3734" s="258"/>
      <c r="C3734" s="261"/>
      <c r="D3734" s="258"/>
      <c r="E3734" s="679"/>
      <c r="F3734" s="499">
        <v>484</v>
      </c>
      <c r="G3734" s="492" t="s">
        <v>4156</v>
      </c>
      <c r="H3734" s="555"/>
      <c r="I3734" s="556"/>
      <c r="J3734" s="556">
        <f t="shared" si="126"/>
        <v>0</v>
      </c>
      <c r="K3734" s="505"/>
      <c r="L3734" s="505"/>
      <c r="M3734" s="505"/>
      <c r="N3734" s="505"/>
      <c r="O3734" s="505"/>
      <c r="P3734" s="505"/>
      <c r="Q3734" s="505"/>
      <c r="R3734" s="505"/>
      <c r="S3734" s="505"/>
      <c r="T3734" s="505"/>
      <c r="U3734" s="505"/>
      <c r="V3734" s="505"/>
      <c r="W3734" s="505"/>
      <c r="X3734" s="505"/>
      <c r="Y3734" s="505"/>
    </row>
    <row r="3735" spans="1:25" s="88" customFormat="1" ht="30" hidden="1" x14ac:dyDescent="0.25">
      <c r="A3735" s="258"/>
      <c r="B3735" s="258"/>
      <c r="C3735" s="261"/>
      <c r="D3735" s="258"/>
      <c r="E3735" s="679"/>
      <c r="F3735" s="499">
        <v>485</v>
      </c>
      <c r="G3735" s="492" t="s">
        <v>4157</v>
      </c>
      <c r="H3735" s="555"/>
      <c r="I3735" s="556"/>
      <c r="J3735" s="556">
        <f t="shared" si="126"/>
        <v>0</v>
      </c>
      <c r="K3735" s="505"/>
      <c r="L3735" s="505"/>
      <c r="M3735" s="505"/>
      <c r="N3735" s="505"/>
      <c r="O3735" s="505"/>
      <c r="P3735" s="505"/>
      <c r="Q3735" s="505"/>
      <c r="R3735" s="505"/>
      <c r="S3735" s="505"/>
      <c r="T3735" s="505"/>
      <c r="U3735" s="505"/>
      <c r="V3735" s="505"/>
      <c r="W3735" s="505"/>
      <c r="X3735" s="505"/>
      <c r="Y3735" s="505"/>
    </row>
    <row r="3736" spans="1:25" s="88" customFormat="1" ht="30" hidden="1" x14ac:dyDescent="0.25">
      <c r="A3736" s="258"/>
      <c r="B3736" s="258"/>
      <c r="C3736" s="261"/>
      <c r="D3736" s="258"/>
      <c r="E3736" s="679"/>
      <c r="F3736" s="499">
        <v>489</v>
      </c>
      <c r="G3736" s="492" t="s">
        <v>3823</v>
      </c>
      <c r="H3736" s="555"/>
      <c r="I3736" s="556"/>
      <c r="J3736" s="556">
        <f t="shared" si="126"/>
        <v>0</v>
      </c>
      <c r="K3736" s="505"/>
      <c r="L3736" s="505"/>
      <c r="M3736" s="505"/>
      <c r="N3736" s="505"/>
      <c r="O3736" s="505"/>
      <c r="P3736" s="505"/>
      <c r="Q3736" s="505"/>
      <c r="R3736" s="505"/>
      <c r="S3736" s="505"/>
      <c r="T3736" s="505"/>
      <c r="U3736" s="505"/>
      <c r="V3736" s="505"/>
      <c r="W3736" s="505"/>
      <c r="X3736" s="505"/>
      <c r="Y3736" s="505"/>
    </row>
    <row r="3737" spans="1:25" s="88" customFormat="1" hidden="1" x14ac:dyDescent="0.25">
      <c r="A3737" s="258"/>
      <c r="B3737" s="258"/>
      <c r="C3737" s="261"/>
      <c r="D3737" s="258"/>
      <c r="E3737" s="679"/>
      <c r="F3737" s="499">
        <v>494</v>
      </c>
      <c r="G3737" s="492" t="s">
        <v>4135</v>
      </c>
      <c r="H3737" s="555"/>
      <c r="I3737" s="556"/>
      <c r="J3737" s="556">
        <f t="shared" si="126"/>
        <v>0</v>
      </c>
      <c r="K3737" s="505"/>
      <c r="L3737" s="505"/>
      <c r="M3737" s="505"/>
      <c r="N3737" s="505"/>
      <c r="O3737" s="505"/>
      <c r="P3737" s="505"/>
      <c r="Q3737" s="505"/>
      <c r="R3737" s="505"/>
      <c r="S3737" s="505"/>
      <c r="T3737" s="505"/>
      <c r="U3737" s="505"/>
      <c r="V3737" s="505"/>
      <c r="W3737" s="505"/>
      <c r="X3737" s="505"/>
      <c r="Y3737" s="505"/>
    </row>
    <row r="3738" spans="1:25" s="88" customFormat="1" ht="30" hidden="1" x14ac:dyDescent="0.25">
      <c r="A3738" s="258"/>
      <c r="B3738" s="258"/>
      <c r="C3738" s="261"/>
      <c r="D3738" s="258"/>
      <c r="E3738" s="679"/>
      <c r="F3738" s="499">
        <v>495</v>
      </c>
      <c r="G3738" s="492" t="s">
        <v>4136</v>
      </c>
      <c r="H3738" s="555"/>
      <c r="I3738" s="556"/>
      <c r="J3738" s="556">
        <f t="shared" si="126"/>
        <v>0</v>
      </c>
      <c r="K3738" s="505"/>
      <c r="L3738" s="505"/>
      <c r="M3738" s="505"/>
      <c r="N3738" s="505"/>
      <c r="O3738" s="505"/>
      <c r="P3738" s="505"/>
      <c r="Q3738" s="505"/>
      <c r="R3738" s="505"/>
      <c r="S3738" s="505"/>
      <c r="T3738" s="505"/>
      <c r="U3738" s="505"/>
      <c r="V3738" s="505"/>
      <c r="W3738" s="505"/>
      <c r="X3738" s="505"/>
      <c r="Y3738" s="505"/>
    </row>
    <row r="3739" spans="1:25" s="88" customFormat="1" ht="30" hidden="1" x14ac:dyDescent="0.25">
      <c r="A3739" s="258"/>
      <c r="B3739" s="258"/>
      <c r="C3739" s="261"/>
      <c r="D3739" s="258"/>
      <c r="E3739" s="679"/>
      <c r="F3739" s="499">
        <v>496</v>
      </c>
      <c r="G3739" s="492" t="s">
        <v>4137</v>
      </c>
      <c r="H3739" s="555"/>
      <c r="I3739" s="556"/>
      <c r="J3739" s="556">
        <f t="shared" si="126"/>
        <v>0</v>
      </c>
      <c r="K3739" s="505"/>
      <c r="L3739" s="505"/>
      <c r="M3739" s="505"/>
      <c r="N3739" s="505"/>
      <c r="O3739" s="505"/>
      <c r="P3739" s="505"/>
      <c r="Q3739" s="505"/>
      <c r="R3739" s="505"/>
      <c r="S3739" s="505"/>
      <c r="T3739" s="505"/>
      <c r="U3739" s="505"/>
      <c r="V3739" s="505"/>
      <c r="W3739" s="505"/>
      <c r="X3739" s="505"/>
      <c r="Y3739" s="505"/>
    </row>
    <row r="3740" spans="1:25" s="88" customFormat="1" ht="30" hidden="1" x14ac:dyDescent="0.25">
      <c r="A3740" s="258"/>
      <c r="B3740" s="258"/>
      <c r="C3740" s="261"/>
      <c r="D3740" s="258"/>
      <c r="E3740" s="679"/>
      <c r="F3740" s="499">
        <v>499</v>
      </c>
      <c r="G3740" s="492" t="s">
        <v>4138</v>
      </c>
      <c r="H3740" s="555"/>
      <c r="I3740" s="556"/>
      <c r="J3740" s="556">
        <f t="shared" si="126"/>
        <v>0</v>
      </c>
      <c r="K3740" s="505"/>
      <c r="L3740" s="505"/>
      <c r="M3740" s="505"/>
      <c r="N3740" s="505"/>
      <c r="O3740" s="505"/>
      <c r="P3740" s="505"/>
      <c r="Q3740" s="505"/>
      <c r="R3740" s="505"/>
      <c r="S3740" s="505"/>
      <c r="T3740" s="505"/>
      <c r="U3740" s="505"/>
      <c r="V3740" s="505"/>
      <c r="W3740" s="505"/>
      <c r="X3740" s="505"/>
      <c r="Y3740" s="505"/>
    </row>
    <row r="3741" spans="1:25" s="88" customFormat="1" hidden="1" x14ac:dyDescent="0.25">
      <c r="A3741" s="258"/>
      <c r="B3741" s="258"/>
      <c r="C3741" s="261"/>
      <c r="D3741" s="258"/>
      <c r="E3741" s="679"/>
      <c r="F3741" s="499">
        <v>511</v>
      </c>
      <c r="G3741" s="496" t="s">
        <v>4158</v>
      </c>
      <c r="H3741" s="555"/>
      <c r="I3741" s="556"/>
      <c r="J3741" s="556">
        <f t="shared" si="126"/>
        <v>0</v>
      </c>
      <c r="K3741" s="505"/>
      <c r="L3741" s="505"/>
      <c r="M3741" s="505"/>
      <c r="N3741" s="505"/>
      <c r="O3741" s="505"/>
      <c r="P3741" s="505"/>
      <c r="Q3741" s="505"/>
      <c r="R3741" s="505"/>
      <c r="S3741" s="505"/>
      <c r="T3741" s="505"/>
      <c r="U3741" s="505"/>
      <c r="V3741" s="505"/>
      <c r="W3741" s="505"/>
      <c r="X3741" s="505"/>
      <c r="Y3741" s="505"/>
    </row>
    <row r="3742" spans="1:25" s="88" customFormat="1" hidden="1" x14ac:dyDescent="0.25">
      <c r="A3742" s="258"/>
      <c r="B3742" s="258"/>
      <c r="C3742" s="261"/>
      <c r="D3742" s="258"/>
      <c r="E3742" s="679"/>
      <c r="F3742" s="499">
        <v>512</v>
      </c>
      <c r="G3742" s="496" t="s">
        <v>4159</v>
      </c>
      <c r="H3742" s="555"/>
      <c r="I3742" s="556"/>
      <c r="J3742" s="556">
        <f t="shared" si="126"/>
        <v>0</v>
      </c>
      <c r="K3742" s="505"/>
      <c r="L3742" s="505"/>
      <c r="M3742" s="505"/>
      <c r="N3742" s="505"/>
      <c r="O3742" s="505"/>
      <c r="P3742" s="505"/>
      <c r="Q3742" s="505"/>
      <c r="R3742" s="505"/>
      <c r="S3742" s="505"/>
      <c r="T3742" s="505"/>
      <c r="U3742" s="505"/>
      <c r="V3742" s="505"/>
      <c r="W3742" s="505"/>
      <c r="X3742" s="505"/>
      <c r="Y3742" s="505"/>
    </row>
    <row r="3743" spans="1:25" s="88" customFormat="1" hidden="1" x14ac:dyDescent="0.25">
      <c r="A3743" s="258"/>
      <c r="B3743" s="258"/>
      <c r="C3743" s="261"/>
      <c r="D3743" s="258"/>
      <c r="E3743" s="679"/>
      <c r="F3743" s="499">
        <v>513</v>
      </c>
      <c r="G3743" s="496" t="s">
        <v>4160</v>
      </c>
      <c r="H3743" s="555"/>
      <c r="I3743" s="556"/>
      <c r="J3743" s="556">
        <f t="shared" si="126"/>
        <v>0</v>
      </c>
      <c r="K3743" s="505"/>
      <c r="L3743" s="505"/>
      <c r="M3743" s="505"/>
      <c r="N3743" s="505"/>
      <c r="O3743" s="505"/>
      <c r="P3743" s="505"/>
      <c r="Q3743" s="505"/>
      <c r="R3743" s="505"/>
      <c r="S3743" s="505"/>
      <c r="T3743" s="505"/>
      <c r="U3743" s="505"/>
      <c r="V3743" s="505"/>
      <c r="W3743" s="505"/>
      <c r="X3743" s="505"/>
      <c r="Y3743" s="505"/>
    </row>
    <row r="3744" spans="1:25" s="88" customFormat="1" hidden="1" x14ac:dyDescent="0.25">
      <c r="A3744" s="258"/>
      <c r="B3744" s="258"/>
      <c r="C3744" s="261"/>
      <c r="D3744" s="258"/>
      <c r="E3744" s="679"/>
      <c r="F3744" s="499">
        <v>514</v>
      </c>
      <c r="G3744" s="492" t="s">
        <v>4161</v>
      </c>
      <c r="H3744" s="555"/>
      <c r="I3744" s="556"/>
      <c r="J3744" s="556">
        <f t="shared" si="126"/>
        <v>0</v>
      </c>
      <c r="K3744" s="505"/>
      <c r="L3744" s="505"/>
      <c r="M3744" s="505"/>
      <c r="N3744" s="505"/>
      <c r="O3744" s="505"/>
      <c r="P3744" s="505"/>
      <c r="Q3744" s="505"/>
      <c r="R3744" s="505"/>
      <c r="S3744" s="505"/>
      <c r="T3744" s="505"/>
      <c r="U3744" s="505"/>
      <c r="V3744" s="505"/>
      <c r="W3744" s="505"/>
      <c r="X3744" s="505"/>
      <c r="Y3744" s="505"/>
    </row>
    <row r="3745" spans="1:25" s="88" customFormat="1" hidden="1" x14ac:dyDescent="0.25">
      <c r="A3745" s="258"/>
      <c r="B3745" s="258"/>
      <c r="C3745" s="261"/>
      <c r="D3745" s="258"/>
      <c r="E3745" s="679"/>
      <c r="F3745" s="499">
        <v>515</v>
      </c>
      <c r="G3745" s="492" t="s">
        <v>3834</v>
      </c>
      <c r="H3745" s="555"/>
      <c r="I3745" s="556"/>
      <c r="J3745" s="556">
        <f t="shared" si="126"/>
        <v>0</v>
      </c>
      <c r="K3745" s="505"/>
      <c r="L3745" s="505"/>
      <c r="M3745" s="505"/>
      <c r="N3745" s="505"/>
      <c r="O3745" s="505"/>
      <c r="P3745" s="505"/>
      <c r="Q3745" s="505"/>
      <c r="R3745" s="505"/>
      <c r="S3745" s="505"/>
      <c r="T3745" s="505"/>
      <c r="U3745" s="505"/>
      <c r="V3745" s="505"/>
      <c r="W3745" s="505"/>
      <c r="X3745" s="505"/>
      <c r="Y3745" s="505"/>
    </row>
    <row r="3746" spans="1:25" s="88" customFormat="1" hidden="1" x14ac:dyDescent="0.25">
      <c r="A3746" s="258"/>
      <c r="B3746" s="258"/>
      <c r="C3746" s="261"/>
      <c r="D3746" s="258"/>
      <c r="E3746" s="679"/>
      <c r="F3746" s="499">
        <v>521</v>
      </c>
      <c r="G3746" s="492" t="s">
        <v>4162</v>
      </c>
      <c r="H3746" s="555"/>
      <c r="I3746" s="556"/>
      <c r="J3746" s="556">
        <f t="shared" si="126"/>
        <v>0</v>
      </c>
      <c r="K3746" s="505"/>
      <c r="L3746" s="505"/>
      <c r="M3746" s="505"/>
      <c r="N3746" s="505"/>
      <c r="O3746" s="505"/>
      <c r="P3746" s="505"/>
      <c r="Q3746" s="505"/>
      <c r="R3746" s="505"/>
      <c r="S3746" s="505"/>
      <c r="T3746" s="505"/>
      <c r="U3746" s="505"/>
      <c r="V3746" s="505"/>
      <c r="W3746" s="505"/>
      <c r="X3746" s="505"/>
      <c r="Y3746" s="505"/>
    </row>
    <row r="3747" spans="1:25" s="88" customFormat="1" hidden="1" x14ac:dyDescent="0.25">
      <c r="A3747" s="258"/>
      <c r="B3747" s="258"/>
      <c r="C3747" s="261"/>
      <c r="D3747" s="258"/>
      <c r="E3747" s="679"/>
      <c r="F3747" s="499">
        <v>522</v>
      </c>
      <c r="G3747" s="492" t="s">
        <v>4163</v>
      </c>
      <c r="H3747" s="555"/>
      <c r="I3747" s="556"/>
      <c r="J3747" s="556">
        <f t="shared" si="126"/>
        <v>0</v>
      </c>
      <c r="K3747" s="505"/>
      <c r="L3747" s="505"/>
      <c r="M3747" s="505"/>
      <c r="N3747" s="505"/>
      <c r="O3747" s="505"/>
      <c r="P3747" s="505"/>
      <c r="Q3747" s="505"/>
      <c r="R3747" s="505"/>
      <c r="S3747" s="505"/>
      <c r="T3747" s="505"/>
      <c r="U3747" s="505"/>
      <c r="V3747" s="505"/>
      <c r="W3747" s="505"/>
      <c r="X3747" s="505"/>
      <c r="Y3747" s="505"/>
    </row>
    <row r="3748" spans="1:25" s="88" customFormat="1" hidden="1" x14ac:dyDescent="0.25">
      <c r="A3748" s="258"/>
      <c r="B3748" s="258"/>
      <c r="C3748" s="261"/>
      <c r="D3748" s="258"/>
      <c r="E3748" s="679"/>
      <c r="F3748" s="499">
        <v>523</v>
      </c>
      <c r="G3748" s="492" t="s">
        <v>3839</v>
      </c>
      <c r="H3748" s="555"/>
      <c r="I3748" s="556"/>
      <c r="J3748" s="556">
        <f t="shared" si="126"/>
        <v>0</v>
      </c>
      <c r="K3748" s="505"/>
      <c r="L3748" s="505"/>
      <c r="M3748" s="505"/>
      <c r="N3748" s="505"/>
      <c r="O3748" s="505"/>
      <c r="P3748" s="505"/>
      <c r="Q3748" s="505"/>
      <c r="R3748" s="505"/>
      <c r="S3748" s="505"/>
      <c r="T3748" s="505"/>
      <c r="U3748" s="505"/>
      <c r="V3748" s="505"/>
      <c r="W3748" s="505"/>
      <c r="X3748" s="505"/>
      <c r="Y3748" s="505"/>
    </row>
    <row r="3749" spans="1:25" s="88" customFormat="1" hidden="1" x14ac:dyDescent="0.25">
      <c r="A3749" s="258"/>
      <c r="B3749" s="258"/>
      <c r="C3749" s="261"/>
      <c r="D3749" s="258"/>
      <c r="E3749" s="679"/>
      <c r="F3749" s="499">
        <v>531</v>
      </c>
      <c r="G3749" s="488" t="s">
        <v>4139</v>
      </c>
      <c r="H3749" s="555"/>
      <c r="I3749" s="556"/>
      <c r="J3749" s="556">
        <f t="shared" si="126"/>
        <v>0</v>
      </c>
      <c r="K3749" s="505"/>
      <c r="L3749" s="505"/>
      <c r="M3749" s="505"/>
      <c r="N3749" s="505"/>
      <c r="O3749" s="505"/>
      <c r="P3749" s="505"/>
      <c r="Q3749" s="505"/>
      <c r="R3749" s="505"/>
      <c r="S3749" s="505"/>
      <c r="T3749" s="505"/>
      <c r="U3749" s="505"/>
      <c r="V3749" s="505"/>
      <c r="W3749" s="505"/>
      <c r="X3749" s="505"/>
      <c r="Y3749" s="505"/>
    </row>
    <row r="3750" spans="1:25" s="88" customFormat="1" hidden="1" x14ac:dyDescent="0.25">
      <c r="A3750" s="258"/>
      <c r="B3750" s="258"/>
      <c r="C3750" s="261"/>
      <c r="D3750" s="258"/>
      <c r="E3750" s="679"/>
      <c r="F3750" s="499">
        <v>541</v>
      </c>
      <c r="G3750" s="492" t="s">
        <v>4164</v>
      </c>
      <c r="H3750" s="555"/>
      <c r="I3750" s="556"/>
      <c r="J3750" s="556">
        <f t="shared" si="126"/>
        <v>0</v>
      </c>
      <c r="K3750" s="505"/>
      <c r="L3750" s="505"/>
      <c r="M3750" s="505"/>
      <c r="N3750" s="505"/>
      <c r="O3750" s="505"/>
      <c r="P3750" s="505"/>
      <c r="Q3750" s="505"/>
      <c r="R3750" s="505"/>
      <c r="S3750" s="505"/>
      <c r="T3750" s="505"/>
      <c r="U3750" s="505"/>
      <c r="V3750" s="505"/>
      <c r="W3750" s="505"/>
      <c r="X3750" s="505"/>
      <c r="Y3750" s="505"/>
    </row>
    <row r="3751" spans="1:25" s="88" customFormat="1" hidden="1" x14ac:dyDescent="0.25">
      <c r="A3751" s="258"/>
      <c r="B3751" s="258"/>
      <c r="C3751" s="261"/>
      <c r="D3751" s="258"/>
      <c r="E3751" s="679"/>
      <c r="F3751" s="499">
        <v>542</v>
      </c>
      <c r="G3751" s="492" t="s">
        <v>4165</v>
      </c>
      <c r="H3751" s="555"/>
      <c r="I3751" s="556"/>
      <c r="J3751" s="556">
        <f t="shared" si="126"/>
        <v>0</v>
      </c>
      <c r="K3751" s="505"/>
      <c r="L3751" s="505"/>
      <c r="M3751" s="505"/>
      <c r="N3751" s="505"/>
      <c r="O3751" s="505"/>
      <c r="P3751" s="505"/>
      <c r="Q3751" s="505"/>
      <c r="R3751" s="505"/>
      <c r="S3751" s="505"/>
      <c r="T3751" s="505"/>
      <c r="U3751" s="505"/>
      <c r="V3751" s="505"/>
      <c r="W3751" s="505"/>
      <c r="X3751" s="505"/>
      <c r="Y3751" s="505"/>
    </row>
    <row r="3752" spans="1:25" s="88" customFormat="1" hidden="1" x14ac:dyDescent="0.25">
      <c r="A3752" s="258"/>
      <c r="B3752" s="258"/>
      <c r="C3752" s="261"/>
      <c r="D3752" s="258"/>
      <c r="E3752" s="679"/>
      <c r="F3752" s="499">
        <v>543</v>
      </c>
      <c r="G3752" s="492" t="s">
        <v>3844</v>
      </c>
      <c r="H3752" s="555"/>
      <c r="I3752" s="556"/>
      <c r="J3752" s="556">
        <f t="shared" si="126"/>
        <v>0</v>
      </c>
      <c r="K3752" s="505"/>
      <c r="L3752" s="505"/>
      <c r="M3752" s="505"/>
      <c r="N3752" s="505"/>
      <c r="O3752" s="505"/>
      <c r="P3752" s="505"/>
      <c r="Q3752" s="505"/>
      <c r="R3752" s="505"/>
      <c r="S3752" s="505"/>
      <c r="T3752" s="505"/>
      <c r="U3752" s="505"/>
      <c r="V3752" s="505"/>
      <c r="W3752" s="505"/>
      <c r="X3752" s="505"/>
      <c r="Y3752" s="505"/>
    </row>
    <row r="3753" spans="1:25" s="88" customFormat="1" ht="30" hidden="1" x14ac:dyDescent="0.25">
      <c r="A3753" s="258"/>
      <c r="B3753" s="258"/>
      <c r="C3753" s="261"/>
      <c r="D3753" s="258"/>
      <c r="E3753" s="679"/>
      <c r="F3753" s="499">
        <v>551</v>
      </c>
      <c r="G3753" s="492" t="s">
        <v>4140</v>
      </c>
      <c r="H3753" s="555"/>
      <c r="I3753" s="556"/>
      <c r="J3753" s="556">
        <f t="shared" si="126"/>
        <v>0</v>
      </c>
      <c r="K3753" s="505"/>
      <c r="L3753" s="505"/>
      <c r="M3753" s="505"/>
      <c r="N3753" s="505"/>
      <c r="O3753" s="505"/>
      <c r="P3753" s="505"/>
      <c r="Q3753" s="505"/>
      <c r="R3753" s="505"/>
      <c r="S3753" s="505"/>
      <c r="T3753" s="505"/>
      <c r="U3753" s="505"/>
      <c r="V3753" s="505"/>
      <c r="W3753" s="505"/>
      <c r="X3753" s="505"/>
      <c r="Y3753" s="505"/>
    </row>
    <row r="3754" spans="1:25" s="88" customFormat="1" hidden="1" x14ac:dyDescent="0.25">
      <c r="A3754" s="258"/>
      <c r="B3754" s="258"/>
      <c r="C3754" s="261"/>
      <c r="D3754" s="258"/>
      <c r="E3754" s="679"/>
      <c r="F3754" s="500">
        <v>611</v>
      </c>
      <c r="G3754" s="498" t="s">
        <v>3850</v>
      </c>
      <c r="H3754" s="555"/>
      <c r="I3754" s="556"/>
      <c r="J3754" s="556">
        <f t="shared" si="126"/>
        <v>0</v>
      </c>
      <c r="K3754" s="505"/>
      <c r="L3754" s="505"/>
      <c r="M3754" s="505"/>
      <c r="N3754" s="505"/>
      <c r="O3754" s="505"/>
      <c r="P3754" s="505"/>
      <c r="Q3754" s="505"/>
      <c r="R3754" s="505"/>
      <c r="S3754" s="505"/>
      <c r="T3754" s="505"/>
      <c r="U3754" s="505"/>
      <c r="V3754" s="505"/>
      <c r="W3754" s="505"/>
      <c r="X3754" s="505"/>
      <c r="Y3754" s="505"/>
    </row>
    <row r="3755" spans="1:25" s="88" customFormat="1" ht="15.75" hidden="1" thickBot="1" x14ac:dyDescent="0.3">
      <c r="A3755" s="258"/>
      <c r="B3755" s="258"/>
      <c r="C3755" s="261"/>
      <c r="D3755" s="258"/>
      <c r="E3755" s="679"/>
      <c r="F3755" s="500">
        <v>620</v>
      </c>
      <c r="G3755" s="498" t="s">
        <v>88</v>
      </c>
      <c r="H3755" s="555"/>
      <c r="I3755" s="556"/>
      <c r="J3755" s="556">
        <f t="shared" si="126"/>
        <v>0</v>
      </c>
      <c r="K3755" s="505"/>
      <c r="L3755" s="505"/>
      <c r="M3755" s="505"/>
      <c r="N3755" s="505"/>
      <c r="O3755" s="505"/>
      <c r="P3755" s="505"/>
      <c r="Q3755" s="505"/>
      <c r="R3755" s="505"/>
      <c r="S3755" s="505"/>
      <c r="T3755" s="505"/>
      <c r="U3755" s="505"/>
      <c r="V3755" s="505"/>
      <c r="W3755" s="505"/>
      <c r="X3755" s="505"/>
      <c r="Y3755" s="505"/>
    </row>
    <row r="3756" spans="1:25" s="88" customFormat="1" x14ac:dyDescent="0.25">
      <c r="A3756" s="258"/>
      <c r="B3756" s="258"/>
      <c r="C3756" s="261"/>
      <c r="D3756" s="258"/>
      <c r="E3756" s="489"/>
      <c r="F3756" s="500"/>
      <c r="G3756" s="343" t="s">
        <v>4337</v>
      </c>
      <c r="H3756" s="557"/>
      <c r="I3756" s="583"/>
      <c r="J3756" s="558"/>
      <c r="K3756" s="505"/>
      <c r="L3756" s="505"/>
      <c r="M3756" s="505"/>
      <c r="N3756" s="505"/>
      <c r="O3756" s="505"/>
      <c r="P3756" s="505"/>
      <c r="Q3756" s="505"/>
      <c r="R3756" s="505"/>
      <c r="S3756" s="505"/>
      <c r="T3756" s="505"/>
      <c r="U3756" s="505"/>
      <c r="V3756" s="505"/>
      <c r="W3756" s="505"/>
      <c r="X3756" s="505"/>
      <c r="Y3756" s="505"/>
    </row>
    <row r="3757" spans="1:25" s="88" customFormat="1" ht="15" customHeight="1" thickBot="1" x14ac:dyDescent="0.3">
      <c r="A3757" s="258"/>
      <c r="B3757" s="258"/>
      <c r="C3757" s="261"/>
      <c r="D3757" s="258"/>
      <c r="E3757" s="693"/>
      <c r="F3757" s="597" t="s">
        <v>234</v>
      </c>
      <c r="G3757" s="598" t="s">
        <v>235</v>
      </c>
      <c r="H3757" s="559">
        <f>SUM(H3696:H3755)</f>
        <v>150000</v>
      </c>
      <c r="I3757" s="560"/>
      <c r="J3757" s="560">
        <f t="shared" ref="J3757:J3772" si="127">SUM(H3757:I3757)</f>
        <v>150000</v>
      </c>
      <c r="K3757" s="505"/>
      <c r="L3757" s="505"/>
      <c r="M3757" s="505"/>
      <c r="N3757" s="505"/>
      <c r="O3757" s="505"/>
      <c r="P3757" s="505"/>
      <c r="Q3757" s="505"/>
      <c r="R3757" s="505"/>
      <c r="S3757" s="505"/>
      <c r="T3757" s="505"/>
      <c r="U3757" s="505"/>
      <c r="V3757" s="505"/>
      <c r="W3757" s="505"/>
      <c r="X3757" s="505"/>
      <c r="Y3757" s="505"/>
    </row>
    <row r="3758" spans="1:25" s="88" customFormat="1" hidden="1" x14ac:dyDescent="0.25">
      <c r="A3758" s="258"/>
      <c r="B3758" s="258"/>
      <c r="C3758" s="261"/>
      <c r="D3758" s="258"/>
      <c r="E3758" s="679"/>
      <c r="F3758" s="597" t="s">
        <v>236</v>
      </c>
      <c r="G3758" s="598" t="s">
        <v>237</v>
      </c>
      <c r="H3758" s="555"/>
      <c r="I3758" s="556"/>
      <c r="J3758" s="560">
        <f t="shared" si="127"/>
        <v>0</v>
      </c>
      <c r="K3758" s="505"/>
      <c r="L3758" s="505"/>
      <c r="M3758" s="505"/>
      <c r="N3758" s="505"/>
      <c r="O3758" s="505"/>
      <c r="P3758" s="505"/>
      <c r="Q3758" s="505"/>
      <c r="R3758" s="505"/>
      <c r="S3758" s="505"/>
      <c r="T3758" s="505"/>
      <c r="U3758" s="505"/>
      <c r="V3758" s="505"/>
      <c r="W3758" s="505"/>
      <c r="X3758" s="505"/>
      <c r="Y3758" s="505"/>
    </row>
    <row r="3759" spans="1:25" s="88" customFormat="1" hidden="1" x14ac:dyDescent="0.25">
      <c r="A3759" s="258"/>
      <c r="B3759" s="258"/>
      <c r="C3759" s="261"/>
      <c r="D3759" s="258"/>
      <c r="E3759" s="679"/>
      <c r="F3759" s="597" t="s">
        <v>238</v>
      </c>
      <c r="G3759" s="598" t="s">
        <v>239</v>
      </c>
      <c r="H3759" s="555"/>
      <c r="I3759" s="556"/>
      <c r="J3759" s="560">
        <f t="shared" si="127"/>
        <v>0</v>
      </c>
      <c r="K3759" s="505"/>
      <c r="L3759" s="505"/>
      <c r="M3759" s="505"/>
      <c r="N3759" s="505"/>
      <c r="O3759" s="505"/>
      <c r="P3759" s="505"/>
      <c r="Q3759" s="505"/>
      <c r="R3759" s="505"/>
      <c r="S3759" s="505"/>
      <c r="T3759" s="505"/>
      <c r="U3759" s="505"/>
      <c r="V3759" s="505"/>
      <c r="W3759" s="505"/>
      <c r="X3759" s="505"/>
      <c r="Y3759" s="505"/>
    </row>
    <row r="3760" spans="1:25" s="88" customFormat="1" hidden="1" x14ac:dyDescent="0.25">
      <c r="A3760" s="258"/>
      <c r="B3760" s="258"/>
      <c r="C3760" s="261"/>
      <c r="D3760" s="258"/>
      <c r="E3760" s="679"/>
      <c r="F3760" s="597" t="s">
        <v>240</v>
      </c>
      <c r="G3760" s="598" t="s">
        <v>241</v>
      </c>
      <c r="H3760" s="555"/>
      <c r="I3760" s="556"/>
      <c r="J3760" s="560">
        <f t="shared" si="127"/>
        <v>0</v>
      </c>
      <c r="K3760" s="505"/>
      <c r="L3760" s="505"/>
      <c r="M3760" s="505"/>
      <c r="N3760" s="505"/>
      <c r="O3760" s="505"/>
      <c r="P3760" s="505"/>
      <c r="Q3760" s="505"/>
      <c r="R3760" s="505"/>
      <c r="S3760" s="505"/>
      <c r="T3760" s="505"/>
      <c r="U3760" s="505"/>
      <c r="V3760" s="505"/>
      <c r="W3760" s="505"/>
      <c r="X3760" s="505"/>
      <c r="Y3760" s="505"/>
    </row>
    <row r="3761" spans="1:25" s="88" customFormat="1" hidden="1" x14ac:dyDescent="0.25">
      <c r="A3761" s="258"/>
      <c r="B3761" s="258"/>
      <c r="C3761" s="261"/>
      <c r="D3761" s="258"/>
      <c r="E3761" s="679"/>
      <c r="F3761" s="597" t="s">
        <v>242</v>
      </c>
      <c r="G3761" s="598" t="s">
        <v>243</v>
      </c>
      <c r="H3761" s="555"/>
      <c r="I3761" s="556"/>
      <c r="J3761" s="560">
        <f t="shared" si="127"/>
        <v>0</v>
      </c>
      <c r="K3761" s="505"/>
      <c r="L3761" s="505"/>
      <c r="M3761" s="505"/>
      <c r="N3761" s="505"/>
      <c r="O3761" s="505"/>
      <c r="P3761" s="505"/>
      <c r="Q3761" s="505"/>
      <c r="R3761" s="505"/>
      <c r="S3761" s="505"/>
      <c r="T3761" s="505"/>
      <c r="U3761" s="505"/>
      <c r="V3761" s="505"/>
      <c r="W3761" s="505"/>
      <c r="X3761" s="505"/>
      <c r="Y3761" s="505"/>
    </row>
    <row r="3762" spans="1:25" s="88" customFormat="1" hidden="1" x14ac:dyDescent="0.25">
      <c r="A3762" s="258"/>
      <c r="B3762" s="258"/>
      <c r="C3762" s="261"/>
      <c r="D3762" s="258"/>
      <c r="E3762" s="679"/>
      <c r="F3762" s="597" t="s">
        <v>244</v>
      </c>
      <c r="G3762" s="598" t="s">
        <v>245</v>
      </c>
      <c r="H3762" s="555"/>
      <c r="I3762" s="556"/>
      <c r="J3762" s="560">
        <f t="shared" si="127"/>
        <v>0</v>
      </c>
      <c r="K3762" s="505"/>
      <c r="L3762" s="505"/>
      <c r="M3762" s="505"/>
      <c r="N3762" s="505"/>
      <c r="O3762" s="505"/>
      <c r="P3762" s="505"/>
      <c r="Q3762" s="505"/>
      <c r="R3762" s="505"/>
      <c r="S3762" s="505"/>
      <c r="T3762" s="505"/>
      <c r="U3762" s="505"/>
      <c r="V3762" s="505"/>
      <c r="W3762" s="505"/>
      <c r="X3762" s="505"/>
      <c r="Y3762" s="505"/>
    </row>
    <row r="3763" spans="1:25" s="88" customFormat="1" hidden="1" x14ac:dyDescent="0.25">
      <c r="A3763" s="258"/>
      <c r="B3763" s="258"/>
      <c r="C3763" s="261"/>
      <c r="D3763" s="258"/>
      <c r="E3763" s="679"/>
      <c r="F3763" s="597" t="s">
        <v>246</v>
      </c>
      <c r="G3763" s="598" t="s">
        <v>4996</v>
      </c>
      <c r="H3763" s="555"/>
      <c r="I3763" s="556"/>
      <c r="J3763" s="560">
        <f t="shared" si="127"/>
        <v>0</v>
      </c>
      <c r="K3763" s="505"/>
      <c r="L3763" s="505"/>
      <c r="M3763" s="505"/>
      <c r="N3763" s="505"/>
      <c r="O3763" s="505"/>
      <c r="P3763" s="505"/>
      <c r="Q3763" s="505"/>
      <c r="R3763" s="505"/>
      <c r="S3763" s="505"/>
      <c r="T3763" s="505"/>
      <c r="U3763" s="505"/>
      <c r="V3763" s="505"/>
      <c r="W3763" s="505"/>
      <c r="X3763" s="505"/>
      <c r="Y3763" s="505"/>
    </row>
    <row r="3764" spans="1:25" s="88" customFormat="1" hidden="1" x14ac:dyDescent="0.25">
      <c r="A3764" s="258"/>
      <c r="B3764" s="258"/>
      <c r="C3764" s="261"/>
      <c r="D3764" s="258"/>
      <c r="E3764" s="679"/>
      <c r="F3764" s="597" t="s">
        <v>247</v>
      </c>
      <c r="G3764" s="598" t="s">
        <v>4995</v>
      </c>
      <c r="H3764" s="555"/>
      <c r="I3764" s="556"/>
      <c r="J3764" s="560">
        <f t="shared" si="127"/>
        <v>0</v>
      </c>
      <c r="K3764" s="505"/>
      <c r="L3764" s="505"/>
      <c r="M3764" s="505"/>
      <c r="N3764" s="505"/>
      <c r="O3764" s="505"/>
      <c r="P3764" s="505"/>
      <c r="Q3764" s="505"/>
      <c r="R3764" s="505"/>
      <c r="S3764" s="505"/>
      <c r="T3764" s="505"/>
      <c r="U3764" s="505"/>
      <c r="V3764" s="505"/>
      <c r="W3764" s="505"/>
      <c r="X3764" s="505"/>
      <c r="Y3764" s="505"/>
    </row>
    <row r="3765" spans="1:25" s="88" customFormat="1" hidden="1" x14ac:dyDescent="0.25">
      <c r="A3765" s="258"/>
      <c r="B3765" s="258"/>
      <c r="C3765" s="261"/>
      <c r="D3765" s="258"/>
      <c r="E3765" s="679"/>
      <c r="F3765" s="597" t="s">
        <v>248</v>
      </c>
      <c r="G3765" s="598" t="s">
        <v>57</v>
      </c>
      <c r="H3765" s="555"/>
      <c r="I3765" s="556"/>
      <c r="J3765" s="560">
        <f t="shared" si="127"/>
        <v>0</v>
      </c>
      <c r="K3765" s="505"/>
      <c r="L3765" s="505"/>
      <c r="M3765" s="505"/>
      <c r="N3765" s="505"/>
      <c r="O3765" s="505"/>
      <c r="P3765" s="505"/>
      <c r="Q3765" s="505"/>
      <c r="R3765" s="505"/>
      <c r="S3765" s="505"/>
      <c r="T3765" s="505"/>
      <c r="U3765" s="505"/>
      <c r="V3765" s="505"/>
      <c r="W3765" s="505"/>
      <c r="X3765" s="505"/>
      <c r="Y3765" s="505"/>
    </row>
    <row r="3766" spans="1:25" s="88" customFormat="1" hidden="1" x14ac:dyDescent="0.25">
      <c r="A3766" s="258"/>
      <c r="B3766" s="258"/>
      <c r="C3766" s="261"/>
      <c r="D3766" s="258"/>
      <c r="E3766" s="679"/>
      <c r="F3766" s="597" t="s">
        <v>249</v>
      </c>
      <c r="G3766" s="598" t="s">
        <v>250</v>
      </c>
      <c r="H3766" s="555"/>
      <c r="I3766" s="556"/>
      <c r="J3766" s="560">
        <f t="shared" si="127"/>
        <v>0</v>
      </c>
      <c r="K3766" s="505"/>
      <c r="L3766" s="505"/>
      <c r="M3766" s="505"/>
      <c r="N3766" s="505"/>
      <c r="O3766" s="505"/>
      <c r="P3766" s="505"/>
      <c r="Q3766" s="505"/>
      <c r="R3766" s="505"/>
      <c r="S3766" s="505"/>
      <c r="T3766" s="505"/>
      <c r="U3766" s="505"/>
      <c r="V3766" s="505"/>
      <c r="W3766" s="505"/>
      <c r="X3766" s="505"/>
      <c r="Y3766" s="505"/>
    </row>
    <row r="3767" spans="1:25" s="88" customFormat="1" hidden="1" x14ac:dyDescent="0.25">
      <c r="A3767" s="258"/>
      <c r="B3767" s="258"/>
      <c r="C3767" s="261"/>
      <c r="D3767" s="258"/>
      <c r="E3767" s="679"/>
      <c r="F3767" s="597" t="s">
        <v>251</v>
      </c>
      <c r="G3767" s="598" t="s">
        <v>252</v>
      </c>
      <c r="H3767" s="555"/>
      <c r="I3767" s="556"/>
      <c r="J3767" s="560">
        <f t="shared" si="127"/>
        <v>0</v>
      </c>
      <c r="K3767" s="505"/>
      <c r="L3767" s="505"/>
      <c r="M3767" s="505"/>
      <c r="N3767" s="505"/>
      <c r="O3767" s="505"/>
      <c r="P3767" s="505"/>
      <c r="Q3767" s="505"/>
      <c r="R3767" s="505"/>
      <c r="S3767" s="505"/>
      <c r="T3767" s="505"/>
      <c r="U3767" s="505"/>
      <c r="V3767" s="505"/>
      <c r="W3767" s="505"/>
      <c r="X3767" s="505"/>
      <c r="Y3767" s="505"/>
    </row>
    <row r="3768" spans="1:25" s="88" customFormat="1" ht="30" hidden="1" x14ac:dyDescent="0.25">
      <c r="A3768" s="258"/>
      <c r="B3768" s="258"/>
      <c r="C3768" s="261"/>
      <c r="D3768" s="258"/>
      <c r="E3768" s="679"/>
      <c r="F3768" s="597" t="s">
        <v>253</v>
      </c>
      <c r="G3768" s="598" t="s">
        <v>254</v>
      </c>
      <c r="H3768" s="555"/>
      <c r="I3768" s="556"/>
      <c r="J3768" s="560">
        <f t="shared" si="127"/>
        <v>0</v>
      </c>
      <c r="K3768" s="505"/>
      <c r="L3768" s="505"/>
      <c r="M3768" s="505"/>
      <c r="N3768" s="505"/>
      <c r="O3768" s="505"/>
      <c r="P3768" s="505"/>
      <c r="Q3768" s="505"/>
      <c r="R3768" s="505"/>
      <c r="S3768" s="505"/>
      <c r="T3768" s="505"/>
      <c r="U3768" s="505"/>
      <c r="V3768" s="505"/>
      <c r="W3768" s="505"/>
      <c r="X3768" s="505"/>
      <c r="Y3768" s="505"/>
    </row>
    <row r="3769" spans="1:25" s="88" customFormat="1" hidden="1" x14ac:dyDescent="0.25">
      <c r="A3769" s="258"/>
      <c r="B3769" s="258"/>
      <c r="C3769" s="261"/>
      <c r="D3769" s="258"/>
      <c r="E3769" s="679"/>
      <c r="F3769" s="597" t="s">
        <v>255</v>
      </c>
      <c r="G3769" s="598" t="s">
        <v>256</v>
      </c>
      <c r="H3769" s="555"/>
      <c r="I3769" s="556"/>
      <c r="J3769" s="560">
        <f t="shared" si="127"/>
        <v>0</v>
      </c>
      <c r="K3769" s="505"/>
      <c r="L3769" s="505"/>
      <c r="M3769" s="505"/>
      <c r="N3769" s="505"/>
      <c r="O3769" s="505"/>
      <c r="P3769" s="505"/>
      <c r="Q3769" s="505"/>
      <c r="R3769" s="505"/>
      <c r="S3769" s="505"/>
      <c r="T3769" s="505"/>
      <c r="U3769" s="505"/>
      <c r="V3769" s="505"/>
      <c r="W3769" s="505"/>
      <c r="X3769" s="505"/>
      <c r="Y3769" s="505"/>
    </row>
    <row r="3770" spans="1:25" s="88" customFormat="1" ht="30" hidden="1" x14ac:dyDescent="0.25">
      <c r="A3770" s="258"/>
      <c r="B3770" s="258"/>
      <c r="C3770" s="261"/>
      <c r="D3770" s="258"/>
      <c r="E3770" s="679"/>
      <c r="F3770" s="597" t="s">
        <v>257</v>
      </c>
      <c r="G3770" s="598" t="s">
        <v>258</v>
      </c>
      <c r="H3770" s="555"/>
      <c r="I3770" s="556"/>
      <c r="J3770" s="560">
        <f t="shared" si="127"/>
        <v>0</v>
      </c>
      <c r="K3770" s="505"/>
      <c r="L3770" s="505"/>
      <c r="M3770" s="505"/>
      <c r="N3770" s="505"/>
      <c r="O3770" s="505"/>
      <c r="P3770" s="505"/>
      <c r="Q3770" s="505"/>
      <c r="R3770" s="505"/>
      <c r="S3770" s="505"/>
      <c r="T3770" s="505"/>
      <c r="U3770" s="505"/>
      <c r="V3770" s="505"/>
      <c r="W3770" s="505"/>
      <c r="X3770" s="505"/>
      <c r="Y3770" s="505"/>
    </row>
    <row r="3771" spans="1:25" s="88" customFormat="1" hidden="1" x14ac:dyDescent="0.25">
      <c r="A3771" s="258"/>
      <c r="B3771" s="258"/>
      <c r="C3771" s="261"/>
      <c r="D3771" s="258"/>
      <c r="E3771" s="679"/>
      <c r="F3771" s="597" t="s">
        <v>259</v>
      </c>
      <c r="G3771" s="598" t="s">
        <v>260</v>
      </c>
      <c r="H3771" s="555"/>
      <c r="I3771" s="556"/>
      <c r="J3771" s="560">
        <f t="shared" si="127"/>
        <v>0</v>
      </c>
      <c r="K3771" s="505"/>
      <c r="L3771" s="505"/>
      <c r="M3771" s="505"/>
      <c r="N3771" s="505"/>
      <c r="O3771" s="505"/>
      <c r="P3771" s="505"/>
      <c r="Q3771" s="505"/>
      <c r="R3771" s="505"/>
      <c r="S3771" s="505"/>
      <c r="T3771" s="505"/>
      <c r="U3771" s="505"/>
      <c r="V3771" s="505"/>
      <c r="W3771" s="505"/>
      <c r="X3771" s="505"/>
      <c r="Y3771" s="505"/>
    </row>
    <row r="3772" spans="1:25" s="88" customFormat="1" ht="15.75" hidden="1" thickBot="1" x14ac:dyDescent="0.3">
      <c r="A3772" s="258"/>
      <c r="B3772" s="258"/>
      <c r="C3772" s="261"/>
      <c r="D3772" s="258"/>
      <c r="E3772" s="679"/>
      <c r="F3772" s="597" t="s">
        <v>261</v>
      </c>
      <c r="G3772" s="598" t="s">
        <v>262</v>
      </c>
      <c r="H3772" s="559"/>
      <c r="I3772" s="560"/>
      <c r="J3772" s="560">
        <f t="shared" si="127"/>
        <v>0</v>
      </c>
      <c r="K3772" s="505"/>
      <c r="L3772" s="505"/>
      <c r="M3772" s="505"/>
      <c r="N3772" s="505"/>
      <c r="O3772" s="505"/>
      <c r="P3772" s="505"/>
      <c r="Q3772" s="505"/>
      <c r="R3772" s="505"/>
      <c r="S3772" s="505"/>
      <c r="T3772" s="505"/>
      <c r="U3772" s="505"/>
      <c r="V3772" s="505"/>
      <c r="W3772" s="505"/>
      <c r="X3772" s="505"/>
      <c r="Y3772" s="505"/>
    </row>
    <row r="3773" spans="1:25" s="88" customFormat="1" ht="14.25" customHeight="1" thickBot="1" x14ac:dyDescent="0.3">
      <c r="A3773" s="258"/>
      <c r="B3773" s="258"/>
      <c r="C3773" s="261"/>
      <c r="D3773" s="258"/>
      <c r="E3773" s="679"/>
      <c r="F3773" s="258"/>
      <c r="G3773" s="728" t="s">
        <v>4338</v>
      </c>
      <c r="H3773" s="561">
        <f>SUM(H3757:H3772)</f>
        <v>150000</v>
      </c>
      <c r="I3773" s="562">
        <f>SUM(I3758:I3772)</f>
        <v>0</v>
      </c>
      <c r="J3773" s="562">
        <f>SUM(J3757:J3772)</f>
        <v>150000</v>
      </c>
      <c r="K3773" s="505"/>
      <c r="L3773" s="505"/>
      <c r="M3773" s="505"/>
      <c r="N3773" s="505"/>
      <c r="O3773" s="505"/>
      <c r="P3773" s="505"/>
      <c r="Q3773" s="505"/>
      <c r="R3773" s="505"/>
      <c r="S3773" s="505"/>
      <c r="T3773" s="505"/>
      <c r="U3773" s="505"/>
      <c r="V3773" s="505"/>
      <c r="W3773" s="505"/>
      <c r="X3773" s="505"/>
      <c r="Y3773" s="505"/>
    </row>
    <row r="3774" spans="1:25" s="88" customFormat="1" ht="15" customHeight="1" x14ac:dyDescent="0.25">
      <c r="A3774" s="258"/>
      <c r="B3774" s="258"/>
      <c r="C3774" s="261"/>
      <c r="D3774" s="258"/>
      <c r="E3774" s="489"/>
      <c r="F3774" s="500"/>
      <c r="G3774" s="270" t="s">
        <v>5290</v>
      </c>
      <c r="H3774" s="563"/>
      <c r="I3774" s="584"/>
      <c r="J3774" s="564"/>
      <c r="K3774" s="505"/>
      <c r="L3774" s="505"/>
      <c r="M3774" s="505"/>
      <c r="N3774" s="505"/>
      <c r="O3774" s="505"/>
      <c r="P3774" s="505"/>
      <c r="Q3774" s="505"/>
      <c r="R3774" s="505"/>
      <c r="S3774" s="505"/>
      <c r="T3774" s="505"/>
      <c r="U3774" s="505"/>
      <c r="V3774" s="505"/>
      <c r="W3774" s="505"/>
      <c r="X3774" s="505"/>
      <c r="Y3774" s="505"/>
    </row>
    <row r="3775" spans="1:25" s="88" customFormat="1" ht="16.5" customHeight="1" thickBot="1" x14ac:dyDescent="0.3">
      <c r="A3775" s="258"/>
      <c r="B3775" s="258"/>
      <c r="C3775" s="261"/>
      <c r="D3775" s="258"/>
      <c r="E3775" s="693"/>
      <c r="F3775" s="597" t="s">
        <v>234</v>
      </c>
      <c r="G3775" s="598" t="s">
        <v>235</v>
      </c>
      <c r="H3775" s="559">
        <f>SUM(H3696:H3755)</f>
        <v>150000</v>
      </c>
      <c r="I3775" s="560"/>
      <c r="J3775" s="560">
        <f>SUM(H3775:I3775)</f>
        <v>150000</v>
      </c>
      <c r="K3775" s="505"/>
      <c r="L3775" s="505"/>
      <c r="M3775" s="505"/>
      <c r="N3775" s="505"/>
      <c r="O3775" s="505"/>
      <c r="P3775" s="505"/>
      <c r="Q3775" s="505"/>
      <c r="R3775" s="505"/>
      <c r="S3775" s="505"/>
      <c r="T3775" s="505"/>
      <c r="U3775" s="505"/>
      <c r="V3775" s="505"/>
      <c r="W3775" s="505"/>
      <c r="X3775" s="505"/>
      <c r="Y3775" s="505"/>
    </row>
    <row r="3776" spans="1:25" s="88" customFormat="1" hidden="1" x14ac:dyDescent="0.25">
      <c r="A3776" s="258"/>
      <c r="B3776" s="258"/>
      <c r="C3776" s="261"/>
      <c r="D3776" s="258"/>
      <c r="E3776" s="679"/>
      <c r="F3776" s="597" t="s">
        <v>236</v>
      </c>
      <c r="G3776" s="598" t="s">
        <v>237</v>
      </c>
      <c r="H3776" s="555"/>
      <c r="I3776" s="556"/>
      <c r="J3776" s="560">
        <f t="shared" ref="J3776:J3790" si="128">SUM(H3776:I3776)</f>
        <v>0</v>
      </c>
      <c r="K3776" s="505"/>
      <c r="L3776" s="505"/>
      <c r="M3776" s="505"/>
      <c r="N3776" s="505"/>
      <c r="O3776" s="505"/>
      <c r="P3776" s="505"/>
      <c r="Q3776" s="505"/>
      <c r="R3776" s="505"/>
      <c r="S3776" s="505"/>
      <c r="T3776" s="505"/>
      <c r="U3776" s="505"/>
      <c r="V3776" s="505"/>
      <c r="W3776" s="505"/>
      <c r="X3776" s="505"/>
      <c r="Y3776" s="505"/>
    </row>
    <row r="3777" spans="1:25" s="88" customFormat="1" hidden="1" x14ac:dyDescent="0.25">
      <c r="A3777" s="258"/>
      <c r="B3777" s="258"/>
      <c r="C3777" s="261"/>
      <c r="D3777" s="258"/>
      <c r="E3777" s="679"/>
      <c r="F3777" s="597" t="s">
        <v>238</v>
      </c>
      <c r="G3777" s="598" t="s">
        <v>239</v>
      </c>
      <c r="H3777" s="555"/>
      <c r="I3777" s="556"/>
      <c r="J3777" s="560">
        <f t="shared" si="128"/>
        <v>0</v>
      </c>
      <c r="K3777" s="505"/>
      <c r="L3777" s="505"/>
      <c r="M3777" s="505"/>
      <c r="N3777" s="505"/>
      <c r="O3777" s="505"/>
      <c r="P3777" s="505"/>
      <c r="Q3777" s="505"/>
      <c r="R3777" s="505"/>
      <c r="S3777" s="505"/>
      <c r="T3777" s="505"/>
      <c r="U3777" s="505"/>
      <c r="V3777" s="505"/>
      <c r="W3777" s="505"/>
      <c r="X3777" s="505"/>
      <c r="Y3777" s="505"/>
    </row>
    <row r="3778" spans="1:25" s="88" customFormat="1" hidden="1" x14ac:dyDescent="0.25">
      <c r="A3778" s="258"/>
      <c r="B3778" s="258"/>
      <c r="C3778" s="261"/>
      <c r="D3778" s="258"/>
      <c r="E3778" s="679"/>
      <c r="F3778" s="597" t="s">
        <v>240</v>
      </c>
      <c r="G3778" s="598" t="s">
        <v>241</v>
      </c>
      <c r="H3778" s="555"/>
      <c r="I3778" s="556"/>
      <c r="J3778" s="560">
        <f t="shared" si="128"/>
        <v>0</v>
      </c>
      <c r="K3778" s="505"/>
      <c r="L3778" s="505"/>
      <c r="M3778" s="505"/>
      <c r="N3778" s="505"/>
      <c r="O3778" s="505"/>
      <c r="P3778" s="505"/>
      <c r="Q3778" s="505"/>
      <c r="R3778" s="505"/>
      <c r="S3778" s="505"/>
      <c r="T3778" s="505"/>
      <c r="U3778" s="505"/>
      <c r="V3778" s="505"/>
      <c r="W3778" s="505"/>
      <c r="X3778" s="505"/>
      <c r="Y3778" s="505"/>
    </row>
    <row r="3779" spans="1:25" s="88" customFormat="1" hidden="1" x14ac:dyDescent="0.25">
      <c r="A3779" s="258"/>
      <c r="B3779" s="258"/>
      <c r="C3779" s="261"/>
      <c r="D3779" s="258"/>
      <c r="E3779" s="679"/>
      <c r="F3779" s="597" t="s">
        <v>242</v>
      </c>
      <c r="G3779" s="598" t="s">
        <v>243</v>
      </c>
      <c r="H3779" s="555"/>
      <c r="I3779" s="556"/>
      <c r="J3779" s="560">
        <f t="shared" si="128"/>
        <v>0</v>
      </c>
      <c r="K3779" s="505"/>
      <c r="L3779" s="505"/>
      <c r="M3779" s="505"/>
      <c r="N3779" s="505"/>
      <c r="O3779" s="505"/>
      <c r="P3779" s="505"/>
      <c r="Q3779" s="505"/>
      <c r="R3779" s="505"/>
      <c r="S3779" s="505"/>
      <c r="T3779" s="505"/>
      <c r="U3779" s="505"/>
      <c r="V3779" s="505"/>
      <c r="W3779" s="505"/>
      <c r="X3779" s="505"/>
      <c r="Y3779" s="505"/>
    </row>
    <row r="3780" spans="1:25" s="88" customFormat="1" hidden="1" x14ac:dyDescent="0.25">
      <c r="A3780" s="258"/>
      <c r="B3780" s="258"/>
      <c r="C3780" s="261"/>
      <c r="D3780" s="258"/>
      <c r="E3780" s="679"/>
      <c r="F3780" s="597" t="s">
        <v>244</v>
      </c>
      <c r="G3780" s="598" t="s">
        <v>245</v>
      </c>
      <c r="H3780" s="555"/>
      <c r="I3780" s="556"/>
      <c r="J3780" s="560">
        <f t="shared" si="128"/>
        <v>0</v>
      </c>
      <c r="K3780" s="505"/>
      <c r="L3780" s="505"/>
      <c r="M3780" s="505"/>
      <c r="N3780" s="505"/>
      <c r="O3780" s="505"/>
      <c r="P3780" s="505"/>
      <c r="Q3780" s="505"/>
      <c r="R3780" s="505"/>
      <c r="S3780" s="505"/>
      <c r="T3780" s="505"/>
      <c r="U3780" s="505"/>
      <c r="V3780" s="505"/>
      <c r="W3780" s="505"/>
      <c r="X3780" s="505"/>
      <c r="Y3780" s="505"/>
    </row>
    <row r="3781" spans="1:25" s="88" customFormat="1" hidden="1" x14ac:dyDescent="0.25">
      <c r="A3781" s="258"/>
      <c r="B3781" s="258"/>
      <c r="C3781" s="261"/>
      <c r="D3781" s="258"/>
      <c r="E3781" s="679"/>
      <c r="F3781" s="597" t="s">
        <v>246</v>
      </c>
      <c r="G3781" s="598" t="s">
        <v>4996</v>
      </c>
      <c r="H3781" s="555"/>
      <c r="I3781" s="556"/>
      <c r="J3781" s="560">
        <f t="shared" si="128"/>
        <v>0</v>
      </c>
      <c r="K3781" s="505"/>
      <c r="L3781" s="505"/>
      <c r="M3781" s="505"/>
      <c r="N3781" s="505"/>
      <c r="O3781" s="505"/>
      <c r="P3781" s="505"/>
      <c r="Q3781" s="505"/>
      <c r="R3781" s="505"/>
      <c r="S3781" s="505"/>
      <c r="T3781" s="505"/>
      <c r="U3781" s="505"/>
      <c r="V3781" s="505"/>
      <c r="W3781" s="505"/>
      <c r="X3781" s="505"/>
      <c r="Y3781" s="505"/>
    </row>
    <row r="3782" spans="1:25" s="88" customFormat="1" hidden="1" x14ac:dyDescent="0.25">
      <c r="A3782" s="258"/>
      <c r="B3782" s="258"/>
      <c r="C3782" s="261"/>
      <c r="D3782" s="258"/>
      <c r="E3782" s="679"/>
      <c r="F3782" s="597" t="s">
        <v>247</v>
      </c>
      <c r="G3782" s="598" t="s">
        <v>4995</v>
      </c>
      <c r="H3782" s="555"/>
      <c r="I3782" s="556"/>
      <c r="J3782" s="560">
        <f t="shared" si="128"/>
        <v>0</v>
      </c>
      <c r="K3782" s="505"/>
      <c r="L3782" s="505"/>
      <c r="M3782" s="505"/>
      <c r="N3782" s="505"/>
      <c r="O3782" s="505"/>
      <c r="P3782" s="505"/>
      <c r="Q3782" s="505"/>
      <c r="R3782" s="505"/>
      <c r="S3782" s="505"/>
      <c r="T3782" s="505"/>
      <c r="U3782" s="505"/>
      <c r="V3782" s="505"/>
      <c r="W3782" s="505"/>
      <c r="X3782" s="505"/>
      <c r="Y3782" s="505"/>
    </row>
    <row r="3783" spans="1:25" s="88" customFormat="1" hidden="1" x14ac:dyDescent="0.25">
      <c r="A3783" s="258"/>
      <c r="B3783" s="258"/>
      <c r="C3783" s="261"/>
      <c r="D3783" s="258"/>
      <c r="E3783" s="679"/>
      <c r="F3783" s="597" t="s">
        <v>248</v>
      </c>
      <c r="G3783" s="598" t="s">
        <v>57</v>
      </c>
      <c r="H3783" s="555"/>
      <c r="I3783" s="556"/>
      <c r="J3783" s="560">
        <f t="shared" si="128"/>
        <v>0</v>
      </c>
      <c r="K3783" s="505"/>
      <c r="L3783" s="505"/>
      <c r="M3783" s="505"/>
      <c r="N3783" s="505"/>
      <c r="O3783" s="505"/>
      <c r="P3783" s="505"/>
      <c r="Q3783" s="505"/>
      <c r="R3783" s="505"/>
      <c r="S3783" s="505"/>
      <c r="T3783" s="505"/>
      <c r="U3783" s="505"/>
      <c r="V3783" s="505"/>
      <c r="W3783" s="505"/>
      <c r="X3783" s="505"/>
      <c r="Y3783" s="505"/>
    </row>
    <row r="3784" spans="1:25" s="88" customFormat="1" hidden="1" x14ac:dyDescent="0.25">
      <c r="A3784" s="258"/>
      <c r="B3784" s="258"/>
      <c r="C3784" s="261"/>
      <c r="D3784" s="258"/>
      <c r="E3784" s="679"/>
      <c r="F3784" s="597" t="s">
        <v>249</v>
      </c>
      <c r="G3784" s="598" t="s">
        <v>250</v>
      </c>
      <c r="H3784" s="555"/>
      <c r="I3784" s="556"/>
      <c r="J3784" s="560">
        <f t="shared" si="128"/>
        <v>0</v>
      </c>
      <c r="K3784" s="505"/>
      <c r="L3784" s="505"/>
      <c r="M3784" s="505"/>
      <c r="N3784" s="505"/>
      <c r="O3784" s="505"/>
      <c r="P3784" s="505"/>
      <c r="Q3784" s="505"/>
      <c r="R3784" s="505"/>
      <c r="S3784" s="505"/>
      <c r="T3784" s="505"/>
      <c r="U3784" s="505"/>
      <c r="V3784" s="505"/>
      <c r="W3784" s="505"/>
      <c r="X3784" s="505"/>
      <c r="Y3784" s="505"/>
    </row>
    <row r="3785" spans="1:25" s="88" customFormat="1" hidden="1" x14ac:dyDescent="0.25">
      <c r="A3785" s="258"/>
      <c r="B3785" s="258"/>
      <c r="C3785" s="261"/>
      <c r="D3785" s="258"/>
      <c r="E3785" s="679"/>
      <c r="F3785" s="597" t="s">
        <v>251</v>
      </c>
      <c r="G3785" s="598" t="s">
        <v>252</v>
      </c>
      <c r="H3785" s="555"/>
      <c r="I3785" s="556"/>
      <c r="J3785" s="560">
        <f t="shared" si="128"/>
        <v>0</v>
      </c>
      <c r="K3785" s="505"/>
      <c r="L3785" s="505"/>
      <c r="M3785" s="505"/>
      <c r="N3785" s="505"/>
      <c r="O3785" s="505"/>
      <c r="P3785" s="505"/>
      <c r="Q3785" s="505"/>
      <c r="R3785" s="505"/>
      <c r="S3785" s="505"/>
      <c r="T3785" s="505"/>
      <c r="U3785" s="505"/>
      <c r="V3785" s="505"/>
      <c r="W3785" s="505"/>
      <c r="X3785" s="505"/>
      <c r="Y3785" s="505"/>
    </row>
    <row r="3786" spans="1:25" s="88" customFormat="1" ht="30" hidden="1" x14ac:dyDescent="0.25">
      <c r="A3786" s="258"/>
      <c r="B3786" s="258"/>
      <c r="C3786" s="261"/>
      <c r="D3786" s="258"/>
      <c r="E3786" s="679"/>
      <c r="F3786" s="597" t="s">
        <v>253</v>
      </c>
      <c r="G3786" s="598" t="s">
        <v>254</v>
      </c>
      <c r="H3786" s="555"/>
      <c r="I3786" s="556"/>
      <c r="J3786" s="560">
        <f t="shared" si="128"/>
        <v>0</v>
      </c>
      <c r="K3786" s="505"/>
      <c r="L3786" s="505"/>
      <c r="M3786" s="505"/>
      <c r="N3786" s="505"/>
      <c r="O3786" s="505"/>
      <c r="P3786" s="505"/>
      <c r="Q3786" s="505"/>
      <c r="R3786" s="505"/>
      <c r="S3786" s="505"/>
      <c r="T3786" s="505"/>
      <c r="U3786" s="505"/>
      <c r="V3786" s="505"/>
      <c r="W3786" s="505"/>
      <c r="X3786" s="505"/>
      <c r="Y3786" s="505"/>
    </row>
    <row r="3787" spans="1:25" s="88" customFormat="1" hidden="1" x14ac:dyDescent="0.25">
      <c r="A3787" s="258"/>
      <c r="B3787" s="258"/>
      <c r="C3787" s="261"/>
      <c r="D3787" s="258"/>
      <c r="E3787" s="679"/>
      <c r="F3787" s="597" t="s">
        <v>255</v>
      </c>
      <c r="G3787" s="598" t="s">
        <v>256</v>
      </c>
      <c r="H3787" s="555"/>
      <c r="I3787" s="556"/>
      <c r="J3787" s="560">
        <f t="shared" si="128"/>
        <v>0</v>
      </c>
      <c r="K3787" s="505"/>
      <c r="L3787" s="505"/>
      <c r="M3787" s="505"/>
      <c r="N3787" s="505"/>
      <c r="O3787" s="505"/>
      <c r="P3787" s="505"/>
      <c r="Q3787" s="505"/>
      <c r="R3787" s="505"/>
      <c r="S3787" s="505"/>
      <c r="T3787" s="505"/>
      <c r="U3787" s="505"/>
      <c r="V3787" s="505"/>
      <c r="W3787" s="505"/>
      <c r="X3787" s="505"/>
      <c r="Y3787" s="505"/>
    </row>
    <row r="3788" spans="1:25" s="88" customFormat="1" ht="30" hidden="1" x14ac:dyDescent="0.25">
      <c r="A3788" s="258"/>
      <c r="B3788" s="258"/>
      <c r="C3788" s="261"/>
      <c r="D3788" s="258"/>
      <c r="E3788" s="679"/>
      <c r="F3788" s="597" t="s">
        <v>257</v>
      </c>
      <c r="G3788" s="598" t="s">
        <v>258</v>
      </c>
      <c r="H3788" s="555"/>
      <c r="I3788" s="556"/>
      <c r="J3788" s="560">
        <f t="shared" si="128"/>
        <v>0</v>
      </c>
      <c r="K3788" s="505"/>
      <c r="L3788" s="505"/>
      <c r="M3788" s="505"/>
      <c r="N3788" s="505"/>
      <c r="O3788" s="505"/>
      <c r="P3788" s="505"/>
      <c r="Q3788" s="505"/>
      <c r="R3788" s="505"/>
      <c r="S3788" s="505"/>
      <c r="T3788" s="505"/>
      <c r="U3788" s="505"/>
      <c r="V3788" s="505"/>
      <c r="W3788" s="505"/>
      <c r="X3788" s="505"/>
      <c r="Y3788" s="505"/>
    </row>
    <row r="3789" spans="1:25" s="88" customFormat="1" hidden="1" x14ac:dyDescent="0.25">
      <c r="A3789" s="258"/>
      <c r="B3789" s="258"/>
      <c r="C3789" s="261"/>
      <c r="D3789" s="258"/>
      <c r="E3789" s="679"/>
      <c r="F3789" s="597" t="s">
        <v>259</v>
      </c>
      <c r="G3789" s="598" t="s">
        <v>260</v>
      </c>
      <c r="H3789" s="555"/>
      <c r="I3789" s="556"/>
      <c r="J3789" s="560">
        <f t="shared" si="128"/>
        <v>0</v>
      </c>
      <c r="K3789" s="505"/>
      <c r="L3789" s="505"/>
      <c r="M3789" s="505"/>
      <c r="N3789" s="505"/>
      <c r="O3789" s="505"/>
      <c r="P3789" s="505"/>
      <c r="Q3789" s="505"/>
      <c r="R3789" s="505"/>
      <c r="S3789" s="505"/>
      <c r="T3789" s="505"/>
      <c r="U3789" s="505"/>
      <c r="V3789" s="505"/>
      <c r="W3789" s="505"/>
      <c r="X3789" s="505"/>
      <c r="Y3789" s="505"/>
    </row>
    <row r="3790" spans="1:25" s="88" customFormat="1" ht="15.75" hidden="1" thickBot="1" x14ac:dyDescent="0.3">
      <c r="A3790" s="258"/>
      <c r="B3790" s="258"/>
      <c r="C3790" s="261"/>
      <c r="D3790" s="258"/>
      <c r="E3790" s="679"/>
      <c r="F3790" s="597" t="s">
        <v>261</v>
      </c>
      <c r="G3790" s="598" t="s">
        <v>262</v>
      </c>
      <c r="H3790" s="559"/>
      <c r="I3790" s="560"/>
      <c r="J3790" s="560">
        <f t="shared" si="128"/>
        <v>0</v>
      </c>
      <c r="K3790" s="505"/>
      <c r="L3790" s="505"/>
      <c r="M3790" s="505"/>
      <c r="N3790" s="505"/>
      <c r="O3790" s="505"/>
      <c r="P3790" s="505"/>
      <c r="Q3790" s="505"/>
      <c r="R3790" s="505"/>
      <c r="S3790" s="505"/>
      <c r="T3790" s="505"/>
      <c r="U3790" s="505"/>
      <c r="V3790" s="505"/>
      <c r="W3790" s="505"/>
      <c r="X3790" s="505"/>
      <c r="Y3790" s="505"/>
    </row>
    <row r="3791" spans="1:25" s="88" customFormat="1" ht="14.25" customHeight="1" thickBot="1" x14ac:dyDescent="0.3">
      <c r="A3791" s="258"/>
      <c r="B3791" s="258"/>
      <c r="C3791" s="261"/>
      <c r="D3791" s="258"/>
      <c r="E3791" s="679"/>
      <c r="F3791" s="258"/>
      <c r="G3791" s="268" t="s">
        <v>5291</v>
      </c>
      <c r="H3791" s="561">
        <f>SUM(H3775:H3790)</f>
        <v>150000</v>
      </c>
      <c r="I3791" s="562">
        <f>SUM(I3776:I3790)</f>
        <v>0</v>
      </c>
      <c r="J3791" s="562">
        <f>SUM(J3775:J3790)</f>
        <v>150000</v>
      </c>
      <c r="K3791" s="505"/>
      <c r="L3791" s="505"/>
      <c r="M3791" s="505"/>
      <c r="N3791" s="505"/>
      <c r="O3791" s="505"/>
      <c r="P3791" s="505"/>
      <c r="Q3791" s="505"/>
      <c r="R3791" s="505"/>
      <c r="S3791" s="505"/>
      <c r="T3791" s="505"/>
      <c r="U3791" s="505"/>
      <c r="V3791" s="505"/>
      <c r="W3791" s="505"/>
      <c r="X3791" s="505"/>
      <c r="Y3791" s="505"/>
    </row>
    <row r="3792" spans="1:25" s="88" customFormat="1" ht="17.25" customHeight="1" x14ac:dyDescent="0.25">
      <c r="A3792" s="258"/>
      <c r="B3792" s="288"/>
      <c r="C3792" s="302" t="s">
        <v>5097</v>
      </c>
      <c r="D3792" s="259"/>
      <c r="E3792" s="702"/>
      <c r="F3792" s="303"/>
      <c r="G3792" s="406" t="s">
        <v>5081</v>
      </c>
      <c r="H3792" s="588"/>
      <c r="I3792" s="571"/>
      <c r="K3792" s="505"/>
      <c r="L3792" s="505"/>
      <c r="M3792" s="505"/>
      <c r="N3792" s="505"/>
      <c r="O3792" s="505"/>
      <c r="P3792" s="505"/>
      <c r="Q3792" s="505"/>
      <c r="R3792" s="505"/>
      <c r="S3792" s="505"/>
      <c r="T3792" s="505"/>
      <c r="U3792" s="505"/>
      <c r="V3792" s="505"/>
      <c r="W3792" s="505"/>
      <c r="X3792" s="505"/>
      <c r="Y3792" s="505"/>
    </row>
    <row r="3793" spans="1:25" s="88" customFormat="1" ht="13.5" customHeight="1" x14ac:dyDescent="0.25">
      <c r="A3793" s="481"/>
      <c r="B3793" s="258"/>
      <c r="C3793" s="267"/>
      <c r="D3793" s="331">
        <v>660</v>
      </c>
      <c r="E3793" s="869"/>
      <c r="F3793" s="331"/>
      <c r="G3793" s="332" t="s">
        <v>186</v>
      </c>
      <c r="H3793" s="559"/>
      <c r="I3793" s="556"/>
      <c r="J3793" s="556"/>
      <c r="K3793" s="505"/>
      <c r="L3793" s="505"/>
      <c r="M3793" s="505"/>
      <c r="N3793" s="505"/>
      <c r="O3793" s="505"/>
      <c r="P3793" s="505"/>
      <c r="Q3793" s="505"/>
      <c r="R3793" s="505"/>
      <c r="S3793" s="505"/>
      <c r="T3793" s="505"/>
      <c r="U3793" s="505"/>
      <c r="V3793" s="505"/>
      <c r="W3793" s="505"/>
      <c r="X3793" s="505"/>
      <c r="Y3793" s="505"/>
    </row>
    <row r="3794" spans="1:25" s="88" customFormat="1" hidden="1" x14ac:dyDescent="0.25">
      <c r="A3794" s="258"/>
      <c r="B3794" s="258"/>
      <c r="C3794" s="261"/>
      <c r="D3794" s="258"/>
      <c r="E3794" s="679"/>
      <c r="F3794" s="499">
        <v>411</v>
      </c>
      <c r="G3794" s="492" t="s">
        <v>4131</v>
      </c>
      <c r="H3794" s="555"/>
      <c r="I3794" s="556"/>
      <c r="J3794" s="556">
        <f>SUM(H3794:I3794)</f>
        <v>0</v>
      </c>
      <c r="K3794" s="505"/>
      <c r="L3794" s="505"/>
      <c r="M3794" s="505"/>
      <c r="N3794" s="505"/>
      <c r="O3794" s="505"/>
      <c r="P3794" s="505"/>
      <c r="Q3794" s="505"/>
      <c r="R3794" s="505"/>
      <c r="S3794" s="505"/>
      <c r="T3794" s="505"/>
      <c r="U3794" s="505"/>
      <c r="V3794" s="505"/>
      <c r="W3794" s="505"/>
      <c r="X3794" s="505"/>
      <c r="Y3794" s="505"/>
    </row>
    <row r="3795" spans="1:25" s="88" customFormat="1" hidden="1" x14ac:dyDescent="0.25">
      <c r="A3795" s="258"/>
      <c r="B3795" s="258"/>
      <c r="C3795" s="261"/>
      <c r="D3795" s="258"/>
      <c r="E3795" s="679"/>
      <c r="F3795" s="499">
        <v>412</v>
      </c>
      <c r="G3795" s="488" t="s">
        <v>3766</v>
      </c>
      <c r="H3795" s="555"/>
      <c r="I3795" s="556"/>
      <c r="J3795" s="556">
        <f t="shared" ref="J3795:J3853" si="129">SUM(H3795:I3795)</f>
        <v>0</v>
      </c>
      <c r="K3795" s="505"/>
      <c r="L3795" s="505"/>
      <c r="M3795" s="505"/>
      <c r="N3795" s="505"/>
      <c r="O3795" s="505"/>
      <c r="P3795" s="505"/>
      <c r="Q3795" s="505"/>
      <c r="R3795" s="505"/>
      <c r="S3795" s="505"/>
      <c r="T3795" s="505"/>
      <c r="U3795" s="505"/>
      <c r="V3795" s="505"/>
      <c r="W3795" s="505"/>
      <c r="X3795" s="505"/>
      <c r="Y3795" s="505"/>
    </row>
    <row r="3796" spans="1:25" s="88" customFormat="1" hidden="1" x14ac:dyDescent="0.25">
      <c r="A3796" s="258"/>
      <c r="B3796" s="258"/>
      <c r="C3796" s="261"/>
      <c r="D3796" s="258"/>
      <c r="E3796" s="679"/>
      <c r="F3796" s="499">
        <v>413</v>
      </c>
      <c r="G3796" s="492" t="s">
        <v>4132</v>
      </c>
      <c r="H3796" s="555"/>
      <c r="I3796" s="556"/>
      <c r="J3796" s="556">
        <f t="shared" si="129"/>
        <v>0</v>
      </c>
      <c r="K3796" s="505"/>
      <c r="L3796" s="505"/>
      <c r="M3796" s="505"/>
      <c r="N3796" s="505"/>
      <c r="O3796" s="505"/>
      <c r="P3796" s="505"/>
      <c r="Q3796" s="505"/>
      <c r="R3796" s="505"/>
      <c r="S3796" s="505"/>
      <c r="T3796" s="505"/>
      <c r="U3796" s="505"/>
      <c r="V3796" s="505"/>
      <c r="W3796" s="505"/>
      <c r="X3796" s="505"/>
      <c r="Y3796" s="505"/>
    </row>
    <row r="3797" spans="1:25" s="88" customFormat="1" hidden="1" x14ac:dyDescent="0.25">
      <c r="A3797" s="258"/>
      <c r="B3797" s="258"/>
      <c r="C3797" s="261"/>
      <c r="D3797" s="258"/>
      <c r="E3797" s="679"/>
      <c r="F3797" s="499">
        <v>414</v>
      </c>
      <c r="G3797" s="492" t="s">
        <v>3769</v>
      </c>
      <c r="H3797" s="555"/>
      <c r="I3797" s="556"/>
      <c r="J3797" s="556">
        <f t="shared" si="129"/>
        <v>0</v>
      </c>
      <c r="K3797" s="505"/>
      <c r="L3797" s="505"/>
      <c r="M3797" s="505"/>
      <c r="N3797" s="505"/>
      <c r="O3797" s="505"/>
      <c r="P3797" s="505"/>
      <c r="Q3797" s="505"/>
      <c r="R3797" s="505"/>
      <c r="S3797" s="505"/>
      <c r="T3797" s="505"/>
      <c r="U3797" s="505"/>
      <c r="V3797" s="505"/>
      <c r="W3797" s="505"/>
      <c r="X3797" s="505"/>
      <c r="Y3797" s="505"/>
    </row>
    <row r="3798" spans="1:25" s="88" customFormat="1" hidden="1" x14ac:dyDescent="0.25">
      <c r="A3798" s="258"/>
      <c r="B3798" s="258"/>
      <c r="C3798" s="261"/>
      <c r="D3798" s="258"/>
      <c r="E3798" s="679"/>
      <c r="F3798" s="499">
        <v>415</v>
      </c>
      <c r="G3798" s="492" t="s">
        <v>4141</v>
      </c>
      <c r="H3798" s="555"/>
      <c r="I3798" s="556"/>
      <c r="J3798" s="556">
        <f t="shared" si="129"/>
        <v>0</v>
      </c>
      <c r="K3798" s="505"/>
      <c r="L3798" s="505"/>
      <c r="M3798" s="505"/>
      <c r="N3798" s="505"/>
      <c r="O3798" s="505"/>
      <c r="P3798" s="505"/>
      <c r="Q3798" s="505"/>
      <c r="R3798" s="505"/>
      <c r="S3798" s="505"/>
      <c r="T3798" s="505"/>
      <c r="U3798" s="505"/>
      <c r="V3798" s="505"/>
      <c r="W3798" s="505"/>
      <c r="X3798" s="505"/>
      <c r="Y3798" s="505"/>
    </row>
    <row r="3799" spans="1:25" s="88" customFormat="1" hidden="1" x14ac:dyDescent="0.25">
      <c r="A3799" s="258"/>
      <c r="B3799" s="258"/>
      <c r="C3799" s="261"/>
      <c r="D3799" s="258"/>
      <c r="E3799" s="679"/>
      <c r="F3799" s="499">
        <v>416</v>
      </c>
      <c r="G3799" s="492" t="s">
        <v>4142</v>
      </c>
      <c r="H3799" s="555"/>
      <c r="I3799" s="556"/>
      <c r="J3799" s="556">
        <f t="shared" si="129"/>
        <v>0</v>
      </c>
      <c r="K3799" s="505"/>
      <c r="L3799" s="505"/>
      <c r="M3799" s="505"/>
      <c r="N3799" s="505"/>
      <c r="O3799" s="505"/>
      <c r="P3799" s="505"/>
      <c r="Q3799" s="505"/>
      <c r="R3799" s="505"/>
      <c r="S3799" s="505"/>
      <c r="T3799" s="505"/>
      <c r="U3799" s="505"/>
      <c r="V3799" s="505"/>
      <c r="W3799" s="505"/>
      <c r="X3799" s="505"/>
      <c r="Y3799" s="505"/>
    </row>
    <row r="3800" spans="1:25" s="88" customFormat="1" hidden="1" x14ac:dyDescent="0.25">
      <c r="A3800" s="258"/>
      <c r="B3800" s="258"/>
      <c r="C3800" s="261"/>
      <c r="D3800" s="258"/>
      <c r="E3800" s="679"/>
      <c r="F3800" s="499">
        <v>417</v>
      </c>
      <c r="G3800" s="492" t="s">
        <v>4143</v>
      </c>
      <c r="H3800" s="555"/>
      <c r="I3800" s="556"/>
      <c r="J3800" s="556">
        <f t="shared" si="129"/>
        <v>0</v>
      </c>
      <c r="K3800" s="505"/>
      <c r="L3800" s="505"/>
      <c r="M3800" s="505"/>
      <c r="N3800" s="505"/>
      <c r="O3800" s="505"/>
      <c r="P3800" s="505"/>
      <c r="Q3800" s="505"/>
      <c r="R3800" s="505"/>
      <c r="S3800" s="505"/>
      <c r="T3800" s="505"/>
      <c r="U3800" s="505"/>
      <c r="V3800" s="505"/>
      <c r="W3800" s="505"/>
      <c r="X3800" s="505"/>
      <c r="Y3800" s="505"/>
    </row>
    <row r="3801" spans="1:25" s="88" customFormat="1" hidden="1" x14ac:dyDescent="0.25">
      <c r="A3801" s="258"/>
      <c r="B3801" s="258"/>
      <c r="C3801" s="261"/>
      <c r="D3801" s="258"/>
      <c r="E3801" s="679"/>
      <c r="F3801" s="499">
        <v>418</v>
      </c>
      <c r="G3801" s="492" t="s">
        <v>3775</v>
      </c>
      <c r="H3801" s="555"/>
      <c r="I3801" s="556"/>
      <c r="J3801" s="556">
        <f t="shared" si="129"/>
        <v>0</v>
      </c>
      <c r="K3801" s="505"/>
      <c r="L3801" s="505"/>
      <c r="M3801" s="505"/>
      <c r="N3801" s="505"/>
      <c r="O3801" s="505"/>
      <c r="P3801" s="505"/>
      <c r="Q3801" s="505"/>
      <c r="R3801" s="505"/>
      <c r="S3801" s="505"/>
      <c r="T3801" s="505"/>
      <c r="U3801" s="505"/>
      <c r="V3801" s="505"/>
      <c r="W3801" s="505"/>
      <c r="X3801" s="505"/>
      <c r="Y3801" s="505"/>
    </row>
    <row r="3802" spans="1:25" s="88" customFormat="1" hidden="1" x14ac:dyDescent="0.25">
      <c r="A3802" s="258"/>
      <c r="B3802" s="258"/>
      <c r="C3802" s="261"/>
      <c r="D3802" s="258"/>
      <c r="E3802" s="679"/>
      <c r="F3802" s="499">
        <v>421</v>
      </c>
      <c r="G3802" s="492" t="s">
        <v>3779</v>
      </c>
      <c r="H3802" s="555"/>
      <c r="I3802" s="556"/>
      <c r="J3802" s="556">
        <f t="shared" si="129"/>
        <v>0</v>
      </c>
      <c r="K3802" s="505"/>
      <c r="L3802" s="505"/>
      <c r="M3802" s="505"/>
      <c r="N3802" s="505"/>
      <c r="O3802" s="505"/>
      <c r="P3802" s="505"/>
      <c r="Q3802" s="505"/>
      <c r="R3802" s="505"/>
      <c r="S3802" s="505"/>
      <c r="T3802" s="505"/>
      <c r="U3802" s="505"/>
      <c r="V3802" s="505"/>
      <c r="W3802" s="505"/>
      <c r="X3802" s="505"/>
      <c r="Y3802" s="505"/>
    </row>
    <row r="3803" spans="1:25" s="88" customFormat="1" hidden="1" x14ac:dyDescent="0.25">
      <c r="A3803" s="258"/>
      <c r="B3803" s="258"/>
      <c r="C3803" s="261"/>
      <c r="D3803" s="258"/>
      <c r="E3803" s="679"/>
      <c r="F3803" s="499">
        <v>422</v>
      </c>
      <c r="G3803" s="492" t="s">
        <v>3780</v>
      </c>
      <c r="H3803" s="555"/>
      <c r="I3803" s="556"/>
      <c r="J3803" s="556">
        <f t="shared" si="129"/>
        <v>0</v>
      </c>
      <c r="K3803" s="505"/>
      <c r="L3803" s="505"/>
      <c r="M3803" s="505"/>
      <c r="N3803" s="505"/>
      <c r="O3803" s="505"/>
      <c r="P3803" s="505"/>
      <c r="Q3803" s="505"/>
      <c r="R3803" s="505"/>
      <c r="S3803" s="505"/>
      <c r="T3803" s="505"/>
      <c r="U3803" s="505"/>
      <c r="V3803" s="505"/>
      <c r="W3803" s="505"/>
      <c r="X3803" s="505"/>
      <c r="Y3803" s="505"/>
    </row>
    <row r="3804" spans="1:25" s="88" customFormat="1" ht="15.75" thickBot="1" x14ac:dyDescent="0.3">
      <c r="A3804" s="258"/>
      <c r="B3804" s="258"/>
      <c r="C3804" s="261"/>
      <c r="D3804" s="258"/>
      <c r="E3804" s="679">
        <v>119</v>
      </c>
      <c r="F3804" s="499">
        <v>423</v>
      </c>
      <c r="G3804" s="492" t="s">
        <v>3781</v>
      </c>
      <c r="H3804" s="555">
        <v>1200000</v>
      </c>
      <c r="I3804" s="556"/>
      <c r="J3804" s="556">
        <f t="shared" si="129"/>
        <v>1200000</v>
      </c>
      <c r="K3804" s="505"/>
      <c r="L3804" s="505"/>
      <c r="M3804" s="505"/>
      <c r="N3804" s="505"/>
      <c r="O3804" s="505"/>
      <c r="P3804" s="505"/>
      <c r="Q3804" s="505"/>
      <c r="R3804" s="505"/>
      <c r="S3804" s="505"/>
      <c r="T3804" s="505"/>
      <c r="U3804" s="505"/>
      <c r="V3804" s="505"/>
      <c r="W3804" s="505"/>
      <c r="X3804" s="505"/>
      <c r="Y3804" s="505"/>
    </row>
    <row r="3805" spans="1:25" s="88" customFormat="1" ht="16.5" hidden="1" customHeight="1" x14ac:dyDescent="0.25">
      <c r="A3805" s="258"/>
      <c r="B3805" s="258"/>
      <c r="C3805" s="261"/>
      <c r="D3805" s="258"/>
      <c r="E3805" s="679">
        <v>71</v>
      </c>
      <c r="F3805" s="499">
        <v>424</v>
      </c>
      <c r="G3805" s="492" t="s">
        <v>5086</v>
      </c>
      <c r="H3805" s="555">
        <v>0</v>
      </c>
      <c r="I3805" s="556"/>
      <c r="J3805" s="556">
        <f t="shared" si="129"/>
        <v>0</v>
      </c>
      <c r="K3805" s="505"/>
      <c r="L3805" s="505"/>
      <c r="M3805" s="505"/>
      <c r="N3805" s="505"/>
      <c r="O3805" s="505"/>
      <c r="P3805" s="505"/>
      <c r="Q3805" s="505"/>
      <c r="R3805" s="505"/>
      <c r="S3805" s="505"/>
      <c r="T3805" s="505"/>
      <c r="U3805" s="505"/>
      <c r="V3805" s="505"/>
      <c r="W3805" s="505"/>
      <c r="X3805" s="505"/>
      <c r="Y3805" s="505"/>
    </row>
    <row r="3806" spans="1:25" s="88" customFormat="1" ht="12.75" hidden="1" customHeight="1" x14ac:dyDescent="0.25">
      <c r="A3806" s="258"/>
      <c r="B3806" s="258"/>
      <c r="C3806" s="261"/>
      <c r="D3806" s="258"/>
      <c r="E3806" s="679"/>
      <c r="F3806" s="499">
        <v>425</v>
      </c>
      <c r="G3806" s="492" t="s">
        <v>4144</v>
      </c>
      <c r="H3806" s="555"/>
      <c r="I3806" s="556"/>
      <c r="J3806" s="556">
        <f t="shared" si="129"/>
        <v>0</v>
      </c>
      <c r="K3806" s="505"/>
      <c r="L3806" s="505"/>
      <c r="M3806" s="505"/>
      <c r="N3806" s="505"/>
      <c r="O3806" s="505"/>
      <c r="P3806" s="505"/>
      <c r="Q3806" s="505"/>
      <c r="R3806" s="505"/>
      <c r="S3806" s="505"/>
      <c r="T3806" s="505"/>
      <c r="U3806" s="505"/>
      <c r="V3806" s="505"/>
      <c r="W3806" s="505"/>
      <c r="X3806" s="505"/>
      <c r="Y3806" s="505"/>
    </row>
    <row r="3807" spans="1:25" s="88" customFormat="1" hidden="1" x14ac:dyDescent="0.25">
      <c r="A3807" s="258"/>
      <c r="B3807" s="258"/>
      <c r="C3807" s="261"/>
      <c r="D3807" s="258"/>
      <c r="E3807" s="679"/>
      <c r="F3807" s="499">
        <v>426</v>
      </c>
      <c r="G3807" s="492" t="s">
        <v>3787</v>
      </c>
      <c r="H3807" s="555"/>
      <c r="I3807" s="556"/>
      <c r="J3807" s="556">
        <f t="shared" si="129"/>
        <v>0</v>
      </c>
      <c r="K3807" s="505"/>
      <c r="L3807" s="505"/>
      <c r="M3807" s="505"/>
      <c r="N3807" s="505"/>
      <c r="O3807" s="505"/>
      <c r="P3807" s="505"/>
      <c r="Q3807" s="505"/>
      <c r="R3807" s="505"/>
      <c r="S3807" s="505"/>
      <c r="T3807" s="505"/>
      <c r="U3807" s="505"/>
      <c r="V3807" s="505"/>
      <c r="W3807" s="505"/>
      <c r="X3807" s="505"/>
      <c r="Y3807" s="505"/>
    </row>
    <row r="3808" spans="1:25" s="88" customFormat="1" hidden="1" x14ac:dyDescent="0.25">
      <c r="A3808" s="258"/>
      <c r="B3808" s="258"/>
      <c r="C3808" s="261"/>
      <c r="D3808" s="258"/>
      <c r="E3808" s="679"/>
      <c r="F3808" s="499">
        <v>431</v>
      </c>
      <c r="G3808" s="492" t="s">
        <v>4145</v>
      </c>
      <c r="H3808" s="555"/>
      <c r="I3808" s="556"/>
      <c r="J3808" s="556">
        <f t="shared" si="129"/>
        <v>0</v>
      </c>
      <c r="K3808" s="505"/>
      <c r="L3808" s="505"/>
      <c r="M3808" s="505"/>
      <c r="N3808" s="505"/>
      <c r="O3808" s="505"/>
      <c r="P3808" s="505"/>
      <c r="Q3808" s="505"/>
      <c r="R3808" s="505"/>
      <c r="S3808" s="505"/>
      <c r="T3808" s="505"/>
      <c r="U3808" s="505"/>
      <c r="V3808" s="505"/>
      <c r="W3808" s="505"/>
      <c r="X3808" s="505"/>
      <c r="Y3808" s="505"/>
    </row>
    <row r="3809" spans="1:25" s="88" customFormat="1" hidden="1" x14ac:dyDescent="0.25">
      <c r="A3809" s="258"/>
      <c r="B3809" s="258"/>
      <c r="C3809" s="261"/>
      <c r="D3809" s="258"/>
      <c r="E3809" s="679"/>
      <c r="F3809" s="499">
        <v>432</v>
      </c>
      <c r="G3809" s="492" t="s">
        <v>4146</v>
      </c>
      <c r="H3809" s="555"/>
      <c r="I3809" s="556"/>
      <c r="J3809" s="556">
        <f t="shared" si="129"/>
        <v>0</v>
      </c>
      <c r="K3809" s="505"/>
      <c r="L3809" s="505"/>
      <c r="M3809" s="505"/>
      <c r="N3809" s="505"/>
      <c r="O3809" s="505"/>
      <c r="P3809" s="505"/>
      <c r="Q3809" s="505"/>
      <c r="R3809" s="505"/>
      <c r="S3809" s="505"/>
      <c r="T3809" s="505"/>
      <c r="U3809" s="505"/>
      <c r="V3809" s="505"/>
      <c r="W3809" s="505"/>
      <c r="X3809" s="505"/>
      <c r="Y3809" s="505"/>
    </row>
    <row r="3810" spans="1:25" s="88" customFormat="1" hidden="1" x14ac:dyDescent="0.25">
      <c r="A3810" s="258"/>
      <c r="B3810" s="258"/>
      <c r="C3810" s="261"/>
      <c r="D3810" s="258"/>
      <c r="E3810" s="679"/>
      <c r="F3810" s="499">
        <v>433</v>
      </c>
      <c r="G3810" s="492" t="s">
        <v>4147</v>
      </c>
      <c r="H3810" s="555"/>
      <c r="I3810" s="556"/>
      <c r="J3810" s="556">
        <f t="shared" si="129"/>
        <v>0</v>
      </c>
      <c r="K3810" s="505"/>
      <c r="L3810" s="505"/>
      <c r="M3810" s="505"/>
      <c r="N3810" s="505"/>
      <c r="O3810" s="505"/>
      <c r="P3810" s="505"/>
      <c r="Q3810" s="505"/>
      <c r="R3810" s="505"/>
      <c r="S3810" s="505"/>
      <c r="T3810" s="505"/>
      <c r="U3810" s="505"/>
      <c r="V3810" s="505"/>
      <c r="W3810" s="505"/>
      <c r="X3810" s="505"/>
      <c r="Y3810" s="505"/>
    </row>
    <row r="3811" spans="1:25" s="88" customFormat="1" hidden="1" x14ac:dyDescent="0.25">
      <c r="A3811" s="258"/>
      <c r="B3811" s="258"/>
      <c r="C3811" s="261"/>
      <c r="D3811" s="258"/>
      <c r="E3811" s="679"/>
      <c r="F3811" s="499">
        <v>434</v>
      </c>
      <c r="G3811" s="492" t="s">
        <v>4148</v>
      </c>
      <c r="H3811" s="555"/>
      <c r="I3811" s="556"/>
      <c r="J3811" s="556">
        <f t="shared" si="129"/>
        <v>0</v>
      </c>
      <c r="K3811" s="505"/>
      <c r="L3811" s="505"/>
      <c r="M3811" s="505"/>
      <c r="N3811" s="505"/>
      <c r="O3811" s="505"/>
      <c r="P3811" s="505"/>
      <c r="Q3811" s="505"/>
      <c r="R3811" s="505"/>
      <c r="S3811" s="505"/>
      <c r="T3811" s="505"/>
      <c r="U3811" s="505"/>
      <c r="V3811" s="505"/>
      <c r="W3811" s="505"/>
      <c r="X3811" s="505"/>
      <c r="Y3811" s="505"/>
    </row>
    <row r="3812" spans="1:25" s="88" customFormat="1" hidden="1" x14ac:dyDescent="0.25">
      <c r="A3812" s="258"/>
      <c r="B3812" s="258"/>
      <c r="C3812" s="261"/>
      <c r="D3812" s="258"/>
      <c r="E3812" s="679"/>
      <c r="F3812" s="499">
        <v>435</v>
      </c>
      <c r="G3812" s="492" t="s">
        <v>3794</v>
      </c>
      <c r="H3812" s="555"/>
      <c r="I3812" s="556"/>
      <c r="J3812" s="556">
        <f t="shared" si="129"/>
        <v>0</v>
      </c>
      <c r="K3812" s="505"/>
      <c r="L3812" s="505"/>
      <c r="M3812" s="505"/>
      <c r="N3812" s="505"/>
      <c r="O3812" s="505"/>
      <c r="P3812" s="505"/>
      <c r="Q3812" s="505"/>
      <c r="R3812" s="505"/>
      <c r="S3812" s="505"/>
      <c r="T3812" s="505"/>
      <c r="U3812" s="505"/>
      <c r="V3812" s="505"/>
      <c r="W3812" s="505"/>
      <c r="X3812" s="505"/>
      <c r="Y3812" s="505"/>
    </row>
    <row r="3813" spans="1:25" s="88" customFormat="1" hidden="1" x14ac:dyDescent="0.25">
      <c r="A3813" s="258"/>
      <c r="B3813" s="258"/>
      <c r="C3813" s="261"/>
      <c r="D3813" s="258"/>
      <c r="E3813" s="679"/>
      <c r="F3813" s="499">
        <v>441</v>
      </c>
      <c r="G3813" s="492" t="s">
        <v>4149</v>
      </c>
      <c r="H3813" s="555"/>
      <c r="I3813" s="556"/>
      <c r="J3813" s="556">
        <f t="shared" si="129"/>
        <v>0</v>
      </c>
      <c r="K3813" s="505"/>
      <c r="L3813" s="505"/>
      <c r="M3813" s="505"/>
      <c r="N3813" s="505"/>
      <c r="O3813" s="505"/>
      <c r="P3813" s="505"/>
      <c r="Q3813" s="505"/>
      <c r="R3813" s="505"/>
      <c r="S3813" s="505"/>
      <c r="T3813" s="505"/>
      <c r="U3813" s="505"/>
      <c r="V3813" s="505"/>
      <c r="W3813" s="505"/>
      <c r="X3813" s="505"/>
      <c r="Y3813" s="505"/>
    </row>
    <row r="3814" spans="1:25" s="88" customFormat="1" hidden="1" x14ac:dyDescent="0.25">
      <c r="A3814" s="258"/>
      <c r="B3814" s="258"/>
      <c r="C3814" s="261"/>
      <c r="D3814" s="258"/>
      <c r="E3814" s="679"/>
      <c r="F3814" s="499">
        <v>442</v>
      </c>
      <c r="G3814" s="492" t="s">
        <v>4150</v>
      </c>
      <c r="H3814" s="555"/>
      <c r="I3814" s="556"/>
      <c r="J3814" s="556">
        <f t="shared" si="129"/>
        <v>0</v>
      </c>
      <c r="K3814" s="505"/>
      <c r="L3814" s="505"/>
      <c r="M3814" s="505"/>
      <c r="N3814" s="505"/>
      <c r="O3814" s="505"/>
      <c r="P3814" s="505"/>
      <c r="Q3814" s="505"/>
      <c r="R3814" s="505"/>
      <c r="S3814" s="505"/>
      <c r="T3814" s="505"/>
      <c r="U3814" s="505"/>
      <c r="V3814" s="505"/>
      <c r="W3814" s="505"/>
      <c r="X3814" s="505"/>
      <c r="Y3814" s="505"/>
    </row>
    <row r="3815" spans="1:25" s="88" customFormat="1" hidden="1" x14ac:dyDescent="0.25">
      <c r="A3815" s="258"/>
      <c r="B3815" s="258"/>
      <c r="C3815" s="261"/>
      <c r="D3815" s="258"/>
      <c r="E3815" s="679"/>
      <c r="F3815" s="499">
        <v>443</v>
      </c>
      <c r="G3815" s="492" t="s">
        <v>3799</v>
      </c>
      <c r="H3815" s="555"/>
      <c r="I3815" s="556"/>
      <c r="J3815" s="556">
        <f t="shared" si="129"/>
        <v>0</v>
      </c>
      <c r="K3815" s="505"/>
      <c r="L3815" s="505"/>
      <c r="M3815" s="505"/>
      <c r="N3815" s="505"/>
      <c r="O3815" s="505"/>
      <c r="P3815" s="505"/>
      <c r="Q3815" s="505"/>
      <c r="R3815" s="505"/>
      <c r="S3815" s="505"/>
      <c r="T3815" s="505"/>
      <c r="U3815" s="505"/>
      <c r="V3815" s="505"/>
      <c r="W3815" s="505"/>
      <c r="X3815" s="505"/>
      <c r="Y3815" s="505"/>
    </row>
    <row r="3816" spans="1:25" s="88" customFormat="1" hidden="1" x14ac:dyDescent="0.25">
      <c r="A3816" s="258"/>
      <c r="B3816" s="258"/>
      <c r="C3816" s="261"/>
      <c r="D3816" s="258"/>
      <c r="E3816" s="679"/>
      <c r="F3816" s="499">
        <v>444</v>
      </c>
      <c r="G3816" s="492" t="s">
        <v>3800</v>
      </c>
      <c r="H3816" s="555"/>
      <c r="I3816" s="556"/>
      <c r="J3816" s="556">
        <f t="shared" si="129"/>
        <v>0</v>
      </c>
      <c r="K3816" s="505"/>
      <c r="L3816" s="505"/>
      <c r="M3816" s="505"/>
      <c r="N3816" s="505"/>
      <c r="O3816" s="505"/>
      <c r="P3816" s="505"/>
      <c r="Q3816" s="505"/>
      <c r="R3816" s="505"/>
      <c r="S3816" s="505"/>
      <c r="T3816" s="505"/>
      <c r="U3816" s="505"/>
      <c r="V3816" s="505"/>
      <c r="W3816" s="505"/>
      <c r="X3816" s="505"/>
      <c r="Y3816" s="505"/>
    </row>
    <row r="3817" spans="1:25" s="88" customFormat="1" ht="26.25" hidden="1" customHeight="1" x14ac:dyDescent="0.25">
      <c r="A3817" s="258"/>
      <c r="B3817" s="258"/>
      <c r="C3817" s="261"/>
      <c r="D3817" s="258"/>
      <c r="E3817" s="679"/>
      <c r="F3817" s="499">
        <v>4511</v>
      </c>
      <c r="G3817" s="771" t="s">
        <v>1690</v>
      </c>
      <c r="H3817" s="555">
        <v>0</v>
      </c>
      <c r="I3817" s="556"/>
      <c r="J3817" s="556">
        <f t="shared" si="129"/>
        <v>0</v>
      </c>
      <c r="K3817" s="505"/>
      <c r="L3817" s="505"/>
      <c r="M3817" s="505"/>
      <c r="N3817" s="505"/>
      <c r="O3817" s="505"/>
      <c r="P3817" s="505"/>
      <c r="Q3817" s="505"/>
      <c r="R3817" s="505"/>
      <c r="S3817" s="505"/>
      <c r="T3817" s="505"/>
      <c r="U3817" s="505"/>
      <c r="V3817" s="505"/>
      <c r="W3817" s="505"/>
      <c r="X3817" s="505"/>
      <c r="Y3817" s="505"/>
    </row>
    <row r="3818" spans="1:25" s="88" customFormat="1" ht="13.5" hidden="1" customHeight="1" x14ac:dyDescent="0.25">
      <c r="A3818" s="258"/>
      <c r="B3818" s="258"/>
      <c r="C3818" s="261"/>
      <c r="D3818" s="258"/>
      <c r="E3818" s="679"/>
      <c r="F3818" s="499">
        <v>4512</v>
      </c>
      <c r="G3818" s="771" t="s">
        <v>1699</v>
      </c>
      <c r="H3818" s="555">
        <v>0</v>
      </c>
      <c r="I3818" s="556"/>
      <c r="J3818" s="556">
        <f t="shared" si="129"/>
        <v>0</v>
      </c>
      <c r="K3818" s="505"/>
      <c r="L3818" s="505"/>
      <c r="M3818" s="505"/>
      <c r="N3818" s="505"/>
      <c r="O3818" s="505"/>
      <c r="P3818" s="505"/>
      <c r="Q3818" s="505"/>
      <c r="R3818" s="505"/>
      <c r="S3818" s="505"/>
      <c r="T3818" s="505"/>
      <c r="U3818" s="505"/>
      <c r="V3818" s="505"/>
      <c r="W3818" s="505"/>
      <c r="X3818" s="505"/>
      <c r="Y3818" s="505"/>
    </row>
    <row r="3819" spans="1:25" s="88" customFormat="1" hidden="1" x14ac:dyDescent="0.25">
      <c r="A3819" s="258"/>
      <c r="B3819" s="258"/>
      <c r="C3819" s="261"/>
      <c r="D3819" s="258"/>
      <c r="E3819" s="679"/>
      <c r="F3819" s="499">
        <v>452</v>
      </c>
      <c r="G3819" s="492" t="s">
        <v>4151</v>
      </c>
      <c r="H3819" s="555"/>
      <c r="I3819" s="556"/>
      <c r="J3819" s="556">
        <f t="shared" si="129"/>
        <v>0</v>
      </c>
      <c r="K3819" s="505"/>
      <c r="L3819" s="505"/>
      <c r="M3819" s="505"/>
      <c r="N3819" s="505"/>
      <c r="O3819" s="505"/>
      <c r="P3819" s="505"/>
      <c r="Q3819" s="505"/>
      <c r="R3819" s="505"/>
      <c r="S3819" s="505"/>
      <c r="T3819" s="505"/>
      <c r="U3819" s="505"/>
      <c r="V3819" s="505"/>
      <c r="W3819" s="505"/>
      <c r="X3819" s="505"/>
      <c r="Y3819" s="505"/>
    </row>
    <row r="3820" spans="1:25" s="88" customFormat="1" hidden="1" x14ac:dyDescent="0.25">
      <c r="A3820" s="258"/>
      <c r="B3820" s="258"/>
      <c r="C3820" s="261"/>
      <c r="D3820" s="258"/>
      <c r="E3820" s="679"/>
      <c r="F3820" s="499">
        <v>453</v>
      </c>
      <c r="G3820" s="492" t="s">
        <v>4152</v>
      </c>
      <c r="H3820" s="555"/>
      <c r="I3820" s="556"/>
      <c r="J3820" s="556">
        <f t="shared" si="129"/>
        <v>0</v>
      </c>
      <c r="K3820" s="505"/>
      <c r="L3820" s="505"/>
      <c r="M3820" s="505"/>
      <c r="N3820" s="505"/>
      <c r="O3820" s="505"/>
      <c r="P3820" s="505"/>
      <c r="Q3820" s="505"/>
      <c r="R3820" s="505"/>
      <c r="S3820" s="505"/>
      <c r="T3820" s="505"/>
      <c r="U3820" s="505"/>
      <c r="V3820" s="505"/>
      <c r="W3820" s="505"/>
      <c r="X3820" s="505"/>
      <c r="Y3820" s="505"/>
    </row>
    <row r="3821" spans="1:25" s="88" customFormat="1" hidden="1" x14ac:dyDescent="0.25">
      <c r="A3821" s="258"/>
      <c r="B3821" s="258"/>
      <c r="C3821" s="261"/>
      <c r="D3821" s="258"/>
      <c r="E3821" s="679"/>
      <c r="F3821" s="499">
        <v>454</v>
      </c>
      <c r="G3821" s="492" t="s">
        <v>3805</v>
      </c>
      <c r="H3821" s="555"/>
      <c r="I3821" s="556"/>
      <c r="J3821" s="556">
        <f t="shared" si="129"/>
        <v>0</v>
      </c>
      <c r="K3821" s="505"/>
      <c r="L3821" s="505"/>
      <c r="M3821" s="505"/>
      <c r="N3821" s="505"/>
      <c r="O3821" s="505"/>
      <c r="P3821" s="505"/>
      <c r="Q3821" s="505"/>
      <c r="R3821" s="505"/>
      <c r="S3821" s="505"/>
      <c r="T3821" s="505"/>
      <c r="U3821" s="505"/>
      <c r="V3821" s="505"/>
      <c r="W3821" s="505"/>
      <c r="X3821" s="505"/>
      <c r="Y3821" s="505"/>
    </row>
    <row r="3822" spans="1:25" s="88" customFormat="1" hidden="1" x14ac:dyDescent="0.25">
      <c r="A3822" s="258"/>
      <c r="B3822" s="258"/>
      <c r="C3822" s="261"/>
      <c r="D3822" s="258"/>
      <c r="E3822" s="679"/>
      <c r="F3822" s="499">
        <v>461</v>
      </c>
      <c r="G3822" s="492" t="s">
        <v>4133</v>
      </c>
      <c r="H3822" s="555"/>
      <c r="I3822" s="556"/>
      <c r="J3822" s="556">
        <f t="shared" si="129"/>
        <v>0</v>
      </c>
      <c r="K3822" s="505"/>
      <c r="L3822" s="505"/>
      <c r="M3822" s="505"/>
      <c r="N3822" s="505"/>
      <c r="O3822" s="505"/>
      <c r="P3822" s="505"/>
      <c r="Q3822" s="505"/>
      <c r="R3822" s="505"/>
      <c r="S3822" s="505"/>
      <c r="T3822" s="505"/>
      <c r="U3822" s="505"/>
      <c r="V3822" s="505"/>
      <c r="W3822" s="505"/>
      <c r="X3822" s="505"/>
      <c r="Y3822" s="505"/>
    </row>
    <row r="3823" spans="1:25" s="88" customFormat="1" hidden="1" x14ac:dyDescent="0.25">
      <c r="A3823" s="258"/>
      <c r="B3823" s="258"/>
      <c r="C3823" s="261"/>
      <c r="D3823" s="258"/>
      <c r="E3823" s="679"/>
      <c r="F3823" s="499">
        <v>462</v>
      </c>
      <c r="G3823" s="492" t="s">
        <v>3808</v>
      </c>
      <c r="H3823" s="555"/>
      <c r="I3823" s="556"/>
      <c r="J3823" s="556">
        <f t="shared" si="129"/>
        <v>0</v>
      </c>
      <c r="K3823" s="505"/>
      <c r="L3823" s="505"/>
      <c r="M3823" s="505"/>
      <c r="N3823" s="505"/>
      <c r="O3823" s="505"/>
      <c r="P3823" s="505"/>
      <c r="Q3823" s="505"/>
      <c r="R3823" s="505"/>
      <c r="S3823" s="505"/>
      <c r="T3823" s="505"/>
      <c r="U3823" s="505"/>
      <c r="V3823" s="505"/>
      <c r="W3823" s="505"/>
      <c r="X3823" s="505"/>
      <c r="Y3823" s="505"/>
    </row>
    <row r="3824" spans="1:25" s="88" customFormat="1" hidden="1" x14ac:dyDescent="0.25">
      <c r="A3824" s="258"/>
      <c r="B3824" s="258"/>
      <c r="C3824" s="261"/>
      <c r="D3824" s="258"/>
      <c r="E3824" s="679"/>
      <c r="F3824" s="499">
        <v>4631</v>
      </c>
      <c r="G3824" s="492" t="s">
        <v>3809</v>
      </c>
      <c r="H3824" s="555"/>
      <c r="I3824" s="556"/>
      <c r="J3824" s="556">
        <f t="shared" si="129"/>
        <v>0</v>
      </c>
      <c r="K3824" s="505"/>
      <c r="L3824" s="505"/>
      <c r="M3824" s="505"/>
      <c r="N3824" s="505"/>
      <c r="O3824" s="505"/>
      <c r="P3824" s="505"/>
      <c r="Q3824" s="505"/>
      <c r="R3824" s="505"/>
      <c r="S3824" s="505"/>
      <c r="T3824" s="505"/>
      <c r="U3824" s="505"/>
      <c r="V3824" s="505"/>
      <c r="W3824" s="505"/>
      <c r="X3824" s="505"/>
      <c r="Y3824" s="505"/>
    </row>
    <row r="3825" spans="1:25" s="88" customFormat="1" hidden="1" x14ac:dyDescent="0.25">
      <c r="A3825" s="258"/>
      <c r="B3825" s="258"/>
      <c r="C3825" s="261"/>
      <c r="D3825" s="258"/>
      <c r="E3825" s="679"/>
      <c r="F3825" s="499">
        <v>4632</v>
      </c>
      <c r="G3825" s="492" t="s">
        <v>3810</v>
      </c>
      <c r="H3825" s="555"/>
      <c r="I3825" s="556"/>
      <c r="J3825" s="556">
        <f t="shared" si="129"/>
        <v>0</v>
      </c>
      <c r="K3825" s="505"/>
      <c r="L3825" s="505"/>
      <c r="M3825" s="505"/>
      <c r="N3825" s="505"/>
      <c r="O3825" s="505"/>
      <c r="P3825" s="505"/>
      <c r="Q3825" s="505"/>
      <c r="R3825" s="505"/>
      <c r="S3825" s="505"/>
      <c r="T3825" s="505"/>
      <c r="U3825" s="505"/>
      <c r="V3825" s="505"/>
      <c r="W3825" s="505"/>
      <c r="X3825" s="505"/>
      <c r="Y3825" s="505"/>
    </row>
    <row r="3826" spans="1:25" s="88" customFormat="1" hidden="1" x14ac:dyDescent="0.25">
      <c r="A3826" s="258"/>
      <c r="B3826" s="258"/>
      <c r="C3826" s="261"/>
      <c r="D3826" s="258"/>
      <c r="E3826" s="679"/>
      <c r="F3826" s="499">
        <v>464</v>
      </c>
      <c r="G3826" s="492" t="s">
        <v>3811</v>
      </c>
      <c r="H3826" s="555"/>
      <c r="I3826" s="556"/>
      <c r="J3826" s="556">
        <f t="shared" si="129"/>
        <v>0</v>
      </c>
      <c r="K3826" s="505"/>
      <c r="L3826" s="505"/>
      <c r="M3826" s="505"/>
      <c r="N3826" s="505"/>
      <c r="O3826" s="505"/>
      <c r="P3826" s="505"/>
      <c r="Q3826" s="505"/>
      <c r="R3826" s="505"/>
      <c r="S3826" s="505"/>
      <c r="T3826" s="505"/>
      <c r="U3826" s="505"/>
      <c r="V3826" s="505"/>
      <c r="W3826" s="505"/>
      <c r="X3826" s="505"/>
      <c r="Y3826" s="505"/>
    </row>
    <row r="3827" spans="1:25" s="88" customFormat="1" hidden="1" x14ac:dyDescent="0.25">
      <c r="A3827" s="258"/>
      <c r="B3827" s="258"/>
      <c r="C3827" s="261"/>
      <c r="D3827" s="258"/>
      <c r="E3827" s="679"/>
      <c r="F3827" s="499">
        <v>465</v>
      </c>
      <c r="G3827" s="492" t="s">
        <v>4134</v>
      </c>
      <c r="H3827" s="555"/>
      <c r="I3827" s="556"/>
      <c r="J3827" s="556">
        <f t="shared" si="129"/>
        <v>0</v>
      </c>
      <c r="K3827" s="505"/>
      <c r="L3827" s="505"/>
      <c r="M3827" s="505"/>
      <c r="N3827" s="505"/>
      <c r="O3827" s="505"/>
      <c r="P3827" s="505"/>
      <c r="Q3827" s="505"/>
      <c r="R3827" s="505"/>
      <c r="S3827" s="505"/>
      <c r="T3827" s="505"/>
      <c r="U3827" s="505"/>
      <c r="V3827" s="505"/>
      <c r="W3827" s="505"/>
      <c r="X3827" s="505"/>
      <c r="Y3827" s="505"/>
    </row>
    <row r="3828" spans="1:25" s="88" customFormat="1" hidden="1" x14ac:dyDescent="0.25">
      <c r="A3828" s="258"/>
      <c r="B3828" s="258"/>
      <c r="C3828" s="261"/>
      <c r="D3828" s="258"/>
      <c r="E3828" s="679"/>
      <c r="F3828" s="499">
        <v>472</v>
      </c>
      <c r="G3828" s="492" t="s">
        <v>3815</v>
      </c>
      <c r="H3828" s="555"/>
      <c r="I3828" s="556"/>
      <c r="J3828" s="556">
        <f t="shared" si="129"/>
        <v>0</v>
      </c>
      <c r="K3828" s="505"/>
      <c r="L3828" s="505"/>
      <c r="M3828" s="505"/>
      <c r="N3828" s="505"/>
      <c r="O3828" s="505"/>
      <c r="P3828" s="505"/>
      <c r="Q3828" s="505"/>
      <c r="R3828" s="505"/>
      <c r="S3828" s="505"/>
      <c r="T3828" s="505"/>
      <c r="U3828" s="505"/>
      <c r="V3828" s="505"/>
      <c r="W3828" s="505"/>
      <c r="X3828" s="505"/>
      <c r="Y3828" s="505"/>
    </row>
    <row r="3829" spans="1:25" s="88" customFormat="1" hidden="1" x14ac:dyDescent="0.25">
      <c r="A3829" s="258"/>
      <c r="B3829" s="258"/>
      <c r="C3829" s="261"/>
      <c r="D3829" s="258"/>
      <c r="E3829" s="679"/>
      <c r="F3829" s="499">
        <v>481</v>
      </c>
      <c r="G3829" s="492" t="s">
        <v>4153</v>
      </c>
      <c r="H3829" s="555"/>
      <c r="I3829" s="556"/>
      <c r="J3829" s="556">
        <f t="shared" si="129"/>
        <v>0</v>
      </c>
      <c r="K3829" s="505"/>
      <c r="L3829" s="505"/>
      <c r="M3829" s="505"/>
      <c r="N3829" s="505"/>
      <c r="O3829" s="505"/>
      <c r="P3829" s="505"/>
      <c r="Q3829" s="505"/>
      <c r="R3829" s="505"/>
      <c r="S3829" s="505"/>
      <c r="T3829" s="505"/>
      <c r="U3829" s="505"/>
      <c r="V3829" s="505"/>
      <c r="W3829" s="505"/>
      <c r="X3829" s="505"/>
      <c r="Y3829" s="505"/>
    </row>
    <row r="3830" spans="1:25" s="88" customFormat="1" hidden="1" x14ac:dyDescent="0.25">
      <c r="A3830" s="258"/>
      <c r="B3830" s="258"/>
      <c r="C3830" s="261"/>
      <c r="D3830" s="258"/>
      <c r="E3830" s="679"/>
      <c r="F3830" s="499">
        <v>482</v>
      </c>
      <c r="G3830" s="492" t="s">
        <v>4154</v>
      </c>
      <c r="H3830" s="555"/>
      <c r="I3830" s="556"/>
      <c r="J3830" s="556">
        <f t="shared" si="129"/>
        <v>0</v>
      </c>
      <c r="K3830" s="505"/>
      <c r="L3830" s="505"/>
      <c r="M3830" s="505"/>
      <c r="N3830" s="505"/>
      <c r="O3830" s="505"/>
      <c r="P3830" s="505"/>
      <c r="Q3830" s="505"/>
      <c r="R3830" s="505"/>
      <c r="S3830" s="505"/>
      <c r="T3830" s="505"/>
      <c r="U3830" s="505"/>
      <c r="V3830" s="505"/>
      <c r="W3830" s="505"/>
      <c r="X3830" s="505"/>
      <c r="Y3830" s="505"/>
    </row>
    <row r="3831" spans="1:25" s="88" customFormat="1" hidden="1" x14ac:dyDescent="0.25">
      <c r="A3831" s="258"/>
      <c r="B3831" s="258"/>
      <c r="C3831" s="261"/>
      <c r="D3831" s="258"/>
      <c r="E3831" s="679"/>
      <c r="F3831" s="499">
        <v>483</v>
      </c>
      <c r="G3831" s="496" t="s">
        <v>4155</v>
      </c>
      <c r="H3831" s="555"/>
      <c r="I3831" s="556"/>
      <c r="J3831" s="556">
        <f t="shared" si="129"/>
        <v>0</v>
      </c>
      <c r="K3831" s="505"/>
      <c r="L3831" s="505"/>
      <c r="M3831" s="505"/>
      <c r="N3831" s="505"/>
      <c r="O3831" s="505"/>
      <c r="P3831" s="505"/>
      <c r="Q3831" s="505"/>
      <c r="R3831" s="505"/>
      <c r="S3831" s="505"/>
      <c r="T3831" s="505"/>
      <c r="U3831" s="505"/>
      <c r="V3831" s="505"/>
      <c r="W3831" s="505"/>
      <c r="X3831" s="505"/>
      <c r="Y3831" s="505"/>
    </row>
    <row r="3832" spans="1:25" s="88" customFormat="1" ht="30" hidden="1" x14ac:dyDescent="0.25">
      <c r="A3832" s="258"/>
      <c r="B3832" s="258"/>
      <c r="C3832" s="261"/>
      <c r="D3832" s="258"/>
      <c r="E3832" s="679"/>
      <c r="F3832" s="499">
        <v>484</v>
      </c>
      <c r="G3832" s="492" t="s">
        <v>4156</v>
      </c>
      <c r="H3832" s="555"/>
      <c r="I3832" s="556"/>
      <c r="J3832" s="556">
        <f t="shared" si="129"/>
        <v>0</v>
      </c>
      <c r="K3832" s="505"/>
      <c r="L3832" s="505"/>
      <c r="M3832" s="505"/>
      <c r="N3832" s="505"/>
      <c r="O3832" s="505"/>
      <c r="P3832" s="505"/>
      <c r="Q3832" s="505"/>
      <c r="R3832" s="505"/>
      <c r="S3832" s="505"/>
      <c r="T3832" s="505"/>
      <c r="U3832" s="505"/>
      <c r="V3832" s="505"/>
      <c r="W3832" s="505"/>
      <c r="X3832" s="505"/>
      <c r="Y3832" s="505"/>
    </row>
    <row r="3833" spans="1:25" s="88" customFormat="1" ht="30" hidden="1" x14ac:dyDescent="0.25">
      <c r="A3833" s="258"/>
      <c r="B3833" s="258"/>
      <c r="C3833" s="261"/>
      <c r="D3833" s="258"/>
      <c r="E3833" s="679"/>
      <c r="F3833" s="499">
        <v>485</v>
      </c>
      <c r="G3833" s="492" t="s">
        <v>4157</v>
      </c>
      <c r="H3833" s="555"/>
      <c r="I3833" s="556"/>
      <c r="J3833" s="556">
        <f t="shared" si="129"/>
        <v>0</v>
      </c>
      <c r="K3833" s="505"/>
      <c r="L3833" s="505"/>
      <c r="M3833" s="505"/>
      <c r="N3833" s="505"/>
      <c r="O3833" s="505"/>
      <c r="P3833" s="505"/>
      <c r="Q3833" s="505"/>
      <c r="R3833" s="505"/>
      <c r="S3833" s="505"/>
      <c r="T3833" s="505"/>
      <c r="U3833" s="505"/>
      <c r="V3833" s="505"/>
      <c r="W3833" s="505"/>
      <c r="X3833" s="505"/>
      <c r="Y3833" s="505"/>
    </row>
    <row r="3834" spans="1:25" s="88" customFormat="1" ht="30" hidden="1" x14ac:dyDescent="0.25">
      <c r="A3834" s="258"/>
      <c r="B3834" s="258"/>
      <c r="C3834" s="261"/>
      <c r="D3834" s="258"/>
      <c r="E3834" s="679"/>
      <c r="F3834" s="499">
        <v>489</v>
      </c>
      <c r="G3834" s="492" t="s">
        <v>3823</v>
      </c>
      <c r="H3834" s="555"/>
      <c r="I3834" s="556"/>
      <c r="J3834" s="556">
        <f t="shared" si="129"/>
        <v>0</v>
      </c>
      <c r="K3834" s="505"/>
      <c r="L3834" s="505"/>
      <c r="M3834" s="505"/>
      <c r="N3834" s="505"/>
      <c r="O3834" s="505"/>
      <c r="P3834" s="505"/>
      <c r="Q3834" s="505"/>
      <c r="R3834" s="505"/>
      <c r="S3834" s="505"/>
      <c r="T3834" s="505"/>
      <c r="U3834" s="505"/>
      <c r="V3834" s="505"/>
      <c r="W3834" s="505"/>
      <c r="X3834" s="505"/>
      <c r="Y3834" s="505"/>
    </row>
    <row r="3835" spans="1:25" s="88" customFormat="1" hidden="1" x14ac:dyDescent="0.25">
      <c r="A3835" s="258"/>
      <c r="B3835" s="258"/>
      <c r="C3835" s="261"/>
      <c r="D3835" s="258"/>
      <c r="E3835" s="679"/>
      <c r="F3835" s="499">
        <v>494</v>
      </c>
      <c r="G3835" s="492" t="s">
        <v>4135</v>
      </c>
      <c r="H3835" s="555"/>
      <c r="I3835" s="556"/>
      <c r="J3835" s="556">
        <f t="shared" si="129"/>
        <v>0</v>
      </c>
      <c r="K3835" s="505"/>
      <c r="L3835" s="505"/>
      <c r="M3835" s="505"/>
      <c r="N3835" s="505"/>
      <c r="O3835" s="505"/>
      <c r="P3835" s="505"/>
      <c r="Q3835" s="505"/>
      <c r="R3835" s="505"/>
      <c r="S3835" s="505"/>
      <c r="T3835" s="505"/>
      <c r="U3835" s="505"/>
      <c r="V3835" s="505"/>
      <c r="W3835" s="505"/>
      <c r="X3835" s="505"/>
      <c r="Y3835" s="505"/>
    </row>
    <row r="3836" spans="1:25" s="88" customFormat="1" ht="30" hidden="1" x14ac:dyDescent="0.25">
      <c r="A3836" s="258"/>
      <c r="B3836" s="258"/>
      <c r="C3836" s="261"/>
      <c r="D3836" s="258"/>
      <c r="E3836" s="679"/>
      <c r="F3836" s="499">
        <v>495</v>
      </c>
      <c r="G3836" s="492" t="s">
        <v>4136</v>
      </c>
      <c r="H3836" s="555"/>
      <c r="I3836" s="556"/>
      <c r="J3836" s="556">
        <f t="shared" si="129"/>
        <v>0</v>
      </c>
      <c r="K3836" s="505"/>
      <c r="L3836" s="505"/>
      <c r="M3836" s="505"/>
      <c r="N3836" s="505"/>
      <c r="O3836" s="505"/>
      <c r="P3836" s="505"/>
      <c r="Q3836" s="505"/>
      <c r="R3836" s="505"/>
      <c r="S3836" s="505"/>
      <c r="T3836" s="505"/>
      <c r="U3836" s="505"/>
      <c r="V3836" s="505"/>
      <c r="W3836" s="505"/>
      <c r="X3836" s="505"/>
      <c r="Y3836" s="505"/>
    </row>
    <row r="3837" spans="1:25" s="88" customFormat="1" ht="30" hidden="1" x14ac:dyDescent="0.25">
      <c r="A3837" s="258"/>
      <c r="B3837" s="258"/>
      <c r="C3837" s="261"/>
      <c r="D3837" s="258"/>
      <c r="E3837" s="679"/>
      <c r="F3837" s="499">
        <v>496</v>
      </c>
      <c r="G3837" s="492" t="s">
        <v>4137</v>
      </c>
      <c r="H3837" s="555"/>
      <c r="I3837" s="556"/>
      <c r="J3837" s="556">
        <f t="shared" si="129"/>
        <v>0</v>
      </c>
      <c r="K3837" s="505"/>
      <c r="L3837" s="505"/>
      <c r="M3837" s="505"/>
      <c r="N3837" s="505"/>
      <c r="O3837" s="505"/>
      <c r="P3837" s="505"/>
      <c r="Q3837" s="505"/>
      <c r="R3837" s="505"/>
      <c r="S3837" s="505"/>
      <c r="T3837" s="505"/>
      <c r="U3837" s="505"/>
      <c r="V3837" s="505"/>
      <c r="W3837" s="505"/>
      <c r="X3837" s="505"/>
      <c r="Y3837" s="505"/>
    </row>
    <row r="3838" spans="1:25" s="88" customFormat="1" ht="30" hidden="1" x14ac:dyDescent="0.25">
      <c r="A3838" s="258"/>
      <c r="B3838" s="258"/>
      <c r="C3838" s="261"/>
      <c r="D3838" s="258"/>
      <c r="E3838" s="679"/>
      <c r="F3838" s="499">
        <v>499</v>
      </c>
      <c r="G3838" s="492" t="s">
        <v>4138</v>
      </c>
      <c r="H3838" s="555"/>
      <c r="I3838" s="556"/>
      <c r="J3838" s="556">
        <f t="shared" si="129"/>
        <v>0</v>
      </c>
      <c r="K3838" s="505"/>
      <c r="L3838" s="505"/>
      <c r="M3838" s="505"/>
      <c r="N3838" s="505"/>
      <c r="O3838" s="505"/>
      <c r="P3838" s="505"/>
      <c r="Q3838" s="505"/>
      <c r="R3838" s="505"/>
      <c r="S3838" s="505"/>
      <c r="T3838" s="505"/>
      <c r="U3838" s="505"/>
      <c r="V3838" s="505"/>
      <c r="W3838" s="505"/>
      <c r="X3838" s="505"/>
      <c r="Y3838" s="505"/>
    </row>
    <row r="3839" spans="1:25" s="88" customFormat="1" hidden="1" x14ac:dyDescent="0.25">
      <c r="A3839" s="258"/>
      <c r="B3839" s="258"/>
      <c r="C3839" s="261"/>
      <c r="D3839" s="258"/>
      <c r="E3839" s="679"/>
      <c r="F3839" s="499">
        <v>511</v>
      </c>
      <c r="G3839" s="496" t="s">
        <v>4158</v>
      </c>
      <c r="H3839" s="555"/>
      <c r="I3839" s="556"/>
      <c r="J3839" s="556">
        <f t="shared" si="129"/>
        <v>0</v>
      </c>
      <c r="K3839" s="505"/>
      <c r="L3839" s="505"/>
      <c r="M3839" s="505"/>
      <c r="N3839" s="505"/>
      <c r="O3839" s="505"/>
      <c r="P3839" s="505"/>
      <c r="Q3839" s="505"/>
      <c r="R3839" s="505"/>
      <c r="S3839" s="505"/>
      <c r="T3839" s="505"/>
      <c r="U3839" s="505"/>
      <c r="V3839" s="505"/>
      <c r="W3839" s="505"/>
      <c r="X3839" s="505"/>
      <c r="Y3839" s="505"/>
    </row>
    <row r="3840" spans="1:25" s="88" customFormat="1" hidden="1" x14ac:dyDescent="0.25">
      <c r="A3840" s="258"/>
      <c r="B3840" s="258"/>
      <c r="C3840" s="261"/>
      <c r="D3840" s="258"/>
      <c r="E3840" s="679"/>
      <c r="F3840" s="499">
        <v>512</v>
      </c>
      <c r="G3840" s="496" t="s">
        <v>4159</v>
      </c>
      <c r="H3840" s="555"/>
      <c r="I3840" s="556"/>
      <c r="J3840" s="556">
        <f t="shared" si="129"/>
        <v>0</v>
      </c>
      <c r="K3840" s="505"/>
      <c r="L3840" s="505"/>
      <c r="M3840" s="505"/>
      <c r="N3840" s="505"/>
      <c r="O3840" s="505"/>
      <c r="P3840" s="505"/>
      <c r="Q3840" s="505"/>
      <c r="R3840" s="505"/>
      <c r="S3840" s="505"/>
      <c r="T3840" s="505"/>
      <c r="U3840" s="505"/>
      <c r="V3840" s="505"/>
      <c r="W3840" s="505"/>
      <c r="X3840" s="505"/>
      <c r="Y3840" s="505"/>
    </row>
    <row r="3841" spans="1:25" s="88" customFormat="1" hidden="1" x14ac:dyDescent="0.25">
      <c r="A3841" s="258"/>
      <c r="B3841" s="258"/>
      <c r="C3841" s="261"/>
      <c r="D3841" s="258"/>
      <c r="E3841" s="679"/>
      <c r="F3841" s="499">
        <v>513</v>
      </c>
      <c r="G3841" s="496" t="s">
        <v>4160</v>
      </c>
      <c r="H3841" s="555"/>
      <c r="I3841" s="556"/>
      <c r="J3841" s="556">
        <f t="shared" si="129"/>
        <v>0</v>
      </c>
      <c r="K3841" s="505"/>
      <c r="L3841" s="505"/>
      <c r="M3841" s="505"/>
      <c r="N3841" s="505"/>
      <c r="O3841" s="505"/>
      <c r="P3841" s="505"/>
      <c r="Q3841" s="505"/>
      <c r="R3841" s="505"/>
      <c r="S3841" s="505"/>
      <c r="T3841" s="505"/>
      <c r="U3841" s="505"/>
      <c r="V3841" s="505"/>
      <c r="W3841" s="505"/>
      <c r="X3841" s="505"/>
      <c r="Y3841" s="505"/>
    </row>
    <row r="3842" spans="1:25" s="88" customFormat="1" hidden="1" x14ac:dyDescent="0.25">
      <c r="A3842" s="258"/>
      <c r="B3842" s="258"/>
      <c r="C3842" s="261"/>
      <c r="D3842" s="258"/>
      <c r="E3842" s="679"/>
      <c r="F3842" s="499">
        <v>514</v>
      </c>
      <c r="G3842" s="492" t="s">
        <v>4161</v>
      </c>
      <c r="H3842" s="555"/>
      <c r="I3842" s="556"/>
      <c r="J3842" s="556">
        <f t="shared" si="129"/>
        <v>0</v>
      </c>
      <c r="K3842" s="505"/>
      <c r="L3842" s="505"/>
      <c r="M3842" s="505"/>
      <c r="N3842" s="505"/>
      <c r="O3842" s="505"/>
      <c r="P3842" s="505"/>
      <c r="Q3842" s="505"/>
      <c r="R3842" s="505"/>
      <c r="S3842" s="505"/>
      <c r="T3842" s="505"/>
      <c r="U3842" s="505"/>
      <c r="V3842" s="505"/>
      <c r="W3842" s="505"/>
      <c r="X3842" s="505"/>
      <c r="Y3842" s="505"/>
    </row>
    <row r="3843" spans="1:25" s="88" customFormat="1" hidden="1" x14ac:dyDescent="0.25">
      <c r="A3843" s="258"/>
      <c r="B3843" s="258"/>
      <c r="C3843" s="261"/>
      <c r="D3843" s="258"/>
      <c r="E3843" s="679"/>
      <c r="F3843" s="499">
        <v>515</v>
      </c>
      <c r="G3843" s="492" t="s">
        <v>3834</v>
      </c>
      <c r="H3843" s="555"/>
      <c r="I3843" s="556"/>
      <c r="J3843" s="556">
        <f t="shared" si="129"/>
        <v>0</v>
      </c>
      <c r="K3843" s="505"/>
      <c r="L3843" s="505"/>
      <c r="M3843" s="505"/>
      <c r="N3843" s="505"/>
      <c r="O3843" s="505"/>
      <c r="P3843" s="505"/>
      <c r="Q3843" s="505"/>
      <c r="R3843" s="505"/>
      <c r="S3843" s="505"/>
      <c r="T3843" s="505"/>
      <c r="U3843" s="505"/>
      <c r="V3843" s="505"/>
      <c r="W3843" s="505"/>
      <c r="X3843" s="505"/>
      <c r="Y3843" s="505"/>
    </row>
    <row r="3844" spans="1:25" s="88" customFormat="1" hidden="1" x14ac:dyDescent="0.25">
      <c r="A3844" s="258"/>
      <c r="B3844" s="258"/>
      <c r="C3844" s="261"/>
      <c r="D3844" s="258"/>
      <c r="E3844" s="679"/>
      <c r="F3844" s="499">
        <v>521</v>
      </c>
      <c r="G3844" s="492" t="s">
        <v>4162</v>
      </c>
      <c r="H3844" s="555"/>
      <c r="I3844" s="556"/>
      <c r="J3844" s="556">
        <f t="shared" si="129"/>
        <v>0</v>
      </c>
      <c r="K3844" s="505"/>
      <c r="L3844" s="505"/>
      <c r="M3844" s="505"/>
      <c r="N3844" s="505"/>
      <c r="O3844" s="505"/>
      <c r="P3844" s="505"/>
      <c r="Q3844" s="505"/>
      <c r="R3844" s="505"/>
      <c r="S3844" s="505"/>
      <c r="T3844" s="505"/>
      <c r="U3844" s="505"/>
      <c r="V3844" s="505"/>
      <c r="W3844" s="505"/>
      <c r="X3844" s="505"/>
      <c r="Y3844" s="505"/>
    </row>
    <row r="3845" spans="1:25" s="88" customFormat="1" hidden="1" x14ac:dyDescent="0.25">
      <c r="A3845" s="258"/>
      <c r="B3845" s="258"/>
      <c r="C3845" s="261"/>
      <c r="D3845" s="258"/>
      <c r="E3845" s="679"/>
      <c r="F3845" s="499">
        <v>522</v>
      </c>
      <c r="G3845" s="492" t="s">
        <v>4163</v>
      </c>
      <c r="H3845" s="555"/>
      <c r="I3845" s="556"/>
      <c r="J3845" s="556">
        <f t="shared" si="129"/>
        <v>0</v>
      </c>
      <c r="K3845" s="505"/>
      <c r="L3845" s="505"/>
      <c r="M3845" s="505"/>
      <c r="N3845" s="505"/>
      <c r="O3845" s="505"/>
      <c r="P3845" s="505"/>
      <c r="Q3845" s="505"/>
      <c r="R3845" s="505"/>
      <c r="S3845" s="505"/>
      <c r="T3845" s="505"/>
      <c r="U3845" s="505"/>
      <c r="V3845" s="505"/>
      <c r="W3845" s="505"/>
      <c r="X3845" s="505"/>
      <c r="Y3845" s="505"/>
    </row>
    <row r="3846" spans="1:25" s="88" customFormat="1" hidden="1" x14ac:dyDescent="0.25">
      <c r="A3846" s="258"/>
      <c r="B3846" s="258"/>
      <c r="C3846" s="261"/>
      <c r="D3846" s="258"/>
      <c r="E3846" s="679"/>
      <c r="F3846" s="499">
        <v>523</v>
      </c>
      <c r="G3846" s="492" t="s">
        <v>3839</v>
      </c>
      <c r="H3846" s="555"/>
      <c r="I3846" s="556"/>
      <c r="J3846" s="556">
        <f t="shared" si="129"/>
        <v>0</v>
      </c>
      <c r="K3846" s="505"/>
      <c r="L3846" s="505"/>
      <c r="M3846" s="505"/>
      <c r="N3846" s="505"/>
      <c r="O3846" s="505"/>
      <c r="P3846" s="505"/>
      <c r="Q3846" s="505"/>
      <c r="R3846" s="505"/>
      <c r="S3846" s="505"/>
      <c r="T3846" s="505"/>
      <c r="U3846" s="505"/>
      <c r="V3846" s="505"/>
      <c r="W3846" s="505"/>
      <c r="X3846" s="505"/>
      <c r="Y3846" s="505"/>
    </row>
    <row r="3847" spans="1:25" s="88" customFormat="1" hidden="1" x14ac:dyDescent="0.25">
      <c r="A3847" s="258"/>
      <c r="B3847" s="258"/>
      <c r="C3847" s="261"/>
      <c r="D3847" s="258"/>
      <c r="E3847" s="679"/>
      <c r="F3847" s="499">
        <v>531</v>
      </c>
      <c r="G3847" s="488" t="s">
        <v>4139</v>
      </c>
      <c r="H3847" s="555"/>
      <c r="I3847" s="556"/>
      <c r="J3847" s="556">
        <f t="shared" si="129"/>
        <v>0</v>
      </c>
      <c r="K3847" s="505"/>
      <c r="L3847" s="505"/>
      <c r="M3847" s="505"/>
      <c r="N3847" s="505"/>
      <c r="O3847" s="505"/>
      <c r="P3847" s="505"/>
      <c r="Q3847" s="505"/>
      <c r="R3847" s="505"/>
      <c r="S3847" s="505"/>
      <c r="T3847" s="505"/>
      <c r="U3847" s="505"/>
      <c r="V3847" s="505"/>
      <c r="W3847" s="505"/>
      <c r="X3847" s="505"/>
      <c r="Y3847" s="505"/>
    </row>
    <row r="3848" spans="1:25" s="88" customFormat="1" hidden="1" x14ac:dyDescent="0.25">
      <c r="A3848" s="258"/>
      <c r="B3848" s="258"/>
      <c r="C3848" s="261"/>
      <c r="D3848" s="258"/>
      <c r="E3848" s="679"/>
      <c r="F3848" s="499">
        <v>541</v>
      </c>
      <c r="G3848" s="492" t="s">
        <v>4164</v>
      </c>
      <c r="H3848" s="555"/>
      <c r="I3848" s="556"/>
      <c r="J3848" s="556">
        <f t="shared" si="129"/>
        <v>0</v>
      </c>
      <c r="K3848" s="505"/>
      <c r="L3848" s="505"/>
      <c r="M3848" s="505"/>
      <c r="N3848" s="505"/>
      <c r="O3848" s="505"/>
      <c r="P3848" s="505"/>
      <c r="Q3848" s="505"/>
      <c r="R3848" s="505"/>
      <c r="S3848" s="505"/>
      <c r="T3848" s="505"/>
      <c r="U3848" s="505"/>
      <c r="V3848" s="505"/>
      <c r="W3848" s="505"/>
      <c r="X3848" s="505"/>
      <c r="Y3848" s="505"/>
    </row>
    <row r="3849" spans="1:25" s="88" customFormat="1" hidden="1" x14ac:dyDescent="0.25">
      <c r="A3849" s="258"/>
      <c r="B3849" s="258"/>
      <c r="C3849" s="261"/>
      <c r="D3849" s="258"/>
      <c r="E3849" s="679"/>
      <c r="F3849" s="499">
        <v>542</v>
      </c>
      <c r="G3849" s="492" t="s">
        <v>4165</v>
      </c>
      <c r="H3849" s="555"/>
      <c r="I3849" s="556"/>
      <c r="J3849" s="556">
        <f t="shared" si="129"/>
        <v>0</v>
      </c>
      <c r="K3849" s="505"/>
      <c r="L3849" s="505"/>
      <c r="M3849" s="505"/>
      <c r="N3849" s="505"/>
      <c r="O3849" s="505"/>
      <c r="P3849" s="505"/>
      <c r="Q3849" s="505"/>
      <c r="R3849" s="505"/>
      <c r="S3849" s="505"/>
      <c r="T3849" s="505"/>
      <c r="U3849" s="505"/>
      <c r="V3849" s="505"/>
      <c r="W3849" s="505"/>
      <c r="X3849" s="505"/>
      <c r="Y3849" s="505"/>
    </row>
    <row r="3850" spans="1:25" s="88" customFormat="1" hidden="1" x14ac:dyDescent="0.25">
      <c r="A3850" s="258"/>
      <c r="B3850" s="258"/>
      <c r="C3850" s="261"/>
      <c r="D3850" s="258"/>
      <c r="E3850" s="679"/>
      <c r="F3850" s="499">
        <v>543</v>
      </c>
      <c r="G3850" s="492" t="s">
        <v>3844</v>
      </c>
      <c r="H3850" s="555"/>
      <c r="I3850" s="556"/>
      <c r="J3850" s="556">
        <f t="shared" si="129"/>
        <v>0</v>
      </c>
      <c r="K3850" s="505"/>
      <c r="L3850" s="505"/>
      <c r="M3850" s="505"/>
      <c r="N3850" s="505"/>
      <c r="O3850" s="505"/>
      <c r="P3850" s="505"/>
      <c r="Q3850" s="505"/>
      <c r="R3850" s="505"/>
      <c r="S3850" s="505"/>
      <c r="T3850" s="505"/>
      <c r="U3850" s="505"/>
      <c r="V3850" s="505"/>
      <c r="W3850" s="505"/>
      <c r="X3850" s="505"/>
      <c r="Y3850" s="505"/>
    </row>
    <row r="3851" spans="1:25" s="88" customFormat="1" ht="30" hidden="1" x14ac:dyDescent="0.25">
      <c r="A3851" s="258"/>
      <c r="B3851" s="258"/>
      <c r="C3851" s="261"/>
      <c r="D3851" s="258"/>
      <c r="E3851" s="679"/>
      <c r="F3851" s="499">
        <v>551</v>
      </c>
      <c r="G3851" s="492" t="s">
        <v>4140</v>
      </c>
      <c r="H3851" s="555"/>
      <c r="I3851" s="556"/>
      <c r="J3851" s="556">
        <f t="shared" si="129"/>
        <v>0</v>
      </c>
      <c r="K3851" s="505"/>
      <c r="L3851" s="505"/>
      <c r="M3851" s="505"/>
      <c r="N3851" s="505"/>
      <c r="O3851" s="505"/>
      <c r="P3851" s="505"/>
      <c r="Q3851" s="505"/>
      <c r="R3851" s="505"/>
      <c r="S3851" s="505"/>
      <c r="T3851" s="505"/>
      <c r="U3851" s="505"/>
      <c r="V3851" s="505"/>
      <c r="W3851" s="505"/>
      <c r="X3851" s="505"/>
      <c r="Y3851" s="505"/>
    </row>
    <row r="3852" spans="1:25" s="88" customFormat="1" hidden="1" x14ac:dyDescent="0.25">
      <c r="A3852" s="258"/>
      <c r="B3852" s="258"/>
      <c r="C3852" s="261"/>
      <c r="D3852" s="258"/>
      <c r="E3852" s="679"/>
      <c r="F3852" s="500">
        <v>611</v>
      </c>
      <c r="G3852" s="498" t="s">
        <v>3850</v>
      </c>
      <c r="H3852" s="555"/>
      <c r="I3852" s="556"/>
      <c r="J3852" s="556">
        <f t="shared" si="129"/>
        <v>0</v>
      </c>
      <c r="K3852" s="505"/>
      <c r="L3852" s="505"/>
      <c r="M3852" s="505"/>
      <c r="N3852" s="505"/>
      <c r="O3852" s="505"/>
      <c r="P3852" s="505"/>
      <c r="Q3852" s="505"/>
      <c r="R3852" s="505"/>
      <c r="S3852" s="505"/>
      <c r="T3852" s="505"/>
      <c r="U3852" s="505"/>
      <c r="V3852" s="505"/>
      <c r="W3852" s="505"/>
      <c r="X3852" s="505"/>
      <c r="Y3852" s="505"/>
    </row>
    <row r="3853" spans="1:25" s="88" customFormat="1" ht="15.75" hidden="1" thickBot="1" x14ac:dyDescent="0.3">
      <c r="A3853" s="258"/>
      <c r="B3853" s="258"/>
      <c r="C3853" s="261"/>
      <c r="D3853" s="258"/>
      <c r="E3853" s="679"/>
      <c r="F3853" s="500">
        <v>620</v>
      </c>
      <c r="G3853" s="498" t="s">
        <v>88</v>
      </c>
      <c r="H3853" s="555"/>
      <c r="I3853" s="556"/>
      <c r="J3853" s="556">
        <f t="shared" si="129"/>
        <v>0</v>
      </c>
      <c r="K3853" s="505"/>
      <c r="L3853" s="505"/>
      <c r="M3853" s="505"/>
      <c r="N3853" s="505"/>
      <c r="O3853" s="505"/>
      <c r="P3853" s="505"/>
      <c r="Q3853" s="505"/>
      <c r="R3853" s="505"/>
      <c r="S3853" s="505"/>
      <c r="T3853" s="505"/>
      <c r="U3853" s="505"/>
      <c r="V3853" s="505"/>
      <c r="W3853" s="505"/>
      <c r="X3853" s="505"/>
      <c r="Y3853" s="505"/>
    </row>
    <row r="3854" spans="1:25" s="88" customFormat="1" x14ac:dyDescent="0.25">
      <c r="A3854" s="258"/>
      <c r="B3854" s="258"/>
      <c r="C3854" s="261"/>
      <c r="D3854" s="258"/>
      <c r="E3854" s="489"/>
      <c r="F3854" s="500"/>
      <c r="G3854" s="343" t="s">
        <v>4337</v>
      </c>
      <c r="H3854" s="557"/>
      <c r="I3854" s="583"/>
      <c r="J3854" s="558"/>
      <c r="K3854" s="505"/>
      <c r="L3854" s="505"/>
      <c r="M3854" s="505"/>
      <c r="N3854" s="505"/>
      <c r="O3854" s="505"/>
      <c r="P3854" s="505"/>
      <c r="Q3854" s="505"/>
      <c r="R3854" s="505"/>
      <c r="S3854" s="505"/>
      <c r="T3854" s="505"/>
      <c r="U3854" s="505"/>
      <c r="V3854" s="505"/>
      <c r="W3854" s="505"/>
      <c r="X3854" s="505"/>
      <c r="Y3854" s="505"/>
    </row>
    <row r="3855" spans="1:25" s="88" customFormat="1" ht="15" customHeight="1" thickBot="1" x14ac:dyDescent="0.3">
      <c r="A3855" s="258"/>
      <c r="B3855" s="258"/>
      <c r="C3855" s="261"/>
      <c r="D3855" s="258"/>
      <c r="E3855" s="693"/>
      <c r="F3855" s="597" t="s">
        <v>234</v>
      </c>
      <c r="G3855" s="598" t="s">
        <v>235</v>
      </c>
      <c r="H3855" s="559">
        <f>SUM(H3794:H3853)</f>
        <v>1200000</v>
      </c>
      <c r="I3855" s="560"/>
      <c r="J3855" s="560">
        <f t="shared" ref="J3855:J3870" si="130">SUM(H3855:I3855)</f>
        <v>1200000</v>
      </c>
      <c r="K3855" s="505"/>
      <c r="L3855" s="505"/>
      <c r="M3855" s="505"/>
      <c r="N3855" s="505"/>
      <c r="O3855" s="505"/>
      <c r="P3855" s="505"/>
      <c r="Q3855" s="505"/>
      <c r="R3855" s="505"/>
      <c r="S3855" s="505"/>
      <c r="T3855" s="505"/>
      <c r="U3855" s="505"/>
      <c r="V3855" s="505"/>
      <c r="W3855" s="505"/>
      <c r="X3855" s="505"/>
      <c r="Y3855" s="505"/>
    </row>
    <row r="3856" spans="1:25" s="88" customFormat="1" hidden="1" x14ac:dyDescent="0.25">
      <c r="A3856" s="258"/>
      <c r="B3856" s="258"/>
      <c r="C3856" s="261"/>
      <c r="D3856" s="258"/>
      <c r="E3856" s="679"/>
      <c r="F3856" s="597" t="s">
        <v>236</v>
      </c>
      <c r="G3856" s="598" t="s">
        <v>237</v>
      </c>
      <c r="H3856" s="555"/>
      <c r="I3856" s="556"/>
      <c r="J3856" s="560">
        <f t="shared" si="130"/>
        <v>0</v>
      </c>
      <c r="K3856" s="505"/>
      <c r="L3856" s="505"/>
      <c r="M3856" s="505"/>
      <c r="N3856" s="505"/>
      <c r="O3856" s="505"/>
      <c r="P3856" s="505"/>
      <c r="Q3856" s="505"/>
      <c r="R3856" s="505"/>
      <c r="S3856" s="505"/>
      <c r="T3856" s="505"/>
      <c r="U3856" s="505"/>
      <c r="V3856" s="505"/>
      <c r="W3856" s="505"/>
      <c r="X3856" s="505"/>
      <c r="Y3856" s="505"/>
    </row>
    <row r="3857" spans="1:25" s="88" customFormat="1" hidden="1" x14ac:dyDescent="0.25">
      <c r="A3857" s="258"/>
      <c r="B3857" s="258"/>
      <c r="C3857" s="261"/>
      <c r="D3857" s="258"/>
      <c r="E3857" s="679"/>
      <c r="F3857" s="597" t="s">
        <v>238</v>
      </c>
      <c r="G3857" s="598" t="s">
        <v>239</v>
      </c>
      <c r="H3857" s="555"/>
      <c r="I3857" s="556"/>
      <c r="J3857" s="560">
        <f t="shared" si="130"/>
        <v>0</v>
      </c>
      <c r="K3857" s="505"/>
      <c r="L3857" s="505"/>
      <c r="M3857" s="505"/>
      <c r="N3857" s="505"/>
      <c r="O3857" s="505"/>
      <c r="P3857" s="505"/>
      <c r="Q3857" s="505"/>
      <c r="R3857" s="505"/>
      <c r="S3857" s="505"/>
      <c r="T3857" s="505"/>
      <c r="U3857" s="505"/>
      <c r="V3857" s="505"/>
      <c r="W3857" s="505"/>
      <c r="X3857" s="505"/>
      <c r="Y3857" s="505"/>
    </row>
    <row r="3858" spans="1:25" s="88" customFormat="1" hidden="1" x14ac:dyDescent="0.25">
      <c r="A3858" s="258"/>
      <c r="B3858" s="258"/>
      <c r="C3858" s="261"/>
      <c r="D3858" s="258"/>
      <c r="E3858" s="679"/>
      <c r="F3858" s="597" t="s">
        <v>240</v>
      </c>
      <c r="G3858" s="598" t="s">
        <v>241</v>
      </c>
      <c r="H3858" s="555"/>
      <c r="I3858" s="556"/>
      <c r="J3858" s="560">
        <f t="shared" si="130"/>
        <v>0</v>
      </c>
      <c r="K3858" s="505"/>
      <c r="L3858" s="505"/>
      <c r="M3858" s="505"/>
      <c r="N3858" s="505"/>
      <c r="O3858" s="505"/>
      <c r="P3858" s="505"/>
      <c r="Q3858" s="505"/>
      <c r="R3858" s="505"/>
      <c r="S3858" s="505"/>
      <c r="T3858" s="505"/>
      <c r="U3858" s="505"/>
      <c r="V3858" s="505"/>
      <c r="W3858" s="505"/>
      <c r="X3858" s="505"/>
      <c r="Y3858" s="505"/>
    </row>
    <row r="3859" spans="1:25" s="88" customFormat="1" hidden="1" x14ac:dyDescent="0.25">
      <c r="A3859" s="258"/>
      <c r="B3859" s="258"/>
      <c r="C3859" s="261"/>
      <c r="D3859" s="258"/>
      <c r="E3859" s="679"/>
      <c r="F3859" s="597" t="s">
        <v>242</v>
      </c>
      <c r="G3859" s="598" t="s">
        <v>243</v>
      </c>
      <c r="H3859" s="555"/>
      <c r="I3859" s="556"/>
      <c r="J3859" s="560">
        <f t="shared" si="130"/>
        <v>0</v>
      </c>
      <c r="K3859" s="505"/>
      <c r="L3859" s="505"/>
      <c r="M3859" s="505"/>
      <c r="N3859" s="505"/>
      <c r="O3859" s="505"/>
      <c r="P3859" s="505"/>
      <c r="Q3859" s="505"/>
      <c r="R3859" s="505"/>
      <c r="S3859" s="505"/>
      <c r="T3859" s="505"/>
      <c r="U3859" s="505"/>
      <c r="V3859" s="505"/>
      <c r="W3859" s="505"/>
      <c r="X3859" s="505"/>
      <c r="Y3859" s="505"/>
    </row>
    <row r="3860" spans="1:25" s="88" customFormat="1" hidden="1" x14ac:dyDescent="0.25">
      <c r="A3860" s="258"/>
      <c r="B3860" s="258"/>
      <c r="C3860" s="261"/>
      <c r="D3860" s="258"/>
      <c r="E3860" s="679"/>
      <c r="F3860" s="597" t="s">
        <v>244</v>
      </c>
      <c r="G3860" s="598" t="s">
        <v>245</v>
      </c>
      <c r="H3860" s="555"/>
      <c r="I3860" s="556"/>
      <c r="J3860" s="560">
        <f t="shared" si="130"/>
        <v>0</v>
      </c>
      <c r="K3860" s="505"/>
      <c r="L3860" s="505"/>
      <c r="M3860" s="505"/>
      <c r="N3860" s="505"/>
      <c r="O3860" s="505"/>
      <c r="P3860" s="505"/>
      <c r="Q3860" s="505"/>
      <c r="R3860" s="505"/>
      <c r="S3860" s="505"/>
      <c r="T3860" s="505"/>
      <c r="U3860" s="505"/>
      <c r="V3860" s="505"/>
      <c r="W3860" s="505"/>
      <c r="X3860" s="505"/>
      <c r="Y3860" s="505"/>
    </row>
    <row r="3861" spans="1:25" s="88" customFormat="1" hidden="1" x14ac:dyDescent="0.25">
      <c r="A3861" s="258"/>
      <c r="B3861" s="258"/>
      <c r="C3861" s="261"/>
      <c r="D3861" s="258"/>
      <c r="E3861" s="679"/>
      <c r="F3861" s="597" t="s">
        <v>246</v>
      </c>
      <c r="G3861" s="598" t="s">
        <v>4996</v>
      </c>
      <c r="H3861" s="555"/>
      <c r="I3861" s="556"/>
      <c r="J3861" s="560">
        <f t="shared" si="130"/>
        <v>0</v>
      </c>
      <c r="K3861" s="505"/>
      <c r="L3861" s="505"/>
      <c r="M3861" s="505"/>
      <c r="N3861" s="505"/>
      <c r="O3861" s="505"/>
      <c r="P3861" s="505"/>
      <c r="Q3861" s="505"/>
      <c r="R3861" s="505"/>
      <c r="S3861" s="505"/>
      <c r="T3861" s="505"/>
      <c r="U3861" s="505"/>
      <c r="V3861" s="505"/>
      <c r="W3861" s="505"/>
      <c r="X3861" s="505"/>
      <c r="Y3861" s="505"/>
    </row>
    <row r="3862" spans="1:25" s="88" customFormat="1" hidden="1" x14ac:dyDescent="0.25">
      <c r="A3862" s="258"/>
      <c r="B3862" s="258"/>
      <c r="C3862" s="261"/>
      <c r="D3862" s="258"/>
      <c r="E3862" s="679"/>
      <c r="F3862" s="597" t="s">
        <v>247</v>
      </c>
      <c r="G3862" s="598" t="s">
        <v>4995</v>
      </c>
      <c r="H3862" s="555"/>
      <c r="I3862" s="556"/>
      <c r="J3862" s="560">
        <f t="shared" si="130"/>
        <v>0</v>
      </c>
      <c r="K3862" s="505"/>
      <c r="L3862" s="505"/>
      <c r="M3862" s="505"/>
      <c r="N3862" s="505"/>
      <c r="O3862" s="505"/>
      <c r="P3862" s="505"/>
      <c r="Q3862" s="505"/>
      <c r="R3862" s="505"/>
      <c r="S3862" s="505"/>
      <c r="T3862" s="505"/>
      <c r="U3862" s="505"/>
      <c r="V3862" s="505"/>
      <c r="W3862" s="505"/>
      <c r="X3862" s="505"/>
      <c r="Y3862" s="505"/>
    </row>
    <row r="3863" spans="1:25" s="88" customFormat="1" hidden="1" x14ac:dyDescent="0.25">
      <c r="A3863" s="258"/>
      <c r="B3863" s="258"/>
      <c r="C3863" s="261"/>
      <c r="D3863" s="258"/>
      <c r="E3863" s="679"/>
      <c r="F3863" s="597" t="s">
        <v>248</v>
      </c>
      <c r="G3863" s="598" t="s">
        <v>57</v>
      </c>
      <c r="H3863" s="555"/>
      <c r="I3863" s="556"/>
      <c r="J3863" s="560">
        <f t="shared" si="130"/>
        <v>0</v>
      </c>
      <c r="K3863" s="505"/>
      <c r="L3863" s="505"/>
      <c r="M3863" s="505"/>
      <c r="N3863" s="505"/>
      <c r="O3863" s="505"/>
      <c r="P3863" s="505"/>
      <c r="Q3863" s="505"/>
      <c r="R3863" s="505"/>
      <c r="S3863" s="505"/>
      <c r="T3863" s="505"/>
      <c r="U3863" s="505"/>
      <c r="V3863" s="505"/>
      <c r="W3863" s="505"/>
      <c r="X3863" s="505"/>
      <c r="Y3863" s="505"/>
    </row>
    <row r="3864" spans="1:25" s="88" customFormat="1" hidden="1" x14ac:dyDescent="0.25">
      <c r="A3864" s="258"/>
      <c r="B3864" s="258"/>
      <c r="C3864" s="261"/>
      <c r="D3864" s="258"/>
      <c r="E3864" s="679"/>
      <c r="F3864" s="597" t="s">
        <v>249</v>
      </c>
      <c r="G3864" s="598" t="s">
        <v>250</v>
      </c>
      <c r="H3864" s="555"/>
      <c r="I3864" s="556"/>
      <c r="J3864" s="560">
        <f t="shared" si="130"/>
        <v>0</v>
      </c>
      <c r="K3864" s="505"/>
      <c r="L3864" s="505"/>
      <c r="M3864" s="505"/>
      <c r="N3864" s="505"/>
      <c r="O3864" s="505"/>
      <c r="P3864" s="505"/>
      <c r="Q3864" s="505"/>
      <c r="R3864" s="505"/>
      <c r="S3864" s="505"/>
      <c r="T3864" s="505"/>
      <c r="U3864" s="505"/>
      <c r="V3864" s="505"/>
      <c r="W3864" s="505"/>
      <c r="X3864" s="505"/>
      <c r="Y3864" s="505"/>
    </row>
    <row r="3865" spans="1:25" s="88" customFormat="1" hidden="1" x14ac:dyDescent="0.25">
      <c r="A3865" s="258"/>
      <c r="B3865" s="258"/>
      <c r="C3865" s="261"/>
      <c r="D3865" s="258"/>
      <c r="E3865" s="679"/>
      <c r="F3865" s="597" t="s">
        <v>251</v>
      </c>
      <c r="G3865" s="598" t="s">
        <v>252</v>
      </c>
      <c r="H3865" s="555"/>
      <c r="I3865" s="556"/>
      <c r="J3865" s="560">
        <f t="shared" si="130"/>
        <v>0</v>
      </c>
      <c r="K3865" s="505"/>
      <c r="L3865" s="505"/>
      <c r="M3865" s="505"/>
      <c r="N3865" s="505"/>
      <c r="O3865" s="505"/>
      <c r="P3865" s="505"/>
      <c r="Q3865" s="505"/>
      <c r="R3865" s="505"/>
      <c r="S3865" s="505"/>
      <c r="T3865" s="505"/>
      <c r="U3865" s="505"/>
      <c r="V3865" s="505"/>
      <c r="W3865" s="505"/>
      <c r="X3865" s="505"/>
      <c r="Y3865" s="505"/>
    </row>
    <row r="3866" spans="1:25" s="88" customFormat="1" ht="30" hidden="1" x14ac:dyDescent="0.25">
      <c r="A3866" s="258"/>
      <c r="B3866" s="258"/>
      <c r="C3866" s="261"/>
      <c r="D3866" s="258"/>
      <c r="E3866" s="679"/>
      <c r="F3866" s="597" t="s">
        <v>253</v>
      </c>
      <c r="G3866" s="598" t="s">
        <v>254</v>
      </c>
      <c r="H3866" s="555"/>
      <c r="I3866" s="556"/>
      <c r="J3866" s="560">
        <f t="shared" si="130"/>
        <v>0</v>
      </c>
      <c r="K3866" s="505"/>
      <c r="L3866" s="505"/>
      <c r="M3866" s="505"/>
      <c r="N3866" s="505"/>
      <c r="O3866" s="505"/>
      <c r="P3866" s="505"/>
      <c r="Q3866" s="505"/>
      <c r="R3866" s="505"/>
      <c r="S3866" s="505"/>
      <c r="T3866" s="505"/>
      <c r="U3866" s="505"/>
      <c r="V3866" s="505"/>
      <c r="W3866" s="505"/>
      <c r="X3866" s="505"/>
      <c r="Y3866" s="505"/>
    </row>
    <row r="3867" spans="1:25" s="88" customFormat="1" hidden="1" x14ac:dyDescent="0.25">
      <c r="A3867" s="258"/>
      <c r="B3867" s="258"/>
      <c r="C3867" s="261"/>
      <c r="D3867" s="258"/>
      <c r="E3867" s="679"/>
      <c r="F3867" s="597" t="s">
        <v>255</v>
      </c>
      <c r="G3867" s="598" t="s">
        <v>256</v>
      </c>
      <c r="H3867" s="555"/>
      <c r="I3867" s="556"/>
      <c r="J3867" s="560">
        <f t="shared" si="130"/>
        <v>0</v>
      </c>
      <c r="K3867" s="505"/>
      <c r="L3867" s="505"/>
      <c r="M3867" s="505"/>
      <c r="N3867" s="505"/>
      <c r="O3867" s="505"/>
      <c r="P3867" s="505"/>
      <c r="Q3867" s="505"/>
      <c r="R3867" s="505"/>
      <c r="S3867" s="505"/>
      <c r="T3867" s="505"/>
      <c r="U3867" s="505"/>
      <c r="V3867" s="505"/>
      <c r="W3867" s="505"/>
      <c r="X3867" s="505"/>
      <c r="Y3867" s="505"/>
    </row>
    <row r="3868" spans="1:25" s="88" customFormat="1" ht="30" hidden="1" x14ac:dyDescent="0.25">
      <c r="A3868" s="258"/>
      <c r="B3868" s="258"/>
      <c r="C3868" s="261"/>
      <c r="D3868" s="258"/>
      <c r="E3868" s="679"/>
      <c r="F3868" s="597" t="s">
        <v>257</v>
      </c>
      <c r="G3868" s="598" t="s">
        <v>258</v>
      </c>
      <c r="H3868" s="555"/>
      <c r="I3868" s="556"/>
      <c r="J3868" s="560">
        <f t="shared" si="130"/>
        <v>0</v>
      </c>
      <c r="K3868" s="505"/>
      <c r="L3868" s="505"/>
      <c r="M3868" s="505"/>
      <c r="N3868" s="505"/>
      <c r="O3868" s="505"/>
      <c r="P3868" s="505"/>
      <c r="Q3868" s="505"/>
      <c r="R3868" s="505"/>
      <c r="S3868" s="505"/>
      <c r="T3868" s="505"/>
      <c r="U3868" s="505"/>
      <c r="V3868" s="505"/>
      <c r="W3868" s="505"/>
      <c r="X3868" s="505"/>
      <c r="Y3868" s="505"/>
    </row>
    <row r="3869" spans="1:25" s="88" customFormat="1" hidden="1" x14ac:dyDescent="0.25">
      <c r="A3869" s="258"/>
      <c r="B3869" s="258"/>
      <c r="C3869" s="261"/>
      <c r="D3869" s="258"/>
      <c r="E3869" s="679"/>
      <c r="F3869" s="597" t="s">
        <v>259</v>
      </c>
      <c r="G3869" s="598" t="s">
        <v>260</v>
      </c>
      <c r="H3869" s="555"/>
      <c r="I3869" s="556"/>
      <c r="J3869" s="560">
        <f t="shared" si="130"/>
        <v>0</v>
      </c>
      <c r="K3869" s="505"/>
      <c r="L3869" s="505"/>
      <c r="M3869" s="505"/>
      <c r="N3869" s="505"/>
      <c r="O3869" s="505"/>
      <c r="P3869" s="505"/>
      <c r="Q3869" s="505"/>
      <c r="R3869" s="505"/>
      <c r="S3869" s="505"/>
      <c r="T3869" s="505"/>
      <c r="U3869" s="505"/>
      <c r="V3869" s="505"/>
      <c r="W3869" s="505"/>
      <c r="X3869" s="505"/>
      <c r="Y3869" s="505"/>
    </row>
    <row r="3870" spans="1:25" s="88" customFormat="1" ht="15.75" hidden="1" thickBot="1" x14ac:dyDescent="0.3">
      <c r="A3870" s="258"/>
      <c r="B3870" s="258"/>
      <c r="C3870" s="261"/>
      <c r="D3870" s="258"/>
      <c r="E3870" s="679"/>
      <c r="F3870" s="597" t="s">
        <v>261</v>
      </c>
      <c r="G3870" s="598" t="s">
        <v>262</v>
      </c>
      <c r="H3870" s="559"/>
      <c r="I3870" s="560"/>
      <c r="J3870" s="560">
        <f t="shared" si="130"/>
        <v>0</v>
      </c>
      <c r="K3870" s="505"/>
      <c r="L3870" s="505"/>
      <c r="M3870" s="505"/>
      <c r="N3870" s="505"/>
      <c r="O3870" s="505"/>
      <c r="P3870" s="505"/>
      <c r="Q3870" s="505"/>
      <c r="R3870" s="505"/>
      <c r="S3870" s="505"/>
      <c r="T3870" s="505"/>
      <c r="U3870" s="505"/>
      <c r="V3870" s="505"/>
      <c r="W3870" s="505"/>
      <c r="X3870" s="505"/>
      <c r="Y3870" s="505"/>
    </row>
    <row r="3871" spans="1:25" s="88" customFormat="1" ht="14.25" customHeight="1" thickBot="1" x14ac:dyDescent="0.3">
      <c r="A3871" s="258"/>
      <c r="B3871" s="258"/>
      <c r="C3871" s="261"/>
      <c r="D3871" s="258"/>
      <c r="E3871" s="679"/>
      <c r="F3871" s="258"/>
      <c r="G3871" s="728" t="s">
        <v>4338</v>
      </c>
      <c r="H3871" s="561">
        <f>SUM(H3855:H3870)</f>
        <v>1200000</v>
      </c>
      <c r="I3871" s="562">
        <f>SUM(I3856:I3870)</f>
        <v>0</v>
      </c>
      <c r="J3871" s="562">
        <f>SUM(J3855:J3870)</f>
        <v>1200000</v>
      </c>
      <c r="K3871" s="505"/>
      <c r="L3871" s="505"/>
      <c r="M3871" s="505"/>
      <c r="N3871" s="505"/>
      <c r="O3871" s="505"/>
      <c r="P3871" s="505"/>
      <c r="Q3871" s="505"/>
      <c r="R3871" s="505"/>
      <c r="S3871" s="505"/>
      <c r="T3871" s="505"/>
      <c r="U3871" s="505"/>
      <c r="V3871" s="505"/>
      <c r="W3871" s="505"/>
      <c r="X3871" s="505"/>
      <c r="Y3871" s="505"/>
    </row>
    <row r="3872" spans="1:25" s="88" customFormat="1" ht="15" customHeight="1" x14ac:dyDescent="0.25">
      <c r="A3872" s="258"/>
      <c r="B3872" s="258"/>
      <c r="C3872" s="261"/>
      <c r="D3872" s="258"/>
      <c r="E3872" s="489"/>
      <c r="F3872" s="500"/>
      <c r="G3872" s="270" t="s">
        <v>5292</v>
      </c>
      <c r="H3872" s="563"/>
      <c r="I3872" s="584"/>
      <c r="J3872" s="564"/>
      <c r="K3872" s="505"/>
      <c r="L3872" s="505"/>
      <c r="M3872" s="505"/>
      <c r="N3872" s="505"/>
      <c r="O3872" s="505"/>
      <c r="P3872" s="505"/>
      <c r="Q3872" s="505"/>
      <c r="R3872" s="505"/>
      <c r="S3872" s="505"/>
      <c r="T3872" s="505"/>
      <c r="U3872" s="505"/>
      <c r="V3872" s="505"/>
      <c r="W3872" s="505"/>
      <c r="X3872" s="505"/>
      <c r="Y3872" s="505"/>
    </row>
    <row r="3873" spans="1:25" s="88" customFormat="1" ht="16.5" customHeight="1" thickBot="1" x14ac:dyDescent="0.3">
      <c r="A3873" s="258"/>
      <c r="B3873" s="258"/>
      <c r="C3873" s="261"/>
      <c r="D3873" s="258"/>
      <c r="E3873" s="693"/>
      <c r="F3873" s="597" t="s">
        <v>234</v>
      </c>
      <c r="G3873" s="598" t="s">
        <v>235</v>
      </c>
      <c r="H3873" s="559">
        <f>SUM(H3794:H3853)</f>
        <v>1200000</v>
      </c>
      <c r="I3873" s="560"/>
      <c r="J3873" s="560">
        <f>SUM(H3873:I3873)</f>
        <v>1200000</v>
      </c>
      <c r="K3873" s="505"/>
      <c r="L3873" s="505"/>
      <c r="M3873" s="505"/>
      <c r="N3873" s="505"/>
      <c r="O3873" s="505"/>
      <c r="P3873" s="505"/>
      <c r="Q3873" s="505"/>
      <c r="R3873" s="505"/>
      <c r="S3873" s="505"/>
      <c r="T3873" s="505"/>
      <c r="U3873" s="505"/>
      <c r="V3873" s="505"/>
      <c r="W3873" s="505"/>
      <c r="X3873" s="505"/>
      <c r="Y3873" s="505"/>
    </row>
    <row r="3874" spans="1:25" s="88" customFormat="1" hidden="1" x14ac:dyDescent="0.25">
      <c r="A3874" s="258"/>
      <c r="B3874" s="258"/>
      <c r="C3874" s="261"/>
      <c r="D3874" s="258"/>
      <c r="E3874" s="679"/>
      <c r="F3874" s="597" t="s">
        <v>236</v>
      </c>
      <c r="G3874" s="598" t="s">
        <v>237</v>
      </c>
      <c r="H3874" s="555"/>
      <c r="I3874" s="556"/>
      <c r="J3874" s="560">
        <f t="shared" ref="J3874:J3888" si="131">SUM(H3874:I3874)</f>
        <v>0</v>
      </c>
      <c r="K3874" s="505"/>
      <c r="L3874" s="505"/>
      <c r="M3874" s="505"/>
      <c r="N3874" s="505"/>
      <c r="O3874" s="505"/>
      <c r="P3874" s="505"/>
      <c r="Q3874" s="505"/>
      <c r="R3874" s="505"/>
      <c r="S3874" s="505"/>
      <c r="T3874" s="505"/>
      <c r="U3874" s="505"/>
      <c r="V3874" s="505"/>
      <c r="W3874" s="505"/>
      <c r="X3874" s="505"/>
      <c r="Y3874" s="505"/>
    </row>
    <row r="3875" spans="1:25" s="88" customFormat="1" hidden="1" x14ac:dyDescent="0.25">
      <c r="A3875" s="258"/>
      <c r="B3875" s="258"/>
      <c r="C3875" s="261"/>
      <c r="D3875" s="258"/>
      <c r="E3875" s="679"/>
      <c r="F3875" s="597" t="s">
        <v>238</v>
      </c>
      <c r="G3875" s="598" t="s">
        <v>239</v>
      </c>
      <c r="H3875" s="555"/>
      <c r="I3875" s="556"/>
      <c r="J3875" s="560">
        <f t="shared" si="131"/>
        <v>0</v>
      </c>
      <c r="K3875" s="505"/>
      <c r="L3875" s="505"/>
      <c r="M3875" s="505"/>
      <c r="N3875" s="505"/>
      <c r="O3875" s="505"/>
      <c r="P3875" s="505"/>
      <c r="Q3875" s="505"/>
      <c r="R3875" s="505"/>
      <c r="S3875" s="505"/>
      <c r="T3875" s="505"/>
      <c r="U3875" s="505"/>
      <c r="V3875" s="505"/>
      <c r="W3875" s="505"/>
      <c r="X3875" s="505"/>
      <c r="Y3875" s="505"/>
    </row>
    <row r="3876" spans="1:25" s="88" customFormat="1" hidden="1" x14ac:dyDescent="0.25">
      <c r="A3876" s="258"/>
      <c r="B3876" s="258"/>
      <c r="C3876" s="261"/>
      <c r="D3876" s="258"/>
      <c r="E3876" s="679"/>
      <c r="F3876" s="597" t="s">
        <v>240</v>
      </c>
      <c r="G3876" s="598" t="s">
        <v>241</v>
      </c>
      <c r="H3876" s="555"/>
      <c r="I3876" s="556"/>
      <c r="J3876" s="560">
        <f t="shared" si="131"/>
        <v>0</v>
      </c>
      <c r="K3876" s="505"/>
      <c r="L3876" s="505"/>
      <c r="M3876" s="505"/>
      <c r="N3876" s="505"/>
      <c r="O3876" s="505"/>
      <c r="P3876" s="505"/>
      <c r="Q3876" s="505"/>
      <c r="R3876" s="505"/>
      <c r="S3876" s="505"/>
      <c r="T3876" s="505"/>
      <c r="U3876" s="505"/>
      <c r="V3876" s="505"/>
      <c r="W3876" s="505"/>
      <c r="X3876" s="505"/>
      <c r="Y3876" s="505"/>
    </row>
    <row r="3877" spans="1:25" s="88" customFormat="1" hidden="1" x14ac:dyDescent="0.25">
      <c r="A3877" s="258"/>
      <c r="B3877" s="258"/>
      <c r="C3877" s="261"/>
      <c r="D3877" s="258"/>
      <c r="E3877" s="679"/>
      <c r="F3877" s="597" t="s">
        <v>242</v>
      </c>
      <c r="G3877" s="598" t="s">
        <v>243</v>
      </c>
      <c r="H3877" s="555"/>
      <c r="I3877" s="556"/>
      <c r="J3877" s="560">
        <f t="shared" si="131"/>
        <v>0</v>
      </c>
      <c r="K3877" s="505"/>
      <c r="L3877" s="505"/>
      <c r="M3877" s="505"/>
      <c r="N3877" s="505"/>
      <c r="O3877" s="505"/>
      <c r="P3877" s="505"/>
      <c r="Q3877" s="505"/>
      <c r="R3877" s="505"/>
      <c r="S3877" s="505"/>
      <c r="T3877" s="505"/>
      <c r="U3877" s="505"/>
      <c r="V3877" s="505"/>
      <c r="W3877" s="505"/>
      <c r="X3877" s="505"/>
      <c r="Y3877" s="505"/>
    </row>
    <row r="3878" spans="1:25" s="88" customFormat="1" hidden="1" x14ac:dyDescent="0.25">
      <c r="A3878" s="258"/>
      <c r="B3878" s="258"/>
      <c r="C3878" s="261"/>
      <c r="D3878" s="258"/>
      <c r="E3878" s="679"/>
      <c r="F3878" s="597" t="s">
        <v>244</v>
      </c>
      <c r="G3878" s="598" t="s">
        <v>245</v>
      </c>
      <c r="H3878" s="555"/>
      <c r="I3878" s="556"/>
      <c r="J3878" s="560">
        <f t="shared" si="131"/>
        <v>0</v>
      </c>
      <c r="K3878" s="505"/>
      <c r="L3878" s="505"/>
      <c r="M3878" s="505"/>
      <c r="N3878" s="505"/>
      <c r="O3878" s="505"/>
      <c r="P3878" s="505"/>
      <c r="Q3878" s="505"/>
      <c r="R3878" s="505"/>
      <c r="S3878" s="505"/>
      <c r="T3878" s="505"/>
      <c r="U3878" s="505"/>
      <c r="V3878" s="505"/>
      <c r="W3878" s="505"/>
      <c r="X3878" s="505"/>
      <c r="Y3878" s="505"/>
    </row>
    <row r="3879" spans="1:25" s="88" customFormat="1" hidden="1" x14ac:dyDescent="0.25">
      <c r="A3879" s="258"/>
      <c r="B3879" s="258"/>
      <c r="C3879" s="261"/>
      <c r="D3879" s="258"/>
      <c r="E3879" s="679"/>
      <c r="F3879" s="597" t="s">
        <v>246</v>
      </c>
      <c r="G3879" s="598" t="s">
        <v>4996</v>
      </c>
      <c r="H3879" s="555"/>
      <c r="I3879" s="556"/>
      <c r="J3879" s="560">
        <f t="shared" si="131"/>
        <v>0</v>
      </c>
      <c r="K3879" s="505"/>
      <c r="L3879" s="505"/>
      <c r="M3879" s="505"/>
      <c r="N3879" s="505"/>
      <c r="O3879" s="505"/>
      <c r="P3879" s="505"/>
      <c r="Q3879" s="505"/>
      <c r="R3879" s="505"/>
      <c r="S3879" s="505"/>
      <c r="T3879" s="505"/>
      <c r="U3879" s="505"/>
      <c r="V3879" s="505"/>
      <c r="W3879" s="505"/>
      <c r="X3879" s="505"/>
      <c r="Y3879" s="505"/>
    </row>
    <row r="3880" spans="1:25" s="88" customFormat="1" hidden="1" x14ac:dyDescent="0.25">
      <c r="A3880" s="258"/>
      <c r="B3880" s="258"/>
      <c r="C3880" s="261"/>
      <c r="D3880" s="258"/>
      <c r="E3880" s="679"/>
      <c r="F3880" s="597" t="s">
        <v>247</v>
      </c>
      <c r="G3880" s="598" t="s">
        <v>4995</v>
      </c>
      <c r="H3880" s="555"/>
      <c r="I3880" s="556"/>
      <c r="J3880" s="560">
        <f t="shared" si="131"/>
        <v>0</v>
      </c>
      <c r="K3880" s="505"/>
      <c r="L3880" s="505"/>
      <c r="M3880" s="505"/>
      <c r="N3880" s="505"/>
      <c r="O3880" s="505"/>
      <c r="P3880" s="505"/>
      <c r="Q3880" s="505"/>
      <c r="R3880" s="505"/>
      <c r="S3880" s="505"/>
      <c r="T3880" s="505"/>
      <c r="U3880" s="505"/>
      <c r="V3880" s="505"/>
      <c r="W3880" s="505"/>
      <c r="X3880" s="505"/>
      <c r="Y3880" s="505"/>
    </row>
    <row r="3881" spans="1:25" s="88" customFormat="1" hidden="1" x14ac:dyDescent="0.25">
      <c r="A3881" s="258"/>
      <c r="B3881" s="258"/>
      <c r="C3881" s="261"/>
      <c r="D3881" s="258"/>
      <c r="E3881" s="679"/>
      <c r="F3881" s="597" t="s">
        <v>248</v>
      </c>
      <c r="G3881" s="598" t="s">
        <v>57</v>
      </c>
      <c r="H3881" s="555"/>
      <c r="I3881" s="556"/>
      <c r="J3881" s="560">
        <f t="shared" si="131"/>
        <v>0</v>
      </c>
      <c r="K3881" s="505"/>
      <c r="L3881" s="505"/>
      <c r="M3881" s="505"/>
      <c r="N3881" s="505"/>
      <c r="O3881" s="505"/>
      <c r="P3881" s="505"/>
      <c r="Q3881" s="505"/>
      <c r="R3881" s="505"/>
      <c r="S3881" s="505"/>
      <c r="T3881" s="505"/>
      <c r="U3881" s="505"/>
      <c r="V3881" s="505"/>
      <c r="W3881" s="505"/>
      <c r="X3881" s="505"/>
      <c r="Y3881" s="505"/>
    </row>
    <row r="3882" spans="1:25" s="88" customFormat="1" hidden="1" x14ac:dyDescent="0.25">
      <c r="A3882" s="258"/>
      <c r="B3882" s="258"/>
      <c r="C3882" s="261"/>
      <c r="D3882" s="258"/>
      <c r="E3882" s="679"/>
      <c r="F3882" s="597" t="s">
        <v>249</v>
      </c>
      <c r="G3882" s="598" t="s">
        <v>250</v>
      </c>
      <c r="H3882" s="555"/>
      <c r="I3882" s="556"/>
      <c r="J3882" s="560">
        <f t="shared" si="131"/>
        <v>0</v>
      </c>
      <c r="K3882" s="505"/>
      <c r="L3882" s="505"/>
      <c r="M3882" s="505"/>
      <c r="N3882" s="505"/>
      <c r="O3882" s="505"/>
      <c r="P3882" s="505"/>
      <c r="Q3882" s="505"/>
      <c r="R3882" s="505"/>
      <c r="S3882" s="505"/>
      <c r="T3882" s="505"/>
      <c r="U3882" s="505"/>
      <c r="V3882" s="505"/>
      <c r="W3882" s="505"/>
      <c r="X3882" s="505"/>
      <c r="Y3882" s="505"/>
    </row>
    <row r="3883" spans="1:25" s="88" customFormat="1" hidden="1" x14ac:dyDescent="0.25">
      <c r="A3883" s="258"/>
      <c r="B3883" s="258"/>
      <c r="C3883" s="261"/>
      <c r="D3883" s="258"/>
      <c r="E3883" s="679"/>
      <c r="F3883" s="597" t="s">
        <v>251</v>
      </c>
      <c r="G3883" s="598" t="s">
        <v>252</v>
      </c>
      <c r="H3883" s="555"/>
      <c r="I3883" s="556"/>
      <c r="J3883" s="560">
        <f t="shared" si="131"/>
        <v>0</v>
      </c>
      <c r="K3883" s="505"/>
      <c r="L3883" s="505"/>
      <c r="M3883" s="505"/>
      <c r="N3883" s="505"/>
      <c r="O3883" s="505"/>
      <c r="P3883" s="505"/>
      <c r="Q3883" s="505"/>
      <c r="R3883" s="505"/>
      <c r="S3883" s="505"/>
      <c r="T3883" s="505"/>
      <c r="U3883" s="505"/>
      <c r="V3883" s="505"/>
      <c r="W3883" s="505"/>
      <c r="X3883" s="505"/>
      <c r="Y3883" s="505"/>
    </row>
    <row r="3884" spans="1:25" s="88" customFormat="1" ht="30" hidden="1" x14ac:dyDescent="0.25">
      <c r="A3884" s="258"/>
      <c r="B3884" s="258"/>
      <c r="C3884" s="261"/>
      <c r="D3884" s="258"/>
      <c r="E3884" s="679"/>
      <c r="F3884" s="597" t="s">
        <v>253</v>
      </c>
      <c r="G3884" s="598" t="s">
        <v>254</v>
      </c>
      <c r="H3884" s="555"/>
      <c r="I3884" s="556"/>
      <c r="J3884" s="560">
        <f t="shared" si="131"/>
        <v>0</v>
      </c>
      <c r="K3884" s="505"/>
      <c r="L3884" s="505"/>
      <c r="M3884" s="505"/>
      <c r="N3884" s="505"/>
      <c r="O3884" s="505"/>
      <c r="P3884" s="505"/>
      <c r="Q3884" s="505"/>
      <c r="R3884" s="505"/>
      <c r="S3884" s="505"/>
      <c r="T3884" s="505"/>
      <c r="U3884" s="505"/>
      <c r="V3884" s="505"/>
      <c r="W3884" s="505"/>
      <c r="X3884" s="505"/>
      <c r="Y3884" s="505"/>
    </row>
    <row r="3885" spans="1:25" s="88" customFormat="1" hidden="1" x14ac:dyDescent="0.25">
      <c r="A3885" s="258"/>
      <c r="B3885" s="258"/>
      <c r="C3885" s="261"/>
      <c r="D3885" s="258"/>
      <c r="E3885" s="679"/>
      <c r="F3885" s="597" t="s">
        <v>255</v>
      </c>
      <c r="G3885" s="598" t="s">
        <v>256</v>
      </c>
      <c r="H3885" s="555"/>
      <c r="I3885" s="556"/>
      <c r="J3885" s="560">
        <f t="shared" si="131"/>
        <v>0</v>
      </c>
      <c r="K3885" s="505"/>
      <c r="L3885" s="505"/>
      <c r="M3885" s="505"/>
      <c r="N3885" s="505"/>
      <c r="O3885" s="505"/>
      <c r="P3885" s="505"/>
      <c r="Q3885" s="505"/>
      <c r="R3885" s="505"/>
      <c r="S3885" s="505"/>
      <c r="T3885" s="505"/>
      <c r="U3885" s="505"/>
      <c r="V3885" s="505"/>
      <c r="W3885" s="505"/>
      <c r="X3885" s="505"/>
      <c r="Y3885" s="505"/>
    </row>
    <row r="3886" spans="1:25" s="88" customFormat="1" ht="30" hidden="1" x14ac:dyDescent="0.25">
      <c r="A3886" s="258"/>
      <c r="B3886" s="258"/>
      <c r="C3886" s="261"/>
      <c r="D3886" s="258"/>
      <c r="E3886" s="679"/>
      <c r="F3886" s="597" t="s">
        <v>257</v>
      </c>
      <c r="G3886" s="598" t="s">
        <v>258</v>
      </c>
      <c r="H3886" s="555"/>
      <c r="I3886" s="556"/>
      <c r="J3886" s="560">
        <f t="shared" si="131"/>
        <v>0</v>
      </c>
      <c r="K3886" s="505"/>
      <c r="L3886" s="505"/>
      <c r="M3886" s="505"/>
      <c r="N3886" s="505"/>
      <c r="O3886" s="505"/>
      <c r="P3886" s="505"/>
      <c r="Q3886" s="505"/>
      <c r="R3886" s="505"/>
      <c r="S3886" s="505"/>
      <c r="T3886" s="505"/>
      <c r="U3886" s="505"/>
      <c r="V3886" s="505"/>
      <c r="W3886" s="505"/>
      <c r="X3886" s="505"/>
      <c r="Y3886" s="505"/>
    </row>
    <row r="3887" spans="1:25" s="88" customFormat="1" hidden="1" x14ac:dyDescent="0.25">
      <c r="A3887" s="258"/>
      <c r="B3887" s="258"/>
      <c r="C3887" s="261"/>
      <c r="D3887" s="258"/>
      <c r="E3887" s="679"/>
      <c r="F3887" s="597" t="s">
        <v>259</v>
      </c>
      <c r="G3887" s="598" t="s">
        <v>260</v>
      </c>
      <c r="H3887" s="555"/>
      <c r="I3887" s="556"/>
      <c r="J3887" s="560">
        <f t="shared" si="131"/>
        <v>0</v>
      </c>
      <c r="K3887" s="505"/>
      <c r="L3887" s="505"/>
      <c r="M3887" s="505"/>
      <c r="N3887" s="505"/>
      <c r="O3887" s="505"/>
      <c r="P3887" s="505"/>
      <c r="Q3887" s="505"/>
      <c r="R3887" s="505"/>
      <c r="S3887" s="505"/>
      <c r="T3887" s="505"/>
      <c r="U3887" s="505"/>
      <c r="V3887" s="505"/>
      <c r="W3887" s="505"/>
      <c r="X3887" s="505"/>
      <c r="Y3887" s="505"/>
    </row>
    <row r="3888" spans="1:25" s="88" customFormat="1" ht="15.75" hidden="1" thickBot="1" x14ac:dyDescent="0.3">
      <c r="A3888" s="258"/>
      <c r="B3888" s="258"/>
      <c r="C3888" s="261"/>
      <c r="D3888" s="258"/>
      <c r="E3888" s="679"/>
      <c r="F3888" s="597" t="s">
        <v>261</v>
      </c>
      <c r="G3888" s="598" t="s">
        <v>262</v>
      </c>
      <c r="H3888" s="559"/>
      <c r="I3888" s="560"/>
      <c r="J3888" s="560">
        <f t="shared" si="131"/>
        <v>0</v>
      </c>
      <c r="K3888" s="505"/>
      <c r="L3888" s="505"/>
      <c r="M3888" s="505"/>
      <c r="N3888" s="505"/>
      <c r="O3888" s="505"/>
      <c r="P3888" s="505"/>
      <c r="Q3888" s="505"/>
      <c r="R3888" s="505"/>
      <c r="S3888" s="505"/>
      <c r="T3888" s="505"/>
      <c r="U3888" s="505"/>
      <c r="V3888" s="505"/>
      <c r="W3888" s="505"/>
      <c r="X3888" s="505"/>
      <c r="Y3888" s="505"/>
    </row>
    <row r="3889" spans="1:25" s="88" customFormat="1" ht="14.25" customHeight="1" thickBot="1" x14ac:dyDescent="0.3">
      <c r="A3889" s="258"/>
      <c r="B3889" s="258"/>
      <c r="C3889" s="261"/>
      <c r="D3889" s="258"/>
      <c r="E3889" s="679"/>
      <c r="F3889" s="258"/>
      <c r="G3889" s="268" t="s">
        <v>5293</v>
      </c>
      <c r="H3889" s="561">
        <f>SUM(H3873:H3888)</f>
        <v>1200000</v>
      </c>
      <c r="I3889" s="562">
        <f>SUM(I3874:I3888)</f>
        <v>0</v>
      </c>
      <c r="J3889" s="562">
        <f>SUM(J3873:J3888)</f>
        <v>1200000</v>
      </c>
      <c r="K3889" s="505"/>
      <c r="L3889" s="505"/>
      <c r="M3889" s="505"/>
      <c r="N3889" s="505"/>
      <c r="O3889" s="505"/>
      <c r="P3889" s="505"/>
      <c r="Q3889" s="505"/>
      <c r="R3889" s="505"/>
      <c r="S3889" s="505"/>
      <c r="T3889" s="505"/>
      <c r="U3889" s="505"/>
      <c r="V3889" s="505"/>
      <c r="W3889" s="505"/>
      <c r="X3889" s="505"/>
      <c r="Y3889" s="505"/>
    </row>
    <row r="3890" spans="1:25" s="88" customFormat="1" ht="17.25" customHeight="1" x14ac:dyDescent="0.25">
      <c r="A3890" s="258"/>
      <c r="B3890" s="288"/>
      <c r="C3890" s="302" t="s">
        <v>5083</v>
      </c>
      <c r="D3890" s="259"/>
      <c r="E3890" s="702"/>
      <c r="F3890" s="303"/>
      <c r="G3890" s="406" t="s">
        <v>5085</v>
      </c>
      <c r="H3890" s="588"/>
      <c r="I3890" s="571"/>
      <c r="K3890" s="505"/>
      <c r="L3890" s="505"/>
      <c r="M3890" s="505"/>
      <c r="N3890" s="505"/>
      <c r="O3890" s="505"/>
      <c r="P3890" s="505"/>
      <c r="Q3890" s="505"/>
      <c r="R3890" s="505"/>
      <c r="S3890" s="505"/>
      <c r="T3890" s="505"/>
      <c r="U3890" s="505"/>
      <c r="V3890" s="505"/>
      <c r="W3890" s="505"/>
      <c r="X3890" s="505"/>
      <c r="Y3890" s="505"/>
    </row>
    <row r="3891" spans="1:25" s="88" customFormat="1" ht="13.5" customHeight="1" x14ac:dyDescent="0.25">
      <c r="A3891" s="481"/>
      <c r="B3891" s="258"/>
      <c r="C3891" s="267"/>
      <c r="D3891" s="331">
        <v>630</v>
      </c>
      <c r="E3891" s="869"/>
      <c r="F3891" s="331"/>
      <c r="G3891" s="332" t="s">
        <v>183</v>
      </c>
      <c r="H3891" s="555"/>
      <c r="I3891" s="556"/>
      <c r="J3891" s="556"/>
      <c r="K3891" s="505"/>
      <c r="L3891" s="505"/>
      <c r="M3891" s="505"/>
      <c r="N3891" s="505"/>
      <c r="O3891" s="505"/>
      <c r="P3891" s="505"/>
      <c r="Q3891" s="505"/>
      <c r="R3891" s="505"/>
      <c r="S3891" s="505"/>
      <c r="T3891" s="505"/>
      <c r="U3891" s="505"/>
      <c r="V3891" s="505"/>
      <c r="W3891" s="505"/>
      <c r="X3891" s="505"/>
      <c r="Y3891" s="505"/>
    </row>
    <row r="3892" spans="1:25" s="88" customFormat="1" hidden="1" x14ac:dyDescent="0.25">
      <c r="A3892" s="258"/>
      <c r="B3892" s="258"/>
      <c r="C3892" s="261"/>
      <c r="D3892" s="258"/>
      <c r="E3892" s="679"/>
      <c r="F3892" s="499">
        <v>411</v>
      </c>
      <c r="G3892" s="492" t="s">
        <v>4131</v>
      </c>
      <c r="H3892" s="555"/>
      <c r="I3892" s="556"/>
      <c r="J3892" s="556">
        <f>SUM(H3892:I3892)</f>
        <v>0</v>
      </c>
      <c r="K3892" s="505"/>
      <c r="L3892" s="505"/>
      <c r="M3892" s="505"/>
      <c r="N3892" s="505"/>
      <c r="O3892" s="505"/>
      <c r="P3892" s="505"/>
      <c r="Q3892" s="505"/>
      <c r="R3892" s="505"/>
      <c r="S3892" s="505"/>
      <c r="T3892" s="505"/>
      <c r="U3892" s="505"/>
      <c r="V3892" s="505"/>
      <c r="W3892" s="505"/>
      <c r="X3892" s="505"/>
      <c r="Y3892" s="505"/>
    </row>
    <row r="3893" spans="1:25" s="88" customFormat="1" hidden="1" x14ac:dyDescent="0.25">
      <c r="A3893" s="258"/>
      <c r="B3893" s="258"/>
      <c r="C3893" s="261"/>
      <c r="D3893" s="258"/>
      <c r="E3893" s="679"/>
      <c r="F3893" s="499">
        <v>412</v>
      </c>
      <c r="G3893" s="488" t="s">
        <v>3766</v>
      </c>
      <c r="H3893" s="555"/>
      <c r="I3893" s="556"/>
      <c r="J3893" s="556">
        <f t="shared" ref="J3893:J3951" si="132">SUM(H3893:I3893)</f>
        <v>0</v>
      </c>
      <c r="K3893" s="505"/>
      <c r="L3893" s="505"/>
      <c r="M3893" s="505"/>
      <c r="N3893" s="505"/>
      <c r="O3893" s="505"/>
      <c r="P3893" s="505"/>
      <c r="Q3893" s="505"/>
      <c r="R3893" s="505"/>
      <c r="S3893" s="505"/>
      <c r="T3893" s="505"/>
      <c r="U3893" s="505"/>
      <c r="V3893" s="505"/>
      <c r="W3893" s="505"/>
      <c r="X3893" s="505"/>
      <c r="Y3893" s="505"/>
    </row>
    <row r="3894" spans="1:25" s="88" customFormat="1" hidden="1" x14ac:dyDescent="0.25">
      <c r="A3894" s="258"/>
      <c r="B3894" s="258"/>
      <c r="C3894" s="261"/>
      <c r="D3894" s="258"/>
      <c r="E3894" s="679"/>
      <c r="F3894" s="499">
        <v>413</v>
      </c>
      <c r="G3894" s="492" t="s">
        <v>4132</v>
      </c>
      <c r="H3894" s="555"/>
      <c r="I3894" s="556"/>
      <c r="J3894" s="556">
        <f t="shared" si="132"/>
        <v>0</v>
      </c>
      <c r="K3894" s="505"/>
      <c r="L3894" s="505"/>
      <c r="M3894" s="505"/>
      <c r="N3894" s="505"/>
      <c r="O3894" s="505"/>
      <c r="P3894" s="505"/>
      <c r="Q3894" s="505"/>
      <c r="R3894" s="505"/>
      <c r="S3894" s="505"/>
      <c r="T3894" s="505"/>
      <c r="U3894" s="505"/>
      <c r="V3894" s="505"/>
      <c r="W3894" s="505"/>
      <c r="X3894" s="505"/>
      <c r="Y3894" s="505"/>
    </row>
    <row r="3895" spans="1:25" s="88" customFormat="1" hidden="1" x14ac:dyDescent="0.25">
      <c r="A3895" s="258"/>
      <c r="B3895" s="258"/>
      <c r="C3895" s="261"/>
      <c r="D3895" s="258"/>
      <c r="E3895" s="679"/>
      <c r="F3895" s="499">
        <v>414</v>
      </c>
      <c r="G3895" s="492" t="s">
        <v>3769</v>
      </c>
      <c r="H3895" s="555"/>
      <c r="I3895" s="556"/>
      <c r="J3895" s="556">
        <f t="shared" si="132"/>
        <v>0</v>
      </c>
      <c r="K3895" s="505"/>
      <c r="L3895" s="505"/>
      <c r="M3895" s="505"/>
      <c r="N3895" s="505"/>
      <c r="O3895" s="505"/>
      <c r="P3895" s="505"/>
      <c r="Q3895" s="505"/>
      <c r="R3895" s="505"/>
      <c r="S3895" s="505"/>
      <c r="T3895" s="505"/>
      <c r="U3895" s="505"/>
      <c r="V3895" s="505"/>
      <c r="W3895" s="505"/>
      <c r="X3895" s="505"/>
      <c r="Y3895" s="505"/>
    </row>
    <row r="3896" spans="1:25" s="88" customFormat="1" hidden="1" x14ac:dyDescent="0.25">
      <c r="A3896" s="258"/>
      <c r="B3896" s="258"/>
      <c r="C3896" s="261"/>
      <c r="D3896" s="258"/>
      <c r="E3896" s="679"/>
      <c r="F3896" s="499">
        <v>415</v>
      </c>
      <c r="G3896" s="492" t="s">
        <v>4141</v>
      </c>
      <c r="H3896" s="555"/>
      <c r="I3896" s="556"/>
      <c r="J3896" s="556">
        <f t="shared" si="132"/>
        <v>0</v>
      </c>
      <c r="K3896" s="505"/>
      <c r="L3896" s="505"/>
      <c r="M3896" s="505"/>
      <c r="N3896" s="505"/>
      <c r="O3896" s="505"/>
      <c r="P3896" s="505"/>
      <c r="Q3896" s="505"/>
      <c r="R3896" s="505"/>
      <c r="S3896" s="505"/>
      <c r="T3896" s="505"/>
      <c r="U3896" s="505"/>
      <c r="V3896" s="505"/>
      <c r="W3896" s="505"/>
      <c r="X3896" s="505"/>
      <c r="Y3896" s="505"/>
    </row>
    <row r="3897" spans="1:25" s="88" customFormat="1" hidden="1" x14ac:dyDescent="0.25">
      <c r="A3897" s="258"/>
      <c r="B3897" s="258"/>
      <c r="C3897" s="261"/>
      <c r="D3897" s="258"/>
      <c r="E3897" s="679"/>
      <c r="F3897" s="499">
        <v>416</v>
      </c>
      <c r="G3897" s="492" t="s">
        <v>4142</v>
      </c>
      <c r="H3897" s="555"/>
      <c r="I3897" s="556"/>
      <c r="J3897" s="556">
        <f t="shared" si="132"/>
        <v>0</v>
      </c>
      <c r="K3897" s="505"/>
      <c r="L3897" s="505"/>
      <c r="M3897" s="505"/>
      <c r="N3897" s="505"/>
      <c r="O3897" s="505"/>
      <c r="P3897" s="505"/>
      <c r="Q3897" s="505"/>
      <c r="R3897" s="505"/>
      <c r="S3897" s="505"/>
      <c r="T3897" s="505"/>
      <c r="U3897" s="505"/>
      <c r="V3897" s="505"/>
      <c r="W3897" s="505"/>
      <c r="X3897" s="505"/>
      <c r="Y3897" s="505"/>
    </row>
    <row r="3898" spans="1:25" s="88" customFormat="1" hidden="1" x14ac:dyDescent="0.25">
      <c r="A3898" s="258"/>
      <c r="B3898" s="258"/>
      <c r="C3898" s="261"/>
      <c r="D3898" s="258"/>
      <c r="E3898" s="679"/>
      <c r="F3898" s="499">
        <v>417</v>
      </c>
      <c r="G3898" s="492" t="s">
        <v>4143</v>
      </c>
      <c r="H3898" s="555"/>
      <c r="I3898" s="556"/>
      <c r="J3898" s="556">
        <f t="shared" si="132"/>
        <v>0</v>
      </c>
      <c r="K3898" s="505"/>
      <c r="L3898" s="505"/>
      <c r="M3898" s="505"/>
      <c r="N3898" s="505"/>
      <c r="O3898" s="505"/>
      <c r="P3898" s="505"/>
      <c r="Q3898" s="505"/>
      <c r="R3898" s="505"/>
      <c r="S3898" s="505"/>
      <c r="T3898" s="505"/>
      <c r="U3898" s="505"/>
      <c r="V3898" s="505"/>
      <c r="W3898" s="505"/>
      <c r="X3898" s="505"/>
      <c r="Y3898" s="505"/>
    </row>
    <row r="3899" spans="1:25" s="88" customFormat="1" hidden="1" x14ac:dyDescent="0.25">
      <c r="A3899" s="258"/>
      <c r="B3899" s="258"/>
      <c r="C3899" s="261"/>
      <c r="D3899" s="258"/>
      <c r="E3899" s="679"/>
      <c r="F3899" s="499">
        <v>418</v>
      </c>
      <c r="G3899" s="492" t="s">
        <v>3775</v>
      </c>
      <c r="H3899" s="555"/>
      <c r="I3899" s="556"/>
      <c r="J3899" s="556">
        <f t="shared" si="132"/>
        <v>0</v>
      </c>
      <c r="K3899" s="505"/>
      <c r="L3899" s="505"/>
      <c r="M3899" s="505"/>
      <c r="N3899" s="505"/>
      <c r="O3899" s="505"/>
      <c r="P3899" s="505"/>
      <c r="Q3899" s="505"/>
      <c r="R3899" s="505"/>
      <c r="S3899" s="505"/>
      <c r="T3899" s="505"/>
      <c r="U3899" s="505"/>
      <c r="V3899" s="505"/>
      <c r="W3899" s="505"/>
      <c r="X3899" s="505"/>
      <c r="Y3899" s="505"/>
    </row>
    <row r="3900" spans="1:25" s="88" customFormat="1" hidden="1" x14ac:dyDescent="0.25">
      <c r="A3900" s="258"/>
      <c r="B3900" s="258"/>
      <c r="C3900" s="261"/>
      <c r="D3900" s="258"/>
      <c r="E3900" s="679"/>
      <c r="F3900" s="499">
        <v>421</v>
      </c>
      <c r="G3900" s="492" t="s">
        <v>3779</v>
      </c>
      <c r="H3900" s="555"/>
      <c r="I3900" s="556"/>
      <c r="J3900" s="556">
        <f t="shared" si="132"/>
        <v>0</v>
      </c>
      <c r="K3900" s="505"/>
      <c r="L3900" s="505"/>
      <c r="M3900" s="505"/>
      <c r="N3900" s="505"/>
      <c r="O3900" s="505"/>
      <c r="P3900" s="505"/>
      <c r="Q3900" s="505"/>
      <c r="R3900" s="505"/>
      <c r="S3900" s="505"/>
      <c r="T3900" s="505"/>
      <c r="U3900" s="505"/>
      <c r="V3900" s="505"/>
      <c r="W3900" s="505"/>
      <c r="X3900" s="505"/>
      <c r="Y3900" s="505"/>
    </row>
    <row r="3901" spans="1:25" s="88" customFormat="1" hidden="1" x14ac:dyDescent="0.25">
      <c r="A3901" s="258"/>
      <c r="B3901" s="258"/>
      <c r="C3901" s="261"/>
      <c r="D3901" s="258"/>
      <c r="E3901" s="679"/>
      <c r="F3901" s="499">
        <v>422</v>
      </c>
      <c r="G3901" s="492" t="s">
        <v>3780</v>
      </c>
      <c r="H3901" s="555"/>
      <c r="I3901" s="556"/>
      <c r="J3901" s="556">
        <f t="shared" si="132"/>
        <v>0</v>
      </c>
      <c r="K3901" s="505"/>
      <c r="L3901" s="505"/>
      <c r="M3901" s="505"/>
      <c r="N3901" s="505"/>
      <c r="O3901" s="505"/>
      <c r="P3901" s="505"/>
      <c r="Q3901" s="505"/>
      <c r="R3901" s="505"/>
      <c r="S3901" s="505"/>
      <c r="T3901" s="505"/>
      <c r="U3901" s="505"/>
      <c r="V3901" s="505"/>
      <c r="W3901" s="505"/>
      <c r="X3901" s="505"/>
      <c r="Y3901" s="505"/>
    </row>
    <row r="3902" spans="1:25" s="88" customFormat="1" hidden="1" x14ac:dyDescent="0.25">
      <c r="A3902" s="258"/>
      <c r="B3902" s="258"/>
      <c r="C3902" s="261"/>
      <c r="D3902" s="258"/>
      <c r="E3902" s="679"/>
      <c r="F3902" s="499">
        <v>423</v>
      </c>
      <c r="G3902" s="492" t="s">
        <v>3781</v>
      </c>
      <c r="H3902" s="555"/>
      <c r="I3902" s="556"/>
      <c r="J3902" s="556">
        <f t="shared" si="132"/>
        <v>0</v>
      </c>
      <c r="K3902" s="505"/>
      <c r="L3902" s="505"/>
      <c r="M3902" s="505"/>
      <c r="N3902" s="505"/>
      <c r="O3902" s="505"/>
      <c r="P3902" s="505"/>
      <c r="Q3902" s="505"/>
      <c r="R3902" s="505"/>
      <c r="S3902" s="505"/>
      <c r="T3902" s="505"/>
      <c r="U3902" s="505"/>
      <c r="V3902" s="505"/>
      <c r="W3902" s="505"/>
      <c r="X3902" s="505"/>
      <c r="Y3902" s="505"/>
    </row>
    <row r="3903" spans="1:25" s="88" customFormat="1" ht="16.5" hidden="1" customHeight="1" x14ac:dyDescent="0.25">
      <c r="A3903" s="258"/>
      <c r="B3903" s="258"/>
      <c r="C3903" s="261"/>
      <c r="D3903" s="258"/>
      <c r="E3903" s="679">
        <v>71</v>
      </c>
      <c r="F3903" s="499">
        <v>424</v>
      </c>
      <c r="G3903" s="492" t="s">
        <v>5086</v>
      </c>
      <c r="H3903" s="555">
        <v>0</v>
      </c>
      <c r="I3903" s="556"/>
      <c r="J3903" s="556">
        <f t="shared" si="132"/>
        <v>0</v>
      </c>
      <c r="K3903" s="505"/>
      <c r="L3903" s="505"/>
      <c r="M3903" s="505"/>
      <c r="N3903" s="505"/>
      <c r="O3903" s="505"/>
      <c r="P3903" s="505"/>
      <c r="Q3903" s="505"/>
      <c r="R3903" s="505"/>
      <c r="S3903" s="505"/>
      <c r="T3903" s="505"/>
      <c r="U3903" s="505"/>
      <c r="V3903" s="505"/>
      <c r="W3903" s="505"/>
      <c r="X3903" s="505"/>
      <c r="Y3903" s="505"/>
    </row>
    <row r="3904" spans="1:25" s="88" customFormat="1" ht="14.25" hidden="1" customHeight="1" x14ac:dyDescent="0.25">
      <c r="A3904" s="258"/>
      <c r="B3904" s="258"/>
      <c r="C3904" s="261"/>
      <c r="D3904" s="258"/>
      <c r="E3904" s="679"/>
      <c r="F3904" s="499">
        <v>425</v>
      </c>
      <c r="G3904" s="492" t="s">
        <v>4144</v>
      </c>
      <c r="H3904" s="555"/>
      <c r="I3904" s="556"/>
      <c r="J3904" s="556">
        <f t="shared" si="132"/>
        <v>0</v>
      </c>
      <c r="K3904" s="505"/>
      <c r="L3904" s="505"/>
      <c r="M3904" s="505"/>
      <c r="N3904" s="505"/>
      <c r="O3904" s="505"/>
      <c r="P3904" s="505"/>
      <c r="Q3904" s="505"/>
      <c r="R3904" s="505"/>
      <c r="S3904" s="505"/>
      <c r="T3904" s="505"/>
      <c r="U3904" s="505"/>
      <c r="V3904" s="505"/>
      <c r="W3904" s="505"/>
      <c r="X3904" s="505"/>
      <c r="Y3904" s="505"/>
    </row>
    <row r="3905" spans="1:25" s="88" customFormat="1" hidden="1" x14ac:dyDescent="0.25">
      <c r="A3905" s="258"/>
      <c r="B3905" s="258"/>
      <c r="C3905" s="261"/>
      <c r="D3905" s="258"/>
      <c r="E3905" s="679"/>
      <c r="F3905" s="499">
        <v>426</v>
      </c>
      <c r="G3905" s="492" t="s">
        <v>3787</v>
      </c>
      <c r="H3905" s="555"/>
      <c r="I3905" s="556"/>
      <c r="J3905" s="556">
        <f t="shared" si="132"/>
        <v>0</v>
      </c>
      <c r="K3905" s="505"/>
      <c r="L3905" s="505"/>
      <c r="M3905" s="505"/>
      <c r="N3905" s="505"/>
      <c r="O3905" s="505"/>
      <c r="P3905" s="505"/>
      <c r="Q3905" s="505"/>
      <c r="R3905" s="505"/>
      <c r="S3905" s="505"/>
      <c r="T3905" s="505"/>
      <c r="U3905" s="505"/>
      <c r="V3905" s="505"/>
      <c r="W3905" s="505"/>
      <c r="X3905" s="505"/>
      <c r="Y3905" s="505"/>
    </row>
    <row r="3906" spans="1:25" s="88" customFormat="1" hidden="1" x14ac:dyDescent="0.25">
      <c r="A3906" s="258"/>
      <c r="B3906" s="258"/>
      <c r="C3906" s="261"/>
      <c r="D3906" s="258"/>
      <c r="E3906" s="679"/>
      <c r="F3906" s="499">
        <v>431</v>
      </c>
      <c r="G3906" s="492" t="s">
        <v>4145</v>
      </c>
      <c r="H3906" s="555"/>
      <c r="I3906" s="556"/>
      <c r="J3906" s="556">
        <f t="shared" si="132"/>
        <v>0</v>
      </c>
      <c r="K3906" s="505"/>
      <c r="L3906" s="505"/>
      <c r="M3906" s="505"/>
      <c r="N3906" s="505"/>
      <c r="O3906" s="505"/>
      <c r="P3906" s="505"/>
      <c r="Q3906" s="505"/>
      <c r="R3906" s="505"/>
      <c r="S3906" s="505"/>
      <c r="T3906" s="505"/>
      <c r="U3906" s="505"/>
      <c r="V3906" s="505"/>
      <c r="W3906" s="505"/>
      <c r="X3906" s="505"/>
      <c r="Y3906" s="505"/>
    </row>
    <row r="3907" spans="1:25" s="88" customFormat="1" hidden="1" x14ac:dyDescent="0.25">
      <c r="A3907" s="258"/>
      <c r="B3907" s="258"/>
      <c r="C3907" s="261"/>
      <c r="D3907" s="258"/>
      <c r="E3907" s="679"/>
      <c r="F3907" s="499">
        <v>432</v>
      </c>
      <c r="G3907" s="492" t="s">
        <v>4146</v>
      </c>
      <c r="H3907" s="555"/>
      <c r="I3907" s="556"/>
      <c r="J3907" s="556">
        <f t="shared" si="132"/>
        <v>0</v>
      </c>
      <c r="K3907" s="505"/>
      <c r="L3907" s="505"/>
      <c r="M3907" s="505"/>
      <c r="N3907" s="505"/>
      <c r="O3907" s="505"/>
      <c r="P3907" s="505"/>
      <c r="Q3907" s="505"/>
      <c r="R3907" s="505"/>
      <c r="S3907" s="505"/>
      <c r="T3907" s="505"/>
      <c r="U3907" s="505"/>
      <c r="V3907" s="505"/>
      <c r="W3907" s="505"/>
      <c r="X3907" s="505"/>
      <c r="Y3907" s="505"/>
    </row>
    <row r="3908" spans="1:25" s="88" customFormat="1" hidden="1" x14ac:dyDescent="0.25">
      <c r="A3908" s="258"/>
      <c r="B3908" s="258"/>
      <c r="C3908" s="261"/>
      <c r="D3908" s="258"/>
      <c r="E3908" s="679"/>
      <c r="F3908" s="499">
        <v>433</v>
      </c>
      <c r="G3908" s="492" t="s">
        <v>4147</v>
      </c>
      <c r="H3908" s="555"/>
      <c r="I3908" s="556"/>
      <c r="J3908" s="556">
        <f t="shared" si="132"/>
        <v>0</v>
      </c>
      <c r="K3908" s="505"/>
      <c r="L3908" s="505"/>
      <c r="M3908" s="505"/>
      <c r="N3908" s="505"/>
      <c r="O3908" s="505"/>
      <c r="P3908" s="505"/>
      <c r="Q3908" s="505"/>
      <c r="R3908" s="505"/>
      <c r="S3908" s="505"/>
      <c r="T3908" s="505"/>
      <c r="U3908" s="505"/>
      <c r="V3908" s="505"/>
      <c r="W3908" s="505"/>
      <c r="X3908" s="505"/>
      <c r="Y3908" s="505"/>
    </row>
    <row r="3909" spans="1:25" s="88" customFormat="1" hidden="1" x14ac:dyDescent="0.25">
      <c r="A3909" s="258"/>
      <c r="B3909" s="258"/>
      <c r="C3909" s="261"/>
      <c r="D3909" s="258"/>
      <c r="E3909" s="679"/>
      <c r="F3909" s="499">
        <v>434</v>
      </c>
      <c r="G3909" s="492" t="s">
        <v>4148</v>
      </c>
      <c r="H3909" s="555"/>
      <c r="I3909" s="556"/>
      <c r="J3909" s="556">
        <f t="shared" si="132"/>
        <v>0</v>
      </c>
      <c r="K3909" s="505"/>
      <c r="L3909" s="505"/>
      <c r="M3909" s="505"/>
      <c r="N3909" s="505"/>
      <c r="O3909" s="505"/>
      <c r="P3909" s="505"/>
      <c r="Q3909" s="505"/>
      <c r="R3909" s="505"/>
      <c r="S3909" s="505"/>
      <c r="T3909" s="505"/>
      <c r="U3909" s="505"/>
      <c r="V3909" s="505"/>
      <c r="W3909" s="505"/>
      <c r="X3909" s="505"/>
      <c r="Y3909" s="505"/>
    </row>
    <row r="3910" spans="1:25" s="88" customFormat="1" hidden="1" x14ac:dyDescent="0.25">
      <c r="A3910" s="258"/>
      <c r="B3910" s="258"/>
      <c r="C3910" s="261"/>
      <c r="D3910" s="258"/>
      <c r="E3910" s="679"/>
      <c r="F3910" s="499">
        <v>435</v>
      </c>
      <c r="G3910" s="492" t="s">
        <v>3794</v>
      </c>
      <c r="H3910" s="555"/>
      <c r="I3910" s="556"/>
      <c r="J3910" s="556">
        <f t="shared" si="132"/>
        <v>0</v>
      </c>
      <c r="K3910" s="505"/>
      <c r="L3910" s="505"/>
      <c r="M3910" s="505"/>
      <c r="N3910" s="505"/>
      <c r="O3910" s="505"/>
      <c r="P3910" s="505"/>
      <c r="Q3910" s="505"/>
      <c r="R3910" s="505"/>
      <c r="S3910" s="505"/>
      <c r="T3910" s="505"/>
      <c r="U3910" s="505"/>
      <c r="V3910" s="505"/>
      <c r="W3910" s="505"/>
      <c r="X3910" s="505"/>
      <c r="Y3910" s="505"/>
    </row>
    <row r="3911" spans="1:25" s="88" customFormat="1" hidden="1" x14ac:dyDescent="0.25">
      <c r="A3911" s="258"/>
      <c r="B3911" s="258"/>
      <c r="C3911" s="261"/>
      <c r="D3911" s="258"/>
      <c r="E3911" s="679"/>
      <c r="F3911" s="499">
        <v>441</v>
      </c>
      <c r="G3911" s="492" t="s">
        <v>4149</v>
      </c>
      <c r="H3911" s="555"/>
      <c r="I3911" s="556"/>
      <c r="J3911" s="556">
        <f t="shared" si="132"/>
        <v>0</v>
      </c>
      <c r="K3911" s="505"/>
      <c r="L3911" s="505"/>
      <c r="M3911" s="505"/>
      <c r="N3911" s="505"/>
      <c r="O3911" s="505"/>
      <c r="P3911" s="505"/>
      <c r="Q3911" s="505"/>
      <c r="R3911" s="505"/>
      <c r="S3911" s="505"/>
      <c r="T3911" s="505"/>
      <c r="U3911" s="505"/>
      <c r="V3911" s="505"/>
      <c r="W3911" s="505"/>
      <c r="X3911" s="505"/>
      <c r="Y3911" s="505"/>
    </row>
    <row r="3912" spans="1:25" s="88" customFormat="1" hidden="1" x14ac:dyDescent="0.25">
      <c r="A3912" s="258"/>
      <c r="B3912" s="258"/>
      <c r="C3912" s="261"/>
      <c r="D3912" s="258"/>
      <c r="E3912" s="679"/>
      <c r="F3912" s="499">
        <v>442</v>
      </c>
      <c r="G3912" s="492" t="s">
        <v>4150</v>
      </c>
      <c r="H3912" s="555"/>
      <c r="I3912" s="556"/>
      <c r="J3912" s="556">
        <f t="shared" si="132"/>
        <v>0</v>
      </c>
      <c r="K3912" s="505"/>
      <c r="L3912" s="505"/>
      <c r="M3912" s="505"/>
      <c r="N3912" s="505"/>
      <c r="O3912" s="505"/>
      <c r="P3912" s="505"/>
      <c r="Q3912" s="505"/>
      <c r="R3912" s="505"/>
      <c r="S3912" s="505"/>
      <c r="T3912" s="505"/>
      <c r="U3912" s="505"/>
      <c r="V3912" s="505"/>
      <c r="W3912" s="505"/>
      <c r="X3912" s="505"/>
      <c r="Y3912" s="505"/>
    </row>
    <row r="3913" spans="1:25" s="88" customFormat="1" hidden="1" x14ac:dyDescent="0.25">
      <c r="A3913" s="258"/>
      <c r="B3913" s="258"/>
      <c r="C3913" s="261"/>
      <c r="D3913" s="258"/>
      <c r="E3913" s="679"/>
      <c r="F3913" s="499">
        <v>443</v>
      </c>
      <c r="G3913" s="492" t="s">
        <v>3799</v>
      </c>
      <c r="H3913" s="555"/>
      <c r="I3913" s="556"/>
      <c r="J3913" s="556">
        <f t="shared" si="132"/>
        <v>0</v>
      </c>
      <c r="K3913" s="505"/>
      <c r="L3913" s="505"/>
      <c r="M3913" s="505"/>
      <c r="N3913" s="505"/>
      <c r="O3913" s="505"/>
      <c r="P3913" s="505"/>
      <c r="Q3913" s="505"/>
      <c r="R3913" s="505"/>
      <c r="S3913" s="505"/>
      <c r="T3913" s="505"/>
      <c r="U3913" s="505"/>
      <c r="V3913" s="505"/>
      <c r="W3913" s="505"/>
      <c r="X3913" s="505"/>
      <c r="Y3913" s="505"/>
    </row>
    <row r="3914" spans="1:25" s="88" customFormat="1" hidden="1" x14ac:dyDescent="0.25">
      <c r="A3914" s="258"/>
      <c r="B3914" s="258"/>
      <c r="C3914" s="261"/>
      <c r="D3914" s="258"/>
      <c r="E3914" s="679"/>
      <c r="F3914" s="499">
        <v>444</v>
      </c>
      <c r="G3914" s="492" t="s">
        <v>3800</v>
      </c>
      <c r="H3914" s="555"/>
      <c r="I3914" s="556"/>
      <c r="J3914" s="556">
        <f t="shared" si="132"/>
        <v>0</v>
      </c>
      <c r="K3914" s="505"/>
      <c r="L3914" s="505"/>
      <c r="M3914" s="505"/>
      <c r="N3914" s="505"/>
      <c r="O3914" s="505"/>
      <c r="P3914" s="505"/>
      <c r="Q3914" s="505"/>
      <c r="R3914" s="505"/>
      <c r="S3914" s="505"/>
      <c r="T3914" s="505"/>
      <c r="U3914" s="505"/>
      <c r="V3914" s="505"/>
      <c r="W3914" s="505"/>
      <c r="X3914" s="505"/>
      <c r="Y3914" s="505"/>
    </row>
    <row r="3915" spans="1:25" s="88" customFormat="1" ht="60" x14ac:dyDescent="0.25">
      <c r="A3915" s="258"/>
      <c r="B3915" s="258"/>
      <c r="C3915" s="261"/>
      <c r="D3915" s="258"/>
      <c r="E3915" s="870" t="s">
        <v>5425</v>
      </c>
      <c r="F3915" s="499">
        <v>4511</v>
      </c>
      <c r="G3915" s="771" t="s">
        <v>5426</v>
      </c>
      <c r="H3915" s="555">
        <v>3466000</v>
      </c>
      <c r="I3915" s="556"/>
      <c r="J3915" s="556">
        <f t="shared" si="132"/>
        <v>3466000</v>
      </c>
      <c r="K3915" s="505"/>
      <c r="L3915" s="505"/>
      <c r="M3915" s="505"/>
      <c r="N3915" s="505"/>
      <c r="O3915" s="505"/>
      <c r="P3915" s="505"/>
      <c r="Q3915" s="505"/>
      <c r="R3915" s="505"/>
      <c r="S3915" s="505"/>
      <c r="T3915" s="505"/>
      <c r="U3915" s="505"/>
      <c r="V3915" s="505"/>
      <c r="W3915" s="505"/>
      <c r="X3915" s="505"/>
      <c r="Y3915" s="505"/>
    </row>
    <row r="3916" spans="1:25" s="88" customFormat="1" ht="30.75" thickBot="1" x14ac:dyDescent="0.3">
      <c r="A3916" s="258"/>
      <c r="B3916" s="258"/>
      <c r="C3916" s="261"/>
      <c r="D3916" s="258"/>
      <c r="E3916" s="679">
        <v>121</v>
      </c>
      <c r="F3916" s="499">
        <v>4512</v>
      </c>
      <c r="G3916" s="771" t="s">
        <v>1699</v>
      </c>
      <c r="H3916" s="555">
        <v>134000</v>
      </c>
      <c r="I3916" s="556"/>
      <c r="J3916" s="556">
        <f t="shared" si="132"/>
        <v>134000</v>
      </c>
      <c r="K3916" s="505"/>
      <c r="L3916" s="505"/>
      <c r="M3916" s="505"/>
      <c r="N3916" s="505"/>
      <c r="O3916" s="505"/>
      <c r="P3916" s="505"/>
      <c r="Q3916" s="505"/>
      <c r="R3916" s="505"/>
      <c r="S3916" s="505"/>
      <c r="T3916" s="505"/>
      <c r="U3916" s="505"/>
      <c r="V3916" s="505"/>
      <c r="W3916" s="505"/>
      <c r="X3916" s="505"/>
      <c r="Y3916" s="505"/>
    </row>
    <row r="3917" spans="1:25" s="88" customFormat="1" hidden="1" x14ac:dyDescent="0.25">
      <c r="A3917" s="258"/>
      <c r="B3917" s="258"/>
      <c r="C3917" s="261"/>
      <c r="D3917" s="258"/>
      <c r="E3917" s="679"/>
      <c r="F3917" s="499">
        <v>452</v>
      </c>
      <c r="G3917" s="492" t="s">
        <v>4151</v>
      </c>
      <c r="H3917" s="555"/>
      <c r="I3917" s="556"/>
      <c r="J3917" s="556">
        <f t="shared" si="132"/>
        <v>0</v>
      </c>
      <c r="K3917" s="505"/>
      <c r="L3917" s="505"/>
      <c r="M3917" s="505"/>
      <c r="N3917" s="505"/>
      <c r="O3917" s="505"/>
      <c r="P3917" s="505"/>
      <c r="Q3917" s="505"/>
      <c r="R3917" s="505"/>
      <c r="S3917" s="505"/>
      <c r="T3917" s="505"/>
      <c r="U3917" s="505"/>
      <c r="V3917" s="505"/>
      <c r="W3917" s="505"/>
      <c r="X3917" s="505"/>
      <c r="Y3917" s="505"/>
    </row>
    <row r="3918" spans="1:25" s="88" customFormat="1" hidden="1" x14ac:dyDescent="0.25">
      <c r="A3918" s="258"/>
      <c r="B3918" s="258"/>
      <c r="C3918" s="261"/>
      <c r="D3918" s="258"/>
      <c r="E3918" s="679"/>
      <c r="F3918" s="499">
        <v>453</v>
      </c>
      <c r="G3918" s="492" t="s">
        <v>4152</v>
      </c>
      <c r="H3918" s="555"/>
      <c r="I3918" s="556"/>
      <c r="J3918" s="556">
        <f t="shared" si="132"/>
        <v>0</v>
      </c>
      <c r="K3918" s="505"/>
      <c r="L3918" s="505"/>
      <c r="M3918" s="505"/>
      <c r="N3918" s="505"/>
      <c r="O3918" s="505"/>
      <c r="P3918" s="505"/>
      <c r="Q3918" s="505"/>
      <c r="R3918" s="505"/>
      <c r="S3918" s="505"/>
      <c r="T3918" s="505"/>
      <c r="U3918" s="505"/>
      <c r="V3918" s="505"/>
      <c r="W3918" s="505"/>
      <c r="X3918" s="505"/>
      <c r="Y3918" s="505"/>
    </row>
    <row r="3919" spans="1:25" s="88" customFormat="1" hidden="1" x14ac:dyDescent="0.25">
      <c r="A3919" s="258"/>
      <c r="B3919" s="258"/>
      <c r="C3919" s="261"/>
      <c r="D3919" s="258"/>
      <c r="E3919" s="679"/>
      <c r="F3919" s="499">
        <v>454</v>
      </c>
      <c r="G3919" s="492" t="s">
        <v>3805</v>
      </c>
      <c r="H3919" s="555"/>
      <c r="I3919" s="556"/>
      <c r="J3919" s="556">
        <f t="shared" si="132"/>
        <v>0</v>
      </c>
      <c r="K3919" s="505"/>
      <c r="L3919" s="505"/>
      <c r="M3919" s="505"/>
      <c r="N3919" s="505"/>
      <c r="O3919" s="505"/>
      <c r="P3919" s="505"/>
      <c r="Q3919" s="505"/>
      <c r="R3919" s="505"/>
      <c r="S3919" s="505"/>
      <c r="T3919" s="505"/>
      <c r="U3919" s="505"/>
      <c r="V3919" s="505"/>
      <c r="W3919" s="505"/>
      <c r="X3919" s="505"/>
      <c r="Y3919" s="505"/>
    </row>
    <row r="3920" spans="1:25" s="88" customFormat="1" hidden="1" x14ac:dyDescent="0.25">
      <c r="A3920" s="258"/>
      <c r="B3920" s="258"/>
      <c r="C3920" s="261"/>
      <c r="D3920" s="258"/>
      <c r="E3920" s="679"/>
      <c r="F3920" s="499">
        <v>461</v>
      </c>
      <c r="G3920" s="492" t="s">
        <v>4133</v>
      </c>
      <c r="H3920" s="555"/>
      <c r="I3920" s="556"/>
      <c r="J3920" s="556">
        <f t="shared" si="132"/>
        <v>0</v>
      </c>
      <c r="K3920" s="505"/>
      <c r="L3920" s="505"/>
      <c r="M3920" s="505"/>
      <c r="N3920" s="505"/>
      <c r="O3920" s="505"/>
      <c r="P3920" s="505"/>
      <c r="Q3920" s="505"/>
      <c r="R3920" s="505"/>
      <c r="S3920" s="505"/>
      <c r="T3920" s="505"/>
      <c r="U3920" s="505"/>
      <c r="V3920" s="505"/>
      <c r="W3920" s="505"/>
      <c r="X3920" s="505"/>
      <c r="Y3920" s="505"/>
    </row>
    <row r="3921" spans="1:25" s="88" customFormat="1" hidden="1" x14ac:dyDescent="0.25">
      <c r="A3921" s="258"/>
      <c r="B3921" s="258"/>
      <c r="C3921" s="261"/>
      <c r="D3921" s="258"/>
      <c r="E3921" s="679"/>
      <c r="F3921" s="499">
        <v>462</v>
      </c>
      <c r="G3921" s="492" t="s">
        <v>3808</v>
      </c>
      <c r="H3921" s="555"/>
      <c r="I3921" s="556"/>
      <c r="J3921" s="556">
        <f t="shared" si="132"/>
        <v>0</v>
      </c>
      <c r="K3921" s="505"/>
      <c r="L3921" s="505"/>
      <c r="M3921" s="505"/>
      <c r="N3921" s="505"/>
      <c r="O3921" s="505"/>
      <c r="P3921" s="505"/>
      <c r="Q3921" s="505"/>
      <c r="R3921" s="505"/>
      <c r="S3921" s="505"/>
      <c r="T3921" s="505"/>
      <c r="U3921" s="505"/>
      <c r="V3921" s="505"/>
      <c r="W3921" s="505"/>
      <c r="X3921" s="505"/>
      <c r="Y3921" s="505"/>
    </row>
    <row r="3922" spans="1:25" s="88" customFormat="1" hidden="1" x14ac:dyDescent="0.25">
      <c r="A3922" s="258"/>
      <c r="B3922" s="258"/>
      <c r="C3922" s="261"/>
      <c r="D3922" s="258"/>
      <c r="E3922" s="679"/>
      <c r="F3922" s="499">
        <v>4631</v>
      </c>
      <c r="G3922" s="492" t="s">
        <v>3809</v>
      </c>
      <c r="H3922" s="555"/>
      <c r="I3922" s="556"/>
      <c r="J3922" s="556">
        <f t="shared" si="132"/>
        <v>0</v>
      </c>
      <c r="K3922" s="505"/>
      <c r="L3922" s="505"/>
      <c r="M3922" s="505"/>
      <c r="N3922" s="505"/>
      <c r="O3922" s="505"/>
      <c r="P3922" s="505"/>
      <c r="Q3922" s="505"/>
      <c r="R3922" s="505"/>
      <c r="S3922" s="505"/>
      <c r="T3922" s="505"/>
      <c r="U3922" s="505"/>
      <c r="V3922" s="505"/>
      <c r="W3922" s="505"/>
      <c r="X3922" s="505"/>
      <c r="Y3922" s="505"/>
    </row>
    <row r="3923" spans="1:25" s="88" customFormat="1" hidden="1" x14ac:dyDescent="0.25">
      <c r="A3923" s="258"/>
      <c r="B3923" s="258"/>
      <c r="C3923" s="261"/>
      <c r="D3923" s="258"/>
      <c r="E3923" s="679"/>
      <c r="F3923" s="499">
        <v>4632</v>
      </c>
      <c r="G3923" s="492" t="s">
        <v>3810</v>
      </c>
      <c r="H3923" s="555"/>
      <c r="I3923" s="556"/>
      <c r="J3923" s="556">
        <f t="shared" si="132"/>
        <v>0</v>
      </c>
      <c r="K3923" s="505"/>
      <c r="L3923" s="505"/>
      <c r="M3923" s="505"/>
      <c r="N3923" s="505"/>
      <c r="O3923" s="505"/>
      <c r="P3923" s="505"/>
      <c r="Q3923" s="505"/>
      <c r="R3923" s="505"/>
      <c r="S3923" s="505"/>
      <c r="T3923" s="505"/>
      <c r="U3923" s="505"/>
      <c r="V3923" s="505"/>
      <c r="W3923" s="505"/>
      <c r="X3923" s="505"/>
      <c r="Y3923" s="505"/>
    </row>
    <row r="3924" spans="1:25" s="88" customFormat="1" hidden="1" x14ac:dyDescent="0.25">
      <c r="A3924" s="258"/>
      <c r="B3924" s="258"/>
      <c r="C3924" s="261"/>
      <c r="D3924" s="258"/>
      <c r="E3924" s="679"/>
      <c r="F3924" s="499">
        <v>464</v>
      </c>
      <c r="G3924" s="492" t="s">
        <v>3811</v>
      </c>
      <c r="H3924" s="555"/>
      <c r="I3924" s="556"/>
      <c r="J3924" s="556">
        <f t="shared" si="132"/>
        <v>0</v>
      </c>
      <c r="K3924" s="505"/>
      <c r="L3924" s="505"/>
      <c r="M3924" s="505"/>
      <c r="N3924" s="505"/>
      <c r="O3924" s="505"/>
      <c r="P3924" s="505"/>
      <c r="Q3924" s="505"/>
      <c r="R3924" s="505"/>
      <c r="S3924" s="505"/>
      <c r="T3924" s="505"/>
      <c r="U3924" s="505"/>
      <c r="V3924" s="505"/>
      <c r="W3924" s="505"/>
      <c r="X3924" s="505"/>
      <c r="Y3924" s="505"/>
    </row>
    <row r="3925" spans="1:25" s="88" customFormat="1" hidden="1" x14ac:dyDescent="0.25">
      <c r="A3925" s="258"/>
      <c r="B3925" s="258"/>
      <c r="C3925" s="261"/>
      <c r="D3925" s="258"/>
      <c r="E3925" s="679"/>
      <c r="F3925" s="499">
        <v>465</v>
      </c>
      <c r="G3925" s="492" t="s">
        <v>4134</v>
      </c>
      <c r="H3925" s="555"/>
      <c r="I3925" s="556"/>
      <c r="J3925" s="556">
        <f t="shared" si="132"/>
        <v>0</v>
      </c>
      <c r="K3925" s="505"/>
      <c r="L3925" s="505"/>
      <c r="M3925" s="505"/>
      <c r="N3925" s="505"/>
      <c r="O3925" s="505"/>
      <c r="P3925" s="505"/>
      <c r="Q3925" s="505"/>
      <c r="R3925" s="505"/>
      <c r="S3925" s="505"/>
      <c r="T3925" s="505"/>
      <c r="U3925" s="505"/>
      <c r="V3925" s="505"/>
      <c r="W3925" s="505"/>
      <c r="X3925" s="505"/>
      <c r="Y3925" s="505"/>
    </row>
    <row r="3926" spans="1:25" s="88" customFormat="1" hidden="1" x14ac:dyDescent="0.25">
      <c r="A3926" s="258"/>
      <c r="B3926" s="258"/>
      <c r="C3926" s="261"/>
      <c r="D3926" s="258"/>
      <c r="E3926" s="679"/>
      <c r="F3926" s="499">
        <v>472</v>
      </c>
      <c r="G3926" s="492" t="s">
        <v>3815</v>
      </c>
      <c r="H3926" s="555"/>
      <c r="I3926" s="556"/>
      <c r="J3926" s="556">
        <f t="shared" si="132"/>
        <v>0</v>
      </c>
      <c r="K3926" s="505"/>
      <c r="L3926" s="505"/>
      <c r="M3926" s="505"/>
      <c r="N3926" s="505"/>
      <c r="O3926" s="505"/>
      <c r="P3926" s="505"/>
      <c r="Q3926" s="505"/>
      <c r="R3926" s="505"/>
      <c r="S3926" s="505"/>
      <c r="T3926" s="505"/>
      <c r="U3926" s="505"/>
      <c r="V3926" s="505"/>
      <c r="W3926" s="505"/>
      <c r="X3926" s="505"/>
      <c r="Y3926" s="505"/>
    </row>
    <row r="3927" spans="1:25" s="88" customFormat="1" hidden="1" x14ac:dyDescent="0.25">
      <c r="A3927" s="258"/>
      <c r="B3927" s="258"/>
      <c r="C3927" s="261"/>
      <c r="D3927" s="258"/>
      <c r="E3927" s="679"/>
      <c r="F3927" s="499">
        <v>481</v>
      </c>
      <c r="G3927" s="492" t="s">
        <v>4153</v>
      </c>
      <c r="H3927" s="555"/>
      <c r="I3927" s="556"/>
      <c r="J3927" s="556">
        <f t="shared" si="132"/>
        <v>0</v>
      </c>
      <c r="K3927" s="505"/>
      <c r="L3927" s="505"/>
      <c r="M3927" s="505"/>
      <c r="N3927" s="505"/>
      <c r="O3927" s="505"/>
      <c r="P3927" s="505"/>
      <c r="Q3927" s="505"/>
      <c r="R3927" s="505"/>
      <c r="S3927" s="505"/>
      <c r="T3927" s="505"/>
      <c r="U3927" s="505"/>
      <c r="V3927" s="505"/>
      <c r="W3927" s="505"/>
      <c r="X3927" s="505"/>
      <c r="Y3927" s="505"/>
    </row>
    <row r="3928" spans="1:25" s="88" customFormat="1" hidden="1" x14ac:dyDescent="0.25">
      <c r="A3928" s="258"/>
      <c r="B3928" s="258"/>
      <c r="C3928" s="261"/>
      <c r="D3928" s="258"/>
      <c r="E3928" s="679"/>
      <c r="F3928" s="499">
        <v>482</v>
      </c>
      <c r="G3928" s="492" t="s">
        <v>4154</v>
      </c>
      <c r="H3928" s="555"/>
      <c r="I3928" s="556"/>
      <c r="J3928" s="556">
        <f t="shared" si="132"/>
        <v>0</v>
      </c>
      <c r="K3928" s="505"/>
      <c r="L3928" s="505"/>
      <c r="M3928" s="505"/>
      <c r="N3928" s="505"/>
      <c r="O3928" s="505"/>
      <c r="P3928" s="505"/>
      <c r="Q3928" s="505"/>
      <c r="R3928" s="505"/>
      <c r="S3928" s="505"/>
      <c r="T3928" s="505"/>
      <c r="U3928" s="505"/>
      <c r="V3928" s="505"/>
      <c r="W3928" s="505"/>
      <c r="X3928" s="505"/>
      <c r="Y3928" s="505"/>
    </row>
    <row r="3929" spans="1:25" s="88" customFormat="1" hidden="1" x14ac:dyDescent="0.25">
      <c r="A3929" s="258"/>
      <c r="B3929" s="258"/>
      <c r="C3929" s="261"/>
      <c r="D3929" s="258"/>
      <c r="E3929" s="679"/>
      <c r="F3929" s="499">
        <v>483</v>
      </c>
      <c r="G3929" s="496" t="s">
        <v>4155</v>
      </c>
      <c r="H3929" s="555"/>
      <c r="I3929" s="556"/>
      <c r="J3929" s="556">
        <f t="shared" si="132"/>
        <v>0</v>
      </c>
      <c r="K3929" s="505"/>
      <c r="L3929" s="505"/>
      <c r="M3929" s="505"/>
      <c r="N3929" s="505"/>
      <c r="O3929" s="505"/>
      <c r="P3929" s="505"/>
      <c r="Q3929" s="505"/>
      <c r="R3929" s="505"/>
      <c r="S3929" s="505"/>
      <c r="T3929" s="505"/>
      <c r="U3929" s="505"/>
      <c r="V3929" s="505"/>
      <c r="W3929" s="505"/>
      <c r="X3929" s="505"/>
      <c r="Y3929" s="505"/>
    </row>
    <row r="3930" spans="1:25" s="88" customFormat="1" ht="30" hidden="1" x14ac:dyDescent="0.25">
      <c r="A3930" s="258"/>
      <c r="B3930" s="258"/>
      <c r="C3930" s="261"/>
      <c r="D3930" s="258"/>
      <c r="E3930" s="679"/>
      <c r="F3930" s="499">
        <v>484</v>
      </c>
      <c r="G3930" s="492" t="s">
        <v>4156</v>
      </c>
      <c r="H3930" s="555"/>
      <c r="I3930" s="556"/>
      <c r="J3930" s="556">
        <f t="shared" si="132"/>
        <v>0</v>
      </c>
      <c r="K3930" s="505"/>
      <c r="L3930" s="505"/>
      <c r="M3930" s="505"/>
      <c r="N3930" s="505"/>
      <c r="O3930" s="505"/>
      <c r="P3930" s="505"/>
      <c r="Q3930" s="505"/>
      <c r="R3930" s="505"/>
      <c r="S3930" s="505"/>
      <c r="T3930" s="505"/>
      <c r="U3930" s="505"/>
      <c r="V3930" s="505"/>
      <c r="W3930" s="505"/>
      <c r="X3930" s="505"/>
      <c r="Y3930" s="505"/>
    </row>
    <row r="3931" spans="1:25" s="88" customFormat="1" ht="30" hidden="1" x14ac:dyDescent="0.25">
      <c r="A3931" s="258"/>
      <c r="B3931" s="258"/>
      <c r="C3931" s="261"/>
      <c r="D3931" s="258"/>
      <c r="E3931" s="679"/>
      <c r="F3931" s="499">
        <v>485</v>
      </c>
      <c r="G3931" s="492" t="s">
        <v>4157</v>
      </c>
      <c r="H3931" s="555"/>
      <c r="I3931" s="556"/>
      <c r="J3931" s="556">
        <f t="shared" si="132"/>
        <v>0</v>
      </c>
      <c r="K3931" s="505"/>
      <c r="L3931" s="505"/>
      <c r="M3931" s="505"/>
      <c r="N3931" s="505"/>
      <c r="O3931" s="505"/>
      <c r="P3931" s="505"/>
      <c r="Q3931" s="505"/>
      <c r="R3931" s="505"/>
      <c r="S3931" s="505"/>
      <c r="T3931" s="505"/>
      <c r="U3931" s="505"/>
      <c r="V3931" s="505"/>
      <c r="W3931" s="505"/>
      <c r="X3931" s="505"/>
      <c r="Y3931" s="505"/>
    </row>
    <row r="3932" spans="1:25" s="88" customFormat="1" ht="30" hidden="1" x14ac:dyDescent="0.25">
      <c r="A3932" s="258"/>
      <c r="B3932" s="258"/>
      <c r="C3932" s="261"/>
      <c r="D3932" s="258"/>
      <c r="E3932" s="679"/>
      <c r="F3932" s="499">
        <v>489</v>
      </c>
      <c r="G3932" s="492" t="s">
        <v>3823</v>
      </c>
      <c r="H3932" s="555"/>
      <c r="I3932" s="556"/>
      <c r="J3932" s="556">
        <f t="shared" si="132"/>
        <v>0</v>
      </c>
      <c r="K3932" s="505"/>
      <c r="L3932" s="505"/>
      <c r="M3932" s="505"/>
      <c r="N3932" s="505"/>
      <c r="O3932" s="505"/>
      <c r="P3932" s="505"/>
      <c r="Q3932" s="505"/>
      <c r="R3932" s="505"/>
      <c r="S3932" s="505"/>
      <c r="T3932" s="505"/>
      <c r="U3932" s="505"/>
      <c r="V3932" s="505"/>
      <c r="W3932" s="505"/>
      <c r="X3932" s="505"/>
      <c r="Y3932" s="505"/>
    </row>
    <row r="3933" spans="1:25" s="88" customFormat="1" hidden="1" x14ac:dyDescent="0.25">
      <c r="A3933" s="258"/>
      <c r="B3933" s="258"/>
      <c r="C3933" s="261"/>
      <c r="D3933" s="258"/>
      <c r="E3933" s="679"/>
      <c r="F3933" s="499">
        <v>494</v>
      </c>
      <c r="G3933" s="492" t="s">
        <v>4135</v>
      </c>
      <c r="H3933" s="555"/>
      <c r="I3933" s="556"/>
      <c r="J3933" s="556">
        <f t="shared" si="132"/>
        <v>0</v>
      </c>
      <c r="K3933" s="505"/>
      <c r="L3933" s="505"/>
      <c r="M3933" s="505"/>
      <c r="N3933" s="505"/>
      <c r="O3933" s="505"/>
      <c r="P3933" s="505"/>
      <c r="Q3933" s="505"/>
      <c r="R3933" s="505"/>
      <c r="S3933" s="505"/>
      <c r="T3933" s="505"/>
      <c r="U3933" s="505"/>
      <c r="V3933" s="505"/>
      <c r="W3933" s="505"/>
      <c r="X3933" s="505"/>
      <c r="Y3933" s="505"/>
    </row>
    <row r="3934" spans="1:25" s="88" customFormat="1" ht="30" hidden="1" x14ac:dyDescent="0.25">
      <c r="A3934" s="258"/>
      <c r="B3934" s="258"/>
      <c r="C3934" s="261"/>
      <c r="D3934" s="258"/>
      <c r="E3934" s="679"/>
      <c r="F3934" s="499">
        <v>495</v>
      </c>
      <c r="G3934" s="492" t="s">
        <v>4136</v>
      </c>
      <c r="H3934" s="555"/>
      <c r="I3934" s="556"/>
      <c r="J3934" s="556">
        <f t="shared" si="132"/>
        <v>0</v>
      </c>
      <c r="K3934" s="505"/>
      <c r="L3934" s="505"/>
      <c r="M3934" s="505"/>
      <c r="N3934" s="505"/>
      <c r="O3934" s="505"/>
      <c r="P3934" s="505"/>
      <c r="Q3934" s="505"/>
      <c r="R3934" s="505"/>
      <c r="S3934" s="505"/>
      <c r="T3934" s="505"/>
      <c r="U3934" s="505"/>
      <c r="V3934" s="505"/>
      <c r="W3934" s="505"/>
      <c r="X3934" s="505"/>
      <c r="Y3934" s="505"/>
    </row>
    <row r="3935" spans="1:25" s="88" customFormat="1" ht="30" hidden="1" x14ac:dyDescent="0.25">
      <c r="A3935" s="258"/>
      <c r="B3935" s="258"/>
      <c r="C3935" s="261"/>
      <c r="D3935" s="258"/>
      <c r="E3935" s="679"/>
      <c r="F3935" s="499">
        <v>496</v>
      </c>
      <c r="G3935" s="492" t="s">
        <v>4137</v>
      </c>
      <c r="H3935" s="555"/>
      <c r="I3935" s="556"/>
      <c r="J3935" s="556">
        <f t="shared" si="132"/>
        <v>0</v>
      </c>
      <c r="K3935" s="505"/>
      <c r="L3935" s="505"/>
      <c r="M3935" s="505"/>
      <c r="N3935" s="505"/>
      <c r="O3935" s="505"/>
      <c r="P3935" s="505"/>
      <c r="Q3935" s="505"/>
      <c r="R3935" s="505"/>
      <c r="S3935" s="505"/>
      <c r="T3935" s="505"/>
      <c r="U3935" s="505"/>
      <c r="V3935" s="505"/>
      <c r="W3935" s="505"/>
      <c r="X3935" s="505"/>
      <c r="Y3935" s="505"/>
    </row>
    <row r="3936" spans="1:25" s="88" customFormat="1" ht="30" hidden="1" x14ac:dyDescent="0.25">
      <c r="A3936" s="258"/>
      <c r="B3936" s="258"/>
      <c r="C3936" s="261"/>
      <c r="D3936" s="258"/>
      <c r="E3936" s="679"/>
      <c r="F3936" s="499">
        <v>499</v>
      </c>
      <c r="G3936" s="492" t="s">
        <v>4138</v>
      </c>
      <c r="H3936" s="555"/>
      <c r="I3936" s="556"/>
      <c r="J3936" s="556">
        <f t="shared" si="132"/>
        <v>0</v>
      </c>
      <c r="K3936" s="505"/>
      <c r="L3936" s="505"/>
      <c r="M3936" s="505"/>
      <c r="N3936" s="505"/>
      <c r="O3936" s="505"/>
      <c r="P3936" s="505"/>
      <c r="Q3936" s="505"/>
      <c r="R3936" s="505"/>
      <c r="S3936" s="505"/>
      <c r="T3936" s="505"/>
      <c r="U3936" s="505"/>
      <c r="V3936" s="505"/>
      <c r="W3936" s="505"/>
      <c r="X3936" s="505"/>
      <c r="Y3936" s="505"/>
    </row>
    <row r="3937" spans="1:25" s="88" customFormat="1" hidden="1" x14ac:dyDescent="0.25">
      <c r="A3937" s="258"/>
      <c r="B3937" s="258"/>
      <c r="C3937" s="261"/>
      <c r="D3937" s="258"/>
      <c r="E3937" s="679"/>
      <c r="F3937" s="499">
        <v>511</v>
      </c>
      <c r="G3937" s="496" t="s">
        <v>4158</v>
      </c>
      <c r="H3937" s="555"/>
      <c r="I3937" s="556"/>
      <c r="J3937" s="556">
        <f t="shared" si="132"/>
        <v>0</v>
      </c>
      <c r="K3937" s="505"/>
      <c r="L3937" s="505"/>
      <c r="M3937" s="505"/>
      <c r="N3937" s="505"/>
      <c r="O3937" s="505"/>
      <c r="P3937" s="505"/>
      <c r="Q3937" s="505"/>
      <c r="R3937" s="505"/>
      <c r="S3937" s="505"/>
      <c r="T3937" s="505"/>
      <c r="U3937" s="505"/>
      <c r="V3937" s="505"/>
      <c r="W3937" s="505"/>
      <c r="X3937" s="505"/>
      <c r="Y3937" s="505"/>
    </row>
    <row r="3938" spans="1:25" s="88" customFormat="1" hidden="1" x14ac:dyDescent="0.25">
      <c r="A3938" s="258"/>
      <c r="B3938" s="258"/>
      <c r="C3938" s="261"/>
      <c r="D3938" s="258"/>
      <c r="E3938" s="679"/>
      <c r="F3938" s="499">
        <v>512</v>
      </c>
      <c r="G3938" s="496" t="s">
        <v>4159</v>
      </c>
      <c r="H3938" s="555"/>
      <c r="I3938" s="556"/>
      <c r="J3938" s="556">
        <f t="shared" si="132"/>
        <v>0</v>
      </c>
      <c r="K3938" s="505"/>
      <c r="L3938" s="505"/>
      <c r="M3938" s="505"/>
      <c r="N3938" s="505"/>
      <c r="O3938" s="505"/>
      <c r="P3938" s="505"/>
      <c r="Q3938" s="505"/>
      <c r="R3938" s="505"/>
      <c r="S3938" s="505"/>
      <c r="T3938" s="505"/>
      <c r="U3938" s="505"/>
      <c r="V3938" s="505"/>
      <c r="W3938" s="505"/>
      <c r="X3938" s="505"/>
      <c r="Y3938" s="505"/>
    </row>
    <row r="3939" spans="1:25" s="88" customFormat="1" hidden="1" x14ac:dyDescent="0.25">
      <c r="A3939" s="258"/>
      <c r="B3939" s="258"/>
      <c r="C3939" s="261"/>
      <c r="D3939" s="258"/>
      <c r="E3939" s="679"/>
      <c r="F3939" s="499">
        <v>513</v>
      </c>
      <c r="G3939" s="496" t="s">
        <v>4160</v>
      </c>
      <c r="H3939" s="555"/>
      <c r="I3939" s="556"/>
      <c r="J3939" s="556">
        <f t="shared" si="132"/>
        <v>0</v>
      </c>
      <c r="K3939" s="505"/>
      <c r="L3939" s="505"/>
      <c r="M3939" s="505"/>
      <c r="N3939" s="505"/>
      <c r="O3939" s="505"/>
      <c r="P3939" s="505"/>
      <c r="Q3939" s="505"/>
      <c r="R3939" s="505"/>
      <c r="S3939" s="505"/>
      <c r="T3939" s="505"/>
      <c r="U3939" s="505"/>
      <c r="V3939" s="505"/>
      <c r="W3939" s="505"/>
      <c r="X3939" s="505"/>
      <c r="Y3939" s="505"/>
    </row>
    <row r="3940" spans="1:25" s="88" customFormat="1" hidden="1" x14ac:dyDescent="0.25">
      <c r="A3940" s="258"/>
      <c r="B3940" s="258"/>
      <c r="C3940" s="261"/>
      <c r="D3940" s="258"/>
      <c r="E3940" s="679"/>
      <c r="F3940" s="499">
        <v>514</v>
      </c>
      <c r="G3940" s="492" t="s">
        <v>4161</v>
      </c>
      <c r="H3940" s="555"/>
      <c r="I3940" s="556"/>
      <c r="J3940" s="556">
        <f t="shared" si="132"/>
        <v>0</v>
      </c>
      <c r="K3940" s="505"/>
      <c r="L3940" s="505"/>
      <c r="M3940" s="505"/>
      <c r="N3940" s="505"/>
      <c r="O3940" s="505"/>
      <c r="P3940" s="505"/>
      <c r="Q3940" s="505"/>
      <c r="R3940" s="505"/>
      <c r="S3940" s="505"/>
      <c r="T3940" s="505"/>
      <c r="U3940" s="505"/>
      <c r="V3940" s="505"/>
      <c r="W3940" s="505"/>
      <c r="X3940" s="505"/>
      <c r="Y3940" s="505"/>
    </row>
    <row r="3941" spans="1:25" s="88" customFormat="1" hidden="1" x14ac:dyDescent="0.25">
      <c r="A3941" s="258"/>
      <c r="B3941" s="258"/>
      <c r="C3941" s="261"/>
      <c r="D3941" s="258"/>
      <c r="E3941" s="679"/>
      <c r="F3941" s="499">
        <v>515</v>
      </c>
      <c r="G3941" s="492" t="s">
        <v>3834</v>
      </c>
      <c r="H3941" s="555"/>
      <c r="I3941" s="556"/>
      <c r="J3941" s="556">
        <f t="shared" si="132"/>
        <v>0</v>
      </c>
      <c r="K3941" s="505"/>
      <c r="L3941" s="505"/>
      <c r="M3941" s="505"/>
      <c r="N3941" s="505"/>
      <c r="O3941" s="505"/>
      <c r="P3941" s="505"/>
      <c r="Q3941" s="505"/>
      <c r="R3941" s="505"/>
      <c r="S3941" s="505"/>
      <c r="T3941" s="505"/>
      <c r="U3941" s="505"/>
      <c r="V3941" s="505"/>
      <c r="W3941" s="505"/>
      <c r="X3941" s="505"/>
      <c r="Y3941" s="505"/>
    </row>
    <row r="3942" spans="1:25" s="88" customFormat="1" hidden="1" x14ac:dyDescent="0.25">
      <c r="A3942" s="258"/>
      <c r="B3942" s="258"/>
      <c r="C3942" s="261"/>
      <c r="D3942" s="258"/>
      <c r="E3942" s="679"/>
      <c r="F3942" s="499">
        <v>521</v>
      </c>
      <c r="G3942" s="492" t="s">
        <v>4162</v>
      </c>
      <c r="H3942" s="555"/>
      <c r="I3942" s="556"/>
      <c r="J3942" s="556">
        <f t="shared" si="132"/>
        <v>0</v>
      </c>
      <c r="K3942" s="505"/>
      <c r="L3942" s="505"/>
      <c r="M3942" s="505"/>
      <c r="N3942" s="505"/>
      <c r="O3942" s="505"/>
      <c r="P3942" s="505"/>
      <c r="Q3942" s="505"/>
      <c r="R3942" s="505"/>
      <c r="S3942" s="505"/>
      <c r="T3942" s="505"/>
      <c r="U3942" s="505"/>
      <c r="V3942" s="505"/>
      <c r="W3942" s="505"/>
      <c r="X3942" s="505"/>
      <c r="Y3942" s="505"/>
    </row>
    <row r="3943" spans="1:25" s="88" customFormat="1" hidden="1" x14ac:dyDescent="0.25">
      <c r="A3943" s="258"/>
      <c r="B3943" s="258"/>
      <c r="C3943" s="261"/>
      <c r="D3943" s="258"/>
      <c r="E3943" s="679"/>
      <c r="F3943" s="499">
        <v>522</v>
      </c>
      <c r="G3943" s="492" t="s">
        <v>4163</v>
      </c>
      <c r="H3943" s="555"/>
      <c r="I3943" s="556"/>
      <c r="J3943" s="556">
        <f t="shared" si="132"/>
        <v>0</v>
      </c>
      <c r="K3943" s="505"/>
      <c r="L3943" s="505"/>
      <c r="M3943" s="505"/>
      <c r="N3943" s="505"/>
      <c r="O3943" s="505"/>
      <c r="P3943" s="505"/>
      <c r="Q3943" s="505"/>
      <c r="R3943" s="505"/>
      <c r="S3943" s="505"/>
      <c r="T3943" s="505"/>
      <c r="U3943" s="505"/>
      <c r="V3943" s="505"/>
      <c r="W3943" s="505"/>
      <c r="X3943" s="505"/>
      <c r="Y3943" s="505"/>
    </row>
    <row r="3944" spans="1:25" s="88" customFormat="1" hidden="1" x14ac:dyDescent="0.25">
      <c r="A3944" s="258"/>
      <c r="B3944" s="258"/>
      <c r="C3944" s="261"/>
      <c r="D3944" s="258"/>
      <c r="E3944" s="679"/>
      <c r="F3944" s="499">
        <v>523</v>
      </c>
      <c r="G3944" s="492" t="s">
        <v>3839</v>
      </c>
      <c r="H3944" s="555"/>
      <c r="I3944" s="556"/>
      <c r="J3944" s="556">
        <f t="shared" si="132"/>
        <v>0</v>
      </c>
      <c r="K3944" s="505"/>
      <c r="L3944" s="505"/>
      <c r="M3944" s="505"/>
      <c r="N3944" s="505"/>
      <c r="O3944" s="505"/>
      <c r="P3944" s="505"/>
      <c r="Q3944" s="505"/>
      <c r="R3944" s="505"/>
      <c r="S3944" s="505"/>
      <c r="T3944" s="505"/>
      <c r="U3944" s="505"/>
      <c r="V3944" s="505"/>
      <c r="W3944" s="505"/>
      <c r="X3944" s="505"/>
      <c r="Y3944" s="505"/>
    </row>
    <row r="3945" spans="1:25" s="88" customFormat="1" hidden="1" x14ac:dyDescent="0.25">
      <c r="A3945" s="258"/>
      <c r="B3945" s="258"/>
      <c r="C3945" s="261"/>
      <c r="D3945" s="258"/>
      <c r="E3945" s="679"/>
      <c r="F3945" s="499">
        <v>531</v>
      </c>
      <c r="G3945" s="488" t="s">
        <v>4139</v>
      </c>
      <c r="H3945" s="555"/>
      <c r="I3945" s="556"/>
      <c r="J3945" s="556">
        <f t="shared" si="132"/>
        <v>0</v>
      </c>
      <c r="K3945" s="505"/>
      <c r="L3945" s="505"/>
      <c r="M3945" s="505"/>
      <c r="N3945" s="505"/>
      <c r="O3945" s="505"/>
      <c r="P3945" s="505"/>
      <c r="Q3945" s="505"/>
      <c r="R3945" s="505"/>
      <c r="S3945" s="505"/>
      <c r="T3945" s="505"/>
      <c r="U3945" s="505"/>
      <c r="V3945" s="505"/>
      <c r="W3945" s="505"/>
      <c r="X3945" s="505"/>
      <c r="Y3945" s="505"/>
    </row>
    <row r="3946" spans="1:25" s="88" customFormat="1" hidden="1" x14ac:dyDescent="0.25">
      <c r="A3946" s="258"/>
      <c r="B3946" s="258"/>
      <c r="C3946" s="261"/>
      <c r="D3946" s="258"/>
      <c r="E3946" s="679"/>
      <c r="F3946" s="499">
        <v>541</v>
      </c>
      <c r="G3946" s="492" t="s">
        <v>4164</v>
      </c>
      <c r="H3946" s="555"/>
      <c r="I3946" s="556"/>
      <c r="J3946" s="556">
        <f t="shared" si="132"/>
        <v>0</v>
      </c>
      <c r="K3946" s="505"/>
      <c r="L3946" s="505"/>
      <c r="M3946" s="505"/>
      <c r="N3946" s="505"/>
      <c r="O3946" s="505"/>
      <c r="P3946" s="505"/>
      <c r="Q3946" s="505"/>
      <c r="R3946" s="505"/>
      <c r="S3946" s="505"/>
      <c r="T3946" s="505"/>
      <c r="U3946" s="505"/>
      <c r="V3946" s="505"/>
      <c r="W3946" s="505"/>
      <c r="X3946" s="505"/>
      <c r="Y3946" s="505"/>
    </row>
    <row r="3947" spans="1:25" s="88" customFormat="1" hidden="1" x14ac:dyDescent="0.25">
      <c r="A3947" s="258"/>
      <c r="B3947" s="258"/>
      <c r="C3947" s="261"/>
      <c r="D3947" s="258"/>
      <c r="E3947" s="679"/>
      <c r="F3947" s="499">
        <v>542</v>
      </c>
      <c r="G3947" s="492" t="s">
        <v>4165</v>
      </c>
      <c r="H3947" s="555"/>
      <c r="I3947" s="556"/>
      <c r="J3947" s="556">
        <f t="shared" si="132"/>
        <v>0</v>
      </c>
      <c r="K3947" s="505"/>
      <c r="L3947" s="505"/>
      <c r="M3947" s="505"/>
      <c r="N3947" s="505"/>
      <c r="O3947" s="505"/>
      <c r="P3947" s="505"/>
      <c r="Q3947" s="505"/>
      <c r="R3947" s="505"/>
      <c r="S3947" s="505"/>
      <c r="T3947" s="505"/>
      <c r="U3947" s="505"/>
      <c r="V3947" s="505"/>
      <c r="W3947" s="505"/>
      <c r="X3947" s="505"/>
      <c r="Y3947" s="505"/>
    </row>
    <row r="3948" spans="1:25" s="88" customFormat="1" hidden="1" x14ac:dyDescent="0.25">
      <c r="A3948" s="258"/>
      <c r="B3948" s="258"/>
      <c r="C3948" s="261"/>
      <c r="D3948" s="258"/>
      <c r="E3948" s="679"/>
      <c r="F3948" s="499">
        <v>543</v>
      </c>
      <c r="G3948" s="492" t="s">
        <v>3844</v>
      </c>
      <c r="H3948" s="555"/>
      <c r="I3948" s="556"/>
      <c r="J3948" s="556">
        <f t="shared" si="132"/>
        <v>0</v>
      </c>
      <c r="K3948" s="505"/>
      <c r="L3948" s="505"/>
      <c r="M3948" s="505"/>
      <c r="N3948" s="505"/>
      <c r="O3948" s="505"/>
      <c r="P3948" s="505"/>
      <c r="Q3948" s="505"/>
      <c r="R3948" s="505"/>
      <c r="S3948" s="505"/>
      <c r="T3948" s="505"/>
      <c r="U3948" s="505"/>
      <c r="V3948" s="505"/>
      <c r="W3948" s="505"/>
      <c r="X3948" s="505"/>
      <c r="Y3948" s="505"/>
    </row>
    <row r="3949" spans="1:25" s="88" customFormat="1" ht="30" hidden="1" x14ac:dyDescent="0.25">
      <c r="A3949" s="258"/>
      <c r="B3949" s="258"/>
      <c r="C3949" s="261"/>
      <c r="D3949" s="258"/>
      <c r="E3949" s="679"/>
      <c r="F3949" s="499">
        <v>551</v>
      </c>
      <c r="G3949" s="492" t="s">
        <v>4140</v>
      </c>
      <c r="H3949" s="555"/>
      <c r="I3949" s="556"/>
      <c r="J3949" s="556">
        <f t="shared" si="132"/>
        <v>0</v>
      </c>
      <c r="K3949" s="505"/>
      <c r="L3949" s="505"/>
      <c r="M3949" s="505"/>
      <c r="N3949" s="505"/>
      <c r="O3949" s="505"/>
      <c r="P3949" s="505"/>
      <c r="Q3949" s="505"/>
      <c r="R3949" s="505"/>
      <c r="S3949" s="505"/>
      <c r="T3949" s="505"/>
      <c r="U3949" s="505"/>
      <c r="V3949" s="505"/>
      <c r="W3949" s="505"/>
      <c r="X3949" s="505"/>
      <c r="Y3949" s="505"/>
    </row>
    <row r="3950" spans="1:25" s="88" customFormat="1" hidden="1" x14ac:dyDescent="0.25">
      <c r="A3950" s="258"/>
      <c r="B3950" s="258"/>
      <c r="C3950" s="261"/>
      <c r="D3950" s="258"/>
      <c r="E3950" s="679"/>
      <c r="F3950" s="500">
        <v>611</v>
      </c>
      <c r="G3950" s="498" t="s">
        <v>3850</v>
      </c>
      <c r="H3950" s="555"/>
      <c r="I3950" s="556"/>
      <c r="J3950" s="556">
        <f t="shared" si="132"/>
        <v>0</v>
      </c>
      <c r="K3950" s="505"/>
      <c r="L3950" s="505"/>
      <c r="M3950" s="505"/>
      <c r="N3950" s="505"/>
      <c r="O3950" s="505"/>
      <c r="P3950" s="505"/>
      <c r="Q3950" s="505"/>
      <c r="R3950" s="505"/>
      <c r="S3950" s="505"/>
      <c r="T3950" s="505"/>
      <c r="U3950" s="505"/>
      <c r="V3950" s="505"/>
      <c r="W3950" s="505"/>
      <c r="X3950" s="505"/>
      <c r="Y3950" s="505"/>
    </row>
    <row r="3951" spans="1:25" s="88" customFormat="1" ht="15.75" hidden="1" thickBot="1" x14ac:dyDescent="0.3">
      <c r="A3951" s="258"/>
      <c r="B3951" s="258"/>
      <c r="C3951" s="261"/>
      <c r="D3951" s="258"/>
      <c r="E3951" s="679"/>
      <c r="F3951" s="500">
        <v>620</v>
      </c>
      <c r="G3951" s="498" t="s">
        <v>88</v>
      </c>
      <c r="H3951" s="555"/>
      <c r="I3951" s="556"/>
      <c r="J3951" s="556">
        <f t="shared" si="132"/>
        <v>0</v>
      </c>
      <c r="K3951" s="505"/>
      <c r="L3951" s="505"/>
      <c r="M3951" s="505"/>
      <c r="N3951" s="505"/>
      <c r="O3951" s="505"/>
      <c r="P3951" s="505"/>
      <c r="Q3951" s="505"/>
      <c r="R3951" s="505"/>
      <c r="S3951" s="505"/>
      <c r="T3951" s="505"/>
      <c r="U3951" s="505"/>
      <c r="V3951" s="505"/>
      <c r="W3951" s="505"/>
      <c r="X3951" s="505"/>
      <c r="Y3951" s="505"/>
    </row>
    <row r="3952" spans="1:25" s="88" customFormat="1" x14ac:dyDescent="0.25">
      <c r="A3952" s="258"/>
      <c r="B3952" s="258"/>
      <c r="C3952" s="261"/>
      <c r="D3952" s="258"/>
      <c r="E3952" s="489"/>
      <c r="F3952" s="500"/>
      <c r="G3952" s="343" t="s">
        <v>4335</v>
      </c>
      <c r="H3952" s="557"/>
      <c r="I3952" s="583"/>
      <c r="J3952" s="558"/>
      <c r="K3952" s="505"/>
      <c r="L3952" s="505"/>
      <c r="M3952" s="505"/>
      <c r="N3952" s="505"/>
      <c r="O3952" s="505"/>
      <c r="P3952" s="505"/>
      <c r="Q3952" s="505"/>
      <c r="R3952" s="505"/>
      <c r="S3952" s="505"/>
      <c r="T3952" s="505"/>
      <c r="U3952" s="505"/>
      <c r="V3952" s="505"/>
      <c r="W3952" s="505"/>
      <c r="X3952" s="505"/>
      <c r="Y3952" s="505"/>
    </row>
    <row r="3953" spans="1:25" s="88" customFormat="1" ht="15" customHeight="1" thickBot="1" x14ac:dyDescent="0.3">
      <c r="A3953" s="258"/>
      <c r="B3953" s="258"/>
      <c r="C3953" s="261"/>
      <c r="D3953" s="258"/>
      <c r="E3953" s="693"/>
      <c r="F3953" s="597" t="s">
        <v>234</v>
      </c>
      <c r="G3953" s="598" t="s">
        <v>235</v>
      </c>
      <c r="H3953" s="559">
        <f>SUM(H3892:H3951)</f>
        <v>3600000</v>
      </c>
      <c r="I3953" s="560"/>
      <c r="J3953" s="560">
        <f t="shared" ref="J3953:J3968" si="133">SUM(H3953:I3953)</f>
        <v>3600000</v>
      </c>
      <c r="K3953" s="505"/>
      <c r="L3953" s="505"/>
      <c r="M3953" s="505"/>
      <c r="N3953" s="505"/>
      <c r="O3953" s="505"/>
      <c r="P3953" s="505"/>
      <c r="Q3953" s="505"/>
      <c r="R3953" s="505"/>
      <c r="S3953" s="505"/>
      <c r="T3953" s="505"/>
      <c r="U3953" s="505"/>
      <c r="V3953" s="505"/>
      <c r="W3953" s="505"/>
      <c r="X3953" s="505"/>
      <c r="Y3953" s="505"/>
    </row>
    <row r="3954" spans="1:25" s="88" customFormat="1" hidden="1" x14ac:dyDescent="0.25">
      <c r="A3954" s="258"/>
      <c r="B3954" s="258"/>
      <c r="C3954" s="261"/>
      <c r="D3954" s="258"/>
      <c r="E3954" s="679"/>
      <c r="F3954" s="597" t="s">
        <v>236</v>
      </c>
      <c r="G3954" s="598" t="s">
        <v>237</v>
      </c>
      <c r="H3954" s="555"/>
      <c r="I3954" s="556"/>
      <c r="J3954" s="560">
        <f t="shared" si="133"/>
        <v>0</v>
      </c>
      <c r="K3954" s="505"/>
      <c r="L3954" s="505"/>
      <c r="M3954" s="505"/>
      <c r="N3954" s="505"/>
      <c r="O3954" s="505"/>
      <c r="P3954" s="505"/>
      <c r="Q3954" s="505"/>
      <c r="R3954" s="505"/>
      <c r="S3954" s="505"/>
      <c r="T3954" s="505"/>
      <c r="U3954" s="505"/>
      <c r="V3954" s="505"/>
      <c r="W3954" s="505"/>
      <c r="X3954" s="505"/>
      <c r="Y3954" s="505"/>
    </row>
    <row r="3955" spans="1:25" s="88" customFormat="1" hidden="1" x14ac:dyDescent="0.25">
      <c r="A3955" s="258"/>
      <c r="B3955" s="258"/>
      <c r="C3955" s="261"/>
      <c r="D3955" s="258"/>
      <c r="E3955" s="679"/>
      <c r="F3955" s="597" t="s">
        <v>238</v>
      </c>
      <c r="G3955" s="598" t="s">
        <v>239</v>
      </c>
      <c r="H3955" s="555"/>
      <c r="I3955" s="556"/>
      <c r="J3955" s="560">
        <f t="shared" si="133"/>
        <v>0</v>
      </c>
      <c r="K3955" s="505"/>
      <c r="L3955" s="505"/>
      <c r="M3955" s="505"/>
      <c r="N3955" s="505"/>
      <c r="O3955" s="505"/>
      <c r="P3955" s="505"/>
      <c r="Q3955" s="505"/>
      <c r="R3955" s="505"/>
      <c r="S3955" s="505"/>
      <c r="T3955" s="505"/>
      <c r="U3955" s="505"/>
      <c r="V3955" s="505"/>
      <c r="W3955" s="505"/>
      <c r="X3955" s="505"/>
      <c r="Y3955" s="505"/>
    </row>
    <row r="3956" spans="1:25" s="88" customFormat="1" hidden="1" x14ac:dyDescent="0.25">
      <c r="A3956" s="258"/>
      <c r="B3956" s="258"/>
      <c r="C3956" s="261"/>
      <c r="D3956" s="258"/>
      <c r="E3956" s="679"/>
      <c r="F3956" s="597" t="s">
        <v>240</v>
      </c>
      <c r="G3956" s="598" t="s">
        <v>241</v>
      </c>
      <c r="H3956" s="555"/>
      <c r="I3956" s="556"/>
      <c r="J3956" s="560">
        <f t="shared" si="133"/>
        <v>0</v>
      </c>
      <c r="K3956" s="505"/>
      <c r="L3956" s="505"/>
      <c r="M3956" s="505"/>
      <c r="N3956" s="505"/>
      <c r="O3956" s="505"/>
      <c r="P3956" s="505"/>
      <c r="Q3956" s="505"/>
      <c r="R3956" s="505"/>
      <c r="S3956" s="505"/>
      <c r="T3956" s="505"/>
      <c r="U3956" s="505"/>
      <c r="V3956" s="505"/>
      <c r="W3956" s="505"/>
      <c r="X3956" s="505"/>
      <c r="Y3956" s="505"/>
    </row>
    <row r="3957" spans="1:25" s="88" customFormat="1" hidden="1" x14ac:dyDescent="0.25">
      <c r="A3957" s="258"/>
      <c r="B3957" s="258"/>
      <c r="C3957" s="261"/>
      <c r="D3957" s="258"/>
      <c r="E3957" s="679"/>
      <c r="F3957" s="597" t="s">
        <v>242</v>
      </c>
      <c r="G3957" s="598" t="s">
        <v>243</v>
      </c>
      <c r="H3957" s="555"/>
      <c r="I3957" s="556"/>
      <c r="J3957" s="560">
        <f t="shared" si="133"/>
        <v>0</v>
      </c>
      <c r="K3957" s="505"/>
      <c r="L3957" s="505"/>
      <c r="M3957" s="505"/>
      <c r="N3957" s="505"/>
      <c r="O3957" s="505"/>
      <c r="P3957" s="505"/>
      <c r="Q3957" s="505"/>
      <c r="R3957" s="505"/>
      <c r="S3957" s="505"/>
      <c r="T3957" s="505"/>
      <c r="U3957" s="505"/>
      <c r="V3957" s="505"/>
      <c r="W3957" s="505"/>
      <c r="X3957" s="505"/>
      <c r="Y3957" s="505"/>
    </row>
    <row r="3958" spans="1:25" s="88" customFormat="1" hidden="1" x14ac:dyDescent="0.25">
      <c r="A3958" s="258"/>
      <c r="B3958" s="258"/>
      <c r="C3958" s="261"/>
      <c r="D3958" s="258"/>
      <c r="E3958" s="679"/>
      <c r="F3958" s="597" t="s">
        <v>244</v>
      </c>
      <c r="G3958" s="598" t="s">
        <v>245</v>
      </c>
      <c r="H3958" s="555"/>
      <c r="I3958" s="556"/>
      <c r="J3958" s="560">
        <f t="shared" si="133"/>
        <v>0</v>
      </c>
      <c r="K3958" s="505"/>
      <c r="L3958" s="505"/>
      <c r="M3958" s="505"/>
      <c r="N3958" s="505"/>
      <c r="O3958" s="505"/>
      <c r="P3958" s="505"/>
      <c r="Q3958" s="505"/>
      <c r="R3958" s="505"/>
      <c r="S3958" s="505"/>
      <c r="T3958" s="505"/>
      <c r="U3958" s="505"/>
      <c r="V3958" s="505"/>
      <c r="W3958" s="505"/>
      <c r="X3958" s="505"/>
      <c r="Y3958" s="505"/>
    </row>
    <row r="3959" spans="1:25" s="88" customFormat="1" hidden="1" x14ac:dyDescent="0.25">
      <c r="A3959" s="258"/>
      <c r="B3959" s="258"/>
      <c r="C3959" s="261"/>
      <c r="D3959" s="258"/>
      <c r="E3959" s="679"/>
      <c r="F3959" s="597" t="s">
        <v>246</v>
      </c>
      <c r="G3959" s="598" t="s">
        <v>4996</v>
      </c>
      <c r="H3959" s="555"/>
      <c r="I3959" s="556"/>
      <c r="J3959" s="560">
        <f t="shared" si="133"/>
        <v>0</v>
      </c>
      <c r="K3959" s="505"/>
      <c r="L3959" s="505"/>
      <c r="M3959" s="505"/>
      <c r="N3959" s="505"/>
      <c r="O3959" s="505"/>
      <c r="P3959" s="505"/>
      <c r="Q3959" s="505"/>
      <c r="R3959" s="505"/>
      <c r="S3959" s="505"/>
      <c r="T3959" s="505"/>
      <c r="U3959" s="505"/>
      <c r="V3959" s="505"/>
      <c r="W3959" s="505"/>
      <c r="X3959" s="505"/>
      <c r="Y3959" s="505"/>
    </row>
    <row r="3960" spans="1:25" s="88" customFormat="1" hidden="1" x14ac:dyDescent="0.25">
      <c r="A3960" s="258"/>
      <c r="B3960" s="258"/>
      <c r="C3960" s="261"/>
      <c r="D3960" s="258"/>
      <c r="E3960" s="679"/>
      <c r="F3960" s="597" t="s">
        <v>247</v>
      </c>
      <c r="G3960" s="598" t="s">
        <v>4995</v>
      </c>
      <c r="H3960" s="555"/>
      <c r="I3960" s="556"/>
      <c r="J3960" s="560">
        <f t="shared" si="133"/>
        <v>0</v>
      </c>
      <c r="K3960" s="505"/>
      <c r="L3960" s="505"/>
      <c r="M3960" s="505"/>
      <c r="N3960" s="505"/>
      <c r="O3960" s="505"/>
      <c r="P3960" s="505"/>
      <c r="Q3960" s="505"/>
      <c r="R3960" s="505"/>
      <c r="S3960" s="505"/>
      <c r="T3960" s="505"/>
      <c r="U3960" s="505"/>
      <c r="V3960" s="505"/>
      <c r="W3960" s="505"/>
      <c r="X3960" s="505"/>
      <c r="Y3960" s="505"/>
    </row>
    <row r="3961" spans="1:25" s="88" customFormat="1" hidden="1" x14ac:dyDescent="0.25">
      <c r="A3961" s="258"/>
      <c r="B3961" s="258"/>
      <c r="C3961" s="261"/>
      <c r="D3961" s="258"/>
      <c r="E3961" s="679"/>
      <c r="F3961" s="597" t="s">
        <v>248</v>
      </c>
      <c r="G3961" s="598" t="s">
        <v>57</v>
      </c>
      <c r="H3961" s="555"/>
      <c r="I3961" s="556"/>
      <c r="J3961" s="560">
        <f t="shared" si="133"/>
        <v>0</v>
      </c>
      <c r="K3961" s="505"/>
      <c r="L3961" s="505"/>
      <c r="M3961" s="505"/>
      <c r="N3961" s="505"/>
      <c r="O3961" s="505"/>
      <c r="P3961" s="505"/>
      <c r="Q3961" s="505"/>
      <c r="R3961" s="505"/>
      <c r="S3961" s="505"/>
      <c r="T3961" s="505"/>
      <c r="U3961" s="505"/>
      <c r="V3961" s="505"/>
      <c r="W3961" s="505"/>
      <c r="X3961" s="505"/>
      <c r="Y3961" s="505"/>
    </row>
    <row r="3962" spans="1:25" s="88" customFormat="1" hidden="1" x14ac:dyDescent="0.25">
      <c r="A3962" s="258"/>
      <c r="B3962" s="258"/>
      <c r="C3962" s="261"/>
      <c r="D3962" s="258"/>
      <c r="E3962" s="679"/>
      <c r="F3962" s="597" t="s">
        <v>249</v>
      </c>
      <c r="G3962" s="598" t="s">
        <v>250</v>
      </c>
      <c r="H3962" s="555"/>
      <c r="I3962" s="556"/>
      <c r="J3962" s="560">
        <f t="shared" si="133"/>
        <v>0</v>
      </c>
      <c r="K3962" s="505"/>
      <c r="L3962" s="505"/>
      <c r="M3962" s="505"/>
      <c r="N3962" s="505"/>
      <c r="O3962" s="505"/>
      <c r="P3962" s="505"/>
      <c r="Q3962" s="505"/>
      <c r="R3962" s="505"/>
      <c r="S3962" s="505"/>
      <c r="T3962" s="505"/>
      <c r="U3962" s="505"/>
      <c r="V3962" s="505"/>
      <c r="W3962" s="505"/>
      <c r="X3962" s="505"/>
      <c r="Y3962" s="505"/>
    </row>
    <row r="3963" spans="1:25" s="88" customFormat="1" hidden="1" x14ac:dyDescent="0.25">
      <c r="A3963" s="258"/>
      <c r="B3963" s="258"/>
      <c r="C3963" s="261"/>
      <c r="D3963" s="258"/>
      <c r="E3963" s="679"/>
      <c r="F3963" s="597" t="s">
        <v>251</v>
      </c>
      <c r="G3963" s="598" t="s">
        <v>252</v>
      </c>
      <c r="H3963" s="555"/>
      <c r="I3963" s="556"/>
      <c r="J3963" s="560">
        <f t="shared" si="133"/>
        <v>0</v>
      </c>
      <c r="K3963" s="505"/>
      <c r="L3963" s="505"/>
      <c r="M3963" s="505"/>
      <c r="N3963" s="505"/>
      <c r="O3963" s="505"/>
      <c r="P3963" s="505"/>
      <c r="Q3963" s="505"/>
      <c r="R3963" s="505"/>
      <c r="S3963" s="505"/>
      <c r="T3963" s="505"/>
      <c r="U3963" s="505"/>
      <c r="V3963" s="505"/>
      <c r="W3963" s="505"/>
      <c r="X3963" s="505"/>
      <c r="Y3963" s="505"/>
    </row>
    <row r="3964" spans="1:25" s="88" customFormat="1" ht="30" hidden="1" x14ac:dyDescent="0.25">
      <c r="A3964" s="258"/>
      <c r="B3964" s="258"/>
      <c r="C3964" s="261"/>
      <c r="D3964" s="258"/>
      <c r="E3964" s="679"/>
      <c r="F3964" s="597" t="s">
        <v>253</v>
      </c>
      <c r="G3964" s="598" t="s">
        <v>254</v>
      </c>
      <c r="H3964" s="555"/>
      <c r="I3964" s="556"/>
      <c r="J3964" s="560">
        <f t="shared" si="133"/>
        <v>0</v>
      </c>
      <c r="K3964" s="505"/>
      <c r="L3964" s="505"/>
      <c r="M3964" s="505"/>
      <c r="N3964" s="505"/>
      <c r="O3964" s="505"/>
      <c r="P3964" s="505"/>
      <c r="Q3964" s="505"/>
      <c r="R3964" s="505"/>
      <c r="S3964" s="505"/>
      <c r="T3964" s="505"/>
      <c r="U3964" s="505"/>
      <c r="V3964" s="505"/>
      <c r="W3964" s="505"/>
      <c r="X3964" s="505"/>
      <c r="Y3964" s="505"/>
    </row>
    <row r="3965" spans="1:25" s="88" customFormat="1" hidden="1" x14ac:dyDescent="0.25">
      <c r="A3965" s="258"/>
      <c r="B3965" s="258"/>
      <c r="C3965" s="261"/>
      <c r="D3965" s="258"/>
      <c r="E3965" s="679"/>
      <c r="F3965" s="597" t="s">
        <v>255</v>
      </c>
      <c r="G3965" s="598" t="s">
        <v>256</v>
      </c>
      <c r="H3965" s="555"/>
      <c r="I3965" s="556"/>
      <c r="J3965" s="560">
        <f t="shared" si="133"/>
        <v>0</v>
      </c>
      <c r="K3965" s="505"/>
      <c r="L3965" s="505"/>
      <c r="M3965" s="505"/>
      <c r="N3965" s="505"/>
      <c r="O3965" s="505"/>
      <c r="P3965" s="505"/>
      <c r="Q3965" s="505"/>
      <c r="R3965" s="505"/>
      <c r="S3965" s="505"/>
      <c r="T3965" s="505"/>
      <c r="U3965" s="505"/>
      <c r="V3965" s="505"/>
      <c r="W3965" s="505"/>
      <c r="X3965" s="505"/>
      <c r="Y3965" s="505"/>
    </row>
    <row r="3966" spans="1:25" s="88" customFormat="1" ht="30" hidden="1" x14ac:dyDescent="0.25">
      <c r="A3966" s="258"/>
      <c r="B3966" s="258"/>
      <c r="C3966" s="261"/>
      <c r="D3966" s="258"/>
      <c r="E3966" s="679"/>
      <c r="F3966" s="597" t="s">
        <v>257</v>
      </c>
      <c r="G3966" s="598" t="s">
        <v>258</v>
      </c>
      <c r="H3966" s="555"/>
      <c r="I3966" s="556"/>
      <c r="J3966" s="560">
        <f t="shared" si="133"/>
        <v>0</v>
      </c>
      <c r="K3966" s="505"/>
      <c r="L3966" s="505"/>
      <c r="M3966" s="505"/>
      <c r="N3966" s="505"/>
      <c r="O3966" s="505"/>
      <c r="P3966" s="505"/>
      <c r="Q3966" s="505"/>
      <c r="R3966" s="505"/>
      <c r="S3966" s="505"/>
      <c r="T3966" s="505"/>
      <c r="U3966" s="505"/>
      <c r="V3966" s="505"/>
      <c r="W3966" s="505"/>
      <c r="X3966" s="505"/>
      <c r="Y3966" s="505"/>
    </row>
    <row r="3967" spans="1:25" s="88" customFormat="1" hidden="1" x14ac:dyDescent="0.25">
      <c r="A3967" s="258"/>
      <c r="B3967" s="258"/>
      <c r="C3967" s="261"/>
      <c r="D3967" s="258"/>
      <c r="E3967" s="679"/>
      <c r="F3967" s="597" t="s">
        <v>259</v>
      </c>
      <c r="G3967" s="598" t="s">
        <v>260</v>
      </c>
      <c r="H3967" s="555"/>
      <c r="I3967" s="556"/>
      <c r="J3967" s="560">
        <f t="shared" si="133"/>
        <v>0</v>
      </c>
      <c r="K3967" s="505"/>
      <c r="L3967" s="505"/>
      <c r="M3967" s="505"/>
      <c r="N3967" s="505"/>
      <c r="O3967" s="505"/>
      <c r="P3967" s="505"/>
      <c r="Q3967" s="505"/>
      <c r="R3967" s="505"/>
      <c r="S3967" s="505"/>
      <c r="T3967" s="505"/>
      <c r="U3967" s="505"/>
      <c r="V3967" s="505"/>
      <c r="W3967" s="505"/>
      <c r="X3967" s="505"/>
      <c r="Y3967" s="505"/>
    </row>
    <row r="3968" spans="1:25" s="88" customFormat="1" ht="15.75" hidden="1" thickBot="1" x14ac:dyDescent="0.3">
      <c r="A3968" s="258"/>
      <c r="B3968" s="258"/>
      <c r="C3968" s="261"/>
      <c r="D3968" s="258"/>
      <c r="E3968" s="679"/>
      <c r="F3968" s="597" t="s">
        <v>261</v>
      </c>
      <c r="G3968" s="598" t="s">
        <v>262</v>
      </c>
      <c r="H3968" s="559"/>
      <c r="I3968" s="560"/>
      <c r="J3968" s="560">
        <f t="shared" si="133"/>
        <v>0</v>
      </c>
      <c r="K3968" s="505"/>
      <c r="L3968" s="505"/>
      <c r="M3968" s="505"/>
      <c r="N3968" s="505"/>
      <c r="O3968" s="505"/>
      <c r="P3968" s="505"/>
      <c r="Q3968" s="505"/>
      <c r="R3968" s="505"/>
      <c r="S3968" s="505"/>
      <c r="T3968" s="505"/>
      <c r="U3968" s="505"/>
      <c r="V3968" s="505"/>
      <c r="W3968" s="505"/>
      <c r="X3968" s="505"/>
      <c r="Y3968" s="505"/>
    </row>
    <row r="3969" spans="1:25" s="88" customFormat="1" ht="14.25" customHeight="1" thickBot="1" x14ac:dyDescent="0.3">
      <c r="A3969" s="258"/>
      <c r="B3969" s="258"/>
      <c r="C3969" s="261"/>
      <c r="D3969" s="258"/>
      <c r="E3969" s="679"/>
      <c r="F3969" s="258"/>
      <c r="G3969" s="728" t="s">
        <v>4336</v>
      </c>
      <c r="H3969" s="561">
        <f>SUM(H3953:H3968)</f>
        <v>3600000</v>
      </c>
      <c r="I3969" s="562">
        <f>SUM(I3954:I3968)</f>
        <v>0</v>
      </c>
      <c r="J3969" s="562">
        <f>SUM(J3953:J3968)</f>
        <v>3600000</v>
      </c>
      <c r="K3969" s="505"/>
      <c r="L3969" s="505"/>
      <c r="M3969" s="505"/>
      <c r="N3969" s="505"/>
      <c r="O3969" s="505"/>
      <c r="P3969" s="505"/>
      <c r="Q3969" s="505"/>
      <c r="R3969" s="505"/>
      <c r="S3969" s="505"/>
      <c r="T3969" s="505"/>
      <c r="U3969" s="505"/>
      <c r="V3969" s="505"/>
      <c r="W3969" s="505"/>
      <c r="X3969" s="505"/>
      <c r="Y3969" s="505"/>
    </row>
    <row r="3970" spans="1:25" s="88" customFormat="1" ht="15" customHeight="1" x14ac:dyDescent="0.25">
      <c r="A3970" s="258"/>
      <c r="B3970" s="258"/>
      <c r="C3970" s="261"/>
      <c r="D3970" s="258"/>
      <c r="E3970" s="489"/>
      <c r="F3970" s="500"/>
      <c r="G3970" s="270" t="s">
        <v>5283</v>
      </c>
      <c r="H3970" s="563"/>
      <c r="I3970" s="584"/>
      <c r="J3970" s="564"/>
      <c r="K3970" s="505"/>
      <c r="L3970" s="505"/>
      <c r="M3970" s="505"/>
      <c r="N3970" s="505"/>
      <c r="O3970" s="505"/>
      <c r="P3970" s="505"/>
      <c r="Q3970" s="505"/>
      <c r="R3970" s="505"/>
      <c r="S3970" s="505"/>
      <c r="T3970" s="505"/>
      <c r="U3970" s="505"/>
      <c r="V3970" s="505"/>
      <c r="W3970" s="505"/>
      <c r="X3970" s="505"/>
      <c r="Y3970" s="505"/>
    </row>
    <row r="3971" spans="1:25" s="88" customFormat="1" ht="16.5" customHeight="1" thickBot="1" x14ac:dyDescent="0.3">
      <c r="A3971" s="258"/>
      <c r="B3971" s="258"/>
      <c r="C3971" s="261"/>
      <c r="D3971" s="258"/>
      <c r="E3971" s="693"/>
      <c r="F3971" s="597" t="s">
        <v>234</v>
      </c>
      <c r="G3971" s="598" t="s">
        <v>235</v>
      </c>
      <c r="H3971" s="559">
        <f>SUM(H3892:H3951)</f>
        <v>3600000</v>
      </c>
      <c r="I3971" s="560"/>
      <c r="J3971" s="560">
        <f>SUM(H3971:I3971)</f>
        <v>3600000</v>
      </c>
      <c r="K3971" s="505"/>
      <c r="L3971" s="505"/>
      <c r="M3971" s="505"/>
      <c r="N3971" s="505"/>
      <c r="O3971" s="505"/>
      <c r="P3971" s="505"/>
      <c r="Q3971" s="505"/>
      <c r="R3971" s="505"/>
      <c r="S3971" s="505"/>
      <c r="T3971" s="505"/>
      <c r="U3971" s="505"/>
      <c r="V3971" s="505"/>
      <c r="W3971" s="505"/>
      <c r="X3971" s="505"/>
      <c r="Y3971" s="505"/>
    </row>
    <row r="3972" spans="1:25" s="88" customFormat="1" hidden="1" x14ac:dyDescent="0.25">
      <c r="A3972" s="258"/>
      <c r="B3972" s="258"/>
      <c r="C3972" s="261"/>
      <c r="D3972" s="258"/>
      <c r="E3972" s="679"/>
      <c r="F3972" s="597" t="s">
        <v>236</v>
      </c>
      <c r="G3972" s="598" t="s">
        <v>237</v>
      </c>
      <c r="H3972" s="555"/>
      <c r="I3972" s="556"/>
      <c r="J3972" s="560">
        <f t="shared" ref="J3972:J3986" si="134">SUM(H3972:I3972)</f>
        <v>0</v>
      </c>
      <c r="K3972" s="505"/>
      <c r="L3972" s="505"/>
      <c r="M3972" s="505"/>
      <c r="N3972" s="505"/>
      <c r="O3972" s="505"/>
      <c r="P3972" s="505"/>
      <c r="Q3972" s="505"/>
      <c r="R3972" s="505"/>
      <c r="S3972" s="505"/>
      <c r="T3972" s="505"/>
      <c r="U3972" s="505"/>
      <c r="V3972" s="505"/>
      <c r="W3972" s="505"/>
      <c r="X3972" s="505"/>
      <c r="Y3972" s="505"/>
    </row>
    <row r="3973" spans="1:25" s="88" customFormat="1" hidden="1" x14ac:dyDescent="0.25">
      <c r="A3973" s="258"/>
      <c r="B3973" s="258"/>
      <c r="C3973" s="261"/>
      <c r="D3973" s="258"/>
      <c r="E3973" s="679"/>
      <c r="F3973" s="597" t="s">
        <v>238</v>
      </c>
      <c r="G3973" s="598" t="s">
        <v>239</v>
      </c>
      <c r="H3973" s="555"/>
      <c r="I3973" s="556"/>
      <c r="J3973" s="560">
        <f t="shared" si="134"/>
        <v>0</v>
      </c>
      <c r="K3973" s="505"/>
      <c r="L3973" s="505"/>
      <c r="M3973" s="505"/>
      <c r="N3973" s="505"/>
      <c r="O3973" s="505"/>
      <c r="P3973" s="505"/>
      <c r="Q3973" s="505"/>
      <c r="R3973" s="505"/>
      <c r="S3973" s="505"/>
      <c r="T3973" s="505"/>
      <c r="U3973" s="505"/>
      <c r="V3973" s="505"/>
      <c r="W3973" s="505"/>
      <c r="X3973" s="505"/>
      <c r="Y3973" s="505"/>
    </row>
    <row r="3974" spans="1:25" s="88" customFormat="1" hidden="1" x14ac:dyDescent="0.25">
      <c r="A3974" s="258"/>
      <c r="B3974" s="258"/>
      <c r="C3974" s="261"/>
      <c r="D3974" s="258"/>
      <c r="E3974" s="679"/>
      <c r="F3974" s="597" t="s">
        <v>240</v>
      </c>
      <c r="G3974" s="598" t="s">
        <v>241</v>
      </c>
      <c r="H3974" s="555"/>
      <c r="I3974" s="556"/>
      <c r="J3974" s="560">
        <f t="shared" si="134"/>
        <v>0</v>
      </c>
      <c r="K3974" s="505"/>
      <c r="L3974" s="505"/>
      <c r="M3974" s="505"/>
      <c r="N3974" s="505"/>
      <c r="O3974" s="505"/>
      <c r="P3974" s="505"/>
      <c r="Q3974" s="505"/>
      <c r="R3974" s="505"/>
      <c r="S3974" s="505"/>
      <c r="T3974" s="505"/>
      <c r="U3974" s="505"/>
      <c r="V3974" s="505"/>
      <c r="W3974" s="505"/>
      <c r="X3974" s="505"/>
      <c r="Y3974" s="505"/>
    </row>
    <row r="3975" spans="1:25" s="88" customFormat="1" hidden="1" x14ac:dyDescent="0.25">
      <c r="A3975" s="258"/>
      <c r="B3975" s="258"/>
      <c r="C3975" s="261"/>
      <c r="D3975" s="258"/>
      <c r="E3975" s="679"/>
      <c r="F3975" s="597" t="s">
        <v>242</v>
      </c>
      <c r="G3975" s="598" t="s">
        <v>243</v>
      </c>
      <c r="H3975" s="555"/>
      <c r="I3975" s="556"/>
      <c r="J3975" s="560">
        <f t="shared" si="134"/>
        <v>0</v>
      </c>
      <c r="K3975" s="505"/>
      <c r="L3975" s="505"/>
      <c r="M3975" s="505"/>
      <c r="N3975" s="505"/>
      <c r="O3975" s="505"/>
      <c r="P3975" s="505"/>
      <c r="Q3975" s="505"/>
      <c r="R3975" s="505"/>
      <c r="S3975" s="505"/>
      <c r="T3975" s="505"/>
      <c r="U3975" s="505"/>
      <c r="V3975" s="505"/>
      <c r="W3975" s="505"/>
      <c r="X3975" s="505"/>
      <c r="Y3975" s="505"/>
    </row>
    <row r="3976" spans="1:25" s="88" customFormat="1" hidden="1" x14ac:dyDescent="0.25">
      <c r="A3976" s="258"/>
      <c r="B3976" s="258"/>
      <c r="C3976" s="261"/>
      <c r="D3976" s="258"/>
      <c r="E3976" s="679"/>
      <c r="F3976" s="597" t="s">
        <v>244</v>
      </c>
      <c r="G3976" s="598" t="s">
        <v>245</v>
      </c>
      <c r="H3976" s="555"/>
      <c r="I3976" s="556"/>
      <c r="J3976" s="560">
        <f t="shared" si="134"/>
        <v>0</v>
      </c>
      <c r="K3976" s="505"/>
      <c r="L3976" s="505"/>
      <c r="M3976" s="505"/>
      <c r="N3976" s="505"/>
      <c r="O3976" s="505"/>
      <c r="P3976" s="505"/>
      <c r="Q3976" s="505"/>
      <c r="R3976" s="505"/>
      <c r="S3976" s="505"/>
      <c r="T3976" s="505"/>
      <c r="U3976" s="505"/>
      <c r="V3976" s="505"/>
      <c r="W3976" s="505"/>
      <c r="X3976" s="505"/>
      <c r="Y3976" s="505"/>
    </row>
    <row r="3977" spans="1:25" s="88" customFormat="1" hidden="1" x14ac:dyDescent="0.25">
      <c r="A3977" s="258"/>
      <c r="B3977" s="258"/>
      <c r="C3977" s="261"/>
      <c r="D3977" s="258"/>
      <c r="E3977" s="679"/>
      <c r="F3977" s="597" t="s">
        <v>246</v>
      </c>
      <c r="G3977" s="598" t="s">
        <v>4996</v>
      </c>
      <c r="H3977" s="555"/>
      <c r="I3977" s="556"/>
      <c r="J3977" s="560">
        <f t="shared" si="134"/>
        <v>0</v>
      </c>
      <c r="K3977" s="505"/>
      <c r="L3977" s="505"/>
      <c r="M3977" s="505"/>
      <c r="N3977" s="505"/>
      <c r="O3977" s="505"/>
      <c r="P3977" s="505"/>
      <c r="Q3977" s="505"/>
      <c r="R3977" s="505"/>
      <c r="S3977" s="505"/>
      <c r="T3977" s="505"/>
      <c r="U3977" s="505"/>
      <c r="V3977" s="505"/>
      <c r="W3977" s="505"/>
      <c r="X3977" s="505"/>
      <c r="Y3977" s="505"/>
    </row>
    <row r="3978" spans="1:25" s="88" customFormat="1" hidden="1" x14ac:dyDescent="0.25">
      <c r="A3978" s="258"/>
      <c r="B3978" s="258"/>
      <c r="C3978" s="261"/>
      <c r="D3978" s="258"/>
      <c r="E3978" s="679"/>
      <c r="F3978" s="597" t="s">
        <v>247</v>
      </c>
      <c r="G3978" s="598" t="s">
        <v>4995</v>
      </c>
      <c r="H3978" s="555"/>
      <c r="I3978" s="556"/>
      <c r="J3978" s="560">
        <f t="shared" si="134"/>
        <v>0</v>
      </c>
      <c r="K3978" s="505"/>
      <c r="L3978" s="505"/>
      <c r="M3978" s="505"/>
      <c r="N3978" s="505"/>
      <c r="O3978" s="505"/>
      <c r="P3978" s="505"/>
      <c r="Q3978" s="505"/>
      <c r="R3978" s="505"/>
      <c r="S3978" s="505"/>
      <c r="T3978" s="505"/>
      <c r="U3978" s="505"/>
      <c r="V3978" s="505"/>
      <c r="W3978" s="505"/>
      <c r="X3978" s="505"/>
      <c r="Y3978" s="505"/>
    </row>
    <row r="3979" spans="1:25" s="88" customFormat="1" hidden="1" x14ac:dyDescent="0.25">
      <c r="A3979" s="258"/>
      <c r="B3979" s="258"/>
      <c r="C3979" s="261"/>
      <c r="D3979" s="258"/>
      <c r="E3979" s="679"/>
      <c r="F3979" s="597" t="s">
        <v>248</v>
      </c>
      <c r="G3979" s="598" t="s">
        <v>57</v>
      </c>
      <c r="H3979" s="555"/>
      <c r="I3979" s="556"/>
      <c r="J3979" s="560">
        <f t="shared" si="134"/>
        <v>0</v>
      </c>
      <c r="K3979" s="505"/>
      <c r="L3979" s="505"/>
      <c r="M3979" s="505"/>
      <c r="N3979" s="505"/>
      <c r="O3979" s="505"/>
      <c r="P3979" s="505"/>
      <c r="Q3979" s="505"/>
      <c r="R3979" s="505"/>
      <c r="S3979" s="505"/>
      <c r="T3979" s="505"/>
      <c r="U3979" s="505"/>
      <c r="V3979" s="505"/>
      <c r="W3979" s="505"/>
      <c r="X3979" s="505"/>
      <c r="Y3979" s="505"/>
    </row>
    <row r="3980" spans="1:25" s="88" customFormat="1" hidden="1" x14ac:dyDescent="0.25">
      <c r="A3980" s="258"/>
      <c r="B3980" s="258"/>
      <c r="C3980" s="261"/>
      <c r="D3980" s="258"/>
      <c r="E3980" s="679"/>
      <c r="F3980" s="597" t="s">
        <v>249</v>
      </c>
      <c r="G3980" s="598" t="s">
        <v>250</v>
      </c>
      <c r="H3980" s="555"/>
      <c r="I3980" s="556"/>
      <c r="J3980" s="560">
        <f t="shared" si="134"/>
        <v>0</v>
      </c>
      <c r="K3980" s="505"/>
      <c r="L3980" s="505"/>
      <c r="M3980" s="505"/>
      <c r="N3980" s="505"/>
      <c r="O3980" s="505"/>
      <c r="P3980" s="505"/>
      <c r="Q3980" s="505"/>
      <c r="R3980" s="505"/>
      <c r="S3980" s="505"/>
      <c r="T3980" s="505"/>
      <c r="U3980" s="505"/>
      <c r="V3980" s="505"/>
      <c r="W3980" s="505"/>
      <c r="X3980" s="505"/>
      <c r="Y3980" s="505"/>
    </row>
    <row r="3981" spans="1:25" s="88" customFormat="1" hidden="1" x14ac:dyDescent="0.25">
      <c r="A3981" s="258"/>
      <c r="B3981" s="258"/>
      <c r="C3981" s="261"/>
      <c r="D3981" s="258"/>
      <c r="E3981" s="679"/>
      <c r="F3981" s="597" t="s">
        <v>251</v>
      </c>
      <c r="G3981" s="598" t="s">
        <v>252</v>
      </c>
      <c r="H3981" s="555"/>
      <c r="I3981" s="556"/>
      <c r="J3981" s="560">
        <f t="shared" si="134"/>
        <v>0</v>
      </c>
      <c r="K3981" s="505"/>
      <c r="L3981" s="505"/>
      <c r="M3981" s="505"/>
      <c r="N3981" s="505"/>
      <c r="O3981" s="505"/>
      <c r="P3981" s="505"/>
      <c r="Q3981" s="505"/>
      <c r="R3981" s="505"/>
      <c r="S3981" s="505"/>
      <c r="T3981" s="505"/>
      <c r="U3981" s="505"/>
      <c r="V3981" s="505"/>
      <c r="W3981" s="505"/>
      <c r="X3981" s="505"/>
      <c r="Y3981" s="505"/>
    </row>
    <row r="3982" spans="1:25" s="88" customFormat="1" ht="30" hidden="1" x14ac:dyDescent="0.25">
      <c r="A3982" s="258"/>
      <c r="B3982" s="258"/>
      <c r="C3982" s="261"/>
      <c r="D3982" s="258"/>
      <c r="E3982" s="679"/>
      <c r="F3982" s="597" t="s">
        <v>253</v>
      </c>
      <c r="G3982" s="598" t="s">
        <v>254</v>
      </c>
      <c r="H3982" s="555"/>
      <c r="I3982" s="556"/>
      <c r="J3982" s="560">
        <f t="shared" si="134"/>
        <v>0</v>
      </c>
      <c r="K3982" s="505"/>
      <c r="L3982" s="505"/>
      <c r="M3982" s="505"/>
      <c r="N3982" s="505"/>
      <c r="O3982" s="505"/>
      <c r="P3982" s="505"/>
      <c r="Q3982" s="505"/>
      <c r="R3982" s="505"/>
      <c r="S3982" s="505"/>
      <c r="T3982" s="505"/>
      <c r="U3982" s="505"/>
      <c r="V3982" s="505"/>
      <c r="W3982" s="505"/>
      <c r="X3982" s="505"/>
      <c r="Y3982" s="505"/>
    </row>
    <row r="3983" spans="1:25" s="88" customFormat="1" hidden="1" x14ac:dyDescent="0.25">
      <c r="A3983" s="258"/>
      <c r="B3983" s="258"/>
      <c r="C3983" s="261"/>
      <c r="D3983" s="258"/>
      <c r="E3983" s="679"/>
      <c r="F3983" s="597" t="s">
        <v>255</v>
      </c>
      <c r="G3983" s="598" t="s">
        <v>256</v>
      </c>
      <c r="H3983" s="555"/>
      <c r="I3983" s="556"/>
      <c r="J3983" s="560">
        <f t="shared" si="134"/>
        <v>0</v>
      </c>
      <c r="K3983" s="505"/>
      <c r="L3983" s="505"/>
      <c r="M3983" s="505"/>
      <c r="N3983" s="505"/>
      <c r="O3983" s="505"/>
      <c r="P3983" s="505"/>
      <c r="Q3983" s="505"/>
      <c r="R3983" s="505"/>
      <c r="S3983" s="505"/>
      <c r="T3983" s="505"/>
      <c r="U3983" s="505"/>
      <c r="V3983" s="505"/>
      <c r="W3983" s="505"/>
      <c r="X3983" s="505"/>
      <c r="Y3983" s="505"/>
    </row>
    <row r="3984" spans="1:25" s="88" customFormat="1" ht="30" hidden="1" x14ac:dyDescent="0.25">
      <c r="A3984" s="258"/>
      <c r="B3984" s="258"/>
      <c r="C3984" s="261"/>
      <c r="D3984" s="258"/>
      <c r="E3984" s="679"/>
      <c r="F3984" s="597" t="s">
        <v>257</v>
      </c>
      <c r="G3984" s="598" t="s">
        <v>258</v>
      </c>
      <c r="H3984" s="555"/>
      <c r="I3984" s="556"/>
      <c r="J3984" s="560">
        <f t="shared" si="134"/>
        <v>0</v>
      </c>
      <c r="K3984" s="505"/>
      <c r="L3984" s="505"/>
      <c r="M3984" s="505"/>
      <c r="N3984" s="505"/>
      <c r="O3984" s="505"/>
      <c r="P3984" s="505"/>
      <c r="Q3984" s="505"/>
      <c r="R3984" s="505"/>
      <c r="S3984" s="505"/>
      <c r="T3984" s="505"/>
      <c r="U3984" s="505"/>
      <c r="V3984" s="505"/>
      <c r="W3984" s="505"/>
      <c r="X3984" s="505"/>
      <c r="Y3984" s="505"/>
    </row>
    <row r="3985" spans="1:25" s="88" customFormat="1" hidden="1" x14ac:dyDescent="0.25">
      <c r="A3985" s="258"/>
      <c r="B3985" s="258"/>
      <c r="C3985" s="261"/>
      <c r="D3985" s="258"/>
      <c r="E3985" s="679"/>
      <c r="F3985" s="597" t="s">
        <v>259</v>
      </c>
      <c r="G3985" s="598" t="s">
        <v>260</v>
      </c>
      <c r="H3985" s="555"/>
      <c r="I3985" s="556"/>
      <c r="J3985" s="560">
        <f t="shared" si="134"/>
        <v>0</v>
      </c>
      <c r="K3985" s="505"/>
      <c r="L3985" s="505"/>
      <c r="M3985" s="505"/>
      <c r="N3985" s="505"/>
      <c r="O3985" s="505"/>
      <c r="P3985" s="505"/>
      <c r="Q3985" s="505"/>
      <c r="R3985" s="505"/>
      <c r="S3985" s="505"/>
      <c r="T3985" s="505"/>
      <c r="U3985" s="505"/>
      <c r="V3985" s="505"/>
      <c r="W3985" s="505"/>
      <c r="X3985" s="505"/>
      <c r="Y3985" s="505"/>
    </row>
    <row r="3986" spans="1:25" s="88" customFormat="1" ht="15.75" hidden="1" thickBot="1" x14ac:dyDescent="0.3">
      <c r="A3986" s="258"/>
      <c r="B3986" s="258"/>
      <c r="C3986" s="261"/>
      <c r="D3986" s="258"/>
      <c r="E3986" s="679"/>
      <c r="F3986" s="597" t="s">
        <v>261</v>
      </c>
      <c r="G3986" s="598" t="s">
        <v>262</v>
      </c>
      <c r="H3986" s="559"/>
      <c r="I3986" s="560"/>
      <c r="J3986" s="560">
        <f t="shared" si="134"/>
        <v>0</v>
      </c>
      <c r="K3986" s="505"/>
      <c r="L3986" s="505"/>
      <c r="M3986" s="505"/>
      <c r="N3986" s="505"/>
      <c r="O3986" s="505"/>
      <c r="P3986" s="505"/>
      <c r="Q3986" s="505"/>
      <c r="R3986" s="505"/>
      <c r="S3986" s="505"/>
      <c r="T3986" s="505"/>
      <c r="U3986" s="505"/>
      <c r="V3986" s="505"/>
      <c r="W3986" s="505"/>
      <c r="X3986" s="505"/>
      <c r="Y3986" s="505"/>
    </row>
    <row r="3987" spans="1:25" s="88" customFormat="1" ht="14.25" customHeight="1" thickBot="1" x14ac:dyDescent="0.3">
      <c r="A3987" s="258"/>
      <c r="B3987" s="258"/>
      <c r="C3987" s="261"/>
      <c r="D3987" s="258"/>
      <c r="E3987" s="679"/>
      <c r="F3987" s="258"/>
      <c r="G3987" s="268" t="s">
        <v>5284</v>
      </c>
      <c r="H3987" s="561">
        <f>SUM(H3971:H3986)</f>
        <v>3600000</v>
      </c>
      <c r="I3987" s="562">
        <f>SUM(I3972:I3986)</f>
        <v>0</v>
      </c>
      <c r="J3987" s="562">
        <f>SUM(J3971:J3986)</f>
        <v>3600000</v>
      </c>
      <c r="K3987" s="505"/>
      <c r="L3987" s="505"/>
      <c r="M3987" s="505"/>
      <c r="N3987" s="505"/>
      <c r="O3987" s="505"/>
      <c r="P3987" s="505"/>
      <c r="Q3987" s="505"/>
      <c r="R3987" s="505"/>
      <c r="S3987" s="505"/>
      <c r="T3987" s="505"/>
      <c r="U3987" s="505"/>
      <c r="V3987" s="505"/>
      <c r="W3987" s="505"/>
      <c r="X3987" s="505"/>
      <c r="Y3987" s="505"/>
    </row>
    <row r="3988" spans="1:25" s="88" customFormat="1" ht="17.25" customHeight="1" x14ac:dyDescent="0.25">
      <c r="A3988" s="258"/>
      <c r="B3988" s="288"/>
      <c r="C3988" s="302" t="s">
        <v>5100</v>
      </c>
      <c r="D3988" s="259"/>
      <c r="E3988" s="702"/>
      <c r="F3988" s="303"/>
      <c r="G3988" s="406" t="s">
        <v>5085</v>
      </c>
      <c r="H3988" s="588"/>
      <c r="I3988" s="571"/>
      <c r="K3988" s="505"/>
      <c r="L3988" s="505"/>
      <c r="M3988" s="505"/>
      <c r="N3988" s="505"/>
      <c r="O3988" s="505"/>
      <c r="P3988" s="505"/>
      <c r="Q3988" s="505"/>
      <c r="R3988" s="505"/>
      <c r="S3988" s="505"/>
      <c r="T3988" s="505"/>
      <c r="U3988" s="505"/>
      <c r="V3988" s="505"/>
      <c r="W3988" s="505"/>
      <c r="X3988" s="505"/>
      <c r="Y3988" s="505"/>
    </row>
    <row r="3989" spans="1:25" s="88" customFormat="1" ht="13.5" customHeight="1" x14ac:dyDescent="0.25">
      <c r="A3989" s="481"/>
      <c r="B3989" s="258"/>
      <c r="C3989" s="267"/>
      <c r="D3989" s="331">
        <v>540</v>
      </c>
      <c r="E3989" s="869"/>
      <c r="F3989" s="331"/>
      <c r="G3989" s="332" t="s">
        <v>177</v>
      </c>
      <c r="H3989" s="555"/>
      <c r="I3989" s="556"/>
      <c r="J3989" s="556"/>
      <c r="K3989" s="505"/>
      <c r="L3989" s="505"/>
      <c r="M3989" s="505"/>
      <c r="N3989" s="505"/>
      <c r="O3989" s="505"/>
      <c r="P3989" s="505"/>
      <c r="Q3989" s="505"/>
      <c r="R3989" s="505"/>
      <c r="S3989" s="505"/>
      <c r="T3989" s="505"/>
      <c r="U3989" s="505"/>
      <c r="V3989" s="505"/>
      <c r="W3989" s="505"/>
      <c r="X3989" s="505"/>
      <c r="Y3989" s="505"/>
    </row>
    <row r="3990" spans="1:25" s="88" customFormat="1" hidden="1" x14ac:dyDescent="0.25">
      <c r="A3990" s="258"/>
      <c r="B3990" s="258"/>
      <c r="C3990" s="261"/>
      <c r="D3990" s="258"/>
      <c r="E3990" s="679"/>
      <c r="F3990" s="499">
        <v>411</v>
      </c>
      <c r="G3990" s="492" t="s">
        <v>4131</v>
      </c>
      <c r="H3990" s="555"/>
      <c r="I3990" s="556"/>
      <c r="J3990" s="556">
        <f>SUM(H3990:I3990)</f>
        <v>0</v>
      </c>
      <c r="K3990" s="505"/>
      <c r="L3990" s="505"/>
      <c r="M3990" s="505"/>
      <c r="N3990" s="505"/>
      <c r="O3990" s="505"/>
      <c r="P3990" s="505"/>
      <c r="Q3990" s="505"/>
      <c r="R3990" s="505"/>
      <c r="S3990" s="505"/>
      <c r="T3990" s="505"/>
      <c r="U3990" s="505"/>
      <c r="V3990" s="505"/>
      <c r="W3990" s="505"/>
      <c r="X3990" s="505"/>
      <c r="Y3990" s="505"/>
    </row>
    <row r="3991" spans="1:25" s="88" customFormat="1" hidden="1" x14ac:dyDescent="0.25">
      <c r="A3991" s="258"/>
      <c r="B3991" s="258"/>
      <c r="C3991" s="261"/>
      <c r="D3991" s="258"/>
      <c r="E3991" s="679"/>
      <c r="F3991" s="499">
        <v>412</v>
      </c>
      <c r="G3991" s="488" t="s">
        <v>3766</v>
      </c>
      <c r="H3991" s="555"/>
      <c r="I3991" s="556"/>
      <c r="J3991" s="556">
        <f t="shared" ref="J3991:J4049" si="135">SUM(H3991:I3991)</f>
        <v>0</v>
      </c>
      <c r="K3991" s="505"/>
      <c r="L3991" s="505"/>
      <c r="M3991" s="505"/>
      <c r="N3991" s="505"/>
      <c r="O3991" s="505"/>
      <c r="P3991" s="505"/>
      <c r="Q3991" s="505"/>
      <c r="R3991" s="505"/>
      <c r="S3991" s="505"/>
      <c r="T3991" s="505"/>
      <c r="U3991" s="505"/>
      <c r="V3991" s="505"/>
      <c r="W3991" s="505"/>
      <c r="X3991" s="505"/>
      <c r="Y3991" s="505"/>
    </row>
    <row r="3992" spans="1:25" s="88" customFormat="1" hidden="1" x14ac:dyDescent="0.25">
      <c r="A3992" s="258"/>
      <c r="B3992" s="258"/>
      <c r="C3992" s="261"/>
      <c r="D3992" s="258"/>
      <c r="E3992" s="679"/>
      <c r="F3992" s="499">
        <v>413</v>
      </c>
      <c r="G3992" s="492" t="s">
        <v>4132</v>
      </c>
      <c r="H3992" s="555"/>
      <c r="I3992" s="556"/>
      <c r="J3992" s="556">
        <f t="shared" si="135"/>
        <v>0</v>
      </c>
      <c r="K3992" s="505"/>
      <c r="L3992" s="505"/>
      <c r="M3992" s="505"/>
      <c r="N3992" s="505"/>
      <c r="O3992" s="505"/>
      <c r="P3992" s="505"/>
      <c r="Q3992" s="505"/>
      <c r="R3992" s="505"/>
      <c r="S3992" s="505"/>
      <c r="T3992" s="505"/>
      <c r="U3992" s="505"/>
      <c r="V3992" s="505"/>
      <c r="W3992" s="505"/>
      <c r="X3992" s="505"/>
      <c r="Y3992" s="505"/>
    </row>
    <row r="3993" spans="1:25" s="88" customFormat="1" hidden="1" x14ac:dyDescent="0.25">
      <c r="A3993" s="258"/>
      <c r="B3993" s="258"/>
      <c r="C3993" s="261"/>
      <c r="D3993" s="258"/>
      <c r="E3993" s="679"/>
      <c r="F3993" s="499">
        <v>414</v>
      </c>
      <c r="G3993" s="492" t="s">
        <v>3769</v>
      </c>
      <c r="H3993" s="555"/>
      <c r="I3993" s="556"/>
      <c r="J3993" s="556">
        <f t="shared" si="135"/>
        <v>0</v>
      </c>
      <c r="K3993" s="505"/>
      <c r="L3993" s="505"/>
      <c r="M3993" s="505"/>
      <c r="N3993" s="505"/>
      <c r="O3993" s="505"/>
      <c r="P3993" s="505"/>
      <c r="Q3993" s="505"/>
      <c r="R3993" s="505"/>
      <c r="S3993" s="505"/>
      <c r="T3993" s="505"/>
      <c r="U3993" s="505"/>
      <c r="V3993" s="505"/>
      <c r="W3993" s="505"/>
      <c r="X3993" s="505"/>
      <c r="Y3993" s="505"/>
    </row>
    <row r="3994" spans="1:25" s="88" customFormat="1" hidden="1" x14ac:dyDescent="0.25">
      <c r="A3994" s="258"/>
      <c r="B3994" s="258"/>
      <c r="C3994" s="261"/>
      <c r="D3994" s="258"/>
      <c r="E3994" s="679"/>
      <c r="F3994" s="499">
        <v>415</v>
      </c>
      <c r="G3994" s="492" t="s">
        <v>4141</v>
      </c>
      <c r="H3994" s="555"/>
      <c r="I3994" s="556"/>
      <c r="J3994" s="556">
        <f t="shared" si="135"/>
        <v>0</v>
      </c>
      <c r="K3994" s="505"/>
      <c r="L3994" s="505"/>
      <c r="M3994" s="505"/>
      <c r="N3994" s="505"/>
      <c r="O3994" s="505"/>
      <c r="P3994" s="505"/>
      <c r="Q3994" s="505"/>
      <c r="R3994" s="505"/>
      <c r="S3994" s="505"/>
      <c r="T3994" s="505"/>
      <c r="U3994" s="505"/>
      <c r="V3994" s="505"/>
      <c r="W3994" s="505"/>
      <c r="X3994" s="505"/>
      <c r="Y3994" s="505"/>
    </row>
    <row r="3995" spans="1:25" s="88" customFormat="1" hidden="1" x14ac:dyDescent="0.25">
      <c r="A3995" s="258"/>
      <c r="B3995" s="258"/>
      <c r="C3995" s="261"/>
      <c r="D3995" s="258"/>
      <c r="E3995" s="679"/>
      <c r="F3995" s="499">
        <v>416</v>
      </c>
      <c r="G3995" s="492" t="s">
        <v>4142</v>
      </c>
      <c r="H3995" s="555"/>
      <c r="I3995" s="556"/>
      <c r="J3995" s="556">
        <f t="shared" si="135"/>
        <v>0</v>
      </c>
      <c r="K3995" s="505"/>
      <c r="L3995" s="505"/>
      <c r="M3995" s="505"/>
      <c r="N3995" s="505"/>
      <c r="O3995" s="505"/>
      <c r="P3995" s="505"/>
      <c r="Q3995" s="505"/>
      <c r="R3995" s="505"/>
      <c r="S3995" s="505"/>
      <c r="T3995" s="505"/>
      <c r="U3995" s="505"/>
      <c r="V3995" s="505"/>
      <c r="W3995" s="505"/>
      <c r="X3995" s="505"/>
      <c r="Y3995" s="505"/>
    </row>
    <row r="3996" spans="1:25" s="88" customFormat="1" hidden="1" x14ac:dyDescent="0.25">
      <c r="A3996" s="258"/>
      <c r="B3996" s="258"/>
      <c r="C3996" s="261"/>
      <c r="D3996" s="258"/>
      <c r="E3996" s="679"/>
      <c r="F3996" s="499">
        <v>417</v>
      </c>
      <c r="G3996" s="492" t="s">
        <v>4143</v>
      </c>
      <c r="H3996" s="555"/>
      <c r="I3996" s="556"/>
      <c r="J3996" s="556">
        <f t="shared" si="135"/>
        <v>0</v>
      </c>
      <c r="K3996" s="505"/>
      <c r="L3996" s="505"/>
      <c r="M3996" s="505"/>
      <c r="N3996" s="505"/>
      <c r="O3996" s="505"/>
      <c r="P3996" s="505"/>
      <c r="Q3996" s="505"/>
      <c r="R3996" s="505"/>
      <c r="S3996" s="505"/>
      <c r="T3996" s="505"/>
      <c r="U3996" s="505"/>
      <c r="V3996" s="505"/>
      <c r="W3996" s="505"/>
      <c r="X3996" s="505"/>
      <c r="Y3996" s="505"/>
    </row>
    <row r="3997" spans="1:25" s="88" customFormat="1" hidden="1" x14ac:dyDescent="0.25">
      <c r="A3997" s="258"/>
      <c r="B3997" s="258"/>
      <c r="C3997" s="261"/>
      <c r="D3997" s="258"/>
      <c r="E3997" s="679"/>
      <c r="F3997" s="499">
        <v>418</v>
      </c>
      <c r="G3997" s="492" t="s">
        <v>3775</v>
      </c>
      <c r="H3997" s="555"/>
      <c r="I3997" s="556"/>
      <c r="J3997" s="556">
        <f t="shared" si="135"/>
        <v>0</v>
      </c>
      <c r="K3997" s="505"/>
      <c r="L3997" s="505"/>
      <c r="M3997" s="505"/>
      <c r="N3997" s="505"/>
      <c r="O3997" s="505"/>
      <c r="P3997" s="505"/>
      <c r="Q3997" s="505"/>
      <c r="R3997" s="505"/>
      <c r="S3997" s="505"/>
      <c r="T3997" s="505"/>
      <c r="U3997" s="505"/>
      <c r="V3997" s="505"/>
      <c r="W3997" s="505"/>
      <c r="X3997" s="505"/>
      <c r="Y3997" s="505"/>
    </row>
    <row r="3998" spans="1:25" s="88" customFormat="1" hidden="1" x14ac:dyDescent="0.25">
      <c r="A3998" s="258"/>
      <c r="B3998" s="258"/>
      <c r="C3998" s="261"/>
      <c r="D3998" s="258"/>
      <c r="E3998" s="679"/>
      <c r="F3998" s="499">
        <v>421</v>
      </c>
      <c r="G3998" s="492" t="s">
        <v>3779</v>
      </c>
      <c r="H3998" s="555"/>
      <c r="I3998" s="556"/>
      <c r="J3998" s="556">
        <f t="shared" si="135"/>
        <v>0</v>
      </c>
      <c r="K3998" s="505"/>
      <c r="L3998" s="505"/>
      <c r="M3998" s="505"/>
      <c r="N3998" s="505"/>
      <c r="O3998" s="505"/>
      <c r="P3998" s="505"/>
      <c r="Q3998" s="505"/>
      <c r="R3998" s="505"/>
      <c r="S3998" s="505"/>
      <c r="T3998" s="505"/>
      <c r="U3998" s="505"/>
      <c r="V3998" s="505"/>
      <c r="W3998" s="505"/>
      <c r="X3998" s="505"/>
      <c r="Y3998" s="505"/>
    </row>
    <row r="3999" spans="1:25" s="88" customFormat="1" hidden="1" x14ac:dyDescent="0.25">
      <c r="A3999" s="258"/>
      <c r="B3999" s="258"/>
      <c r="C3999" s="261"/>
      <c r="D3999" s="258"/>
      <c r="E3999" s="679"/>
      <c r="F3999" s="499">
        <v>422</v>
      </c>
      <c r="G3999" s="492" t="s">
        <v>3780</v>
      </c>
      <c r="H3999" s="555"/>
      <c r="I3999" s="556"/>
      <c r="J3999" s="556">
        <f t="shared" si="135"/>
        <v>0</v>
      </c>
      <c r="K3999" s="505"/>
      <c r="L3999" s="505"/>
      <c r="M3999" s="505"/>
      <c r="N3999" s="505"/>
      <c r="O3999" s="505"/>
      <c r="P3999" s="505"/>
      <c r="Q3999" s="505"/>
      <c r="R3999" s="505"/>
      <c r="S3999" s="505"/>
      <c r="T3999" s="505"/>
      <c r="U3999" s="505"/>
      <c r="V3999" s="505"/>
      <c r="W3999" s="505"/>
      <c r="X3999" s="505"/>
      <c r="Y3999" s="505"/>
    </row>
    <row r="4000" spans="1:25" s="88" customFormat="1" ht="15.75" thickBot="1" x14ac:dyDescent="0.3">
      <c r="A4000" s="258"/>
      <c r="B4000" s="258"/>
      <c r="C4000" s="261"/>
      <c r="D4000" s="258"/>
      <c r="E4000" s="679">
        <v>122</v>
      </c>
      <c r="F4000" s="499">
        <v>423</v>
      </c>
      <c r="G4000" s="492" t="s">
        <v>3781</v>
      </c>
      <c r="H4000" s="555">
        <v>500000</v>
      </c>
      <c r="I4000" s="556"/>
      <c r="J4000" s="556">
        <f t="shared" si="135"/>
        <v>500000</v>
      </c>
      <c r="K4000" s="505"/>
      <c r="L4000" s="505"/>
      <c r="M4000" s="505"/>
      <c r="N4000" s="505"/>
      <c r="O4000" s="505"/>
      <c r="P4000" s="505"/>
      <c r="Q4000" s="505"/>
      <c r="R4000" s="505"/>
      <c r="S4000" s="505"/>
      <c r="T4000" s="505"/>
      <c r="U4000" s="505"/>
      <c r="V4000" s="505"/>
      <c r="W4000" s="505"/>
      <c r="X4000" s="505"/>
      <c r="Y4000" s="505"/>
    </row>
    <row r="4001" spans="1:25" s="88" customFormat="1" ht="16.5" hidden="1" customHeight="1" x14ac:dyDescent="0.25">
      <c r="A4001" s="258"/>
      <c r="B4001" s="258"/>
      <c r="C4001" s="261"/>
      <c r="D4001" s="258"/>
      <c r="E4001" s="679">
        <v>71</v>
      </c>
      <c r="F4001" s="499">
        <v>424</v>
      </c>
      <c r="G4001" s="492" t="s">
        <v>5086</v>
      </c>
      <c r="H4001" s="555">
        <v>0</v>
      </c>
      <c r="I4001" s="556"/>
      <c r="J4001" s="556">
        <f t="shared" si="135"/>
        <v>0</v>
      </c>
      <c r="K4001" s="505"/>
      <c r="L4001" s="505"/>
      <c r="M4001" s="505"/>
      <c r="N4001" s="505"/>
      <c r="O4001" s="505"/>
      <c r="P4001" s="505"/>
      <c r="Q4001" s="505"/>
      <c r="R4001" s="505"/>
      <c r="S4001" s="505"/>
      <c r="T4001" s="505"/>
      <c r="U4001" s="505"/>
      <c r="V4001" s="505"/>
      <c r="W4001" s="505"/>
      <c r="X4001" s="505"/>
      <c r="Y4001" s="505"/>
    </row>
    <row r="4002" spans="1:25" s="88" customFormat="1" ht="14.25" hidden="1" customHeight="1" x14ac:dyDescent="0.25">
      <c r="A4002" s="258"/>
      <c r="B4002" s="258"/>
      <c r="C4002" s="261"/>
      <c r="D4002" s="258"/>
      <c r="E4002" s="679"/>
      <c r="F4002" s="499">
        <v>425</v>
      </c>
      <c r="G4002" s="492" t="s">
        <v>4144</v>
      </c>
      <c r="H4002" s="555"/>
      <c r="I4002" s="556"/>
      <c r="J4002" s="556">
        <f t="shared" si="135"/>
        <v>0</v>
      </c>
      <c r="K4002" s="505"/>
      <c r="L4002" s="505"/>
      <c r="M4002" s="505"/>
      <c r="N4002" s="505"/>
      <c r="O4002" s="505"/>
      <c r="P4002" s="505"/>
      <c r="Q4002" s="505"/>
      <c r="R4002" s="505"/>
      <c r="S4002" s="505"/>
      <c r="T4002" s="505"/>
      <c r="U4002" s="505"/>
      <c r="V4002" s="505"/>
      <c r="W4002" s="505"/>
      <c r="X4002" s="505"/>
      <c r="Y4002" s="505"/>
    </row>
    <row r="4003" spans="1:25" s="88" customFormat="1" hidden="1" x14ac:dyDescent="0.25">
      <c r="A4003" s="258"/>
      <c r="B4003" s="258"/>
      <c r="C4003" s="261"/>
      <c r="D4003" s="258"/>
      <c r="E4003" s="679"/>
      <c r="F4003" s="499">
        <v>426</v>
      </c>
      <c r="G4003" s="492" t="s">
        <v>3787</v>
      </c>
      <c r="H4003" s="555"/>
      <c r="I4003" s="556"/>
      <c r="J4003" s="556">
        <f t="shared" si="135"/>
        <v>0</v>
      </c>
      <c r="K4003" s="505"/>
      <c r="L4003" s="505"/>
      <c r="M4003" s="505"/>
      <c r="N4003" s="505"/>
      <c r="O4003" s="505"/>
      <c r="P4003" s="505"/>
      <c r="Q4003" s="505"/>
      <c r="R4003" s="505"/>
      <c r="S4003" s="505"/>
      <c r="T4003" s="505"/>
      <c r="U4003" s="505"/>
      <c r="V4003" s="505"/>
      <c r="W4003" s="505"/>
      <c r="X4003" s="505"/>
      <c r="Y4003" s="505"/>
    </row>
    <row r="4004" spans="1:25" s="88" customFormat="1" hidden="1" x14ac:dyDescent="0.25">
      <c r="A4004" s="258"/>
      <c r="B4004" s="258"/>
      <c r="C4004" s="261"/>
      <c r="D4004" s="258"/>
      <c r="E4004" s="679"/>
      <c r="F4004" s="499">
        <v>431</v>
      </c>
      <c r="G4004" s="492" t="s">
        <v>4145</v>
      </c>
      <c r="H4004" s="555"/>
      <c r="I4004" s="556"/>
      <c r="J4004" s="556">
        <f t="shared" si="135"/>
        <v>0</v>
      </c>
      <c r="K4004" s="505"/>
      <c r="L4004" s="505"/>
      <c r="M4004" s="505"/>
      <c r="N4004" s="505"/>
      <c r="O4004" s="505"/>
      <c r="P4004" s="505"/>
      <c r="Q4004" s="505"/>
      <c r="R4004" s="505"/>
      <c r="S4004" s="505"/>
      <c r="T4004" s="505"/>
      <c r="U4004" s="505"/>
      <c r="V4004" s="505"/>
      <c r="W4004" s="505"/>
      <c r="X4004" s="505"/>
      <c r="Y4004" s="505"/>
    </row>
    <row r="4005" spans="1:25" s="88" customFormat="1" hidden="1" x14ac:dyDescent="0.25">
      <c r="A4005" s="258"/>
      <c r="B4005" s="258"/>
      <c r="C4005" s="261"/>
      <c r="D4005" s="258"/>
      <c r="E4005" s="679"/>
      <c r="F4005" s="499">
        <v>432</v>
      </c>
      <c r="G4005" s="492" t="s">
        <v>4146</v>
      </c>
      <c r="H4005" s="555"/>
      <c r="I4005" s="556"/>
      <c r="J4005" s="556">
        <f t="shared" si="135"/>
        <v>0</v>
      </c>
      <c r="K4005" s="505"/>
      <c r="L4005" s="505"/>
      <c r="M4005" s="505"/>
      <c r="N4005" s="505"/>
      <c r="O4005" s="505"/>
      <c r="P4005" s="505"/>
      <c r="Q4005" s="505"/>
      <c r="R4005" s="505"/>
      <c r="S4005" s="505"/>
      <c r="T4005" s="505"/>
      <c r="U4005" s="505"/>
      <c r="V4005" s="505"/>
      <c r="W4005" s="505"/>
      <c r="X4005" s="505"/>
      <c r="Y4005" s="505"/>
    </row>
    <row r="4006" spans="1:25" s="88" customFormat="1" hidden="1" x14ac:dyDescent="0.25">
      <c r="A4006" s="258"/>
      <c r="B4006" s="258"/>
      <c r="C4006" s="261"/>
      <c r="D4006" s="258"/>
      <c r="E4006" s="679"/>
      <c r="F4006" s="499">
        <v>433</v>
      </c>
      <c r="G4006" s="492" t="s">
        <v>4147</v>
      </c>
      <c r="H4006" s="555"/>
      <c r="I4006" s="556"/>
      <c r="J4006" s="556">
        <f t="shared" si="135"/>
        <v>0</v>
      </c>
      <c r="K4006" s="505"/>
      <c r="L4006" s="505"/>
      <c r="M4006" s="505"/>
      <c r="N4006" s="505"/>
      <c r="O4006" s="505"/>
      <c r="P4006" s="505"/>
      <c r="Q4006" s="505"/>
      <c r="R4006" s="505"/>
      <c r="S4006" s="505"/>
      <c r="T4006" s="505"/>
      <c r="U4006" s="505"/>
      <c r="V4006" s="505"/>
      <c r="W4006" s="505"/>
      <c r="X4006" s="505"/>
      <c r="Y4006" s="505"/>
    </row>
    <row r="4007" spans="1:25" s="88" customFormat="1" hidden="1" x14ac:dyDescent="0.25">
      <c r="A4007" s="258"/>
      <c r="B4007" s="258"/>
      <c r="C4007" s="261"/>
      <c r="D4007" s="258"/>
      <c r="E4007" s="679"/>
      <c r="F4007" s="499">
        <v>434</v>
      </c>
      <c r="G4007" s="492" t="s">
        <v>4148</v>
      </c>
      <c r="H4007" s="555"/>
      <c r="I4007" s="556"/>
      <c r="J4007" s="556">
        <f t="shared" si="135"/>
        <v>0</v>
      </c>
      <c r="K4007" s="505"/>
      <c r="L4007" s="505"/>
      <c r="M4007" s="505"/>
      <c r="N4007" s="505"/>
      <c r="O4007" s="505"/>
      <c r="P4007" s="505"/>
      <c r="Q4007" s="505"/>
      <c r="R4007" s="505"/>
      <c r="S4007" s="505"/>
      <c r="T4007" s="505"/>
      <c r="U4007" s="505"/>
      <c r="V4007" s="505"/>
      <c r="W4007" s="505"/>
      <c r="X4007" s="505"/>
      <c r="Y4007" s="505"/>
    </row>
    <row r="4008" spans="1:25" s="88" customFormat="1" hidden="1" x14ac:dyDescent="0.25">
      <c r="A4008" s="258"/>
      <c r="B4008" s="258"/>
      <c r="C4008" s="261"/>
      <c r="D4008" s="258"/>
      <c r="E4008" s="679"/>
      <c r="F4008" s="499">
        <v>435</v>
      </c>
      <c r="G4008" s="492" t="s">
        <v>3794</v>
      </c>
      <c r="H4008" s="555"/>
      <c r="I4008" s="556"/>
      <c r="J4008" s="556">
        <f t="shared" si="135"/>
        <v>0</v>
      </c>
      <c r="K4008" s="505"/>
      <c r="L4008" s="505"/>
      <c r="M4008" s="505"/>
      <c r="N4008" s="505"/>
      <c r="O4008" s="505"/>
      <c r="P4008" s="505"/>
      <c r="Q4008" s="505"/>
      <c r="R4008" s="505"/>
      <c r="S4008" s="505"/>
      <c r="T4008" s="505"/>
      <c r="U4008" s="505"/>
      <c r="V4008" s="505"/>
      <c r="W4008" s="505"/>
      <c r="X4008" s="505"/>
      <c r="Y4008" s="505"/>
    </row>
    <row r="4009" spans="1:25" s="88" customFormat="1" hidden="1" x14ac:dyDescent="0.25">
      <c r="A4009" s="258"/>
      <c r="B4009" s="258"/>
      <c r="C4009" s="261"/>
      <c r="D4009" s="258"/>
      <c r="E4009" s="679"/>
      <c r="F4009" s="499">
        <v>441</v>
      </c>
      <c r="G4009" s="492" t="s">
        <v>4149</v>
      </c>
      <c r="H4009" s="555"/>
      <c r="I4009" s="556"/>
      <c r="J4009" s="556">
        <f t="shared" si="135"/>
        <v>0</v>
      </c>
      <c r="K4009" s="505"/>
      <c r="L4009" s="505"/>
      <c r="M4009" s="505"/>
      <c r="N4009" s="505"/>
      <c r="O4009" s="505"/>
      <c r="P4009" s="505"/>
      <c r="Q4009" s="505"/>
      <c r="R4009" s="505"/>
      <c r="S4009" s="505"/>
      <c r="T4009" s="505"/>
      <c r="U4009" s="505"/>
      <c r="V4009" s="505"/>
      <c r="W4009" s="505"/>
      <c r="X4009" s="505"/>
      <c r="Y4009" s="505"/>
    </row>
    <row r="4010" spans="1:25" s="88" customFormat="1" hidden="1" x14ac:dyDescent="0.25">
      <c r="A4010" s="258"/>
      <c r="B4010" s="258"/>
      <c r="C4010" s="261"/>
      <c r="D4010" s="258"/>
      <c r="E4010" s="679"/>
      <c r="F4010" s="499">
        <v>442</v>
      </c>
      <c r="G4010" s="492" t="s">
        <v>4150</v>
      </c>
      <c r="H4010" s="555"/>
      <c r="I4010" s="556"/>
      <c r="J4010" s="556">
        <f t="shared" si="135"/>
        <v>0</v>
      </c>
      <c r="K4010" s="505"/>
      <c r="L4010" s="505"/>
      <c r="M4010" s="505"/>
      <c r="N4010" s="505"/>
      <c r="O4010" s="505"/>
      <c r="P4010" s="505"/>
      <c r="Q4010" s="505"/>
      <c r="R4010" s="505"/>
      <c r="S4010" s="505"/>
      <c r="T4010" s="505"/>
      <c r="U4010" s="505"/>
      <c r="V4010" s="505"/>
      <c r="W4010" s="505"/>
      <c r="X4010" s="505"/>
      <c r="Y4010" s="505"/>
    </row>
    <row r="4011" spans="1:25" s="88" customFormat="1" hidden="1" x14ac:dyDescent="0.25">
      <c r="A4011" s="258"/>
      <c r="B4011" s="258"/>
      <c r="C4011" s="261"/>
      <c r="D4011" s="258"/>
      <c r="E4011" s="679"/>
      <c r="F4011" s="499">
        <v>443</v>
      </c>
      <c r="G4011" s="492" t="s">
        <v>3799</v>
      </c>
      <c r="H4011" s="555"/>
      <c r="I4011" s="556"/>
      <c r="J4011" s="556">
        <f t="shared" si="135"/>
        <v>0</v>
      </c>
      <c r="K4011" s="505"/>
      <c r="L4011" s="505"/>
      <c r="M4011" s="505"/>
      <c r="N4011" s="505"/>
      <c r="O4011" s="505"/>
      <c r="P4011" s="505"/>
      <c r="Q4011" s="505"/>
      <c r="R4011" s="505"/>
      <c r="S4011" s="505"/>
      <c r="T4011" s="505"/>
      <c r="U4011" s="505"/>
      <c r="V4011" s="505"/>
      <c r="W4011" s="505"/>
      <c r="X4011" s="505"/>
      <c r="Y4011" s="505"/>
    </row>
    <row r="4012" spans="1:25" s="88" customFormat="1" hidden="1" x14ac:dyDescent="0.25">
      <c r="A4012" s="258"/>
      <c r="B4012" s="258"/>
      <c r="C4012" s="261"/>
      <c r="D4012" s="258"/>
      <c r="E4012" s="679"/>
      <c r="F4012" s="499">
        <v>444</v>
      </c>
      <c r="G4012" s="492" t="s">
        <v>3800</v>
      </c>
      <c r="H4012" s="555"/>
      <c r="I4012" s="556"/>
      <c r="J4012" s="556">
        <f t="shared" si="135"/>
        <v>0</v>
      </c>
      <c r="K4012" s="505"/>
      <c r="L4012" s="505"/>
      <c r="M4012" s="505"/>
      <c r="N4012" s="505"/>
      <c r="O4012" s="505"/>
      <c r="P4012" s="505"/>
      <c r="Q4012" s="505"/>
      <c r="R4012" s="505"/>
      <c r="S4012" s="505"/>
      <c r="T4012" s="505"/>
      <c r="U4012" s="505"/>
      <c r="V4012" s="505"/>
      <c r="W4012" s="505"/>
      <c r="X4012" s="505"/>
      <c r="Y4012" s="505"/>
    </row>
    <row r="4013" spans="1:25" s="88" customFormat="1" ht="30" hidden="1" x14ac:dyDescent="0.25">
      <c r="A4013" s="258"/>
      <c r="B4013" s="258"/>
      <c r="C4013" s="261"/>
      <c r="D4013" s="258"/>
      <c r="E4013" s="679"/>
      <c r="F4013" s="499">
        <v>4511</v>
      </c>
      <c r="G4013" s="771" t="s">
        <v>1690</v>
      </c>
      <c r="H4013" s="555"/>
      <c r="I4013" s="556"/>
      <c r="J4013" s="556">
        <f t="shared" si="135"/>
        <v>0</v>
      </c>
      <c r="K4013" s="505"/>
      <c r="L4013" s="505"/>
      <c r="M4013" s="505"/>
      <c r="N4013" s="505"/>
      <c r="O4013" s="505"/>
      <c r="P4013" s="505"/>
      <c r="Q4013" s="505"/>
      <c r="R4013" s="505"/>
      <c r="S4013" s="505"/>
      <c r="T4013" s="505"/>
      <c r="U4013" s="505"/>
      <c r="V4013" s="505"/>
      <c r="W4013" s="505"/>
      <c r="X4013" s="505"/>
      <c r="Y4013" s="505"/>
    </row>
    <row r="4014" spans="1:25" s="88" customFormat="1" ht="30" hidden="1" x14ac:dyDescent="0.25">
      <c r="A4014" s="258"/>
      <c r="B4014" s="258"/>
      <c r="C4014" s="261"/>
      <c r="D4014" s="258"/>
      <c r="E4014" s="679"/>
      <c r="F4014" s="499">
        <v>4512</v>
      </c>
      <c r="G4014" s="771" t="s">
        <v>1699</v>
      </c>
      <c r="H4014" s="555"/>
      <c r="I4014" s="556"/>
      <c r="J4014" s="556">
        <f t="shared" si="135"/>
        <v>0</v>
      </c>
      <c r="K4014" s="505"/>
      <c r="L4014" s="505"/>
      <c r="M4014" s="505"/>
      <c r="N4014" s="505"/>
      <c r="O4014" s="505"/>
      <c r="P4014" s="505"/>
      <c r="Q4014" s="505"/>
      <c r="R4014" s="505"/>
      <c r="S4014" s="505"/>
      <c r="T4014" s="505"/>
      <c r="U4014" s="505"/>
      <c r="V4014" s="505"/>
      <c r="W4014" s="505"/>
      <c r="X4014" s="505"/>
      <c r="Y4014" s="505"/>
    </row>
    <row r="4015" spans="1:25" s="88" customFormat="1" hidden="1" x14ac:dyDescent="0.25">
      <c r="A4015" s="258"/>
      <c r="B4015" s="258"/>
      <c r="C4015" s="261"/>
      <c r="D4015" s="258"/>
      <c r="E4015" s="679"/>
      <c r="F4015" s="499">
        <v>452</v>
      </c>
      <c r="G4015" s="492" t="s">
        <v>4151</v>
      </c>
      <c r="H4015" s="555"/>
      <c r="I4015" s="556"/>
      <c r="J4015" s="556">
        <f t="shared" si="135"/>
        <v>0</v>
      </c>
      <c r="K4015" s="505"/>
      <c r="L4015" s="505"/>
      <c r="M4015" s="505"/>
      <c r="N4015" s="505"/>
      <c r="O4015" s="505"/>
      <c r="P4015" s="505"/>
      <c r="Q4015" s="505"/>
      <c r="R4015" s="505"/>
      <c r="S4015" s="505"/>
      <c r="T4015" s="505"/>
      <c r="U4015" s="505"/>
      <c r="V4015" s="505"/>
      <c r="W4015" s="505"/>
      <c r="X4015" s="505"/>
      <c r="Y4015" s="505"/>
    </row>
    <row r="4016" spans="1:25" s="88" customFormat="1" hidden="1" x14ac:dyDescent="0.25">
      <c r="A4016" s="258"/>
      <c r="B4016" s="258"/>
      <c r="C4016" s="261"/>
      <c r="D4016" s="258"/>
      <c r="E4016" s="679"/>
      <c r="F4016" s="499">
        <v>453</v>
      </c>
      <c r="G4016" s="492" t="s">
        <v>4152</v>
      </c>
      <c r="H4016" s="555"/>
      <c r="I4016" s="556"/>
      <c r="J4016" s="556">
        <f t="shared" si="135"/>
        <v>0</v>
      </c>
      <c r="K4016" s="505"/>
      <c r="L4016" s="505"/>
      <c r="M4016" s="505"/>
      <c r="N4016" s="505"/>
      <c r="O4016" s="505"/>
      <c r="P4016" s="505"/>
      <c r="Q4016" s="505"/>
      <c r="R4016" s="505"/>
      <c r="S4016" s="505"/>
      <c r="T4016" s="505"/>
      <c r="U4016" s="505"/>
      <c r="V4016" s="505"/>
      <c r="W4016" s="505"/>
      <c r="X4016" s="505"/>
      <c r="Y4016" s="505"/>
    </row>
    <row r="4017" spans="1:25" s="88" customFormat="1" hidden="1" x14ac:dyDescent="0.25">
      <c r="A4017" s="258"/>
      <c r="B4017" s="258"/>
      <c r="C4017" s="261"/>
      <c r="D4017" s="258"/>
      <c r="E4017" s="679"/>
      <c r="F4017" s="499">
        <v>454</v>
      </c>
      <c r="G4017" s="492" t="s">
        <v>3805</v>
      </c>
      <c r="H4017" s="555"/>
      <c r="I4017" s="556"/>
      <c r="J4017" s="556">
        <f t="shared" si="135"/>
        <v>0</v>
      </c>
      <c r="K4017" s="505"/>
      <c r="L4017" s="505"/>
      <c r="M4017" s="505"/>
      <c r="N4017" s="505"/>
      <c r="O4017" s="505"/>
      <c r="P4017" s="505"/>
      <c r="Q4017" s="505"/>
      <c r="R4017" s="505"/>
      <c r="S4017" s="505"/>
      <c r="T4017" s="505"/>
      <c r="U4017" s="505"/>
      <c r="V4017" s="505"/>
      <c r="W4017" s="505"/>
      <c r="X4017" s="505"/>
      <c r="Y4017" s="505"/>
    </row>
    <row r="4018" spans="1:25" s="88" customFormat="1" hidden="1" x14ac:dyDescent="0.25">
      <c r="A4018" s="258"/>
      <c r="B4018" s="258"/>
      <c r="C4018" s="261"/>
      <c r="D4018" s="258"/>
      <c r="E4018" s="679"/>
      <c r="F4018" s="499">
        <v>461</v>
      </c>
      <c r="G4018" s="492" t="s">
        <v>4133</v>
      </c>
      <c r="H4018" s="555"/>
      <c r="I4018" s="556"/>
      <c r="J4018" s="556">
        <f t="shared" si="135"/>
        <v>0</v>
      </c>
      <c r="K4018" s="505"/>
      <c r="L4018" s="505"/>
      <c r="M4018" s="505"/>
      <c r="N4018" s="505"/>
      <c r="O4018" s="505"/>
      <c r="P4018" s="505"/>
      <c r="Q4018" s="505"/>
      <c r="R4018" s="505"/>
      <c r="S4018" s="505"/>
      <c r="T4018" s="505"/>
      <c r="U4018" s="505"/>
      <c r="V4018" s="505"/>
      <c r="W4018" s="505"/>
      <c r="X4018" s="505"/>
      <c r="Y4018" s="505"/>
    </row>
    <row r="4019" spans="1:25" s="88" customFormat="1" hidden="1" x14ac:dyDescent="0.25">
      <c r="A4019" s="258"/>
      <c r="B4019" s="258"/>
      <c r="C4019" s="261"/>
      <c r="D4019" s="258"/>
      <c r="E4019" s="679"/>
      <c r="F4019" s="499">
        <v>462</v>
      </c>
      <c r="G4019" s="492" t="s">
        <v>3808</v>
      </c>
      <c r="H4019" s="555"/>
      <c r="I4019" s="556"/>
      <c r="J4019" s="556">
        <f t="shared" si="135"/>
        <v>0</v>
      </c>
      <c r="K4019" s="505"/>
      <c r="L4019" s="505"/>
      <c r="M4019" s="505"/>
      <c r="N4019" s="505"/>
      <c r="O4019" s="505"/>
      <c r="P4019" s="505"/>
      <c r="Q4019" s="505"/>
      <c r="R4019" s="505"/>
      <c r="S4019" s="505"/>
      <c r="T4019" s="505"/>
      <c r="U4019" s="505"/>
      <c r="V4019" s="505"/>
      <c r="W4019" s="505"/>
      <c r="X4019" s="505"/>
      <c r="Y4019" s="505"/>
    </row>
    <row r="4020" spans="1:25" s="88" customFormat="1" hidden="1" x14ac:dyDescent="0.25">
      <c r="A4020" s="258"/>
      <c r="B4020" s="258"/>
      <c r="C4020" s="261"/>
      <c r="D4020" s="258"/>
      <c r="E4020" s="679"/>
      <c r="F4020" s="499">
        <v>4631</v>
      </c>
      <c r="G4020" s="492" t="s">
        <v>3809</v>
      </c>
      <c r="H4020" s="555"/>
      <c r="I4020" s="556"/>
      <c r="J4020" s="556">
        <f t="shared" si="135"/>
        <v>0</v>
      </c>
      <c r="K4020" s="505"/>
      <c r="L4020" s="505"/>
      <c r="M4020" s="505"/>
      <c r="N4020" s="505"/>
      <c r="O4020" s="505"/>
      <c r="P4020" s="505"/>
      <c r="Q4020" s="505"/>
      <c r="R4020" s="505"/>
      <c r="S4020" s="505"/>
      <c r="T4020" s="505"/>
      <c r="U4020" s="505"/>
      <c r="V4020" s="505"/>
      <c r="W4020" s="505"/>
      <c r="X4020" s="505"/>
      <c r="Y4020" s="505"/>
    </row>
    <row r="4021" spans="1:25" s="88" customFormat="1" hidden="1" x14ac:dyDescent="0.25">
      <c r="A4021" s="258"/>
      <c r="B4021" s="258"/>
      <c r="C4021" s="261"/>
      <c r="D4021" s="258"/>
      <c r="E4021" s="679"/>
      <c r="F4021" s="499">
        <v>4632</v>
      </c>
      <c r="G4021" s="492" t="s">
        <v>3810</v>
      </c>
      <c r="H4021" s="555"/>
      <c r="I4021" s="556"/>
      <c r="J4021" s="556">
        <f t="shared" si="135"/>
        <v>0</v>
      </c>
      <c r="K4021" s="505"/>
      <c r="L4021" s="505"/>
      <c r="M4021" s="505"/>
      <c r="N4021" s="505"/>
      <c r="O4021" s="505"/>
      <c r="P4021" s="505"/>
      <c r="Q4021" s="505"/>
      <c r="R4021" s="505"/>
      <c r="S4021" s="505"/>
      <c r="T4021" s="505"/>
      <c r="U4021" s="505"/>
      <c r="V4021" s="505"/>
      <c r="W4021" s="505"/>
      <c r="X4021" s="505"/>
      <c r="Y4021" s="505"/>
    </row>
    <row r="4022" spans="1:25" s="88" customFormat="1" hidden="1" x14ac:dyDescent="0.25">
      <c r="A4022" s="258"/>
      <c r="B4022" s="258"/>
      <c r="C4022" s="261"/>
      <c r="D4022" s="258"/>
      <c r="E4022" s="679"/>
      <c r="F4022" s="499">
        <v>464</v>
      </c>
      <c r="G4022" s="492" t="s">
        <v>3811</v>
      </c>
      <c r="H4022" s="555"/>
      <c r="I4022" s="556"/>
      <c r="J4022" s="556">
        <f t="shared" si="135"/>
        <v>0</v>
      </c>
      <c r="K4022" s="505"/>
      <c r="L4022" s="505"/>
      <c r="M4022" s="505"/>
      <c r="N4022" s="505"/>
      <c r="O4022" s="505"/>
      <c r="P4022" s="505"/>
      <c r="Q4022" s="505"/>
      <c r="R4022" s="505"/>
      <c r="S4022" s="505"/>
      <c r="T4022" s="505"/>
      <c r="U4022" s="505"/>
      <c r="V4022" s="505"/>
      <c r="W4022" s="505"/>
      <c r="X4022" s="505"/>
      <c r="Y4022" s="505"/>
    </row>
    <row r="4023" spans="1:25" s="88" customFormat="1" hidden="1" x14ac:dyDescent="0.25">
      <c r="A4023" s="258"/>
      <c r="B4023" s="258"/>
      <c r="C4023" s="261"/>
      <c r="D4023" s="258"/>
      <c r="E4023" s="679"/>
      <c r="F4023" s="499">
        <v>465</v>
      </c>
      <c r="G4023" s="492" t="s">
        <v>4134</v>
      </c>
      <c r="H4023" s="555"/>
      <c r="I4023" s="556"/>
      <c r="J4023" s="556">
        <f t="shared" si="135"/>
        <v>0</v>
      </c>
      <c r="K4023" s="505"/>
      <c r="L4023" s="505"/>
      <c r="M4023" s="505"/>
      <c r="N4023" s="505"/>
      <c r="O4023" s="505"/>
      <c r="P4023" s="505"/>
      <c r="Q4023" s="505"/>
      <c r="R4023" s="505"/>
      <c r="S4023" s="505"/>
      <c r="T4023" s="505"/>
      <c r="U4023" s="505"/>
      <c r="V4023" s="505"/>
      <c r="W4023" s="505"/>
      <c r="X4023" s="505"/>
      <c r="Y4023" s="505"/>
    </row>
    <row r="4024" spans="1:25" s="88" customFormat="1" hidden="1" x14ac:dyDescent="0.25">
      <c r="A4024" s="258"/>
      <c r="B4024" s="258"/>
      <c r="C4024" s="261"/>
      <c r="D4024" s="258"/>
      <c r="E4024" s="679"/>
      <c r="F4024" s="499">
        <v>472</v>
      </c>
      <c r="G4024" s="492" t="s">
        <v>3815</v>
      </c>
      <c r="H4024" s="555"/>
      <c r="I4024" s="556"/>
      <c r="J4024" s="556">
        <f t="shared" si="135"/>
        <v>0</v>
      </c>
      <c r="K4024" s="505"/>
      <c r="L4024" s="505"/>
      <c r="M4024" s="505"/>
      <c r="N4024" s="505"/>
      <c r="O4024" s="505"/>
      <c r="P4024" s="505"/>
      <c r="Q4024" s="505"/>
      <c r="R4024" s="505"/>
      <c r="S4024" s="505"/>
      <c r="T4024" s="505"/>
      <c r="U4024" s="505"/>
      <c r="V4024" s="505"/>
      <c r="W4024" s="505"/>
      <c r="X4024" s="505"/>
      <c r="Y4024" s="505"/>
    </row>
    <row r="4025" spans="1:25" s="88" customFormat="1" hidden="1" x14ac:dyDescent="0.25">
      <c r="A4025" s="258"/>
      <c r="B4025" s="258"/>
      <c r="C4025" s="261"/>
      <c r="D4025" s="258"/>
      <c r="E4025" s="679"/>
      <c r="F4025" s="499">
        <v>481</v>
      </c>
      <c r="G4025" s="492" t="s">
        <v>4153</v>
      </c>
      <c r="H4025" s="555"/>
      <c r="I4025" s="556"/>
      <c r="J4025" s="556">
        <f t="shared" si="135"/>
        <v>0</v>
      </c>
      <c r="K4025" s="505"/>
      <c r="L4025" s="505"/>
      <c r="M4025" s="505"/>
      <c r="N4025" s="505"/>
      <c r="O4025" s="505"/>
      <c r="P4025" s="505"/>
      <c r="Q4025" s="505"/>
      <c r="R4025" s="505"/>
      <c r="S4025" s="505"/>
      <c r="T4025" s="505"/>
      <c r="U4025" s="505"/>
      <c r="V4025" s="505"/>
      <c r="W4025" s="505"/>
      <c r="X4025" s="505"/>
      <c r="Y4025" s="505"/>
    </row>
    <row r="4026" spans="1:25" s="88" customFormat="1" hidden="1" x14ac:dyDescent="0.25">
      <c r="A4026" s="258"/>
      <c r="B4026" s="258"/>
      <c r="C4026" s="261"/>
      <c r="D4026" s="258"/>
      <c r="E4026" s="679"/>
      <c r="F4026" s="499">
        <v>482</v>
      </c>
      <c r="G4026" s="492" t="s">
        <v>4154</v>
      </c>
      <c r="H4026" s="555"/>
      <c r="I4026" s="556"/>
      <c r="J4026" s="556">
        <f t="shared" si="135"/>
        <v>0</v>
      </c>
      <c r="K4026" s="505"/>
      <c r="L4026" s="505"/>
      <c r="M4026" s="505"/>
      <c r="N4026" s="505"/>
      <c r="O4026" s="505"/>
      <c r="P4026" s="505"/>
      <c r="Q4026" s="505"/>
      <c r="R4026" s="505"/>
      <c r="S4026" s="505"/>
      <c r="T4026" s="505"/>
      <c r="U4026" s="505"/>
      <c r="V4026" s="505"/>
      <c r="W4026" s="505"/>
      <c r="X4026" s="505"/>
      <c r="Y4026" s="505"/>
    </row>
    <row r="4027" spans="1:25" s="88" customFormat="1" hidden="1" x14ac:dyDescent="0.25">
      <c r="A4027" s="258"/>
      <c r="B4027" s="258"/>
      <c r="C4027" s="261"/>
      <c r="D4027" s="258"/>
      <c r="E4027" s="679"/>
      <c r="F4027" s="499">
        <v>483</v>
      </c>
      <c r="G4027" s="496" t="s">
        <v>4155</v>
      </c>
      <c r="H4027" s="555"/>
      <c r="I4027" s="556"/>
      <c r="J4027" s="556">
        <f t="shared" si="135"/>
        <v>0</v>
      </c>
      <c r="K4027" s="505"/>
      <c r="L4027" s="505"/>
      <c r="M4027" s="505"/>
      <c r="N4027" s="505"/>
      <c r="O4027" s="505"/>
      <c r="P4027" s="505"/>
      <c r="Q4027" s="505"/>
      <c r="R4027" s="505"/>
      <c r="S4027" s="505"/>
      <c r="T4027" s="505"/>
      <c r="U4027" s="505"/>
      <c r="V4027" s="505"/>
      <c r="W4027" s="505"/>
      <c r="X4027" s="505"/>
      <c r="Y4027" s="505"/>
    </row>
    <row r="4028" spans="1:25" s="88" customFormat="1" ht="30" hidden="1" x14ac:dyDescent="0.25">
      <c r="A4028" s="258"/>
      <c r="B4028" s="258"/>
      <c r="C4028" s="261"/>
      <c r="D4028" s="258"/>
      <c r="E4028" s="679"/>
      <c r="F4028" s="499">
        <v>484</v>
      </c>
      <c r="G4028" s="492" t="s">
        <v>4156</v>
      </c>
      <c r="H4028" s="555"/>
      <c r="I4028" s="556"/>
      <c r="J4028" s="556">
        <f t="shared" si="135"/>
        <v>0</v>
      </c>
      <c r="K4028" s="505"/>
      <c r="L4028" s="505"/>
      <c r="M4028" s="505"/>
      <c r="N4028" s="505"/>
      <c r="O4028" s="505"/>
      <c r="P4028" s="505"/>
      <c r="Q4028" s="505"/>
      <c r="R4028" s="505"/>
      <c r="S4028" s="505"/>
      <c r="T4028" s="505"/>
      <c r="U4028" s="505"/>
      <c r="V4028" s="505"/>
      <c r="W4028" s="505"/>
      <c r="X4028" s="505"/>
      <c r="Y4028" s="505"/>
    </row>
    <row r="4029" spans="1:25" s="88" customFormat="1" ht="30" hidden="1" x14ac:dyDescent="0.25">
      <c r="A4029" s="258"/>
      <c r="B4029" s="258"/>
      <c r="C4029" s="261"/>
      <c r="D4029" s="258"/>
      <c r="E4029" s="679"/>
      <c r="F4029" s="499">
        <v>485</v>
      </c>
      <c r="G4029" s="492" t="s">
        <v>4157</v>
      </c>
      <c r="H4029" s="555"/>
      <c r="I4029" s="556"/>
      <c r="J4029" s="556">
        <f t="shared" si="135"/>
        <v>0</v>
      </c>
      <c r="K4029" s="505"/>
      <c r="L4029" s="505"/>
      <c r="M4029" s="505"/>
      <c r="N4029" s="505"/>
      <c r="O4029" s="505"/>
      <c r="P4029" s="505"/>
      <c r="Q4029" s="505"/>
      <c r="R4029" s="505"/>
      <c r="S4029" s="505"/>
      <c r="T4029" s="505"/>
      <c r="U4029" s="505"/>
      <c r="V4029" s="505"/>
      <c r="W4029" s="505"/>
      <c r="X4029" s="505"/>
      <c r="Y4029" s="505"/>
    </row>
    <row r="4030" spans="1:25" s="88" customFormat="1" ht="30" hidden="1" x14ac:dyDescent="0.25">
      <c r="A4030" s="258"/>
      <c r="B4030" s="258"/>
      <c r="C4030" s="261"/>
      <c r="D4030" s="258"/>
      <c r="E4030" s="679"/>
      <c r="F4030" s="499">
        <v>489</v>
      </c>
      <c r="G4030" s="492" t="s">
        <v>3823</v>
      </c>
      <c r="H4030" s="555"/>
      <c r="I4030" s="556"/>
      <c r="J4030" s="556">
        <f t="shared" si="135"/>
        <v>0</v>
      </c>
      <c r="K4030" s="505"/>
      <c r="L4030" s="505"/>
      <c r="M4030" s="505"/>
      <c r="N4030" s="505"/>
      <c r="O4030" s="505"/>
      <c r="P4030" s="505"/>
      <c r="Q4030" s="505"/>
      <c r="R4030" s="505"/>
      <c r="S4030" s="505"/>
      <c r="T4030" s="505"/>
      <c r="U4030" s="505"/>
      <c r="V4030" s="505"/>
      <c r="W4030" s="505"/>
      <c r="X4030" s="505"/>
      <c r="Y4030" s="505"/>
    </row>
    <row r="4031" spans="1:25" s="88" customFormat="1" hidden="1" x14ac:dyDescent="0.25">
      <c r="A4031" s="258"/>
      <c r="B4031" s="258"/>
      <c r="C4031" s="261"/>
      <c r="D4031" s="258"/>
      <c r="E4031" s="679"/>
      <c r="F4031" s="499">
        <v>494</v>
      </c>
      <c r="G4031" s="492" t="s">
        <v>4135</v>
      </c>
      <c r="H4031" s="555"/>
      <c r="I4031" s="556"/>
      <c r="J4031" s="556">
        <f t="shared" si="135"/>
        <v>0</v>
      </c>
      <c r="K4031" s="505"/>
      <c r="L4031" s="505"/>
      <c r="M4031" s="505"/>
      <c r="N4031" s="505"/>
      <c r="O4031" s="505"/>
      <c r="P4031" s="505"/>
      <c r="Q4031" s="505"/>
      <c r="R4031" s="505"/>
      <c r="S4031" s="505"/>
      <c r="T4031" s="505"/>
      <c r="U4031" s="505"/>
      <c r="V4031" s="505"/>
      <c r="W4031" s="505"/>
      <c r="X4031" s="505"/>
      <c r="Y4031" s="505"/>
    </row>
    <row r="4032" spans="1:25" s="88" customFormat="1" ht="30" hidden="1" x14ac:dyDescent="0.25">
      <c r="A4032" s="258"/>
      <c r="B4032" s="258"/>
      <c r="C4032" s="261"/>
      <c r="D4032" s="258"/>
      <c r="E4032" s="679"/>
      <c r="F4032" s="499">
        <v>495</v>
      </c>
      <c r="G4032" s="492" t="s">
        <v>4136</v>
      </c>
      <c r="H4032" s="555"/>
      <c r="I4032" s="556"/>
      <c r="J4032" s="556">
        <f t="shared" si="135"/>
        <v>0</v>
      </c>
      <c r="K4032" s="505"/>
      <c r="L4032" s="505"/>
      <c r="M4032" s="505"/>
      <c r="N4032" s="505"/>
      <c r="O4032" s="505"/>
      <c r="P4032" s="505"/>
      <c r="Q4032" s="505"/>
      <c r="R4032" s="505"/>
      <c r="S4032" s="505"/>
      <c r="T4032" s="505"/>
      <c r="U4032" s="505"/>
      <c r="V4032" s="505"/>
      <c r="W4032" s="505"/>
      <c r="X4032" s="505"/>
      <c r="Y4032" s="505"/>
    </row>
    <row r="4033" spans="1:25" s="88" customFormat="1" ht="30" hidden="1" x14ac:dyDescent="0.25">
      <c r="A4033" s="258"/>
      <c r="B4033" s="258"/>
      <c r="C4033" s="261"/>
      <c r="D4033" s="258"/>
      <c r="E4033" s="679"/>
      <c r="F4033" s="499">
        <v>496</v>
      </c>
      <c r="G4033" s="492" t="s">
        <v>4137</v>
      </c>
      <c r="H4033" s="555"/>
      <c r="I4033" s="556"/>
      <c r="J4033" s="556">
        <f t="shared" si="135"/>
        <v>0</v>
      </c>
      <c r="K4033" s="505"/>
      <c r="L4033" s="505"/>
      <c r="M4033" s="505"/>
      <c r="N4033" s="505"/>
      <c r="O4033" s="505"/>
      <c r="P4033" s="505"/>
      <c r="Q4033" s="505"/>
      <c r="R4033" s="505"/>
      <c r="S4033" s="505"/>
      <c r="T4033" s="505"/>
      <c r="U4033" s="505"/>
      <c r="V4033" s="505"/>
      <c r="W4033" s="505"/>
      <c r="X4033" s="505"/>
      <c r="Y4033" s="505"/>
    </row>
    <row r="4034" spans="1:25" s="88" customFormat="1" ht="30" hidden="1" x14ac:dyDescent="0.25">
      <c r="A4034" s="258"/>
      <c r="B4034" s="258"/>
      <c r="C4034" s="261"/>
      <c r="D4034" s="258"/>
      <c r="E4034" s="679"/>
      <c r="F4034" s="499">
        <v>499</v>
      </c>
      <c r="G4034" s="492" t="s">
        <v>4138</v>
      </c>
      <c r="H4034" s="555"/>
      <c r="I4034" s="556"/>
      <c r="J4034" s="556">
        <f t="shared" si="135"/>
        <v>0</v>
      </c>
      <c r="K4034" s="505"/>
      <c r="L4034" s="505"/>
      <c r="M4034" s="505"/>
      <c r="N4034" s="505"/>
      <c r="O4034" s="505"/>
      <c r="P4034" s="505"/>
      <c r="Q4034" s="505"/>
      <c r="R4034" s="505"/>
      <c r="S4034" s="505"/>
      <c r="T4034" s="505"/>
      <c r="U4034" s="505"/>
      <c r="V4034" s="505"/>
      <c r="W4034" s="505"/>
      <c r="X4034" s="505"/>
      <c r="Y4034" s="505"/>
    </row>
    <row r="4035" spans="1:25" s="88" customFormat="1" hidden="1" x14ac:dyDescent="0.25">
      <c r="A4035" s="258"/>
      <c r="B4035" s="258"/>
      <c r="C4035" s="261"/>
      <c r="D4035" s="258"/>
      <c r="E4035" s="679"/>
      <c r="F4035" s="499">
        <v>511</v>
      </c>
      <c r="G4035" s="496" t="s">
        <v>4158</v>
      </c>
      <c r="H4035" s="555"/>
      <c r="I4035" s="556"/>
      <c r="J4035" s="556">
        <f t="shared" si="135"/>
        <v>0</v>
      </c>
      <c r="K4035" s="505"/>
      <c r="L4035" s="505"/>
      <c r="M4035" s="505"/>
      <c r="N4035" s="505"/>
      <c r="O4035" s="505"/>
      <c r="P4035" s="505"/>
      <c r="Q4035" s="505"/>
      <c r="R4035" s="505"/>
      <c r="S4035" s="505"/>
      <c r="T4035" s="505"/>
      <c r="U4035" s="505"/>
      <c r="V4035" s="505"/>
      <c r="W4035" s="505"/>
      <c r="X4035" s="505"/>
      <c r="Y4035" s="505"/>
    </row>
    <row r="4036" spans="1:25" s="88" customFormat="1" hidden="1" x14ac:dyDescent="0.25">
      <c r="A4036" s="258"/>
      <c r="B4036" s="258"/>
      <c r="C4036" s="261"/>
      <c r="D4036" s="258"/>
      <c r="E4036" s="679"/>
      <c r="F4036" s="499">
        <v>512</v>
      </c>
      <c r="G4036" s="496" t="s">
        <v>4159</v>
      </c>
      <c r="H4036" s="555"/>
      <c r="I4036" s="556"/>
      <c r="J4036" s="556">
        <f t="shared" si="135"/>
        <v>0</v>
      </c>
      <c r="K4036" s="505"/>
      <c r="L4036" s="505"/>
      <c r="M4036" s="505"/>
      <c r="N4036" s="505"/>
      <c r="O4036" s="505"/>
      <c r="P4036" s="505"/>
      <c r="Q4036" s="505"/>
      <c r="R4036" s="505"/>
      <c r="S4036" s="505"/>
      <c r="T4036" s="505"/>
      <c r="U4036" s="505"/>
      <c r="V4036" s="505"/>
      <c r="W4036" s="505"/>
      <c r="X4036" s="505"/>
      <c r="Y4036" s="505"/>
    </row>
    <row r="4037" spans="1:25" s="88" customFormat="1" hidden="1" x14ac:dyDescent="0.25">
      <c r="A4037" s="258"/>
      <c r="B4037" s="258"/>
      <c r="C4037" s="261"/>
      <c r="D4037" s="258"/>
      <c r="E4037" s="679"/>
      <c r="F4037" s="499">
        <v>513</v>
      </c>
      <c r="G4037" s="496" t="s">
        <v>4160</v>
      </c>
      <c r="H4037" s="555"/>
      <c r="I4037" s="556"/>
      <c r="J4037" s="556">
        <f t="shared" si="135"/>
        <v>0</v>
      </c>
      <c r="K4037" s="505"/>
      <c r="L4037" s="505"/>
      <c r="M4037" s="505"/>
      <c r="N4037" s="505"/>
      <c r="O4037" s="505"/>
      <c r="P4037" s="505"/>
      <c r="Q4037" s="505"/>
      <c r="R4037" s="505"/>
      <c r="S4037" s="505"/>
      <c r="T4037" s="505"/>
      <c r="U4037" s="505"/>
      <c r="V4037" s="505"/>
      <c r="W4037" s="505"/>
      <c r="X4037" s="505"/>
      <c r="Y4037" s="505"/>
    </row>
    <row r="4038" spans="1:25" s="88" customFormat="1" hidden="1" x14ac:dyDescent="0.25">
      <c r="A4038" s="258"/>
      <c r="B4038" s="258"/>
      <c r="C4038" s="261"/>
      <c r="D4038" s="258"/>
      <c r="E4038" s="679"/>
      <c r="F4038" s="499">
        <v>514</v>
      </c>
      <c r="G4038" s="492" t="s">
        <v>4161</v>
      </c>
      <c r="H4038" s="555"/>
      <c r="I4038" s="556"/>
      <c r="J4038" s="556">
        <f t="shared" si="135"/>
        <v>0</v>
      </c>
      <c r="K4038" s="505"/>
      <c r="L4038" s="505"/>
      <c r="M4038" s="505"/>
      <c r="N4038" s="505"/>
      <c r="O4038" s="505"/>
      <c r="P4038" s="505"/>
      <c r="Q4038" s="505"/>
      <c r="R4038" s="505"/>
      <c r="S4038" s="505"/>
      <c r="T4038" s="505"/>
      <c r="U4038" s="505"/>
      <c r="V4038" s="505"/>
      <c r="W4038" s="505"/>
      <c r="X4038" s="505"/>
      <c r="Y4038" s="505"/>
    </row>
    <row r="4039" spans="1:25" s="88" customFormat="1" hidden="1" x14ac:dyDescent="0.25">
      <c r="A4039" s="258"/>
      <c r="B4039" s="258"/>
      <c r="C4039" s="261"/>
      <c r="D4039" s="258"/>
      <c r="E4039" s="679"/>
      <c r="F4039" s="499">
        <v>515</v>
      </c>
      <c r="G4039" s="492" t="s">
        <v>3834</v>
      </c>
      <c r="H4039" s="555"/>
      <c r="I4039" s="556"/>
      <c r="J4039" s="556">
        <f t="shared" si="135"/>
        <v>0</v>
      </c>
      <c r="K4039" s="505"/>
      <c r="L4039" s="505"/>
      <c r="M4039" s="505"/>
      <c r="N4039" s="505"/>
      <c r="O4039" s="505"/>
      <c r="P4039" s="505"/>
      <c r="Q4039" s="505"/>
      <c r="R4039" s="505"/>
      <c r="S4039" s="505"/>
      <c r="T4039" s="505"/>
      <c r="U4039" s="505"/>
      <c r="V4039" s="505"/>
      <c r="W4039" s="505"/>
      <c r="X4039" s="505"/>
      <c r="Y4039" s="505"/>
    </row>
    <row r="4040" spans="1:25" s="88" customFormat="1" hidden="1" x14ac:dyDescent="0.25">
      <c r="A4040" s="258"/>
      <c r="B4040" s="258"/>
      <c r="C4040" s="261"/>
      <c r="D4040" s="258"/>
      <c r="E4040" s="679"/>
      <c r="F4040" s="499">
        <v>521</v>
      </c>
      <c r="G4040" s="492" t="s">
        <v>4162</v>
      </c>
      <c r="H4040" s="555"/>
      <c r="I4040" s="556"/>
      <c r="J4040" s="556">
        <f t="shared" si="135"/>
        <v>0</v>
      </c>
      <c r="K4040" s="505"/>
      <c r="L4040" s="505"/>
      <c r="M4040" s="505"/>
      <c r="N4040" s="505"/>
      <c r="O4040" s="505"/>
      <c r="P4040" s="505"/>
      <c r="Q4040" s="505"/>
      <c r="R4040" s="505"/>
      <c r="S4040" s="505"/>
      <c r="T4040" s="505"/>
      <c r="U4040" s="505"/>
      <c r="V4040" s="505"/>
      <c r="W4040" s="505"/>
      <c r="X4040" s="505"/>
      <c r="Y4040" s="505"/>
    </row>
    <row r="4041" spans="1:25" s="88" customFormat="1" hidden="1" x14ac:dyDescent="0.25">
      <c r="A4041" s="258"/>
      <c r="B4041" s="258"/>
      <c r="C4041" s="261"/>
      <c r="D4041" s="258"/>
      <c r="E4041" s="679"/>
      <c r="F4041" s="499">
        <v>522</v>
      </c>
      <c r="G4041" s="492" t="s">
        <v>4163</v>
      </c>
      <c r="H4041" s="555"/>
      <c r="I4041" s="556"/>
      <c r="J4041" s="556">
        <f t="shared" si="135"/>
        <v>0</v>
      </c>
      <c r="K4041" s="505"/>
      <c r="L4041" s="505"/>
      <c r="M4041" s="505"/>
      <c r="N4041" s="505"/>
      <c r="O4041" s="505"/>
      <c r="P4041" s="505"/>
      <c r="Q4041" s="505"/>
      <c r="R4041" s="505"/>
      <c r="S4041" s="505"/>
      <c r="T4041" s="505"/>
      <c r="U4041" s="505"/>
      <c r="V4041" s="505"/>
      <c r="W4041" s="505"/>
      <c r="X4041" s="505"/>
      <c r="Y4041" s="505"/>
    </row>
    <row r="4042" spans="1:25" s="88" customFormat="1" hidden="1" x14ac:dyDescent="0.25">
      <c r="A4042" s="258"/>
      <c r="B4042" s="258"/>
      <c r="C4042" s="261"/>
      <c r="D4042" s="258"/>
      <c r="E4042" s="679"/>
      <c r="F4042" s="499">
        <v>523</v>
      </c>
      <c r="G4042" s="492" t="s">
        <v>3839</v>
      </c>
      <c r="H4042" s="555"/>
      <c r="I4042" s="556"/>
      <c r="J4042" s="556">
        <f t="shared" si="135"/>
        <v>0</v>
      </c>
      <c r="K4042" s="505"/>
      <c r="L4042" s="505"/>
      <c r="M4042" s="505"/>
      <c r="N4042" s="505"/>
      <c r="O4042" s="505"/>
      <c r="P4042" s="505"/>
      <c r="Q4042" s="505"/>
      <c r="R4042" s="505"/>
      <c r="S4042" s="505"/>
      <c r="T4042" s="505"/>
      <c r="U4042" s="505"/>
      <c r="V4042" s="505"/>
      <c r="W4042" s="505"/>
      <c r="X4042" s="505"/>
      <c r="Y4042" s="505"/>
    </row>
    <row r="4043" spans="1:25" s="88" customFormat="1" hidden="1" x14ac:dyDescent="0.25">
      <c r="A4043" s="258"/>
      <c r="B4043" s="258"/>
      <c r="C4043" s="261"/>
      <c r="D4043" s="258"/>
      <c r="E4043" s="679"/>
      <c r="F4043" s="499">
        <v>531</v>
      </c>
      <c r="G4043" s="488" t="s">
        <v>4139</v>
      </c>
      <c r="H4043" s="555"/>
      <c r="I4043" s="556"/>
      <c r="J4043" s="556">
        <f t="shared" si="135"/>
        <v>0</v>
      </c>
      <c r="K4043" s="505"/>
      <c r="L4043" s="505"/>
      <c r="M4043" s="505"/>
      <c r="N4043" s="505"/>
      <c r="O4043" s="505"/>
      <c r="P4043" s="505"/>
      <c r="Q4043" s="505"/>
      <c r="R4043" s="505"/>
      <c r="S4043" s="505"/>
      <c r="T4043" s="505"/>
      <c r="U4043" s="505"/>
      <c r="V4043" s="505"/>
      <c r="W4043" s="505"/>
      <c r="X4043" s="505"/>
      <c r="Y4043" s="505"/>
    </row>
    <row r="4044" spans="1:25" s="88" customFormat="1" hidden="1" x14ac:dyDescent="0.25">
      <c r="A4044" s="258"/>
      <c r="B4044" s="258"/>
      <c r="C4044" s="261"/>
      <c r="D4044" s="258"/>
      <c r="E4044" s="679"/>
      <c r="F4044" s="499">
        <v>541</v>
      </c>
      <c r="G4044" s="492" t="s">
        <v>4164</v>
      </c>
      <c r="H4044" s="555"/>
      <c r="I4044" s="556"/>
      <c r="J4044" s="556">
        <f t="shared" si="135"/>
        <v>0</v>
      </c>
      <c r="K4044" s="505"/>
      <c r="L4044" s="505"/>
      <c r="M4044" s="505"/>
      <c r="N4044" s="505"/>
      <c r="O4044" s="505"/>
      <c r="P4044" s="505"/>
      <c r="Q4044" s="505"/>
      <c r="R4044" s="505"/>
      <c r="S4044" s="505"/>
      <c r="T4044" s="505"/>
      <c r="U4044" s="505"/>
      <c r="V4044" s="505"/>
      <c r="W4044" s="505"/>
      <c r="X4044" s="505"/>
      <c r="Y4044" s="505"/>
    </row>
    <row r="4045" spans="1:25" s="88" customFormat="1" hidden="1" x14ac:dyDescent="0.25">
      <c r="A4045" s="258"/>
      <c r="B4045" s="258"/>
      <c r="C4045" s="261"/>
      <c r="D4045" s="258"/>
      <c r="E4045" s="679"/>
      <c r="F4045" s="499">
        <v>542</v>
      </c>
      <c r="G4045" s="492" t="s">
        <v>4165</v>
      </c>
      <c r="H4045" s="555"/>
      <c r="I4045" s="556"/>
      <c r="J4045" s="556">
        <f t="shared" si="135"/>
        <v>0</v>
      </c>
      <c r="K4045" s="505"/>
      <c r="L4045" s="505"/>
      <c r="M4045" s="505"/>
      <c r="N4045" s="505"/>
      <c r="O4045" s="505"/>
      <c r="P4045" s="505"/>
      <c r="Q4045" s="505"/>
      <c r="R4045" s="505"/>
      <c r="S4045" s="505"/>
      <c r="T4045" s="505"/>
      <c r="U4045" s="505"/>
      <c r="V4045" s="505"/>
      <c r="W4045" s="505"/>
      <c r="X4045" s="505"/>
      <c r="Y4045" s="505"/>
    </row>
    <row r="4046" spans="1:25" s="88" customFormat="1" hidden="1" x14ac:dyDescent="0.25">
      <c r="A4046" s="258"/>
      <c r="B4046" s="258"/>
      <c r="C4046" s="261"/>
      <c r="D4046" s="258"/>
      <c r="E4046" s="679"/>
      <c r="F4046" s="499">
        <v>543</v>
      </c>
      <c r="G4046" s="492" t="s">
        <v>3844</v>
      </c>
      <c r="H4046" s="555"/>
      <c r="I4046" s="556"/>
      <c r="J4046" s="556">
        <f t="shared" si="135"/>
        <v>0</v>
      </c>
      <c r="K4046" s="505"/>
      <c r="L4046" s="505"/>
      <c r="M4046" s="505"/>
      <c r="N4046" s="505"/>
      <c r="O4046" s="505"/>
      <c r="P4046" s="505"/>
      <c r="Q4046" s="505"/>
      <c r="R4046" s="505"/>
      <c r="S4046" s="505"/>
      <c r="T4046" s="505"/>
      <c r="U4046" s="505"/>
      <c r="V4046" s="505"/>
      <c r="W4046" s="505"/>
      <c r="X4046" s="505"/>
      <c r="Y4046" s="505"/>
    </row>
    <row r="4047" spans="1:25" s="88" customFormat="1" ht="30" hidden="1" x14ac:dyDescent="0.25">
      <c r="A4047" s="258"/>
      <c r="B4047" s="258"/>
      <c r="C4047" s="261"/>
      <c r="D4047" s="258"/>
      <c r="E4047" s="679"/>
      <c r="F4047" s="499">
        <v>551</v>
      </c>
      <c r="G4047" s="492" t="s">
        <v>4140</v>
      </c>
      <c r="H4047" s="555"/>
      <c r="I4047" s="556"/>
      <c r="J4047" s="556">
        <f t="shared" si="135"/>
        <v>0</v>
      </c>
      <c r="K4047" s="505"/>
      <c r="L4047" s="505"/>
      <c r="M4047" s="505"/>
      <c r="N4047" s="505"/>
      <c r="O4047" s="505"/>
      <c r="P4047" s="505"/>
      <c r="Q4047" s="505"/>
      <c r="R4047" s="505"/>
      <c r="S4047" s="505"/>
      <c r="T4047" s="505"/>
      <c r="U4047" s="505"/>
      <c r="V4047" s="505"/>
      <c r="W4047" s="505"/>
      <c r="X4047" s="505"/>
      <c r="Y4047" s="505"/>
    </row>
    <row r="4048" spans="1:25" s="88" customFormat="1" hidden="1" x14ac:dyDescent="0.25">
      <c r="A4048" s="258"/>
      <c r="B4048" s="258"/>
      <c r="C4048" s="261"/>
      <c r="D4048" s="258"/>
      <c r="E4048" s="679"/>
      <c r="F4048" s="500">
        <v>611</v>
      </c>
      <c r="G4048" s="498" t="s">
        <v>3850</v>
      </c>
      <c r="H4048" s="555"/>
      <c r="I4048" s="556"/>
      <c r="J4048" s="556">
        <f t="shared" si="135"/>
        <v>0</v>
      </c>
      <c r="K4048" s="505"/>
      <c r="L4048" s="505"/>
      <c r="M4048" s="505"/>
      <c r="N4048" s="505"/>
      <c r="O4048" s="505"/>
      <c r="P4048" s="505"/>
      <c r="Q4048" s="505"/>
      <c r="R4048" s="505"/>
      <c r="S4048" s="505"/>
      <c r="T4048" s="505"/>
      <c r="U4048" s="505"/>
      <c r="V4048" s="505"/>
      <c r="W4048" s="505"/>
      <c r="X4048" s="505"/>
      <c r="Y4048" s="505"/>
    </row>
    <row r="4049" spans="1:25" s="88" customFormat="1" ht="15.75" hidden="1" thickBot="1" x14ac:dyDescent="0.3">
      <c r="A4049" s="258"/>
      <c r="B4049" s="258"/>
      <c r="C4049" s="261"/>
      <c r="D4049" s="258"/>
      <c r="E4049" s="679"/>
      <c r="F4049" s="500">
        <v>620</v>
      </c>
      <c r="G4049" s="498" t="s">
        <v>88</v>
      </c>
      <c r="H4049" s="555"/>
      <c r="I4049" s="556"/>
      <c r="J4049" s="556">
        <f t="shared" si="135"/>
        <v>0</v>
      </c>
      <c r="K4049" s="505"/>
      <c r="L4049" s="505"/>
      <c r="M4049" s="505"/>
      <c r="N4049" s="505"/>
      <c r="O4049" s="505"/>
      <c r="P4049" s="505"/>
      <c r="Q4049" s="505"/>
      <c r="R4049" s="505"/>
      <c r="S4049" s="505"/>
      <c r="T4049" s="505"/>
      <c r="U4049" s="505"/>
      <c r="V4049" s="505"/>
      <c r="W4049" s="505"/>
      <c r="X4049" s="505"/>
      <c r="Y4049" s="505"/>
    </row>
    <row r="4050" spans="1:25" s="88" customFormat="1" x14ac:dyDescent="0.25">
      <c r="A4050" s="258"/>
      <c r="B4050" s="258"/>
      <c r="C4050" s="261"/>
      <c r="D4050" s="258"/>
      <c r="E4050" s="489"/>
      <c r="F4050" s="500"/>
      <c r="G4050" s="343" t="s">
        <v>4295</v>
      </c>
      <c r="H4050" s="557"/>
      <c r="I4050" s="583"/>
      <c r="J4050" s="558"/>
      <c r="K4050" s="505"/>
      <c r="L4050" s="505"/>
      <c r="M4050" s="505"/>
      <c r="N4050" s="505"/>
      <c r="O4050" s="505"/>
      <c r="P4050" s="505"/>
      <c r="Q4050" s="505"/>
      <c r="R4050" s="505"/>
      <c r="S4050" s="505"/>
      <c r="T4050" s="505"/>
      <c r="U4050" s="505"/>
      <c r="V4050" s="505"/>
      <c r="W4050" s="505"/>
      <c r="X4050" s="505"/>
      <c r="Y4050" s="505"/>
    </row>
    <row r="4051" spans="1:25" s="88" customFormat="1" ht="15" customHeight="1" thickBot="1" x14ac:dyDescent="0.3">
      <c r="A4051" s="258"/>
      <c r="B4051" s="258"/>
      <c r="C4051" s="261"/>
      <c r="D4051" s="258"/>
      <c r="E4051" s="693"/>
      <c r="F4051" s="597" t="s">
        <v>234</v>
      </c>
      <c r="G4051" s="598" t="s">
        <v>235</v>
      </c>
      <c r="H4051" s="559">
        <f>SUM(H3990:H4049)</f>
        <v>500000</v>
      </c>
      <c r="I4051" s="560"/>
      <c r="J4051" s="560">
        <f t="shared" ref="J4051:J4066" si="136">SUM(H4051:I4051)</f>
        <v>500000</v>
      </c>
      <c r="K4051" s="505"/>
      <c r="L4051" s="505"/>
      <c r="M4051" s="505"/>
      <c r="N4051" s="505"/>
      <c r="O4051" s="505"/>
      <c r="P4051" s="505"/>
      <c r="Q4051" s="505"/>
      <c r="R4051" s="505"/>
      <c r="S4051" s="505"/>
      <c r="T4051" s="505"/>
      <c r="U4051" s="505"/>
      <c r="V4051" s="505"/>
      <c r="W4051" s="505"/>
      <c r="X4051" s="505"/>
      <c r="Y4051" s="505"/>
    </row>
    <row r="4052" spans="1:25" s="88" customFormat="1" hidden="1" x14ac:dyDescent="0.25">
      <c r="A4052" s="258"/>
      <c r="B4052" s="258"/>
      <c r="C4052" s="261"/>
      <c r="D4052" s="258"/>
      <c r="E4052" s="679"/>
      <c r="F4052" s="597" t="s">
        <v>236</v>
      </c>
      <c r="G4052" s="598" t="s">
        <v>237</v>
      </c>
      <c r="H4052" s="555"/>
      <c r="I4052" s="556"/>
      <c r="J4052" s="560">
        <f t="shared" si="136"/>
        <v>0</v>
      </c>
      <c r="K4052" s="505"/>
      <c r="L4052" s="505"/>
      <c r="M4052" s="505"/>
      <c r="N4052" s="505"/>
      <c r="O4052" s="505"/>
      <c r="P4052" s="505"/>
      <c r="Q4052" s="505"/>
      <c r="R4052" s="505"/>
      <c r="S4052" s="505"/>
      <c r="T4052" s="505"/>
      <c r="U4052" s="505"/>
      <c r="V4052" s="505"/>
      <c r="W4052" s="505"/>
      <c r="X4052" s="505"/>
      <c r="Y4052" s="505"/>
    </row>
    <row r="4053" spans="1:25" s="88" customFormat="1" hidden="1" x14ac:dyDescent="0.25">
      <c r="A4053" s="258"/>
      <c r="B4053" s="258"/>
      <c r="C4053" s="261"/>
      <c r="D4053" s="258"/>
      <c r="E4053" s="679"/>
      <c r="F4053" s="597" t="s">
        <v>238</v>
      </c>
      <c r="G4053" s="598" t="s">
        <v>239</v>
      </c>
      <c r="H4053" s="555"/>
      <c r="I4053" s="556"/>
      <c r="J4053" s="560">
        <f t="shared" si="136"/>
        <v>0</v>
      </c>
      <c r="K4053" s="505"/>
      <c r="L4053" s="505"/>
      <c r="M4053" s="505"/>
      <c r="N4053" s="505"/>
      <c r="O4053" s="505"/>
      <c r="P4053" s="505"/>
      <c r="Q4053" s="505"/>
      <c r="R4053" s="505"/>
      <c r="S4053" s="505"/>
      <c r="T4053" s="505"/>
      <c r="U4053" s="505"/>
      <c r="V4053" s="505"/>
      <c r="W4053" s="505"/>
      <c r="X4053" s="505"/>
      <c r="Y4053" s="505"/>
    </row>
    <row r="4054" spans="1:25" s="88" customFormat="1" hidden="1" x14ac:dyDescent="0.25">
      <c r="A4054" s="258"/>
      <c r="B4054" s="258"/>
      <c r="C4054" s="261"/>
      <c r="D4054" s="258"/>
      <c r="E4054" s="679"/>
      <c r="F4054" s="597" t="s">
        <v>240</v>
      </c>
      <c r="G4054" s="598" t="s">
        <v>241</v>
      </c>
      <c r="H4054" s="555"/>
      <c r="I4054" s="556"/>
      <c r="J4054" s="560">
        <f t="shared" si="136"/>
        <v>0</v>
      </c>
      <c r="K4054" s="505"/>
      <c r="L4054" s="505"/>
      <c r="M4054" s="505"/>
      <c r="N4054" s="505"/>
      <c r="O4054" s="505"/>
      <c r="P4054" s="505"/>
      <c r="Q4054" s="505"/>
      <c r="R4054" s="505"/>
      <c r="S4054" s="505"/>
      <c r="T4054" s="505"/>
      <c r="U4054" s="505"/>
      <c r="V4054" s="505"/>
      <c r="W4054" s="505"/>
      <c r="X4054" s="505"/>
      <c r="Y4054" s="505"/>
    </row>
    <row r="4055" spans="1:25" s="88" customFormat="1" hidden="1" x14ac:dyDescent="0.25">
      <c r="A4055" s="258"/>
      <c r="B4055" s="258"/>
      <c r="C4055" s="261"/>
      <c r="D4055" s="258"/>
      <c r="E4055" s="679"/>
      <c r="F4055" s="597" t="s">
        <v>242</v>
      </c>
      <c r="G4055" s="598" t="s">
        <v>243</v>
      </c>
      <c r="H4055" s="555"/>
      <c r="I4055" s="556"/>
      <c r="J4055" s="560">
        <f t="shared" si="136"/>
        <v>0</v>
      </c>
      <c r="K4055" s="505"/>
      <c r="L4055" s="505"/>
      <c r="M4055" s="505"/>
      <c r="N4055" s="505"/>
      <c r="O4055" s="505"/>
      <c r="P4055" s="505"/>
      <c r="Q4055" s="505"/>
      <c r="R4055" s="505"/>
      <c r="S4055" s="505"/>
      <c r="T4055" s="505"/>
      <c r="U4055" s="505"/>
      <c r="V4055" s="505"/>
      <c r="W4055" s="505"/>
      <c r="X4055" s="505"/>
      <c r="Y4055" s="505"/>
    </row>
    <row r="4056" spans="1:25" s="88" customFormat="1" hidden="1" x14ac:dyDescent="0.25">
      <c r="A4056" s="258"/>
      <c r="B4056" s="258"/>
      <c r="C4056" s="261"/>
      <c r="D4056" s="258"/>
      <c r="E4056" s="679"/>
      <c r="F4056" s="597" t="s">
        <v>244</v>
      </c>
      <c r="G4056" s="598" t="s">
        <v>245</v>
      </c>
      <c r="H4056" s="555"/>
      <c r="I4056" s="556"/>
      <c r="J4056" s="560">
        <f t="shared" si="136"/>
        <v>0</v>
      </c>
      <c r="K4056" s="505"/>
      <c r="L4056" s="505"/>
      <c r="M4056" s="505"/>
      <c r="N4056" s="505"/>
      <c r="O4056" s="505"/>
      <c r="P4056" s="505"/>
      <c r="Q4056" s="505"/>
      <c r="R4056" s="505"/>
      <c r="S4056" s="505"/>
      <c r="T4056" s="505"/>
      <c r="U4056" s="505"/>
      <c r="V4056" s="505"/>
      <c r="W4056" s="505"/>
      <c r="X4056" s="505"/>
      <c r="Y4056" s="505"/>
    </row>
    <row r="4057" spans="1:25" s="88" customFormat="1" hidden="1" x14ac:dyDescent="0.25">
      <c r="A4057" s="258"/>
      <c r="B4057" s="258"/>
      <c r="C4057" s="261"/>
      <c r="D4057" s="258"/>
      <c r="E4057" s="679"/>
      <c r="F4057" s="597" t="s">
        <v>246</v>
      </c>
      <c r="G4057" s="598" t="s">
        <v>4996</v>
      </c>
      <c r="H4057" s="555"/>
      <c r="I4057" s="556"/>
      <c r="J4057" s="560">
        <f t="shared" si="136"/>
        <v>0</v>
      </c>
      <c r="K4057" s="505"/>
      <c r="L4057" s="505"/>
      <c r="M4057" s="505"/>
      <c r="N4057" s="505"/>
      <c r="O4057" s="505"/>
      <c r="P4057" s="505"/>
      <c r="Q4057" s="505"/>
      <c r="R4057" s="505"/>
      <c r="S4057" s="505"/>
      <c r="T4057" s="505"/>
      <c r="U4057" s="505"/>
      <c r="V4057" s="505"/>
      <c r="W4057" s="505"/>
      <c r="X4057" s="505"/>
      <c r="Y4057" s="505"/>
    </row>
    <row r="4058" spans="1:25" s="88" customFormat="1" hidden="1" x14ac:dyDescent="0.25">
      <c r="A4058" s="258"/>
      <c r="B4058" s="258"/>
      <c r="C4058" s="261"/>
      <c r="D4058" s="258"/>
      <c r="E4058" s="679"/>
      <c r="F4058" s="597" t="s">
        <v>247</v>
      </c>
      <c r="G4058" s="598" t="s">
        <v>4995</v>
      </c>
      <c r="H4058" s="555"/>
      <c r="I4058" s="556"/>
      <c r="J4058" s="560">
        <f t="shared" si="136"/>
        <v>0</v>
      </c>
      <c r="K4058" s="505"/>
      <c r="L4058" s="505"/>
      <c r="M4058" s="505"/>
      <c r="N4058" s="505"/>
      <c r="O4058" s="505"/>
      <c r="P4058" s="505"/>
      <c r="Q4058" s="505"/>
      <c r="R4058" s="505"/>
      <c r="S4058" s="505"/>
      <c r="T4058" s="505"/>
      <c r="U4058" s="505"/>
      <c r="V4058" s="505"/>
      <c r="W4058" s="505"/>
      <c r="X4058" s="505"/>
      <c r="Y4058" s="505"/>
    </row>
    <row r="4059" spans="1:25" s="88" customFormat="1" hidden="1" x14ac:dyDescent="0.25">
      <c r="A4059" s="258"/>
      <c r="B4059" s="258"/>
      <c r="C4059" s="261"/>
      <c r="D4059" s="258"/>
      <c r="E4059" s="679"/>
      <c r="F4059" s="597" t="s">
        <v>248</v>
      </c>
      <c r="G4059" s="598" t="s">
        <v>57</v>
      </c>
      <c r="H4059" s="555"/>
      <c r="I4059" s="556"/>
      <c r="J4059" s="560">
        <f t="shared" si="136"/>
        <v>0</v>
      </c>
      <c r="K4059" s="505"/>
      <c r="L4059" s="505"/>
      <c r="M4059" s="505"/>
      <c r="N4059" s="505"/>
      <c r="O4059" s="505"/>
      <c r="P4059" s="505"/>
      <c r="Q4059" s="505"/>
      <c r="R4059" s="505"/>
      <c r="S4059" s="505"/>
      <c r="T4059" s="505"/>
      <c r="U4059" s="505"/>
      <c r="V4059" s="505"/>
      <c r="W4059" s="505"/>
      <c r="X4059" s="505"/>
      <c r="Y4059" s="505"/>
    </row>
    <row r="4060" spans="1:25" s="88" customFormat="1" hidden="1" x14ac:dyDescent="0.25">
      <c r="A4060" s="258"/>
      <c r="B4060" s="258"/>
      <c r="C4060" s="261"/>
      <c r="D4060" s="258"/>
      <c r="E4060" s="679"/>
      <c r="F4060" s="597" t="s">
        <v>249</v>
      </c>
      <c r="G4060" s="598" t="s">
        <v>250</v>
      </c>
      <c r="H4060" s="555"/>
      <c r="I4060" s="556"/>
      <c r="J4060" s="560">
        <f t="shared" si="136"/>
        <v>0</v>
      </c>
      <c r="K4060" s="505"/>
      <c r="L4060" s="505"/>
      <c r="M4060" s="505"/>
      <c r="N4060" s="505"/>
      <c r="O4060" s="505"/>
      <c r="P4060" s="505"/>
      <c r="Q4060" s="505"/>
      <c r="R4060" s="505"/>
      <c r="S4060" s="505"/>
      <c r="T4060" s="505"/>
      <c r="U4060" s="505"/>
      <c r="V4060" s="505"/>
      <c r="W4060" s="505"/>
      <c r="X4060" s="505"/>
      <c r="Y4060" s="505"/>
    </row>
    <row r="4061" spans="1:25" s="88" customFormat="1" hidden="1" x14ac:dyDescent="0.25">
      <c r="A4061" s="258"/>
      <c r="B4061" s="258"/>
      <c r="C4061" s="261"/>
      <c r="D4061" s="258"/>
      <c r="E4061" s="679"/>
      <c r="F4061" s="597" t="s">
        <v>251</v>
      </c>
      <c r="G4061" s="598" t="s">
        <v>252</v>
      </c>
      <c r="H4061" s="555"/>
      <c r="I4061" s="556"/>
      <c r="J4061" s="560">
        <f t="shared" si="136"/>
        <v>0</v>
      </c>
      <c r="K4061" s="505"/>
      <c r="L4061" s="505"/>
      <c r="M4061" s="505"/>
      <c r="N4061" s="505"/>
      <c r="O4061" s="505"/>
      <c r="P4061" s="505"/>
      <c r="Q4061" s="505"/>
      <c r="R4061" s="505"/>
      <c r="S4061" s="505"/>
      <c r="T4061" s="505"/>
      <c r="U4061" s="505"/>
      <c r="V4061" s="505"/>
      <c r="W4061" s="505"/>
      <c r="X4061" s="505"/>
      <c r="Y4061" s="505"/>
    </row>
    <row r="4062" spans="1:25" s="88" customFormat="1" ht="30" hidden="1" x14ac:dyDescent="0.25">
      <c r="A4062" s="258"/>
      <c r="B4062" s="258"/>
      <c r="C4062" s="261"/>
      <c r="D4062" s="258"/>
      <c r="E4062" s="679"/>
      <c r="F4062" s="597" t="s">
        <v>253</v>
      </c>
      <c r="G4062" s="598" t="s">
        <v>254</v>
      </c>
      <c r="H4062" s="555"/>
      <c r="I4062" s="556"/>
      <c r="J4062" s="560">
        <f t="shared" si="136"/>
        <v>0</v>
      </c>
      <c r="K4062" s="505"/>
      <c r="L4062" s="505"/>
      <c r="M4062" s="505"/>
      <c r="N4062" s="505"/>
      <c r="O4062" s="505"/>
      <c r="P4062" s="505"/>
      <c r="Q4062" s="505"/>
      <c r="R4062" s="505"/>
      <c r="S4062" s="505"/>
      <c r="T4062" s="505"/>
      <c r="U4062" s="505"/>
      <c r="V4062" s="505"/>
      <c r="W4062" s="505"/>
      <c r="X4062" s="505"/>
      <c r="Y4062" s="505"/>
    </row>
    <row r="4063" spans="1:25" s="88" customFormat="1" hidden="1" x14ac:dyDescent="0.25">
      <c r="A4063" s="258"/>
      <c r="B4063" s="258"/>
      <c r="C4063" s="261"/>
      <c r="D4063" s="258"/>
      <c r="E4063" s="679"/>
      <c r="F4063" s="597" t="s">
        <v>255</v>
      </c>
      <c r="G4063" s="598" t="s">
        <v>256</v>
      </c>
      <c r="H4063" s="555"/>
      <c r="I4063" s="556"/>
      <c r="J4063" s="560">
        <f t="shared" si="136"/>
        <v>0</v>
      </c>
      <c r="K4063" s="505"/>
      <c r="L4063" s="505"/>
      <c r="M4063" s="505"/>
      <c r="N4063" s="505"/>
      <c r="O4063" s="505"/>
      <c r="P4063" s="505"/>
      <c r="Q4063" s="505"/>
      <c r="R4063" s="505"/>
      <c r="S4063" s="505"/>
      <c r="T4063" s="505"/>
      <c r="U4063" s="505"/>
      <c r="V4063" s="505"/>
      <c r="W4063" s="505"/>
      <c r="X4063" s="505"/>
      <c r="Y4063" s="505"/>
    </row>
    <row r="4064" spans="1:25" s="88" customFormat="1" ht="30" hidden="1" x14ac:dyDescent="0.25">
      <c r="A4064" s="258"/>
      <c r="B4064" s="258"/>
      <c r="C4064" s="261"/>
      <c r="D4064" s="258"/>
      <c r="E4064" s="679"/>
      <c r="F4064" s="597" t="s">
        <v>257</v>
      </c>
      <c r="G4064" s="598" t="s">
        <v>258</v>
      </c>
      <c r="H4064" s="555"/>
      <c r="I4064" s="556"/>
      <c r="J4064" s="560">
        <f t="shared" si="136"/>
        <v>0</v>
      </c>
      <c r="K4064" s="505"/>
      <c r="L4064" s="505"/>
      <c r="M4064" s="505"/>
      <c r="N4064" s="505"/>
      <c r="O4064" s="505"/>
      <c r="P4064" s="505"/>
      <c r="Q4064" s="505"/>
      <c r="R4064" s="505"/>
      <c r="S4064" s="505"/>
      <c r="T4064" s="505"/>
      <c r="U4064" s="505"/>
      <c r="V4064" s="505"/>
      <c r="W4064" s="505"/>
      <c r="X4064" s="505"/>
      <c r="Y4064" s="505"/>
    </row>
    <row r="4065" spans="1:25" s="88" customFormat="1" hidden="1" x14ac:dyDescent="0.25">
      <c r="A4065" s="258"/>
      <c r="B4065" s="258"/>
      <c r="C4065" s="261"/>
      <c r="D4065" s="258"/>
      <c r="E4065" s="679"/>
      <c r="F4065" s="597" t="s">
        <v>259</v>
      </c>
      <c r="G4065" s="598" t="s">
        <v>260</v>
      </c>
      <c r="H4065" s="555"/>
      <c r="I4065" s="556"/>
      <c r="J4065" s="560">
        <f t="shared" si="136"/>
        <v>0</v>
      </c>
      <c r="K4065" s="505"/>
      <c r="L4065" s="505"/>
      <c r="M4065" s="505"/>
      <c r="N4065" s="505"/>
      <c r="O4065" s="505"/>
      <c r="P4065" s="505"/>
      <c r="Q4065" s="505"/>
      <c r="R4065" s="505"/>
      <c r="S4065" s="505"/>
      <c r="T4065" s="505"/>
      <c r="U4065" s="505"/>
      <c r="V4065" s="505"/>
      <c r="W4065" s="505"/>
      <c r="X4065" s="505"/>
      <c r="Y4065" s="505"/>
    </row>
    <row r="4066" spans="1:25" s="88" customFormat="1" ht="15.75" hidden="1" thickBot="1" x14ac:dyDescent="0.3">
      <c r="A4066" s="258"/>
      <c r="B4066" s="258"/>
      <c r="C4066" s="261"/>
      <c r="D4066" s="258"/>
      <c r="E4066" s="679"/>
      <c r="F4066" s="597" t="s">
        <v>261</v>
      </c>
      <c r="G4066" s="598" t="s">
        <v>262</v>
      </c>
      <c r="H4066" s="559"/>
      <c r="I4066" s="560"/>
      <c r="J4066" s="560">
        <f t="shared" si="136"/>
        <v>0</v>
      </c>
      <c r="K4066" s="505"/>
      <c r="L4066" s="505"/>
      <c r="M4066" s="505"/>
      <c r="N4066" s="505"/>
      <c r="O4066" s="505"/>
      <c r="P4066" s="505"/>
      <c r="Q4066" s="505"/>
      <c r="R4066" s="505"/>
      <c r="S4066" s="505"/>
      <c r="T4066" s="505"/>
      <c r="U4066" s="505"/>
      <c r="V4066" s="505"/>
      <c r="W4066" s="505"/>
      <c r="X4066" s="505"/>
      <c r="Y4066" s="505"/>
    </row>
    <row r="4067" spans="1:25" s="88" customFormat="1" ht="14.25" customHeight="1" thickBot="1" x14ac:dyDescent="0.3">
      <c r="A4067" s="258"/>
      <c r="B4067" s="258"/>
      <c r="C4067" s="261"/>
      <c r="D4067" s="258"/>
      <c r="E4067" s="679"/>
      <c r="F4067" s="258"/>
      <c r="G4067" s="728" t="s">
        <v>4296</v>
      </c>
      <c r="H4067" s="561">
        <f>SUM(H4051:H4066)</f>
        <v>500000</v>
      </c>
      <c r="I4067" s="562">
        <f>SUM(I4052:I4066)</f>
        <v>0</v>
      </c>
      <c r="J4067" s="562">
        <f>SUM(J4051:J4066)</f>
        <v>500000</v>
      </c>
      <c r="K4067" s="505"/>
      <c r="L4067" s="505"/>
      <c r="M4067" s="505"/>
      <c r="N4067" s="505"/>
      <c r="O4067" s="505"/>
      <c r="P4067" s="505"/>
      <c r="Q4067" s="505"/>
      <c r="R4067" s="505"/>
      <c r="S4067" s="505"/>
      <c r="T4067" s="505"/>
      <c r="U4067" s="505"/>
      <c r="V4067" s="505"/>
      <c r="W4067" s="505"/>
      <c r="X4067" s="505"/>
      <c r="Y4067" s="505"/>
    </row>
    <row r="4068" spans="1:25" s="88" customFormat="1" ht="15" customHeight="1" x14ac:dyDescent="0.25">
      <c r="A4068" s="258"/>
      <c r="B4068" s="258"/>
      <c r="C4068" s="261"/>
      <c r="D4068" s="258"/>
      <c r="E4068" s="489"/>
      <c r="F4068" s="500"/>
      <c r="G4068" s="270" t="s">
        <v>5294</v>
      </c>
      <c r="H4068" s="563"/>
      <c r="I4068" s="584"/>
      <c r="J4068" s="564"/>
      <c r="K4068" s="505"/>
      <c r="L4068" s="505"/>
      <c r="M4068" s="505"/>
      <c r="N4068" s="505"/>
      <c r="O4068" s="505"/>
      <c r="P4068" s="505"/>
      <c r="Q4068" s="505"/>
      <c r="R4068" s="505"/>
      <c r="S4068" s="505"/>
      <c r="T4068" s="505"/>
      <c r="U4068" s="505"/>
      <c r="V4068" s="505"/>
      <c r="W4068" s="505"/>
      <c r="X4068" s="505"/>
      <c r="Y4068" s="505"/>
    </row>
    <row r="4069" spans="1:25" s="88" customFormat="1" ht="16.5" customHeight="1" thickBot="1" x14ac:dyDescent="0.3">
      <c r="A4069" s="258"/>
      <c r="B4069" s="258"/>
      <c r="C4069" s="261"/>
      <c r="D4069" s="258"/>
      <c r="E4069" s="693"/>
      <c r="F4069" s="597" t="s">
        <v>234</v>
      </c>
      <c r="G4069" s="598" t="s">
        <v>235</v>
      </c>
      <c r="H4069" s="559">
        <f>SUM(H3990:H4049)</f>
        <v>500000</v>
      </c>
      <c r="I4069" s="560"/>
      <c r="J4069" s="560">
        <f>SUM(H4069:I4069)</f>
        <v>500000</v>
      </c>
      <c r="K4069" s="505"/>
      <c r="L4069" s="505"/>
      <c r="M4069" s="505"/>
      <c r="N4069" s="505"/>
      <c r="O4069" s="505"/>
      <c r="P4069" s="505"/>
      <c r="Q4069" s="505"/>
      <c r="R4069" s="505"/>
      <c r="S4069" s="505"/>
      <c r="T4069" s="505"/>
      <c r="U4069" s="505"/>
      <c r="V4069" s="505"/>
      <c r="W4069" s="505"/>
      <c r="X4069" s="505"/>
      <c r="Y4069" s="505"/>
    </row>
    <row r="4070" spans="1:25" s="88" customFormat="1" hidden="1" x14ac:dyDescent="0.25">
      <c r="A4070" s="258"/>
      <c r="B4070" s="258"/>
      <c r="C4070" s="261"/>
      <c r="D4070" s="258"/>
      <c r="E4070" s="679"/>
      <c r="F4070" s="597" t="s">
        <v>236</v>
      </c>
      <c r="G4070" s="598" t="s">
        <v>237</v>
      </c>
      <c r="H4070" s="555"/>
      <c r="I4070" s="556"/>
      <c r="J4070" s="560">
        <f t="shared" ref="J4070:J4084" si="137">SUM(H4070:I4070)</f>
        <v>0</v>
      </c>
      <c r="K4070" s="505"/>
      <c r="L4070" s="505"/>
      <c r="M4070" s="505"/>
      <c r="N4070" s="505"/>
      <c r="O4070" s="505"/>
      <c r="P4070" s="505"/>
      <c r="Q4070" s="505"/>
      <c r="R4070" s="505"/>
      <c r="S4070" s="505"/>
      <c r="T4070" s="505"/>
      <c r="U4070" s="505"/>
      <c r="V4070" s="505"/>
      <c r="W4070" s="505"/>
      <c r="X4070" s="505"/>
      <c r="Y4070" s="505"/>
    </row>
    <row r="4071" spans="1:25" s="88" customFormat="1" hidden="1" x14ac:dyDescent="0.25">
      <c r="A4071" s="258"/>
      <c r="B4071" s="258"/>
      <c r="C4071" s="261"/>
      <c r="D4071" s="258"/>
      <c r="E4071" s="679"/>
      <c r="F4071" s="597" t="s">
        <v>238</v>
      </c>
      <c r="G4071" s="598" t="s">
        <v>239</v>
      </c>
      <c r="H4071" s="555"/>
      <c r="I4071" s="556"/>
      <c r="J4071" s="560">
        <f t="shared" si="137"/>
        <v>0</v>
      </c>
      <c r="K4071" s="505"/>
      <c r="L4071" s="505"/>
      <c r="M4071" s="505"/>
      <c r="N4071" s="505"/>
      <c r="O4071" s="505"/>
      <c r="P4071" s="505"/>
      <c r="Q4071" s="505"/>
      <c r="R4071" s="505"/>
      <c r="S4071" s="505"/>
      <c r="T4071" s="505"/>
      <c r="U4071" s="505"/>
      <c r="V4071" s="505"/>
      <c r="W4071" s="505"/>
      <c r="X4071" s="505"/>
      <c r="Y4071" s="505"/>
    </row>
    <row r="4072" spans="1:25" s="88" customFormat="1" hidden="1" x14ac:dyDescent="0.25">
      <c r="A4072" s="258"/>
      <c r="B4072" s="258"/>
      <c r="C4072" s="261"/>
      <c r="D4072" s="258"/>
      <c r="E4072" s="679"/>
      <c r="F4072" s="597" t="s">
        <v>240</v>
      </c>
      <c r="G4072" s="598" t="s">
        <v>241</v>
      </c>
      <c r="H4072" s="555"/>
      <c r="I4072" s="556"/>
      <c r="J4072" s="560">
        <f t="shared" si="137"/>
        <v>0</v>
      </c>
      <c r="K4072" s="505"/>
      <c r="L4072" s="505"/>
      <c r="M4072" s="505"/>
      <c r="N4072" s="505"/>
      <c r="O4072" s="505"/>
      <c r="P4072" s="505"/>
      <c r="Q4072" s="505"/>
      <c r="R4072" s="505"/>
      <c r="S4072" s="505"/>
      <c r="T4072" s="505"/>
      <c r="U4072" s="505"/>
      <c r="V4072" s="505"/>
      <c r="W4072" s="505"/>
      <c r="X4072" s="505"/>
      <c r="Y4072" s="505"/>
    </row>
    <row r="4073" spans="1:25" s="88" customFormat="1" hidden="1" x14ac:dyDescent="0.25">
      <c r="A4073" s="258"/>
      <c r="B4073" s="258"/>
      <c r="C4073" s="261"/>
      <c r="D4073" s="258"/>
      <c r="E4073" s="679"/>
      <c r="F4073" s="597" t="s">
        <v>242</v>
      </c>
      <c r="G4073" s="598" t="s">
        <v>243</v>
      </c>
      <c r="H4073" s="555"/>
      <c r="I4073" s="556"/>
      <c r="J4073" s="560">
        <f t="shared" si="137"/>
        <v>0</v>
      </c>
      <c r="K4073" s="505"/>
      <c r="L4073" s="505"/>
      <c r="M4073" s="505"/>
      <c r="N4073" s="505"/>
      <c r="O4073" s="505"/>
      <c r="P4073" s="505"/>
      <c r="Q4073" s="505"/>
      <c r="R4073" s="505"/>
      <c r="S4073" s="505"/>
      <c r="T4073" s="505"/>
      <c r="U4073" s="505"/>
      <c r="V4073" s="505"/>
      <c r="W4073" s="505"/>
      <c r="X4073" s="505"/>
      <c r="Y4073" s="505"/>
    </row>
    <row r="4074" spans="1:25" s="88" customFormat="1" hidden="1" x14ac:dyDescent="0.25">
      <c r="A4074" s="258"/>
      <c r="B4074" s="258"/>
      <c r="C4074" s="261"/>
      <c r="D4074" s="258"/>
      <c r="E4074" s="679"/>
      <c r="F4074" s="597" t="s">
        <v>244</v>
      </c>
      <c r="G4074" s="598" t="s">
        <v>245</v>
      </c>
      <c r="H4074" s="555"/>
      <c r="I4074" s="556"/>
      <c r="J4074" s="560">
        <f t="shared" si="137"/>
        <v>0</v>
      </c>
      <c r="K4074" s="505"/>
      <c r="L4074" s="505"/>
      <c r="M4074" s="505"/>
      <c r="N4074" s="505"/>
      <c r="O4074" s="505"/>
      <c r="P4074" s="505"/>
      <c r="Q4074" s="505"/>
      <c r="R4074" s="505"/>
      <c r="S4074" s="505"/>
      <c r="T4074" s="505"/>
      <c r="U4074" s="505"/>
      <c r="V4074" s="505"/>
      <c r="W4074" s="505"/>
      <c r="X4074" s="505"/>
      <c r="Y4074" s="505"/>
    </row>
    <row r="4075" spans="1:25" s="88" customFormat="1" hidden="1" x14ac:dyDescent="0.25">
      <c r="A4075" s="258"/>
      <c r="B4075" s="258"/>
      <c r="C4075" s="261"/>
      <c r="D4075" s="258"/>
      <c r="E4075" s="679"/>
      <c r="F4075" s="597" t="s">
        <v>246</v>
      </c>
      <c r="G4075" s="598" t="s">
        <v>4996</v>
      </c>
      <c r="H4075" s="555"/>
      <c r="I4075" s="556"/>
      <c r="J4075" s="560">
        <f t="shared" si="137"/>
        <v>0</v>
      </c>
      <c r="K4075" s="505"/>
      <c r="L4075" s="505"/>
      <c r="M4075" s="505"/>
      <c r="N4075" s="505"/>
      <c r="O4075" s="505"/>
      <c r="P4075" s="505"/>
      <c r="Q4075" s="505"/>
      <c r="R4075" s="505"/>
      <c r="S4075" s="505"/>
      <c r="T4075" s="505"/>
      <c r="U4075" s="505"/>
      <c r="V4075" s="505"/>
      <c r="W4075" s="505"/>
      <c r="X4075" s="505"/>
      <c r="Y4075" s="505"/>
    </row>
    <row r="4076" spans="1:25" s="88" customFormat="1" hidden="1" x14ac:dyDescent="0.25">
      <c r="A4076" s="258"/>
      <c r="B4076" s="258"/>
      <c r="C4076" s="261"/>
      <c r="D4076" s="258"/>
      <c r="E4076" s="679"/>
      <c r="F4076" s="597" t="s">
        <v>247</v>
      </c>
      <c r="G4076" s="598" t="s">
        <v>4995</v>
      </c>
      <c r="H4076" s="555"/>
      <c r="I4076" s="556"/>
      <c r="J4076" s="560">
        <f t="shared" si="137"/>
        <v>0</v>
      </c>
      <c r="K4076" s="505"/>
      <c r="L4076" s="505"/>
      <c r="M4076" s="505"/>
      <c r="N4076" s="505"/>
      <c r="O4076" s="505"/>
      <c r="P4076" s="505"/>
      <c r="Q4076" s="505"/>
      <c r="R4076" s="505"/>
      <c r="S4076" s="505"/>
      <c r="T4076" s="505"/>
      <c r="U4076" s="505"/>
      <c r="V4076" s="505"/>
      <c r="W4076" s="505"/>
      <c r="X4076" s="505"/>
      <c r="Y4076" s="505"/>
    </row>
    <row r="4077" spans="1:25" s="88" customFormat="1" hidden="1" x14ac:dyDescent="0.25">
      <c r="A4077" s="258"/>
      <c r="B4077" s="258"/>
      <c r="C4077" s="261"/>
      <c r="D4077" s="258"/>
      <c r="E4077" s="679"/>
      <c r="F4077" s="597" t="s">
        <v>248</v>
      </c>
      <c r="G4077" s="598" t="s">
        <v>57</v>
      </c>
      <c r="H4077" s="555"/>
      <c r="I4077" s="556"/>
      <c r="J4077" s="560">
        <f t="shared" si="137"/>
        <v>0</v>
      </c>
      <c r="K4077" s="505"/>
      <c r="L4077" s="505"/>
      <c r="M4077" s="505"/>
      <c r="N4077" s="505"/>
      <c r="O4077" s="505"/>
      <c r="P4077" s="505"/>
      <c r="Q4077" s="505"/>
      <c r="R4077" s="505"/>
      <c r="S4077" s="505"/>
      <c r="T4077" s="505"/>
      <c r="U4077" s="505"/>
      <c r="V4077" s="505"/>
      <c r="W4077" s="505"/>
      <c r="X4077" s="505"/>
      <c r="Y4077" s="505"/>
    </row>
    <row r="4078" spans="1:25" s="88" customFormat="1" hidden="1" x14ac:dyDescent="0.25">
      <c r="A4078" s="258"/>
      <c r="B4078" s="258"/>
      <c r="C4078" s="261"/>
      <c r="D4078" s="258"/>
      <c r="E4078" s="679"/>
      <c r="F4078" s="597" t="s">
        <v>249</v>
      </c>
      <c r="G4078" s="598" t="s">
        <v>250</v>
      </c>
      <c r="H4078" s="555"/>
      <c r="I4078" s="556"/>
      <c r="J4078" s="560">
        <f t="shared" si="137"/>
        <v>0</v>
      </c>
      <c r="K4078" s="505"/>
      <c r="L4078" s="505"/>
      <c r="M4078" s="505"/>
      <c r="N4078" s="505"/>
      <c r="O4078" s="505"/>
      <c r="P4078" s="505"/>
      <c r="Q4078" s="505"/>
      <c r="R4078" s="505"/>
      <c r="S4078" s="505"/>
      <c r="T4078" s="505"/>
      <c r="U4078" s="505"/>
      <c r="V4078" s="505"/>
      <c r="W4078" s="505"/>
      <c r="X4078" s="505"/>
      <c r="Y4078" s="505"/>
    </row>
    <row r="4079" spans="1:25" s="88" customFormat="1" hidden="1" x14ac:dyDescent="0.25">
      <c r="A4079" s="258"/>
      <c r="B4079" s="258"/>
      <c r="C4079" s="261"/>
      <c r="D4079" s="258"/>
      <c r="E4079" s="679"/>
      <c r="F4079" s="597" t="s">
        <v>251</v>
      </c>
      <c r="G4079" s="598" t="s">
        <v>252</v>
      </c>
      <c r="H4079" s="555"/>
      <c r="I4079" s="556"/>
      <c r="J4079" s="560">
        <f t="shared" si="137"/>
        <v>0</v>
      </c>
      <c r="K4079" s="505"/>
      <c r="L4079" s="505"/>
      <c r="M4079" s="505"/>
      <c r="N4079" s="505"/>
      <c r="O4079" s="505"/>
      <c r="P4079" s="505"/>
      <c r="Q4079" s="505"/>
      <c r="R4079" s="505"/>
      <c r="S4079" s="505"/>
      <c r="T4079" s="505"/>
      <c r="U4079" s="505"/>
      <c r="V4079" s="505"/>
      <c r="W4079" s="505"/>
      <c r="X4079" s="505"/>
      <c r="Y4079" s="505"/>
    </row>
    <row r="4080" spans="1:25" s="88" customFormat="1" ht="30" hidden="1" x14ac:dyDescent="0.25">
      <c r="A4080" s="258"/>
      <c r="B4080" s="258"/>
      <c r="C4080" s="261"/>
      <c r="D4080" s="258"/>
      <c r="E4080" s="679"/>
      <c r="F4080" s="597" t="s">
        <v>253</v>
      </c>
      <c r="G4080" s="598" t="s">
        <v>254</v>
      </c>
      <c r="H4080" s="555"/>
      <c r="I4080" s="556"/>
      <c r="J4080" s="560">
        <f t="shared" si="137"/>
        <v>0</v>
      </c>
      <c r="K4080" s="505"/>
      <c r="L4080" s="505"/>
      <c r="M4080" s="505"/>
      <c r="N4080" s="505"/>
      <c r="O4080" s="505"/>
      <c r="P4080" s="505"/>
      <c r="Q4080" s="505"/>
      <c r="R4080" s="505"/>
      <c r="S4080" s="505"/>
      <c r="T4080" s="505"/>
      <c r="U4080" s="505"/>
      <c r="V4080" s="505"/>
      <c r="W4080" s="505"/>
      <c r="X4080" s="505"/>
      <c r="Y4080" s="505"/>
    </row>
    <row r="4081" spans="1:25" s="88" customFormat="1" hidden="1" x14ac:dyDescent="0.25">
      <c r="A4081" s="258"/>
      <c r="B4081" s="258"/>
      <c r="C4081" s="261"/>
      <c r="D4081" s="258"/>
      <c r="E4081" s="679"/>
      <c r="F4081" s="597" t="s">
        <v>255</v>
      </c>
      <c r="G4081" s="598" t="s">
        <v>256</v>
      </c>
      <c r="H4081" s="555"/>
      <c r="I4081" s="556"/>
      <c r="J4081" s="560">
        <f t="shared" si="137"/>
        <v>0</v>
      </c>
      <c r="K4081" s="505"/>
      <c r="L4081" s="505"/>
      <c r="M4081" s="505"/>
      <c r="N4081" s="505"/>
      <c r="O4081" s="505"/>
      <c r="P4081" s="505"/>
      <c r="Q4081" s="505"/>
      <c r="R4081" s="505"/>
      <c r="S4081" s="505"/>
      <c r="T4081" s="505"/>
      <c r="U4081" s="505"/>
      <c r="V4081" s="505"/>
      <c r="W4081" s="505"/>
      <c r="X4081" s="505"/>
      <c r="Y4081" s="505"/>
    </row>
    <row r="4082" spans="1:25" s="88" customFormat="1" ht="30" hidden="1" x14ac:dyDescent="0.25">
      <c r="A4082" s="258"/>
      <c r="B4082" s="258"/>
      <c r="C4082" s="261"/>
      <c r="D4082" s="258"/>
      <c r="E4082" s="679"/>
      <c r="F4082" s="597" t="s">
        <v>257</v>
      </c>
      <c r="G4082" s="598" t="s">
        <v>258</v>
      </c>
      <c r="H4082" s="555"/>
      <c r="I4082" s="556"/>
      <c r="J4082" s="560">
        <f t="shared" si="137"/>
        <v>0</v>
      </c>
      <c r="K4082" s="505"/>
      <c r="L4082" s="505"/>
      <c r="M4082" s="505"/>
      <c r="N4082" s="505"/>
      <c r="O4082" s="505"/>
      <c r="P4082" s="505"/>
      <c r="Q4082" s="505"/>
      <c r="R4082" s="505"/>
      <c r="S4082" s="505"/>
      <c r="T4082" s="505"/>
      <c r="U4082" s="505"/>
      <c r="V4082" s="505"/>
      <c r="W4082" s="505"/>
      <c r="X4082" s="505"/>
      <c r="Y4082" s="505"/>
    </row>
    <row r="4083" spans="1:25" s="88" customFormat="1" hidden="1" x14ac:dyDescent="0.25">
      <c r="A4083" s="258"/>
      <c r="B4083" s="258"/>
      <c r="C4083" s="261"/>
      <c r="D4083" s="258"/>
      <c r="E4083" s="679"/>
      <c r="F4083" s="597" t="s">
        <v>259</v>
      </c>
      <c r="G4083" s="598" t="s">
        <v>260</v>
      </c>
      <c r="H4083" s="555"/>
      <c r="I4083" s="556"/>
      <c r="J4083" s="560">
        <f t="shared" si="137"/>
        <v>0</v>
      </c>
      <c r="K4083" s="505"/>
      <c r="L4083" s="505"/>
      <c r="M4083" s="505"/>
      <c r="N4083" s="505"/>
      <c r="O4083" s="505"/>
      <c r="P4083" s="505"/>
      <c r="Q4083" s="505"/>
      <c r="R4083" s="505"/>
      <c r="S4083" s="505"/>
      <c r="T4083" s="505"/>
      <c r="U4083" s="505"/>
      <c r="V4083" s="505"/>
      <c r="W4083" s="505"/>
      <c r="X4083" s="505"/>
      <c r="Y4083" s="505"/>
    </row>
    <row r="4084" spans="1:25" s="88" customFormat="1" ht="15.75" hidden="1" thickBot="1" x14ac:dyDescent="0.3">
      <c r="A4084" s="258"/>
      <c r="B4084" s="258"/>
      <c r="C4084" s="261"/>
      <c r="D4084" s="258"/>
      <c r="E4084" s="679"/>
      <c r="F4084" s="597" t="s">
        <v>261</v>
      </c>
      <c r="G4084" s="598" t="s">
        <v>262</v>
      </c>
      <c r="H4084" s="559"/>
      <c r="I4084" s="560"/>
      <c r="J4084" s="560">
        <f t="shared" si="137"/>
        <v>0</v>
      </c>
      <c r="K4084" s="505"/>
      <c r="L4084" s="505"/>
      <c r="M4084" s="505"/>
      <c r="N4084" s="505"/>
      <c r="O4084" s="505"/>
      <c r="P4084" s="505"/>
      <c r="Q4084" s="505"/>
      <c r="R4084" s="505"/>
      <c r="S4084" s="505"/>
      <c r="T4084" s="505"/>
      <c r="U4084" s="505"/>
      <c r="V4084" s="505"/>
      <c r="W4084" s="505"/>
      <c r="X4084" s="505"/>
      <c r="Y4084" s="505"/>
    </row>
    <row r="4085" spans="1:25" s="88" customFormat="1" ht="14.25" customHeight="1" thickBot="1" x14ac:dyDescent="0.3">
      <c r="A4085" s="258"/>
      <c r="B4085" s="258"/>
      <c r="C4085" s="261"/>
      <c r="D4085" s="258"/>
      <c r="E4085" s="679"/>
      <c r="F4085" s="258"/>
      <c r="G4085" s="268" t="s">
        <v>5295</v>
      </c>
      <c r="H4085" s="561">
        <f>SUM(H4069:H4084)</f>
        <v>500000</v>
      </c>
      <c r="I4085" s="562">
        <f>SUM(I4070:I4084)</f>
        <v>0</v>
      </c>
      <c r="J4085" s="562">
        <f>SUM(J4069:J4084)</f>
        <v>500000</v>
      </c>
      <c r="K4085" s="505"/>
      <c r="L4085" s="505"/>
      <c r="M4085" s="505"/>
      <c r="N4085" s="505"/>
      <c r="O4085" s="505"/>
      <c r="P4085" s="505"/>
      <c r="Q4085" s="505"/>
      <c r="R4085" s="505"/>
      <c r="S4085" s="505"/>
      <c r="T4085" s="505"/>
      <c r="U4085" s="505"/>
      <c r="V4085" s="505"/>
      <c r="W4085" s="505"/>
      <c r="X4085" s="505"/>
      <c r="Y4085" s="505"/>
    </row>
    <row r="4086" spans="1:25" s="88" customFormat="1" x14ac:dyDescent="0.25">
      <c r="A4086" s="481"/>
      <c r="B4086" s="288"/>
      <c r="C4086" s="334"/>
      <c r="D4086" s="286"/>
      <c r="E4086" s="876"/>
      <c r="F4086" s="500"/>
      <c r="G4086" s="285" t="s">
        <v>4254</v>
      </c>
      <c r="H4086" s="567"/>
      <c r="I4086" s="585"/>
      <c r="J4086" s="568"/>
      <c r="K4086" s="505"/>
      <c r="L4086" s="505"/>
      <c r="M4086" s="505"/>
      <c r="N4086" s="505"/>
      <c r="O4086" s="505"/>
      <c r="P4086" s="505"/>
      <c r="Q4086" s="505"/>
      <c r="R4086" s="505"/>
      <c r="S4086" s="505"/>
      <c r="T4086" s="505"/>
      <c r="U4086" s="505"/>
      <c r="V4086" s="505"/>
      <c r="W4086" s="505"/>
      <c r="X4086" s="505"/>
      <c r="Y4086" s="505"/>
    </row>
    <row r="4087" spans="1:25" s="88" customFormat="1" x14ac:dyDescent="0.25">
      <c r="A4087" s="481"/>
      <c r="B4087" s="288"/>
      <c r="C4087" s="334"/>
      <c r="D4087" s="286"/>
      <c r="E4087" s="876"/>
      <c r="F4087" s="597" t="s">
        <v>234</v>
      </c>
      <c r="G4087" s="598" t="s">
        <v>235</v>
      </c>
      <c r="H4087" s="559">
        <f>SUM(H4069+H3971+H3873+H3775+H3677+H3579+H3481+H3383+H3285+H3187)</f>
        <v>27150000</v>
      </c>
      <c r="I4087" s="560"/>
      <c r="J4087" s="560">
        <f>SUM(H4087:I4087)</f>
        <v>27150000</v>
      </c>
      <c r="K4087" s="505"/>
      <c r="L4087" s="505"/>
      <c r="M4087" s="505"/>
      <c r="N4087" s="505"/>
      <c r="O4087" s="505"/>
      <c r="P4087" s="505"/>
      <c r="Q4087" s="505"/>
      <c r="R4087" s="505"/>
      <c r="S4087" s="505"/>
      <c r="T4087" s="505"/>
      <c r="U4087" s="505"/>
      <c r="V4087" s="505"/>
      <c r="W4087" s="505"/>
      <c r="X4087" s="505"/>
      <c r="Y4087" s="505"/>
    </row>
    <row r="4088" spans="1:25" s="88" customFormat="1" hidden="1" x14ac:dyDescent="0.25">
      <c r="A4088" s="481"/>
      <c r="B4088" s="288"/>
      <c r="C4088" s="334"/>
      <c r="D4088" s="286"/>
      <c r="E4088" s="876"/>
      <c r="F4088" s="597" t="s">
        <v>236</v>
      </c>
      <c r="G4088" s="598" t="s">
        <v>237</v>
      </c>
      <c r="H4088" s="555"/>
      <c r="I4088" s="556"/>
      <c r="J4088" s="560">
        <f t="shared" ref="J4088:J4102" si="138">SUM(H4088:I4088)</f>
        <v>0</v>
      </c>
      <c r="K4088" s="505"/>
      <c r="L4088" s="505"/>
      <c r="M4088" s="505"/>
      <c r="N4088" s="505"/>
      <c r="O4088" s="505"/>
      <c r="P4088" s="505"/>
      <c r="Q4088" s="505"/>
      <c r="R4088" s="505"/>
      <c r="S4088" s="505"/>
      <c r="T4088" s="505"/>
      <c r="U4088" s="505"/>
      <c r="V4088" s="505"/>
      <c r="W4088" s="505"/>
      <c r="X4088" s="505"/>
      <c r="Y4088" s="505"/>
    </row>
    <row r="4089" spans="1:25" s="88" customFormat="1" hidden="1" x14ac:dyDescent="0.25">
      <c r="A4089" s="481"/>
      <c r="B4089" s="288"/>
      <c r="C4089" s="334"/>
      <c r="D4089" s="286"/>
      <c r="E4089" s="876"/>
      <c r="F4089" s="597" t="s">
        <v>238</v>
      </c>
      <c r="G4089" s="598" t="s">
        <v>239</v>
      </c>
      <c r="H4089" s="555"/>
      <c r="I4089" s="556"/>
      <c r="J4089" s="560">
        <f t="shared" si="138"/>
        <v>0</v>
      </c>
      <c r="K4089" s="505"/>
      <c r="L4089" s="505"/>
      <c r="M4089" s="505"/>
      <c r="N4089" s="505"/>
      <c r="O4089" s="505"/>
      <c r="P4089" s="505"/>
      <c r="Q4089" s="505"/>
      <c r="R4089" s="505"/>
      <c r="S4089" s="505"/>
      <c r="T4089" s="505"/>
      <c r="U4089" s="505"/>
      <c r="V4089" s="505"/>
      <c r="W4089" s="505"/>
      <c r="X4089" s="505"/>
      <c r="Y4089" s="505"/>
    </row>
    <row r="4090" spans="1:25" s="88" customFormat="1" hidden="1" x14ac:dyDescent="0.25">
      <c r="A4090" s="481"/>
      <c r="B4090" s="288"/>
      <c r="C4090" s="334"/>
      <c r="D4090" s="286"/>
      <c r="E4090" s="876"/>
      <c r="F4090" s="597" t="s">
        <v>240</v>
      </c>
      <c r="G4090" s="598" t="s">
        <v>241</v>
      </c>
      <c r="H4090" s="555"/>
      <c r="I4090" s="556"/>
      <c r="J4090" s="560">
        <f t="shared" si="138"/>
        <v>0</v>
      </c>
      <c r="K4090" s="505"/>
      <c r="L4090" s="505"/>
      <c r="M4090" s="505"/>
      <c r="N4090" s="505"/>
      <c r="O4090" s="505"/>
      <c r="P4090" s="505"/>
      <c r="Q4090" s="505"/>
      <c r="R4090" s="505"/>
      <c r="S4090" s="505"/>
      <c r="T4090" s="505"/>
      <c r="U4090" s="505"/>
      <c r="V4090" s="505"/>
      <c r="W4090" s="505"/>
      <c r="X4090" s="505"/>
      <c r="Y4090" s="505"/>
    </row>
    <row r="4091" spans="1:25" s="88" customFormat="1" hidden="1" x14ac:dyDescent="0.25">
      <c r="A4091" s="481"/>
      <c r="B4091" s="288"/>
      <c r="C4091" s="334"/>
      <c r="D4091" s="286"/>
      <c r="E4091" s="876"/>
      <c r="F4091" s="597" t="s">
        <v>242</v>
      </c>
      <c r="G4091" s="598" t="s">
        <v>243</v>
      </c>
      <c r="H4091" s="555"/>
      <c r="I4091" s="556"/>
      <c r="J4091" s="560">
        <f t="shared" si="138"/>
        <v>0</v>
      </c>
      <c r="K4091" s="505"/>
      <c r="L4091" s="505"/>
      <c r="M4091" s="505"/>
      <c r="N4091" s="505"/>
      <c r="O4091" s="505"/>
      <c r="P4091" s="505"/>
      <c r="Q4091" s="505"/>
      <c r="R4091" s="505"/>
      <c r="S4091" s="505"/>
      <c r="T4091" s="505"/>
      <c r="U4091" s="505"/>
      <c r="V4091" s="505"/>
      <c r="W4091" s="505"/>
      <c r="X4091" s="505"/>
      <c r="Y4091" s="505"/>
    </row>
    <row r="4092" spans="1:25" s="88" customFormat="1" hidden="1" x14ac:dyDescent="0.25">
      <c r="A4092" s="481"/>
      <c r="B4092" s="288"/>
      <c r="C4092" s="334"/>
      <c r="D4092" s="286"/>
      <c r="E4092" s="876"/>
      <c r="F4092" s="597" t="s">
        <v>244</v>
      </c>
      <c r="G4092" s="598" t="s">
        <v>245</v>
      </c>
      <c r="H4092" s="555"/>
      <c r="I4092" s="556"/>
      <c r="J4092" s="560">
        <f t="shared" si="138"/>
        <v>0</v>
      </c>
      <c r="K4092" s="505"/>
      <c r="L4092" s="505"/>
      <c r="M4092" s="505"/>
      <c r="N4092" s="505"/>
      <c r="O4092" s="505"/>
      <c r="P4092" s="505"/>
      <c r="Q4092" s="505"/>
      <c r="R4092" s="505"/>
      <c r="S4092" s="505"/>
      <c r="T4092" s="505"/>
      <c r="U4092" s="505"/>
      <c r="V4092" s="505"/>
      <c r="W4092" s="505"/>
      <c r="X4092" s="505"/>
      <c r="Y4092" s="505"/>
    </row>
    <row r="4093" spans="1:25" s="88" customFormat="1" hidden="1" x14ac:dyDescent="0.25">
      <c r="A4093" s="481"/>
      <c r="B4093" s="288"/>
      <c r="C4093" s="334"/>
      <c r="D4093" s="286"/>
      <c r="E4093" s="876"/>
      <c r="F4093" s="597" t="s">
        <v>246</v>
      </c>
      <c r="G4093" s="598" t="s">
        <v>4996</v>
      </c>
      <c r="H4093" s="555"/>
      <c r="I4093" s="556"/>
      <c r="J4093" s="560">
        <f t="shared" si="138"/>
        <v>0</v>
      </c>
      <c r="K4093" s="505"/>
      <c r="L4093" s="505"/>
      <c r="M4093" s="505"/>
      <c r="N4093" s="505"/>
      <c r="O4093" s="505"/>
      <c r="P4093" s="505"/>
      <c r="Q4093" s="505"/>
      <c r="R4093" s="505"/>
      <c r="S4093" s="505"/>
      <c r="T4093" s="505"/>
      <c r="U4093" s="505"/>
      <c r="V4093" s="505"/>
      <c r="W4093" s="505"/>
      <c r="X4093" s="505"/>
      <c r="Y4093" s="505"/>
    </row>
    <row r="4094" spans="1:25" s="88" customFormat="1" hidden="1" x14ac:dyDescent="0.25">
      <c r="A4094" s="481"/>
      <c r="B4094" s="288"/>
      <c r="C4094" s="334"/>
      <c r="D4094" s="286"/>
      <c r="E4094" s="876"/>
      <c r="F4094" s="597" t="s">
        <v>247</v>
      </c>
      <c r="G4094" s="598" t="s">
        <v>4995</v>
      </c>
      <c r="H4094" s="555"/>
      <c r="I4094" s="556"/>
      <c r="J4094" s="560">
        <f t="shared" si="138"/>
        <v>0</v>
      </c>
      <c r="K4094" s="505"/>
      <c r="L4094" s="505"/>
      <c r="M4094" s="505"/>
      <c r="N4094" s="505"/>
      <c r="O4094" s="505"/>
      <c r="P4094" s="505"/>
      <c r="Q4094" s="505"/>
      <c r="R4094" s="505"/>
      <c r="S4094" s="505"/>
      <c r="T4094" s="505"/>
      <c r="U4094" s="505"/>
      <c r="V4094" s="505"/>
      <c r="W4094" s="505"/>
      <c r="X4094" s="505"/>
      <c r="Y4094" s="505"/>
    </row>
    <row r="4095" spans="1:25" s="88" customFormat="1" hidden="1" x14ac:dyDescent="0.25">
      <c r="A4095" s="481"/>
      <c r="B4095" s="288"/>
      <c r="C4095" s="334"/>
      <c r="D4095" s="286"/>
      <c r="E4095" s="876"/>
      <c r="F4095" s="597" t="s">
        <v>248</v>
      </c>
      <c r="G4095" s="598" t="s">
        <v>57</v>
      </c>
      <c r="H4095" s="555"/>
      <c r="I4095" s="556"/>
      <c r="J4095" s="560">
        <f t="shared" si="138"/>
        <v>0</v>
      </c>
      <c r="K4095" s="505"/>
      <c r="L4095" s="505"/>
      <c r="M4095" s="505"/>
      <c r="N4095" s="505"/>
      <c r="O4095" s="505"/>
      <c r="P4095" s="505"/>
      <c r="Q4095" s="505"/>
      <c r="R4095" s="505"/>
      <c r="S4095" s="505"/>
      <c r="T4095" s="505"/>
      <c r="U4095" s="505"/>
      <c r="V4095" s="505"/>
      <c r="W4095" s="505"/>
      <c r="X4095" s="505"/>
      <c r="Y4095" s="505"/>
    </row>
    <row r="4096" spans="1:25" s="88" customFormat="1" hidden="1" x14ac:dyDescent="0.25">
      <c r="A4096" s="481"/>
      <c r="B4096" s="288"/>
      <c r="C4096" s="334"/>
      <c r="D4096" s="286"/>
      <c r="E4096" s="876"/>
      <c r="F4096" s="597" t="s">
        <v>249</v>
      </c>
      <c r="G4096" s="598" t="s">
        <v>250</v>
      </c>
      <c r="H4096" s="555"/>
      <c r="I4096" s="556"/>
      <c r="J4096" s="560">
        <f t="shared" si="138"/>
        <v>0</v>
      </c>
      <c r="K4096" s="505"/>
      <c r="L4096" s="505"/>
      <c r="M4096" s="505"/>
      <c r="N4096" s="505"/>
      <c r="O4096" s="505"/>
      <c r="P4096" s="505"/>
      <c r="Q4096" s="505"/>
      <c r="R4096" s="505"/>
      <c r="S4096" s="505"/>
      <c r="T4096" s="505"/>
      <c r="U4096" s="505"/>
      <c r="V4096" s="505"/>
      <c r="W4096" s="505"/>
      <c r="X4096" s="505"/>
      <c r="Y4096" s="505"/>
    </row>
    <row r="4097" spans="1:25" s="88" customFormat="1" hidden="1" x14ac:dyDescent="0.25">
      <c r="A4097" s="481"/>
      <c r="B4097" s="288"/>
      <c r="C4097" s="334"/>
      <c r="D4097" s="286"/>
      <c r="E4097" s="876"/>
      <c r="F4097" s="597" t="s">
        <v>251</v>
      </c>
      <c r="G4097" s="598" t="s">
        <v>252</v>
      </c>
      <c r="H4097" s="555"/>
      <c r="I4097" s="556"/>
      <c r="J4097" s="560">
        <f t="shared" si="138"/>
        <v>0</v>
      </c>
      <c r="K4097" s="505"/>
      <c r="L4097" s="505"/>
      <c r="M4097" s="505"/>
      <c r="N4097" s="505"/>
      <c r="O4097" s="505"/>
      <c r="P4097" s="505"/>
      <c r="Q4097" s="505"/>
      <c r="R4097" s="505"/>
      <c r="S4097" s="505"/>
      <c r="T4097" s="505"/>
      <c r="U4097" s="505"/>
      <c r="V4097" s="505"/>
      <c r="W4097" s="505"/>
      <c r="X4097" s="505"/>
      <c r="Y4097" s="505"/>
    </row>
    <row r="4098" spans="1:25" s="88" customFormat="1" ht="30" hidden="1" x14ac:dyDescent="0.25">
      <c r="A4098" s="481"/>
      <c r="B4098" s="288"/>
      <c r="C4098" s="334"/>
      <c r="D4098" s="286"/>
      <c r="E4098" s="876"/>
      <c r="F4098" s="597" t="s">
        <v>253</v>
      </c>
      <c r="G4098" s="598" t="s">
        <v>254</v>
      </c>
      <c r="H4098" s="555"/>
      <c r="I4098" s="556"/>
      <c r="J4098" s="560">
        <f t="shared" si="138"/>
        <v>0</v>
      </c>
      <c r="K4098" s="505"/>
      <c r="L4098" s="505"/>
      <c r="M4098" s="505"/>
      <c r="N4098" s="505"/>
      <c r="O4098" s="505"/>
      <c r="P4098" s="505"/>
      <c r="Q4098" s="505"/>
      <c r="R4098" s="505"/>
      <c r="S4098" s="505"/>
      <c r="T4098" s="505"/>
      <c r="U4098" s="505"/>
      <c r="V4098" s="505"/>
      <c r="W4098" s="505"/>
      <c r="X4098" s="505"/>
      <c r="Y4098" s="505"/>
    </row>
    <row r="4099" spans="1:25" s="88" customFormat="1" x14ac:dyDescent="0.25">
      <c r="A4099" s="481"/>
      <c r="B4099" s="288"/>
      <c r="C4099" s="334"/>
      <c r="D4099" s="286"/>
      <c r="E4099" s="876"/>
      <c r="F4099" s="597" t="s">
        <v>255</v>
      </c>
      <c r="G4099" s="598" t="s">
        <v>256</v>
      </c>
      <c r="H4099" s="555">
        <f>SUM(H3297)</f>
        <v>3300000</v>
      </c>
      <c r="I4099" s="556">
        <f>SUM(I3884+I3982+I4081)</f>
        <v>0</v>
      </c>
      <c r="J4099" s="560">
        <f t="shared" si="138"/>
        <v>3300000</v>
      </c>
      <c r="K4099" s="505"/>
      <c r="L4099" s="505"/>
      <c r="M4099" s="505"/>
      <c r="N4099" s="505"/>
      <c r="O4099" s="505"/>
      <c r="P4099" s="505"/>
      <c r="Q4099" s="505"/>
      <c r="R4099" s="505"/>
      <c r="S4099" s="505"/>
      <c r="T4099" s="505"/>
      <c r="U4099" s="505"/>
      <c r="V4099" s="505"/>
      <c r="W4099" s="505"/>
      <c r="X4099" s="505"/>
      <c r="Y4099" s="505"/>
    </row>
    <row r="4100" spans="1:25" s="88" customFormat="1" ht="30" hidden="1" x14ac:dyDescent="0.25">
      <c r="A4100" s="481"/>
      <c r="B4100" s="288"/>
      <c r="C4100" s="334"/>
      <c r="D4100" s="286"/>
      <c r="E4100" s="876"/>
      <c r="F4100" s="597" t="s">
        <v>257</v>
      </c>
      <c r="G4100" s="598" t="s">
        <v>258</v>
      </c>
      <c r="H4100" s="555"/>
      <c r="I4100" s="556"/>
      <c r="J4100" s="560">
        <f t="shared" si="138"/>
        <v>0</v>
      </c>
      <c r="K4100" s="505"/>
      <c r="L4100" s="505"/>
      <c r="M4100" s="505"/>
      <c r="N4100" s="505"/>
      <c r="O4100" s="505"/>
      <c r="P4100" s="505"/>
      <c r="Q4100" s="505"/>
      <c r="R4100" s="505"/>
      <c r="S4100" s="505"/>
      <c r="T4100" s="505"/>
      <c r="U4100" s="505"/>
      <c r="V4100" s="505"/>
      <c r="W4100" s="505"/>
      <c r="X4100" s="505"/>
      <c r="Y4100" s="505"/>
    </row>
    <row r="4101" spans="1:25" s="88" customFormat="1" hidden="1" x14ac:dyDescent="0.25">
      <c r="A4101" s="481"/>
      <c r="B4101" s="288"/>
      <c r="C4101" s="334"/>
      <c r="D4101" s="286"/>
      <c r="E4101" s="876"/>
      <c r="F4101" s="597" t="s">
        <v>259</v>
      </c>
      <c r="G4101" s="598" t="s">
        <v>260</v>
      </c>
      <c r="H4101" s="555"/>
      <c r="I4101" s="556"/>
      <c r="J4101" s="560">
        <f t="shared" si="138"/>
        <v>0</v>
      </c>
      <c r="K4101" s="505"/>
      <c r="L4101" s="505"/>
      <c r="M4101" s="505"/>
      <c r="N4101" s="505"/>
      <c r="O4101" s="505"/>
      <c r="P4101" s="505"/>
      <c r="Q4101" s="505"/>
      <c r="R4101" s="505"/>
      <c r="S4101" s="505"/>
      <c r="T4101" s="505"/>
      <c r="U4101" s="505"/>
      <c r="V4101" s="505"/>
      <c r="W4101" s="505"/>
      <c r="X4101" s="505"/>
      <c r="Y4101" s="505"/>
    </row>
    <row r="4102" spans="1:25" s="88" customFormat="1" ht="0.75" customHeight="1" x14ac:dyDescent="0.25">
      <c r="A4102" s="481"/>
      <c r="B4102" s="288"/>
      <c r="C4102" s="334"/>
      <c r="D4102" s="286"/>
      <c r="E4102" s="876"/>
      <c r="F4102" s="597" t="s">
        <v>261</v>
      </c>
      <c r="G4102" s="598" t="s">
        <v>262</v>
      </c>
      <c r="H4102" s="559"/>
      <c r="I4102" s="560"/>
      <c r="J4102" s="560">
        <f t="shared" si="138"/>
        <v>0</v>
      </c>
      <c r="K4102" s="505"/>
      <c r="L4102" s="505"/>
      <c r="M4102" s="505"/>
      <c r="N4102" s="505"/>
      <c r="O4102" s="505"/>
      <c r="P4102" s="505"/>
      <c r="Q4102" s="505"/>
      <c r="R4102" s="505"/>
      <c r="S4102" s="505"/>
      <c r="T4102" s="505"/>
      <c r="U4102" s="505"/>
      <c r="V4102" s="505"/>
      <c r="W4102" s="505"/>
      <c r="X4102" s="505"/>
      <c r="Y4102" s="505"/>
    </row>
    <row r="4103" spans="1:25" s="88" customFormat="1" ht="12.75" customHeight="1" thickBot="1" x14ac:dyDescent="0.3">
      <c r="A4103" s="481"/>
      <c r="B4103" s="288"/>
      <c r="C4103" s="334"/>
      <c r="D4103" s="286"/>
      <c r="E4103" s="876"/>
      <c r="F4103" s="597"/>
      <c r="G4103" s="598"/>
      <c r="H4103" s="559"/>
      <c r="I4103" s="560"/>
      <c r="J4103" s="560"/>
      <c r="K4103" s="505"/>
      <c r="L4103" s="505"/>
      <c r="M4103" s="505"/>
      <c r="N4103" s="505"/>
      <c r="O4103" s="505"/>
      <c r="P4103" s="505"/>
      <c r="Q4103" s="505"/>
      <c r="R4103" s="505"/>
      <c r="S4103" s="505"/>
      <c r="T4103" s="505"/>
      <c r="U4103" s="505"/>
      <c r="V4103" s="505"/>
      <c r="W4103" s="505"/>
      <c r="X4103" s="505"/>
      <c r="Y4103" s="505"/>
    </row>
    <row r="4104" spans="1:25" s="88" customFormat="1" ht="14.25" customHeight="1" thickBot="1" x14ac:dyDescent="0.3">
      <c r="A4104" s="481"/>
      <c r="B4104" s="288"/>
      <c r="C4104" s="334"/>
      <c r="D4104" s="286"/>
      <c r="E4104" s="876"/>
      <c r="F4104" s="258"/>
      <c r="G4104" s="728" t="s">
        <v>4255</v>
      </c>
      <c r="H4104" s="561">
        <f>SUM(H4087:H4103)</f>
        <v>30450000</v>
      </c>
      <c r="I4104" s="562">
        <f>SUM(I4088:I4102)</f>
        <v>0</v>
      </c>
      <c r="J4104" s="562">
        <f>SUM(J4087:J4102)</f>
        <v>30450000</v>
      </c>
      <c r="K4104" s="505"/>
      <c r="L4104" s="505"/>
      <c r="M4104" s="505"/>
      <c r="N4104" s="505"/>
      <c r="O4104" s="505"/>
      <c r="P4104" s="505"/>
      <c r="Q4104" s="505"/>
      <c r="R4104" s="505"/>
      <c r="S4104" s="505"/>
      <c r="T4104" s="505"/>
      <c r="U4104" s="505"/>
      <c r="V4104" s="505"/>
      <c r="W4104" s="505"/>
      <c r="X4104" s="505"/>
      <c r="Y4104" s="505"/>
    </row>
    <row r="4105" spans="1:25" s="88" customFormat="1" x14ac:dyDescent="0.25">
      <c r="A4105" s="481"/>
      <c r="B4105" s="288"/>
      <c r="C4105" s="334"/>
      <c r="D4105" s="286"/>
      <c r="E4105" s="876"/>
      <c r="F4105" s="258"/>
      <c r="G4105" s="312"/>
      <c r="H4105" s="565"/>
      <c r="I4105" s="566"/>
      <c r="J4105" s="566"/>
      <c r="K4105" s="505"/>
      <c r="L4105" s="505"/>
      <c r="M4105" s="505"/>
      <c r="N4105" s="505"/>
      <c r="O4105" s="505"/>
      <c r="P4105" s="505"/>
      <c r="Q4105" s="505"/>
      <c r="R4105" s="505"/>
      <c r="S4105" s="505"/>
      <c r="T4105" s="505"/>
      <c r="U4105" s="505"/>
      <c r="V4105" s="505"/>
      <c r="W4105" s="505"/>
      <c r="X4105" s="505"/>
      <c r="Y4105" s="505"/>
    </row>
    <row r="4106" spans="1:25" s="88" customFormat="1" x14ac:dyDescent="0.25">
      <c r="A4106" s="258"/>
      <c r="B4106" s="258"/>
      <c r="C4106" s="294" t="s">
        <v>3572</v>
      </c>
      <c r="D4106" s="294"/>
      <c r="E4106" s="879"/>
      <c r="F4106" s="283"/>
      <c r="G4106" s="329" t="s">
        <v>4199</v>
      </c>
      <c r="H4106" s="565"/>
      <c r="I4106" s="566"/>
      <c r="J4106" s="566"/>
      <c r="K4106" s="505"/>
      <c r="L4106" s="505"/>
      <c r="M4106" s="505"/>
      <c r="N4106" s="505"/>
      <c r="O4106" s="505"/>
      <c r="P4106" s="505"/>
      <c r="Q4106" s="505"/>
      <c r="R4106" s="505"/>
      <c r="S4106" s="505"/>
      <c r="T4106" s="505"/>
      <c r="U4106" s="505"/>
      <c r="V4106" s="505"/>
      <c r="W4106" s="505"/>
      <c r="X4106" s="505"/>
      <c r="Y4106" s="505"/>
    </row>
    <row r="4107" spans="1:25" s="88" customFormat="1" ht="17.25" customHeight="1" x14ac:dyDescent="0.25">
      <c r="A4107" s="258"/>
      <c r="B4107" s="288"/>
      <c r="C4107" s="302" t="s">
        <v>4067</v>
      </c>
      <c r="D4107" s="259"/>
      <c r="E4107" s="702"/>
      <c r="F4107" s="303"/>
      <c r="G4107" s="406" t="s">
        <v>175</v>
      </c>
      <c r="H4107" s="588"/>
      <c r="I4107" s="571"/>
      <c r="K4107" s="505"/>
      <c r="L4107" s="505"/>
      <c r="M4107" s="505"/>
      <c r="N4107" s="505"/>
      <c r="O4107" s="505"/>
      <c r="P4107" s="505"/>
      <c r="Q4107" s="505"/>
      <c r="R4107" s="505"/>
      <c r="S4107" s="505"/>
      <c r="T4107" s="505"/>
      <c r="U4107" s="505"/>
      <c r="V4107" s="505"/>
      <c r="W4107" s="505"/>
      <c r="X4107" s="505"/>
      <c r="Y4107" s="505"/>
    </row>
    <row r="4108" spans="1:25" s="88" customFormat="1" ht="13.5" customHeight="1" x14ac:dyDescent="0.25">
      <c r="A4108" s="481"/>
      <c r="B4108" s="258"/>
      <c r="C4108" s="267"/>
      <c r="D4108" s="331">
        <v>520</v>
      </c>
      <c r="E4108" s="869"/>
      <c r="F4108" s="331"/>
      <c r="G4108" s="332" t="s">
        <v>175</v>
      </c>
      <c r="H4108" s="555"/>
      <c r="I4108" s="556"/>
      <c r="J4108" s="556"/>
      <c r="K4108" s="505"/>
      <c r="L4108" s="505"/>
      <c r="M4108" s="505"/>
      <c r="N4108" s="505"/>
      <c r="O4108" s="505"/>
      <c r="P4108" s="505"/>
      <c r="Q4108" s="505"/>
      <c r="R4108" s="505"/>
      <c r="S4108" s="505"/>
      <c r="T4108" s="505"/>
      <c r="U4108" s="505"/>
      <c r="V4108" s="505"/>
      <c r="W4108" s="505"/>
      <c r="X4108" s="505"/>
      <c r="Y4108" s="505"/>
    </row>
    <row r="4109" spans="1:25" s="88" customFormat="1" hidden="1" x14ac:dyDescent="0.25">
      <c r="A4109" s="258"/>
      <c r="B4109" s="258"/>
      <c r="C4109" s="261"/>
      <c r="D4109" s="258"/>
      <c r="E4109" s="679"/>
      <c r="F4109" s="499">
        <v>411</v>
      </c>
      <c r="G4109" s="492" t="s">
        <v>4131</v>
      </c>
      <c r="H4109" s="555"/>
      <c r="I4109" s="556"/>
      <c r="J4109" s="556">
        <f>SUM(H4109:I4109)</f>
        <v>0</v>
      </c>
      <c r="K4109" s="505"/>
      <c r="L4109" s="505"/>
      <c r="M4109" s="505"/>
      <c r="N4109" s="505"/>
      <c r="O4109" s="505"/>
      <c r="P4109" s="505"/>
      <c r="Q4109" s="505"/>
      <c r="R4109" s="505"/>
      <c r="S4109" s="505"/>
      <c r="T4109" s="505"/>
      <c r="U4109" s="505"/>
      <c r="V4109" s="505"/>
      <c r="W4109" s="505"/>
      <c r="X4109" s="505"/>
      <c r="Y4109" s="505"/>
    </row>
    <row r="4110" spans="1:25" s="88" customFormat="1" hidden="1" x14ac:dyDescent="0.25">
      <c r="A4110" s="258"/>
      <c r="B4110" s="258"/>
      <c r="C4110" s="261"/>
      <c r="D4110" s="258"/>
      <c r="E4110" s="679"/>
      <c r="F4110" s="499">
        <v>412</v>
      </c>
      <c r="G4110" s="488" t="s">
        <v>3766</v>
      </c>
      <c r="H4110" s="555"/>
      <c r="I4110" s="556"/>
      <c r="J4110" s="556">
        <f t="shared" ref="J4110:J4168" si="139">SUM(H4110:I4110)</f>
        <v>0</v>
      </c>
      <c r="K4110" s="505"/>
      <c r="L4110" s="505"/>
      <c r="M4110" s="505"/>
      <c r="N4110" s="505"/>
      <c r="O4110" s="505"/>
      <c r="P4110" s="505"/>
      <c r="Q4110" s="505"/>
      <c r="R4110" s="505"/>
      <c r="S4110" s="505"/>
      <c r="T4110" s="505"/>
      <c r="U4110" s="505"/>
      <c r="V4110" s="505"/>
      <c r="W4110" s="505"/>
      <c r="X4110" s="505"/>
      <c r="Y4110" s="505"/>
    </row>
    <row r="4111" spans="1:25" s="88" customFormat="1" hidden="1" x14ac:dyDescent="0.25">
      <c r="A4111" s="258"/>
      <c r="B4111" s="258"/>
      <c r="C4111" s="261"/>
      <c r="D4111" s="258"/>
      <c r="E4111" s="679"/>
      <c r="F4111" s="499">
        <v>413</v>
      </c>
      <c r="G4111" s="492" t="s">
        <v>4132</v>
      </c>
      <c r="H4111" s="555"/>
      <c r="I4111" s="556"/>
      <c r="J4111" s="556">
        <f t="shared" si="139"/>
        <v>0</v>
      </c>
      <c r="K4111" s="505"/>
      <c r="L4111" s="505"/>
      <c r="M4111" s="505"/>
      <c r="N4111" s="505"/>
      <c r="O4111" s="505"/>
      <c r="P4111" s="505"/>
      <c r="Q4111" s="505"/>
      <c r="R4111" s="505"/>
      <c r="S4111" s="505"/>
      <c r="T4111" s="505"/>
      <c r="U4111" s="505"/>
      <c r="V4111" s="505"/>
      <c r="W4111" s="505"/>
      <c r="X4111" s="505"/>
      <c r="Y4111" s="505"/>
    </row>
    <row r="4112" spans="1:25" s="88" customFormat="1" hidden="1" x14ac:dyDescent="0.25">
      <c r="A4112" s="258"/>
      <c r="B4112" s="258"/>
      <c r="C4112" s="261"/>
      <c r="D4112" s="258"/>
      <c r="E4112" s="679"/>
      <c r="F4112" s="499">
        <v>414</v>
      </c>
      <c r="G4112" s="492" t="s">
        <v>3769</v>
      </c>
      <c r="H4112" s="555"/>
      <c r="I4112" s="556"/>
      <c r="J4112" s="556">
        <f t="shared" si="139"/>
        <v>0</v>
      </c>
      <c r="K4112" s="505"/>
      <c r="L4112" s="505"/>
      <c r="M4112" s="505"/>
      <c r="N4112" s="505"/>
      <c r="O4112" s="505"/>
      <c r="P4112" s="505"/>
      <c r="Q4112" s="505"/>
      <c r="R4112" s="505"/>
      <c r="S4112" s="505"/>
      <c r="T4112" s="505"/>
      <c r="U4112" s="505"/>
      <c r="V4112" s="505"/>
      <c r="W4112" s="505"/>
      <c r="X4112" s="505"/>
      <c r="Y4112" s="505"/>
    </row>
    <row r="4113" spans="1:25" s="88" customFormat="1" hidden="1" x14ac:dyDescent="0.25">
      <c r="A4113" s="258"/>
      <c r="B4113" s="258"/>
      <c r="C4113" s="261"/>
      <c r="D4113" s="258"/>
      <c r="E4113" s="679"/>
      <c r="F4113" s="499">
        <v>415</v>
      </c>
      <c r="G4113" s="492" t="s">
        <v>4141</v>
      </c>
      <c r="H4113" s="555"/>
      <c r="I4113" s="556"/>
      <c r="J4113" s="556">
        <f t="shared" si="139"/>
        <v>0</v>
      </c>
      <c r="K4113" s="505"/>
      <c r="L4113" s="505"/>
      <c r="M4113" s="505"/>
      <c r="N4113" s="505"/>
      <c r="O4113" s="505"/>
      <c r="P4113" s="505"/>
      <c r="Q4113" s="505"/>
      <c r="R4113" s="505"/>
      <c r="S4113" s="505"/>
      <c r="T4113" s="505"/>
      <c r="U4113" s="505"/>
      <c r="V4113" s="505"/>
      <c r="W4113" s="505"/>
      <c r="X4113" s="505"/>
      <c r="Y4113" s="505"/>
    </row>
    <row r="4114" spans="1:25" s="88" customFormat="1" hidden="1" x14ac:dyDescent="0.25">
      <c r="A4114" s="258"/>
      <c r="B4114" s="258"/>
      <c r="C4114" s="261"/>
      <c r="D4114" s="258"/>
      <c r="E4114" s="679"/>
      <c r="F4114" s="499">
        <v>416</v>
      </c>
      <c r="G4114" s="492" t="s">
        <v>4142</v>
      </c>
      <c r="H4114" s="555"/>
      <c r="I4114" s="556"/>
      <c r="J4114" s="556">
        <f t="shared" si="139"/>
        <v>0</v>
      </c>
      <c r="K4114" s="505"/>
      <c r="L4114" s="505"/>
      <c r="M4114" s="505"/>
      <c r="N4114" s="505"/>
      <c r="O4114" s="505"/>
      <c r="P4114" s="505"/>
      <c r="Q4114" s="505"/>
      <c r="R4114" s="505"/>
      <c r="S4114" s="505"/>
      <c r="T4114" s="505"/>
      <c r="U4114" s="505"/>
      <c r="V4114" s="505"/>
      <c r="W4114" s="505"/>
      <c r="X4114" s="505"/>
      <c r="Y4114" s="505"/>
    </row>
    <row r="4115" spans="1:25" s="88" customFormat="1" hidden="1" x14ac:dyDescent="0.25">
      <c r="A4115" s="258"/>
      <c r="B4115" s="258"/>
      <c r="C4115" s="261"/>
      <c r="D4115" s="258"/>
      <c r="E4115" s="679"/>
      <c r="F4115" s="499">
        <v>417</v>
      </c>
      <c r="G4115" s="492" t="s">
        <v>4143</v>
      </c>
      <c r="H4115" s="555"/>
      <c r="I4115" s="556"/>
      <c r="J4115" s="556">
        <f t="shared" si="139"/>
        <v>0</v>
      </c>
      <c r="K4115" s="505"/>
      <c r="L4115" s="505"/>
      <c r="M4115" s="505"/>
      <c r="N4115" s="505"/>
      <c r="O4115" s="505"/>
      <c r="P4115" s="505"/>
      <c r="Q4115" s="505"/>
      <c r="R4115" s="505"/>
      <c r="S4115" s="505"/>
      <c r="T4115" s="505"/>
      <c r="U4115" s="505"/>
      <c r="V4115" s="505"/>
      <c r="W4115" s="505"/>
      <c r="X4115" s="505"/>
      <c r="Y4115" s="505"/>
    </row>
    <row r="4116" spans="1:25" s="88" customFormat="1" hidden="1" x14ac:dyDescent="0.25">
      <c r="A4116" s="258"/>
      <c r="B4116" s="258"/>
      <c r="C4116" s="261"/>
      <c r="D4116" s="258"/>
      <c r="E4116" s="679"/>
      <c r="F4116" s="499">
        <v>418</v>
      </c>
      <c r="G4116" s="492" t="s">
        <v>3775</v>
      </c>
      <c r="H4116" s="555"/>
      <c r="I4116" s="556"/>
      <c r="J4116" s="556">
        <f t="shared" si="139"/>
        <v>0</v>
      </c>
      <c r="K4116" s="505"/>
      <c r="L4116" s="505"/>
      <c r="M4116" s="505"/>
      <c r="N4116" s="505"/>
      <c r="O4116" s="505"/>
      <c r="P4116" s="505"/>
      <c r="Q4116" s="505"/>
      <c r="R4116" s="505"/>
      <c r="S4116" s="505"/>
      <c r="T4116" s="505"/>
      <c r="U4116" s="505"/>
      <c r="V4116" s="505"/>
      <c r="W4116" s="505"/>
      <c r="X4116" s="505"/>
      <c r="Y4116" s="505"/>
    </row>
    <row r="4117" spans="1:25" s="88" customFormat="1" hidden="1" x14ac:dyDescent="0.25">
      <c r="A4117" s="258"/>
      <c r="B4117" s="258"/>
      <c r="C4117" s="261"/>
      <c r="D4117" s="258"/>
      <c r="E4117" s="679"/>
      <c r="F4117" s="499">
        <v>421</v>
      </c>
      <c r="G4117" s="492" t="s">
        <v>3779</v>
      </c>
      <c r="H4117" s="555"/>
      <c r="I4117" s="556"/>
      <c r="J4117" s="556">
        <f t="shared" si="139"/>
        <v>0</v>
      </c>
      <c r="K4117" s="505"/>
      <c r="L4117" s="505"/>
      <c r="M4117" s="505"/>
      <c r="N4117" s="505"/>
      <c r="O4117" s="505"/>
      <c r="P4117" s="505"/>
      <c r="Q4117" s="505"/>
      <c r="R4117" s="505"/>
      <c r="S4117" s="505"/>
      <c r="T4117" s="505"/>
      <c r="U4117" s="505"/>
      <c r="V4117" s="505"/>
      <c r="W4117" s="505"/>
      <c r="X4117" s="505"/>
      <c r="Y4117" s="505"/>
    </row>
    <row r="4118" spans="1:25" s="88" customFormat="1" hidden="1" x14ac:dyDescent="0.25">
      <c r="A4118" s="258"/>
      <c r="B4118" s="258"/>
      <c r="C4118" s="261"/>
      <c r="D4118" s="258"/>
      <c r="E4118" s="679"/>
      <c r="F4118" s="499">
        <v>422</v>
      </c>
      <c r="G4118" s="492" t="s">
        <v>3780</v>
      </c>
      <c r="H4118" s="555"/>
      <c r="I4118" s="556"/>
      <c r="J4118" s="556">
        <f t="shared" si="139"/>
        <v>0</v>
      </c>
      <c r="K4118" s="505"/>
      <c r="L4118" s="505"/>
      <c r="M4118" s="505"/>
      <c r="N4118" s="505"/>
      <c r="O4118" s="505"/>
      <c r="P4118" s="505"/>
      <c r="Q4118" s="505"/>
      <c r="R4118" s="505"/>
      <c r="S4118" s="505"/>
      <c r="T4118" s="505"/>
      <c r="U4118" s="505"/>
      <c r="V4118" s="505"/>
      <c r="W4118" s="505"/>
      <c r="X4118" s="505"/>
      <c r="Y4118" s="505"/>
    </row>
    <row r="4119" spans="1:25" s="88" customFormat="1" hidden="1" x14ac:dyDescent="0.25">
      <c r="A4119" s="258"/>
      <c r="B4119" s="258"/>
      <c r="C4119" s="261"/>
      <c r="D4119" s="258"/>
      <c r="E4119" s="679"/>
      <c r="F4119" s="499">
        <v>423</v>
      </c>
      <c r="G4119" s="492" t="s">
        <v>3781</v>
      </c>
      <c r="H4119" s="555">
        <v>0</v>
      </c>
      <c r="I4119" s="556"/>
      <c r="J4119" s="556">
        <f t="shared" si="139"/>
        <v>0</v>
      </c>
      <c r="K4119" s="505"/>
      <c r="L4119" s="505"/>
      <c r="M4119" s="505"/>
      <c r="N4119" s="505"/>
      <c r="O4119" s="505"/>
      <c r="P4119" s="505"/>
      <c r="Q4119" s="505"/>
      <c r="R4119" s="505"/>
      <c r="S4119" s="505"/>
      <c r="T4119" s="505"/>
      <c r="U4119" s="505"/>
      <c r="V4119" s="505"/>
      <c r="W4119" s="505"/>
      <c r="X4119" s="505"/>
      <c r="Y4119" s="505"/>
    </row>
    <row r="4120" spans="1:25" s="88" customFormat="1" ht="16.5" hidden="1" customHeight="1" x14ac:dyDescent="0.25">
      <c r="A4120" s="258"/>
      <c r="B4120" s="258"/>
      <c r="C4120" s="261"/>
      <c r="D4120" s="258"/>
      <c r="E4120" s="679">
        <v>71</v>
      </c>
      <c r="F4120" s="499">
        <v>424</v>
      </c>
      <c r="G4120" s="492" t="s">
        <v>5086</v>
      </c>
      <c r="H4120" s="555">
        <v>0</v>
      </c>
      <c r="I4120" s="556"/>
      <c r="J4120" s="556">
        <f t="shared" si="139"/>
        <v>0</v>
      </c>
      <c r="K4120" s="505"/>
      <c r="L4120" s="505"/>
      <c r="M4120" s="505"/>
      <c r="N4120" s="505"/>
      <c r="O4120" s="505"/>
      <c r="P4120" s="505"/>
      <c r="Q4120" s="505"/>
      <c r="R4120" s="505"/>
      <c r="S4120" s="505"/>
      <c r="T4120" s="505"/>
      <c r="U4120" s="505"/>
      <c r="V4120" s="505"/>
      <c r="W4120" s="505"/>
      <c r="X4120" s="505"/>
      <c r="Y4120" s="505"/>
    </row>
    <row r="4121" spans="1:25" s="88" customFormat="1" ht="14.25" hidden="1" customHeight="1" x14ac:dyDescent="0.25">
      <c r="A4121" s="258"/>
      <c r="B4121" s="258"/>
      <c r="C4121" s="261"/>
      <c r="D4121" s="258"/>
      <c r="E4121" s="679"/>
      <c r="F4121" s="499">
        <v>425</v>
      </c>
      <c r="G4121" s="492" t="s">
        <v>4144</v>
      </c>
      <c r="H4121" s="555"/>
      <c r="I4121" s="556"/>
      <c r="J4121" s="556">
        <f t="shared" si="139"/>
        <v>0</v>
      </c>
      <c r="K4121" s="505"/>
      <c r="L4121" s="505"/>
      <c r="M4121" s="505"/>
      <c r="N4121" s="505"/>
      <c r="O4121" s="505"/>
      <c r="P4121" s="505"/>
      <c r="Q4121" s="505"/>
      <c r="R4121" s="505"/>
      <c r="S4121" s="505"/>
      <c r="T4121" s="505"/>
      <c r="U4121" s="505"/>
      <c r="V4121" s="505"/>
      <c r="W4121" s="505"/>
      <c r="X4121" s="505"/>
      <c r="Y4121" s="505"/>
    </row>
    <row r="4122" spans="1:25" s="88" customFormat="1" hidden="1" x14ac:dyDescent="0.25">
      <c r="A4122" s="258"/>
      <c r="B4122" s="258"/>
      <c r="C4122" s="261"/>
      <c r="D4122" s="258"/>
      <c r="E4122" s="679"/>
      <c r="F4122" s="499">
        <v>426</v>
      </c>
      <c r="G4122" s="492" t="s">
        <v>3787</v>
      </c>
      <c r="H4122" s="555"/>
      <c r="I4122" s="556"/>
      <c r="J4122" s="556">
        <f t="shared" si="139"/>
        <v>0</v>
      </c>
      <c r="K4122" s="505"/>
      <c r="L4122" s="505"/>
      <c r="M4122" s="505"/>
      <c r="N4122" s="505"/>
      <c r="O4122" s="505"/>
      <c r="P4122" s="505"/>
      <c r="Q4122" s="505"/>
      <c r="R4122" s="505"/>
      <c r="S4122" s="505"/>
      <c r="T4122" s="505"/>
      <c r="U4122" s="505"/>
      <c r="V4122" s="505"/>
      <c r="W4122" s="505"/>
      <c r="X4122" s="505"/>
      <c r="Y4122" s="505"/>
    </row>
    <row r="4123" spans="1:25" s="88" customFormat="1" hidden="1" x14ac:dyDescent="0.25">
      <c r="A4123" s="258"/>
      <c r="B4123" s="258"/>
      <c r="C4123" s="261"/>
      <c r="D4123" s="258"/>
      <c r="E4123" s="679"/>
      <c r="F4123" s="499">
        <v>431</v>
      </c>
      <c r="G4123" s="492" t="s">
        <v>4145</v>
      </c>
      <c r="H4123" s="555"/>
      <c r="I4123" s="556"/>
      <c r="J4123" s="556">
        <f t="shared" si="139"/>
        <v>0</v>
      </c>
      <c r="K4123" s="505"/>
      <c r="L4123" s="505"/>
      <c r="M4123" s="505"/>
      <c r="N4123" s="505"/>
      <c r="O4123" s="505"/>
      <c r="P4123" s="505"/>
      <c r="Q4123" s="505"/>
      <c r="R4123" s="505"/>
      <c r="S4123" s="505"/>
      <c r="T4123" s="505"/>
      <c r="U4123" s="505"/>
      <c r="V4123" s="505"/>
      <c r="W4123" s="505"/>
      <c r="X4123" s="505"/>
      <c r="Y4123" s="505"/>
    </row>
    <row r="4124" spans="1:25" s="88" customFormat="1" hidden="1" x14ac:dyDescent="0.25">
      <c r="A4124" s="258"/>
      <c r="B4124" s="258"/>
      <c r="C4124" s="261"/>
      <c r="D4124" s="258"/>
      <c r="E4124" s="679"/>
      <c r="F4124" s="499">
        <v>432</v>
      </c>
      <c r="G4124" s="492" t="s">
        <v>4146</v>
      </c>
      <c r="H4124" s="555"/>
      <c r="I4124" s="556"/>
      <c r="J4124" s="556">
        <f t="shared" si="139"/>
        <v>0</v>
      </c>
      <c r="K4124" s="505"/>
      <c r="L4124" s="505"/>
      <c r="M4124" s="505"/>
      <c r="N4124" s="505"/>
      <c r="O4124" s="505"/>
      <c r="P4124" s="505"/>
      <c r="Q4124" s="505"/>
      <c r="R4124" s="505"/>
      <c r="S4124" s="505"/>
      <c r="T4124" s="505"/>
      <c r="U4124" s="505"/>
      <c r="V4124" s="505"/>
      <c r="W4124" s="505"/>
      <c r="X4124" s="505"/>
      <c r="Y4124" s="505"/>
    </row>
    <row r="4125" spans="1:25" s="88" customFormat="1" hidden="1" x14ac:dyDescent="0.25">
      <c r="A4125" s="258"/>
      <c r="B4125" s="258"/>
      <c r="C4125" s="261"/>
      <c r="D4125" s="258"/>
      <c r="E4125" s="679"/>
      <c r="F4125" s="499">
        <v>433</v>
      </c>
      <c r="G4125" s="492" t="s">
        <v>4147</v>
      </c>
      <c r="H4125" s="555"/>
      <c r="I4125" s="556"/>
      <c r="J4125" s="556">
        <f t="shared" si="139"/>
        <v>0</v>
      </c>
      <c r="K4125" s="505"/>
      <c r="L4125" s="505"/>
      <c r="M4125" s="505"/>
      <c r="N4125" s="505"/>
      <c r="O4125" s="505"/>
      <c r="P4125" s="505"/>
      <c r="Q4125" s="505"/>
      <c r="R4125" s="505"/>
      <c r="S4125" s="505"/>
      <c r="T4125" s="505"/>
      <c r="U4125" s="505"/>
      <c r="V4125" s="505"/>
      <c r="W4125" s="505"/>
      <c r="X4125" s="505"/>
      <c r="Y4125" s="505"/>
    </row>
    <row r="4126" spans="1:25" s="88" customFormat="1" hidden="1" x14ac:dyDescent="0.25">
      <c r="A4126" s="258"/>
      <c r="B4126" s="258"/>
      <c r="C4126" s="261"/>
      <c r="D4126" s="258"/>
      <c r="E4126" s="679"/>
      <c r="F4126" s="499">
        <v>434</v>
      </c>
      <c r="G4126" s="492" t="s">
        <v>4148</v>
      </c>
      <c r="H4126" s="555"/>
      <c r="I4126" s="556"/>
      <c r="J4126" s="556">
        <f t="shared" si="139"/>
        <v>0</v>
      </c>
      <c r="K4126" s="505"/>
      <c r="L4126" s="505"/>
      <c r="M4126" s="505"/>
      <c r="N4126" s="505"/>
      <c r="O4126" s="505"/>
      <c r="P4126" s="505"/>
      <c r="Q4126" s="505"/>
      <c r="R4126" s="505"/>
      <c r="S4126" s="505"/>
      <c r="T4126" s="505"/>
      <c r="U4126" s="505"/>
      <c r="V4126" s="505"/>
      <c r="W4126" s="505"/>
      <c r="X4126" s="505"/>
      <c r="Y4126" s="505"/>
    </row>
    <row r="4127" spans="1:25" s="88" customFormat="1" hidden="1" x14ac:dyDescent="0.25">
      <c r="A4127" s="258"/>
      <c r="B4127" s="258"/>
      <c r="C4127" s="261"/>
      <c r="D4127" s="258"/>
      <c r="E4127" s="679"/>
      <c r="F4127" s="499">
        <v>435</v>
      </c>
      <c r="G4127" s="492" t="s">
        <v>3794</v>
      </c>
      <c r="H4127" s="555"/>
      <c r="I4127" s="556"/>
      <c r="J4127" s="556">
        <f t="shared" si="139"/>
        <v>0</v>
      </c>
      <c r="K4127" s="505"/>
      <c r="L4127" s="505"/>
      <c r="M4127" s="505"/>
      <c r="N4127" s="505"/>
      <c r="O4127" s="505"/>
      <c r="P4127" s="505"/>
      <c r="Q4127" s="505"/>
      <c r="R4127" s="505"/>
      <c r="S4127" s="505"/>
      <c r="T4127" s="505"/>
      <c r="U4127" s="505"/>
      <c r="V4127" s="505"/>
      <c r="W4127" s="505"/>
      <c r="X4127" s="505"/>
      <c r="Y4127" s="505"/>
    </row>
    <row r="4128" spans="1:25" s="88" customFormat="1" hidden="1" x14ac:dyDescent="0.25">
      <c r="A4128" s="258"/>
      <c r="B4128" s="258"/>
      <c r="C4128" s="261"/>
      <c r="D4128" s="258"/>
      <c r="E4128" s="679"/>
      <c r="F4128" s="499">
        <v>441</v>
      </c>
      <c r="G4128" s="492" t="s">
        <v>4149</v>
      </c>
      <c r="H4128" s="555"/>
      <c r="I4128" s="556"/>
      <c r="J4128" s="556">
        <f t="shared" si="139"/>
        <v>0</v>
      </c>
      <c r="K4128" s="505"/>
      <c r="L4128" s="505"/>
      <c r="M4128" s="505"/>
      <c r="N4128" s="505"/>
      <c r="O4128" s="505"/>
      <c r="P4128" s="505"/>
      <c r="Q4128" s="505"/>
      <c r="R4128" s="505"/>
      <c r="S4128" s="505"/>
      <c r="T4128" s="505"/>
      <c r="U4128" s="505"/>
      <c r="V4128" s="505"/>
      <c r="W4128" s="505"/>
      <c r="X4128" s="505"/>
      <c r="Y4128" s="505"/>
    </row>
    <row r="4129" spans="1:25" s="88" customFormat="1" hidden="1" x14ac:dyDescent="0.25">
      <c r="A4129" s="258"/>
      <c r="B4129" s="258"/>
      <c r="C4129" s="261"/>
      <c r="D4129" s="258"/>
      <c r="E4129" s="679"/>
      <c r="F4129" s="499">
        <v>442</v>
      </c>
      <c r="G4129" s="492" t="s">
        <v>4150</v>
      </c>
      <c r="H4129" s="555"/>
      <c r="I4129" s="556"/>
      <c r="J4129" s="556">
        <f t="shared" si="139"/>
        <v>0</v>
      </c>
      <c r="K4129" s="505"/>
      <c r="L4129" s="505"/>
      <c r="M4129" s="505"/>
      <c r="N4129" s="505"/>
      <c r="O4129" s="505"/>
      <c r="P4129" s="505"/>
      <c r="Q4129" s="505"/>
      <c r="R4129" s="505"/>
      <c r="S4129" s="505"/>
      <c r="T4129" s="505"/>
      <c r="U4129" s="505"/>
      <c r="V4129" s="505"/>
      <c r="W4129" s="505"/>
      <c r="X4129" s="505"/>
      <c r="Y4129" s="505"/>
    </row>
    <row r="4130" spans="1:25" s="88" customFormat="1" hidden="1" x14ac:dyDescent="0.25">
      <c r="A4130" s="258"/>
      <c r="B4130" s="258"/>
      <c r="C4130" s="261"/>
      <c r="D4130" s="258"/>
      <c r="E4130" s="679"/>
      <c r="F4130" s="499">
        <v>443</v>
      </c>
      <c r="G4130" s="492" t="s">
        <v>3799</v>
      </c>
      <c r="H4130" s="555"/>
      <c r="I4130" s="556"/>
      <c r="J4130" s="556">
        <f t="shared" si="139"/>
        <v>0</v>
      </c>
      <c r="K4130" s="505"/>
      <c r="L4130" s="505"/>
      <c r="M4130" s="505"/>
      <c r="N4130" s="505"/>
      <c r="O4130" s="505"/>
      <c r="P4130" s="505"/>
      <c r="Q4130" s="505"/>
      <c r="R4130" s="505"/>
      <c r="S4130" s="505"/>
      <c r="T4130" s="505"/>
      <c r="U4130" s="505"/>
      <c r="V4130" s="505"/>
      <c r="W4130" s="505"/>
      <c r="X4130" s="505"/>
      <c r="Y4130" s="505"/>
    </row>
    <row r="4131" spans="1:25" s="88" customFormat="1" hidden="1" x14ac:dyDescent="0.25">
      <c r="A4131" s="258"/>
      <c r="B4131" s="258"/>
      <c r="C4131" s="261"/>
      <c r="D4131" s="258"/>
      <c r="E4131" s="679"/>
      <c r="F4131" s="499">
        <v>444</v>
      </c>
      <c r="G4131" s="492" t="s">
        <v>3800</v>
      </c>
      <c r="H4131" s="555"/>
      <c r="I4131" s="556"/>
      <c r="J4131" s="556">
        <f t="shared" si="139"/>
        <v>0</v>
      </c>
      <c r="K4131" s="505"/>
      <c r="L4131" s="505"/>
      <c r="M4131" s="505"/>
      <c r="N4131" s="505"/>
      <c r="O4131" s="505"/>
      <c r="P4131" s="505"/>
      <c r="Q4131" s="505"/>
      <c r="R4131" s="505"/>
      <c r="S4131" s="505"/>
      <c r="T4131" s="505"/>
      <c r="U4131" s="505"/>
      <c r="V4131" s="505"/>
      <c r="W4131" s="505"/>
      <c r="X4131" s="505"/>
      <c r="Y4131" s="505"/>
    </row>
    <row r="4132" spans="1:25" s="88" customFormat="1" ht="30" hidden="1" x14ac:dyDescent="0.25">
      <c r="A4132" s="258"/>
      <c r="B4132" s="258"/>
      <c r="C4132" s="261"/>
      <c r="D4132" s="258"/>
      <c r="E4132" s="679"/>
      <c r="F4132" s="499">
        <v>4511</v>
      </c>
      <c r="G4132" s="771" t="s">
        <v>1690</v>
      </c>
      <c r="H4132" s="555"/>
      <c r="I4132" s="556"/>
      <c r="J4132" s="556">
        <f t="shared" si="139"/>
        <v>0</v>
      </c>
      <c r="K4132" s="505"/>
      <c r="L4132" s="505"/>
      <c r="M4132" s="505"/>
      <c r="N4132" s="505"/>
      <c r="O4132" s="505"/>
      <c r="P4132" s="505"/>
      <c r="Q4132" s="505"/>
      <c r="R4132" s="505"/>
      <c r="S4132" s="505"/>
      <c r="T4132" s="505"/>
      <c r="U4132" s="505"/>
      <c r="V4132" s="505"/>
      <c r="W4132" s="505"/>
      <c r="X4132" s="505"/>
      <c r="Y4132" s="505"/>
    </row>
    <row r="4133" spans="1:25" s="88" customFormat="1" ht="30" hidden="1" x14ac:dyDescent="0.25">
      <c r="A4133" s="258"/>
      <c r="B4133" s="258"/>
      <c r="C4133" s="261"/>
      <c r="D4133" s="258"/>
      <c r="E4133" s="679"/>
      <c r="F4133" s="499">
        <v>4512</v>
      </c>
      <c r="G4133" s="771" t="s">
        <v>1699</v>
      </c>
      <c r="H4133" s="555"/>
      <c r="I4133" s="556"/>
      <c r="J4133" s="556">
        <f t="shared" si="139"/>
        <v>0</v>
      </c>
      <c r="K4133" s="505"/>
      <c r="L4133" s="505"/>
      <c r="M4133" s="505"/>
      <c r="N4133" s="505"/>
      <c r="O4133" s="505"/>
      <c r="P4133" s="505"/>
      <c r="Q4133" s="505"/>
      <c r="R4133" s="505"/>
      <c r="S4133" s="505"/>
      <c r="T4133" s="505"/>
      <c r="U4133" s="505"/>
      <c r="V4133" s="505"/>
      <c r="W4133" s="505"/>
      <c r="X4133" s="505"/>
      <c r="Y4133" s="505"/>
    </row>
    <row r="4134" spans="1:25" s="88" customFormat="1" hidden="1" x14ac:dyDescent="0.25">
      <c r="A4134" s="258"/>
      <c r="B4134" s="258"/>
      <c r="C4134" s="261"/>
      <c r="D4134" s="258"/>
      <c r="E4134" s="679"/>
      <c r="F4134" s="499">
        <v>452</v>
      </c>
      <c r="G4134" s="492" t="s">
        <v>4151</v>
      </c>
      <c r="H4134" s="555"/>
      <c r="I4134" s="556"/>
      <c r="J4134" s="556">
        <f t="shared" si="139"/>
        <v>0</v>
      </c>
      <c r="K4134" s="505"/>
      <c r="L4134" s="505"/>
      <c r="M4134" s="505"/>
      <c r="N4134" s="505"/>
      <c r="O4134" s="505"/>
      <c r="P4134" s="505"/>
      <c r="Q4134" s="505"/>
      <c r="R4134" s="505"/>
      <c r="S4134" s="505"/>
      <c r="T4134" s="505"/>
      <c r="U4134" s="505"/>
      <c r="V4134" s="505"/>
      <c r="W4134" s="505"/>
      <c r="X4134" s="505"/>
      <c r="Y4134" s="505"/>
    </row>
    <row r="4135" spans="1:25" s="88" customFormat="1" hidden="1" x14ac:dyDescent="0.25">
      <c r="A4135" s="258"/>
      <c r="B4135" s="258"/>
      <c r="C4135" s="261"/>
      <c r="D4135" s="258"/>
      <c r="E4135" s="679"/>
      <c r="F4135" s="499">
        <v>453</v>
      </c>
      <c r="G4135" s="492" t="s">
        <v>4152</v>
      </c>
      <c r="H4135" s="555"/>
      <c r="I4135" s="556"/>
      <c r="J4135" s="556">
        <f t="shared" si="139"/>
        <v>0</v>
      </c>
      <c r="K4135" s="505"/>
      <c r="L4135" s="505"/>
      <c r="M4135" s="505"/>
      <c r="N4135" s="505"/>
      <c r="O4135" s="505"/>
      <c r="P4135" s="505"/>
      <c r="Q4135" s="505"/>
      <c r="R4135" s="505"/>
      <c r="S4135" s="505"/>
      <c r="T4135" s="505"/>
      <c r="U4135" s="505"/>
      <c r="V4135" s="505"/>
      <c r="W4135" s="505"/>
      <c r="X4135" s="505"/>
      <c r="Y4135" s="505"/>
    </row>
    <row r="4136" spans="1:25" s="88" customFormat="1" hidden="1" x14ac:dyDescent="0.25">
      <c r="A4136" s="258"/>
      <c r="B4136" s="258"/>
      <c r="C4136" s="261"/>
      <c r="D4136" s="258"/>
      <c r="E4136" s="679"/>
      <c r="F4136" s="499">
        <v>454</v>
      </c>
      <c r="G4136" s="492" t="s">
        <v>3805</v>
      </c>
      <c r="H4136" s="555"/>
      <c r="I4136" s="556"/>
      <c r="J4136" s="556">
        <f t="shared" si="139"/>
        <v>0</v>
      </c>
      <c r="K4136" s="505"/>
      <c r="L4136" s="505"/>
      <c r="M4136" s="505"/>
      <c r="N4136" s="505"/>
      <c r="O4136" s="505"/>
      <c r="P4136" s="505"/>
      <c r="Q4136" s="505"/>
      <c r="R4136" s="505"/>
      <c r="S4136" s="505"/>
      <c r="T4136" s="505"/>
      <c r="U4136" s="505"/>
      <c r="V4136" s="505"/>
      <c r="W4136" s="505"/>
      <c r="X4136" s="505"/>
      <c r="Y4136" s="505"/>
    </row>
    <row r="4137" spans="1:25" s="88" customFormat="1" hidden="1" x14ac:dyDescent="0.25">
      <c r="A4137" s="258"/>
      <c r="B4137" s="258"/>
      <c r="C4137" s="261"/>
      <c r="D4137" s="258"/>
      <c r="E4137" s="679"/>
      <c r="F4137" s="499">
        <v>461</v>
      </c>
      <c r="G4137" s="492" t="s">
        <v>4133</v>
      </c>
      <c r="H4137" s="555"/>
      <c r="I4137" s="556"/>
      <c r="J4137" s="556">
        <f t="shared" si="139"/>
        <v>0</v>
      </c>
      <c r="K4137" s="505"/>
      <c r="L4137" s="505"/>
      <c r="M4137" s="505"/>
      <c r="N4137" s="505"/>
      <c r="O4137" s="505"/>
      <c r="P4137" s="505"/>
      <c r="Q4137" s="505"/>
      <c r="R4137" s="505"/>
      <c r="S4137" s="505"/>
      <c r="T4137" s="505"/>
      <c r="U4137" s="505"/>
      <c r="V4137" s="505"/>
      <c r="W4137" s="505"/>
      <c r="X4137" s="505"/>
      <c r="Y4137" s="505"/>
    </row>
    <row r="4138" spans="1:25" s="88" customFormat="1" hidden="1" x14ac:dyDescent="0.25">
      <c r="A4138" s="258"/>
      <c r="B4138" s="258"/>
      <c r="C4138" s="261"/>
      <c r="D4138" s="258"/>
      <c r="E4138" s="679"/>
      <c r="F4138" s="499">
        <v>462</v>
      </c>
      <c r="G4138" s="492" t="s">
        <v>3808</v>
      </c>
      <c r="H4138" s="555"/>
      <c r="I4138" s="556"/>
      <c r="J4138" s="556">
        <f t="shared" si="139"/>
        <v>0</v>
      </c>
      <c r="K4138" s="505"/>
      <c r="L4138" s="505"/>
      <c r="M4138" s="505"/>
      <c r="N4138" s="505"/>
      <c r="O4138" s="505"/>
      <c r="P4138" s="505"/>
      <c r="Q4138" s="505"/>
      <c r="R4138" s="505"/>
      <c r="S4138" s="505"/>
      <c r="T4138" s="505"/>
      <c r="U4138" s="505"/>
      <c r="V4138" s="505"/>
      <c r="W4138" s="505"/>
      <c r="X4138" s="505"/>
      <c r="Y4138" s="505"/>
    </row>
    <row r="4139" spans="1:25" s="88" customFormat="1" hidden="1" x14ac:dyDescent="0.25">
      <c r="A4139" s="258"/>
      <c r="B4139" s="258"/>
      <c r="C4139" s="261"/>
      <c r="D4139" s="258"/>
      <c r="E4139" s="679"/>
      <c r="F4139" s="499">
        <v>4631</v>
      </c>
      <c r="G4139" s="492" t="s">
        <v>3809</v>
      </c>
      <c r="H4139" s="555"/>
      <c r="I4139" s="556"/>
      <c r="J4139" s="556">
        <f t="shared" si="139"/>
        <v>0</v>
      </c>
      <c r="K4139" s="505"/>
      <c r="L4139" s="505"/>
      <c r="M4139" s="505"/>
      <c r="N4139" s="505"/>
      <c r="O4139" s="505"/>
      <c r="P4139" s="505"/>
      <c r="Q4139" s="505"/>
      <c r="R4139" s="505"/>
      <c r="S4139" s="505"/>
      <c r="T4139" s="505"/>
      <c r="U4139" s="505"/>
      <c r="V4139" s="505"/>
      <c r="W4139" s="505"/>
      <c r="X4139" s="505"/>
      <c r="Y4139" s="505"/>
    </row>
    <row r="4140" spans="1:25" s="88" customFormat="1" hidden="1" x14ac:dyDescent="0.25">
      <c r="A4140" s="258"/>
      <c r="B4140" s="258"/>
      <c r="C4140" s="261"/>
      <c r="D4140" s="258"/>
      <c r="E4140" s="679"/>
      <c r="F4140" s="499">
        <v>4632</v>
      </c>
      <c r="G4140" s="492" t="s">
        <v>3810</v>
      </c>
      <c r="H4140" s="555"/>
      <c r="I4140" s="556"/>
      <c r="J4140" s="556">
        <f t="shared" si="139"/>
        <v>0</v>
      </c>
      <c r="K4140" s="505"/>
      <c r="L4140" s="505"/>
      <c r="M4140" s="505"/>
      <c r="N4140" s="505"/>
      <c r="O4140" s="505"/>
      <c r="P4140" s="505"/>
      <c r="Q4140" s="505"/>
      <c r="R4140" s="505"/>
      <c r="S4140" s="505"/>
      <c r="T4140" s="505"/>
      <c r="U4140" s="505"/>
      <c r="V4140" s="505"/>
      <c r="W4140" s="505"/>
      <c r="X4140" s="505"/>
      <c r="Y4140" s="505"/>
    </row>
    <row r="4141" spans="1:25" s="88" customFormat="1" hidden="1" x14ac:dyDescent="0.25">
      <c r="A4141" s="258"/>
      <c r="B4141" s="258"/>
      <c r="C4141" s="261"/>
      <c r="D4141" s="258"/>
      <c r="E4141" s="679"/>
      <c r="F4141" s="499">
        <v>464</v>
      </c>
      <c r="G4141" s="492" t="s">
        <v>3811</v>
      </c>
      <c r="H4141" s="555"/>
      <c r="I4141" s="556"/>
      <c r="J4141" s="556">
        <f t="shared" si="139"/>
        <v>0</v>
      </c>
      <c r="K4141" s="505"/>
      <c r="L4141" s="505"/>
      <c r="M4141" s="505"/>
      <c r="N4141" s="505"/>
      <c r="O4141" s="505"/>
      <c r="P4141" s="505"/>
      <c r="Q4141" s="505"/>
      <c r="R4141" s="505"/>
      <c r="S4141" s="505"/>
      <c r="T4141" s="505"/>
      <c r="U4141" s="505"/>
      <c r="V4141" s="505"/>
      <c r="W4141" s="505"/>
      <c r="X4141" s="505"/>
      <c r="Y4141" s="505"/>
    </row>
    <row r="4142" spans="1:25" s="88" customFormat="1" hidden="1" x14ac:dyDescent="0.25">
      <c r="A4142" s="258"/>
      <c r="B4142" s="258"/>
      <c r="C4142" s="261"/>
      <c r="D4142" s="258"/>
      <c r="E4142" s="679"/>
      <c r="F4142" s="499">
        <v>465</v>
      </c>
      <c r="G4142" s="492" t="s">
        <v>4134</v>
      </c>
      <c r="H4142" s="555"/>
      <c r="I4142" s="556"/>
      <c r="J4142" s="556">
        <f t="shared" si="139"/>
        <v>0</v>
      </c>
      <c r="K4142" s="505"/>
      <c r="L4142" s="505"/>
      <c r="M4142" s="505"/>
      <c r="N4142" s="505"/>
      <c r="O4142" s="505"/>
      <c r="P4142" s="505"/>
      <c r="Q4142" s="505"/>
      <c r="R4142" s="505"/>
      <c r="S4142" s="505"/>
      <c r="T4142" s="505"/>
      <c r="U4142" s="505"/>
      <c r="V4142" s="505"/>
      <c r="W4142" s="505"/>
      <c r="X4142" s="505"/>
      <c r="Y4142" s="505"/>
    </row>
    <row r="4143" spans="1:25" s="88" customFormat="1" hidden="1" x14ac:dyDescent="0.25">
      <c r="A4143" s="258"/>
      <c r="B4143" s="258"/>
      <c r="C4143" s="261"/>
      <c r="D4143" s="258"/>
      <c r="E4143" s="679"/>
      <c r="F4143" s="499">
        <v>472</v>
      </c>
      <c r="G4143" s="492" t="s">
        <v>3815</v>
      </c>
      <c r="H4143" s="555"/>
      <c r="I4143" s="556"/>
      <c r="J4143" s="556">
        <f t="shared" si="139"/>
        <v>0</v>
      </c>
      <c r="K4143" s="505"/>
      <c r="L4143" s="505"/>
      <c r="M4143" s="505"/>
      <c r="N4143" s="505"/>
      <c r="O4143" s="505"/>
      <c r="P4143" s="505"/>
      <c r="Q4143" s="505"/>
      <c r="R4143" s="505"/>
      <c r="S4143" s="505"/>
      <c r="T4143" s="505"/>
      <c r="U4143" s="505"/>
      <c r="V4143" s="505"/>
      <c r="W4143" s="505"/>
      <c r="X4143" s="505"/>
      <c r="Y4143" s="505"/>
    </row>
    <row r="4144" spans="1:25" s="88" customFormat="1" hidden="1" x14ac:dyDescent="0.25">
      <c r="A4144" s="258"/>
      <c r="B4144" s="258"/>
      <c r="C4144" s="261"/>
      <c r="D4144" s="258"/>
      <c r="E4144" s="679"/>
      <c r="F4144" s="499">
        <v>481</v>
      </c>
      <c r="G4144" s="492" t="s">
        <v>4153</v>
      </c>
      <c r="H4144" s="555"/>
      <c r="I4144" s="556"/>
      <c r="J4144" s="556">
        <f t="shared" si="139"/>
        <v>0</v>
      </c>
      <c r="K4144" s="505"/>
      <c r="L4144" s="505"/>
      <c r="M4144" s="505"/>
      <c r="N4144" s="505"/>
      <c r="O4144" s="505"/>
      <c r="P4144" s="505"/>
      <c r="Q4144" s="505"/>
      <c r="R4144" s="505"/>
      <c r="S4144" s="505"/>
      <c r="T4144" s="505"/>
      <c r="U4144" s="505"/>
      <c r="V4144" s="505"/>
      <c r="W4144" s="505"/>
      <c r="X4144" s="505"/>
      <c r="Y4144" s="505"/>
    </row>
    <row r="4145" spans="1:25" s="88" customFormat="1" hidden="1" x14ac:dyDescent="0.25">
      <c r="A4145" s="258"/>
      <c r="B4145" s="258"/>
      <c r="C4145" s="261"/>
      <c r="D4145" s="258"/>
      <c r="E4145" s="679"/>
      <c r="F4145" s="499">
        <v>482</v>
      </c>
      <c r="G4145" s="492" t="s">
        <v>4154</v>
      </c>
      <c r="H4145" s="555"/>
      <c r="I4145" s="556"/>
      <c r="J4145" s="556">
        <f t="shared" si="139"/>
        <v>0</v>
      </c>
      <c r="K4145" s="505"/>
      <c r="L4145" s="505"/>
      <c r="M4145" s="505"/>
      <c r="N4145" s="505"/>
      <c r="O4145" s="505"/>
      <c r="P4145" s="505"/>
      <c r="Q4145" s="505"/>
      <c r="R4145" s="505"/>
      <c r="S4145" s="505"/>
      <c r="T4145" s="505"/>
      <c r="U4145" s="505"/>
      <c r="V4145" s="505"/>
      <c r="W4145" s="505"/>
      <c r="X4145" s="505"/>
      <c r="Y4145" s="505"/>
    </row>
    <row r="4146" spans="1:25" s="88" customFormat="1" hidden="1" x14ac:dyDescent="0.25">
      <c r="A4146" s="258"/>
      <c r="B4146" s="258"/>
      <c r="C4146" s="261"/>
      <c r="D4146" s="258"/>
      <c r="E4146" s="679"/>
      <c r="F4146" s="499">
        <v>483</v>
      </c>
      <c r="G4146" s="496" t="s">
        <v>4155</v>
      </c>
      <c r="H4146" s="555"/>
      <c r="I4146" s="556"/>
      <c r="J4146" s="556">
        <f t="shared" si="139"/>
        <v>0</v>
      </c>
      <c r="K4146" s="505"/>
      <c r="L4146" s="505"/>
      <c r="M4146" s="505"/>
      <c r="N4146" s="505"/>
      <c r="O4146" s="505"/>
      <c r="P4146" s="505"/>
      <c r="Q4146" s="505"/>
      <c r="R4146" s="505"/>
      <c r="S4146" s="505"/>
      <c r="T4146" s="505"/>
      <c r="U4146" s="505"/>
      <c r="V4146" s="505"/>
      <c r="W4146" s="505"/>
      <c r="X4146" s="505"/>
      <c r="Y4146" s="505"/>
    </row>
    <row r="4147" spans="1:25" s="88" customFormat="1" ht="30" hidden="1" x14ac:dyDescent="0.25">
      <c r="A4147" s="258"/>
      <c r="B4147" s="258"/>
      <c r="C4147" s="261"/>
      <c r="D4147" s="258"/>
      <c r="E4147" s="679"/>
      <c r="F4147" s="499">
        <v>484</v>
      </c>
      <c r="G4147" s="492" t="s">
        <v>4156</v>
      </c>
      <c r="H4147" s="555"/>
      <c r="I4147" s="556"/>
      <c r="J4147" s="556">
        <f t="shared" si="139"/>
        <v>0</v>
      </c>
      <c r="K4147" s="505"/>
      <c r="L4147" s="505"/>
      <c r="M4147" s="505"/>
      <c r="N4147" s="505"/>
      <c r="O4147" s="505"/>
      <c r="P4147" s="505"/>
      <c r="Q4147" s="505"/>
      <c r="R4147" s="505"/>
      <c r="S4147" s="505"/>
      <c r="T4147" s="505"/>
      <c r="U4147" s="505"/>
      <c r="V4147" s="505"/>
      <c r="W4147" s="505"/>
      <c r="X4147" s="505"/>
      <c r="Y4147" s="505"/>
    </row>
    <row r="4148" spans="1:25" s="88" customFormat="1" ht="30" hidden="1" x14ac:dyDescent="0.25">
      <c r="A4148" s="258"/>
      <c r="B4148" s="258"/>
      <c r="C4148" s="261"/>
      <c r="D4148" s="258"/>
      <c r="E4148" s="679"/>
      <c r="F4148" s="499">
        <v>485</v>
      </c>
      <c r="G4148" s="492" t="s">
        <v>4157</v>
      </c>
      <c r="H4148" s="555"/>
      <c r="I4148" s="556"/>
      <c r="J4148" s="556">
        <f t="shared" si="139"/>
        <v>0</v>
      </c>
      <c r="K4148" s="505"/>
      <c r="L4148" s="505"/>
      <c r="M4148" s="505"/>
      <c r="N4148" s="505"/>
      <c r="O4148" s="505"/>
      <c r="P4148" s="505"/>
      <c r="Q4148" s="505"/>
      <c r="R4148" s="505"/>
      <c r="S4148" s="505"/>
      <c r="T4148" s="505"/>
      <c r="U4148" s="505"/>
      <c r="V4148" s="505"/>
      <c r="W4148" s="505"/>
      <c r="X4148" s="505"/>
      <c r="Y4148" s="505"/>
    </row>
    <row r="4149" spans="1:25" s="88" customFormat="1" ht="30" hidden="1" x14ac:dyDescent="0.25">
      <c r="A4149" s="258"/>
      <c r="B4149" s="258"/>
      <c r="C4149" s="261"/>
      <c r="D4149" s="258"/>
      <c r="E4149" s="679"/>
      <c r="F4149" s="499">
        <v>489</v>
      </c>
      <c r="G4149" s="492" t="s">
        <v>3823</v>
      </c>
      <c r="H4149" s="555"/>
      <c r="I4149" s="556"/>
      <c r="J4149" s="556">
        <f t="shared" si="139"/>
        <v>0</v>
      </c>
      <c r="K4149" s="505"/>
      <c r="L4149" s="505"/>
      <c r="M4149" s="505"/>
      <c r="N4149" s="505"/>
      <c r="O4149" s="505"/>
      <c r="P4149" s="505"/>
      <c r="Q4149" s="505"/>
      <c r="R4149" s="505"/>
      <c r="S4149" s="505"/>
      <c r="T4149" s="505"/>
      <c r="U4149" s="505"/>
      <c r="V4149" s="505"/>
      <c r="W4149" s="505"/>
      <c r="X4149" s="505"/>
      <c r="Y4149" s="505"/>
    </row>
    <row r="4150" spans="1:25" s="88" customFormat="1" hidden="1" x14ac:dyDescent="0.25">
      <c r="A4150" s="258"/>
      <c r="B4150" s="258"/>
      <c r="C4150" s="261"/>
      <c r="D4150" s="258"/>
      <c r="E4150" s="679"/>
      <c r="F4150" s="499">
        <v>494</v>
      </c>
      <c r="G4150" s="492" t="s">
        <v>4135</v>
      </c>
      <c r="H4150" s="555"/>
      <c r="I4150" s="556"/>
      <c r="J4150" s="556">
        <f t="shared" si="139"/>
        <v>0</v>
      </c>
      <c r="K4150" s="505"/>
      <c r="L4150" s="505"/>
      <c r="M4150" s="505"/>
      <c r="N4150" s="505"/>
      <c r="O4150" s="505"/>
      <c r="P4150" s="505"/>
      <c r="Q4150" s="505"/>
      <c r="R4150" s="505"/>
      <c r="S4150" s="505"/>
      <c r="T4150" s="505"/>
      <c r="U4150" s="505"/>
      <c r="V4150" s="505"/>
      <c r="W4150" s="505"/>
      <c r="X4150" s="505"/>
      <c r="Y4150" s="505"/>
    </row>
    <row r="4151" spans="1:25" s="88" customFormat="1" ht="30" hidden="1" x14ac:dyDescent="0.25">
      <c r="A4151" s="258"/>
      <c r="B4151" s="258"/>
      <c r="C4151" s="261"/>
      <c r="D4151" s="258"/>
      <c r="E4151" s="679"/>
      <c r="F4151" s="499">
        <v>495</v>
      </c>
      <c r="G4151" s="492" t="s">
        <v>4136</v>
      </c>
      <c r="H4151" s="555"/>
      <c r="I4151" s="556"/>
      <c r="J4151" s="556">
        <f t="shared" si="139"/>
        <v>0</v>
      </c>
      <c r="K4151" s="505"/>
      <c r="L4151" s="505"/>
      <c r="M4151" s="505"/>
      <c r="N4151" s="505"/>
      <c r="O4151" s="505"/>
      <c r="P4151" s="505"/>
      <c r="Q4151" s="505"/>
      <c r="R4151" s="505"/>
      <c r="S4151" s="505"/>
      <c r="T4151" s="505"/>
      <c r="U4151" s="505"/>
      <c r="V4151" s="505"/>
      <c r="W4151" s="505"/>
      <c r="X4151" s="505"/>
      <c r="Y4151" s="505"/>
    </row>
    <row r="4152" spans="1:25" s="88" customFormat="1" ht="30" hidden="1" x14ac:dyDescent="0.25">
      <c r="A4152" s="258"/>
      <c r="B4152" s="258"/>
      <c r="C4152" s="261"/>
      <c r="D4152" s="258"/>
      <c r="E4152" s="679"/>
      <c r="F4152" s="499">
        <v>496</v>
      </c>
      <c r="G4152" s="492" t="s">
        <v>4137</v>
      </c>
      <c r="H4152" s="555"/>
      <c r="I4152" s="556"/>
      <c r="J4152" s="556">
        <f t="shared" si="139"/>
        <v>0</v>
      </c>
      <c r="K4152" s="505"/>
      <c r="L4152" s="505"/>
      <c r="M4152" s="505"/>
      <c r="N4152" s="505"/>
      <c r="O4152" s="505"/>
      <c r="P4152" s="505"/>
      <c r="Q4152" s="505"/>
      <c r="R4152" s="505"/>
      <c r="S4152" s="505"/>
      <c r="T4152" s="505"/>
      <c r="U4152" s="505"/>
      <c r="V4152" s="505"/>
      <c r="W4152" s="505"/>
      <c r="X4152" s="505"/>
      <c r="Y4152" s="505"/>
    </row>
    <row r="4153" spans="1:25" s="88" customFormat="1" ht="30" hidden="1" x14ac:dyDescent="0.25">
      <c r="A4153" s="258"/>
      <c r="B4153" s="258"/>
      <c r="C4153" s="261"/>
      <c r="D4153" s="258"/>
      <c r="E4153" s="679"/>
      <c r="F4153" s="499">
        <v>499</v>
      </c>
      <c r="G4153" s="492" t="s">
        <v>4138</v>
      </c>
      <c r="H4153" s="555"/>
      <c r="I4153" s="556"/>
      <c r="J4153" s="556">
        <f t="shared" si="139"/>
        <v>0</v>
      </c>
      <c r="K4153" s="505"/>
      <c r="L4153" s="505"/>
      <c r="M4153" s="505"/>
      <c r="N4153" s="505"/>
      <c r="O4153" s="505"/>
      <c r="P4153" s="505"/>
      <c r="Q4153" s="505"/>
      <c r="R4153" s="505"/>
      <c r="S4153" s="505"/>
      <c r="T4153" s="505"/>
      <c r="U4153" s="505"/>
      <c r="V4153" s="505"/>
      <c r="W4153" s="505"/>
      <c r="X4153" s="505"/>
      <c r="Y4153" s="505"/>
    </row>
    <row r="4154" spans="1:25" s="88" customFormat="1" ht="30.75" thickBot="1" x14ac:dyDescent="0.3">
      <c r="A4154" s="258"/>
      <c r="B4154" s="258"/>
      <c r="C4154" s="261"/>
      <c r="D4154" s="258"/>
      <c r="E4154" s="679" t="s">
        <v>5368</v>
      </c>
      <c r="F4154" s="499">
        <v>511</v>
      </c>
      <c r="G4154" s="496" t="s">
        <v>4158</v>
      </c>
      <c r="H4154" s="555">
        <v>200000</v>
      </c>
      <c r="I4154" s="556"/>
      <c r="J4154" s="556">
        <f t="shared" si="139"/>
        <v>200000</v>
      </c>
      <c r="K4154" s="505"/>
      <c r="L4154" s="505"/>
      <c r="M4154" s="505"/>
      <c r="N4154" s="505"/>
      <c r="O4154" s="505"/>
      <c r="P4154" s="505"/>
      <c r="Q4154" s="505"/>
      <c r="R4154" s="505"/>
      <c r="S4154" s="505"/>
      <c r="T4154" s="505"/>
      <c r="U4154" s="505"/>
      <c r="V4154" s="505"/>
      <c r="W4154" s="505"/>
      <c r="X4154" s="505"/>
      <c r="Y4154" s="505"/>
    </row>
    <row r="4155" spans="1:25" s="88" customFormat="1" hidden="1" x14ac:dyDescent="0.25">
      <c r="A4155" s="258"/>
      <c r="B4155" s="258"/>
      <c r="C4155" s="261"/>
      <c r="D4155" s="258"/>
      <c r="E4155" s="679"/>
      <c r="F4155" s="499">
        <v>512</v>
      </c>
      <c r="G4155" s="496" t="s">
        <v>4159</v>
      </c>
      <c r="H4155" s="555"/>
      <c r="I4155" s="556"/>
      <c r="J4155" s="556">
        <f t="shared" si="139"/>
        <v>0</v>
      </c>
      <c r="K4155" s="505"/>
      <c r="L4155" s="505"/>
      <c r="M4155" s="505"/>
      <c r="N4155" s="505"/>
      <c r="O4155" s="505"/>
      <c r="P4155" s="505"/>
      <c r="Q4155" s="505"/>
      <c r="R4155" s="505"/>
      <c r="S4155" s="505"/>
      <c r="T4155" s="505"/>
      <c r="U4155" s="505"/>
      <c r="V4155" s="505"/>
      <c r="W4155" s="505"/>
      <c r="X4155" s="505"/>
      <c r="Y4155" s="505"/>
    </row>
    <row r="4156" spans="1:25" s="88" customFormat="1" hidden="1" x14ac:dyDescent="0.25">
      <c r="A4156" s="258"/>
      <c r="B4156" s="258"/>
      <c r="C4156" s="261"/>
      <c r="D4156" s="258"/>
      <c r="E4156" s="679"/>
      <c r="F4156" s="499">
        <v>513</v>
      </c>
      <c r="G4156" s="496" t="s">
        <v>4160</v>
      </c>
      <c r="H4156" s="555"/>
      <c r="I4156" s="556"/>
      <c r="J4156" s="556">
        <f t="shared" si="139"/>
        <v>0</v>
      </c>
      <c r="K4156" s="505"/>
      <c r="L4156" s="505"/>
      <c r="M4156" s="505"/>
      <c r="N4156" s="505"/>
      <c r="O4156" s="505"/>
      <c r="P4156" s="505"/>
      <c r="Q4156" s="505"/>
      <c r="R4156" s="505"/>
      <c r="S4156" s="505"/>
      <c r="T4156" s="505"/>
      <c r="U4156" s="505"/>
      <c r="V4156" s="505"/>
      <c r="W4156" s="505"/>
      <c r="X4156" s="505"/>
      <c r="Y4156" s="505"/>
    </row>
    <row r="4157" spans="1:25" s="88" customFormat="1" hidden="1" x14ac:dyDescent="0.25">
      <c r="A4157" s="258"/>
      <c r="B4157" s="258"/>
      <c r="C4157" s="261"/>
      <c r="D4157" s="258"/>
      <c r="E4157" s="679"/>
      <c r="F4157" s="499">
        <v>514</v>
      </c>
      <c r="G4157" s="492" t="s">
        <v>4161</v>
      </c>
      <c r="H4157" s="555"/>
      <c r="I4157" s="556"/>
      <c r="J4157" s="556">
        <f t="shared" si="139"/>
        <v>0</v>
      </c>
      <c r="K4157" s="505"/>
      <c r="L4157" s="505"/>
      <c r="M4157" s="505"/>
      <c r="N4157" s="505"/>
      <c r="O4157" s="505"/>
      <c r="P4157" s="505"/>
      <c r="Q4157" s="505"/>
      <c r="R4157" s="505"/>
      <c r="S4157" s="505"/>
      <c r="T4157" s="505"/>
      <c r="U4157" s="505"/>
      <c r="V4157" s="505"/>
      <c r="W4157" s="505"/>
      <c r="X4157" s="505"/>
      <c r="Y4157" s="505"/>
    </row>
    <row r="4158" spans="1:25" s="88" customFormat="1" hidden="1" x14ac:dyDescent="0.25">
      <c r="A4158" s="258"/>
      <c r="B4158" s="258"/>
      <c r="C4158" s="261"/>
      <c r="D4158" s="258"/>
      <c r="E4158" s="679"/>
      <c r="F4158" s="499">
        <v>515</v>
      </c>
      <c r="G4158" s="492" t="s">
        <v>3834</v>
      </c>
      <c r="H4158" s="555"/>
      <c r="I4158" s="556"/>
      <c r="J4158" s="556">
        <f t="shared" si="139"/>
        <v>0</v>
      </c>
      <c r="K4158" s="505"/>
      <c r="L4158" s="505"/>
      <c r="M4158" s="505"/>
      <c r="N4158" s="505"/>
      <c r="O4158" s="505"/>
      <c r="P4158" s="505"/>
      <c r="Q4158" s="505"/>
      <c r="R4158" s="505"/>
      <c r="S4158" s="505"/>
      <c r="T4158" s="505"/>
      <c r="U4158" s="505"/>
      <c r="V4158" s="505"/>
      <c r="W4158" s="505"/>
      <c r="X4158" s="505"/>
      <c r="Y4158" s="505"/>
    </row>
    <row r="4159" spans="1:25" s="88" customFormat="1" hidden="1" x14ac:dyDescent="0.25">
      <c r="A4159" s="258"/>
      <c r="B4159" s="258"/>
      <c r="C4159" s="261"/>
      <c r="D4159" s="258"/>
      <c r="E4159" s="679"/>
      <c r="F4159" s="499">
        <v>521</v>
      </c>
      <c r="G4159" s="492" t="s">
        <v>4162</v>
      </c>
      <c r="H4159" s="555"/>
      <c r="I4159" s="556"/>
      <c r="J4159" s="556">
        <f t="shared" si="139"/>
        <v>0</v>
      </c>
      <c r="K4159" s="505"/>
      <c r="L4159" s="505"/>
      <c r="M4159" s="505"/>
      <c r="N4159" s="505"/>
      <c r="O4159" s="505"/>
      <c r="P4159" s="505"/>
      <c r="Q4159" s="505"/>
      <c r="R4159" s="505"/>
      <c r="S4159" s="505"/>
      <c r="T4159" s="505"/>
      <c r="U4159" s="505"/>
      <c r="V4159" s="505"/>
      <c r="W4159" s="505"/>
      <c r="X4159" s="505"/>
      <c r="Y4159" s="505"/>
    </row>
    <row r="4160" spans="1:25" s="88" customFormat="1" hidden="1" x14ac:dyDescent="0.25">
      <c r="A4160" s="258"/>
      <c r="B4160" s="258"/>
      <c r="C4160" s="261"/>
      <c r="D4160" s="258"/>
      <c r="E4160" s="679"/>
      <c r="F4160" s="499">
        <v>522</v>
      </c>
      <c r="G4160" s="492" t="s">
        <v>4163</v>
      </c>
      <c r="H4160" s="555"/>
      <c r="I4160" s="556"/>
      <c r="J4160" s="556">
        <f t="shared" si="139"/>
        <v>0</v>
      </c>
      <c r="K4160" s="505"/>
      <c r="L4160" s="505"/>
      <c r="M4160" s="505"/>
      <c r="N4160" s="505"/>
      <c r="O4160" s="505"/>
      <c r="P4160" s="505"/>
      <c r="Q4160" s="505"/>
      <c r="R4160" s="505"/>
      <c r="S4160" s="505"/>
      <c r="T4160" s="505"/>
      <c r="U4160" s="505"/>
      <c r="V4160" s="505"/>
      <c r="W4160" s="505"/>
      <c r="X4160" s="505"/>
      <c r="Y4160" s="505"/>
    </row>
    <row r="4161" spans="1:25" s="88" customFormat="1" hidden="1" x14ac:dyDescent="0.25">
      <c r="A4161" s="258"/>
      <c r="B4161" s="258"/>
      <c r="C4161" s="261"/>
      <c r="D4161" s="258"/>
      <c r="E4161" s="679"/>
      <c r="F4161" s="499">
        <v>523</v>
      </c>
      <c r="G4161" s="492" t="s">
        <v>3839</v>
      </c>
      <c r="H4161" s="555"/>
      <c r="I4161" s="556"/>
      <c r="J4161" s="556">
        <f t="shared" si="139"/>
        <v>0</v>
      </c>
      <c r="K4161" s="505"/>
      <c r="L4161" s="505"/>
      <c r="M4161" s="505"/>
      <c r="N4161" s="505"/>
      <c r="O4161" s="505"/>
      <c r="P4161" s="505"/>
      <c r="Q4161" s="505"/>
      <c r="R4161" s="505"/>
      <c r="S4161" s="505"/>
      <c r="T4161" s="505"/>
      <c r="U4161" s="505"/>
      <c r="V4161" s="505"/>
      <c r="W4161" s="505"/>
      <c r="X4161" s="505"/>
      <c r="Y4161" s="505"/>
    </row>
    <row r="4162" spans="1:25" s="88" customFormat="1" hidden="1" x14ac:dyDescent="0.25">
      <c r="A4162" s="258"/>
      <c r="B4162" s="258"/>
      <c r="C4162" s="261"/>
      <c r="D4162" s="258"/>
      <c r="E4162" s="679"/>
      <c r="F4162" s="499">
        <v>531</v>
      </c>
      <c r="G4162" s="488" t="s">
        <v>4139</v>
      </c>
      <c r="H4162" s="555"/>
      <c r="I4162" s="556"/>
      <c r="J4162" s="556">
        <f t="shared" si="139"/>
        <v>0</v>
      </c>
      <c r="K4162" s="505"/>
      <c r="L4162" s="505"/>
      <c r="M4162" s="505"/>
      <c r="N4162" s="505"/>
      <c r="O4162" s="505"/>
      <c r="P4162" s="505"/>
      <c r="Q4162" s="505"/>
      <c r="R4162" s="505"/>
      <c r="S4162" s="505"/>
      <c r="T4162" s="505"/>
      <c r="U4162" s="505"/>
      <c r="V4162" s="505"/>
      <c r="W4162" s="505"/>
      <c r="X4162" s="505"/>
      <c r="Y4162" s="505"/>
    </row>
    <row r="4163" spans="1:25" s="88" customFormat="1" hidden="1" x14ac:dyDescent="0.25">
      <c r="A4163" s="258"/>
      <c r="B4163" s="258"/>
      <c r="C4163" s="261"/>
      <c r="D4163" s="258"/>
      <c r="E4163" s="679"/>
      <c r="F4163" s="499">
        <v>541</v>
      </c>
      <c r="G4163" s="492" t="s">
        <v>4164</v>
      </c>
      <c r="H4163" s="555"/>
      <c r="I4163" s="556"/>
      <c r="J4163" s="556">
        <f t="shared" si="139"/>
        <v>0</v>
      </c>
      <c r="K4163" s="505"/>
      <c r="L4163" s="505"/>
      <c r="M4163" s="505"/>
      <c r="N4163" s="505"/>
      <c r="O4163" s="505"/>
      <c r="P4163" s="505"/>
      <c r="Q4163" s="505"/>
      <c r="R4163" s="505"/>
      <c r="S4163" s="505"/>
      <c r="T4163" s="505"/>
      <c r="U4163" s="505"/>
      <c r="V4163" s="505"/>
      <c r="W4163" s="505"/>
      <c r="X4163" s="505"/>
      <c r="Y4163" s="505"/>
    </row>
    <row r="4164" spans="1:25" s="88" customFormat="1" hidden="1" x14ac:dyDescent="0.25">
      <c r="A4164" s="258"/>
      <c r="B4164" s="258"/>
      <c r="C4164" s="261"/>
      <c r="D4164" s="258"/>
      <c r="E4164" s="679"/>
      <c r="F4164" s="499">
        <v>542</v>
      </c>
      <c r="G4164" s="492" t="s">
        <v>4165</v>
      </c>
      <c r="H4164" s="555"/>
      <c r="I4164" s="556"/>
      <c r="J4164" s="556">
        <f t="shared" si="139"/>
        <v>0</v>
      </c>
      <c r="K4164" s="505"/>
      <c r="L4164" s="505"/>
      <c r="M4164" s="505"/>
      <c r="N4164" s="505"/>
      <c r="O4164" s="505"/>
      <c r="P4164" s="505"/>
      <c r="Q4164" s="505"/>
      <c r="R4164" s="505"/>
      <c r="S4164" s="505"/>
      <c r="T4164" s="505"/>
      <c r="U4164" s="505"/>
      <c r="V4164" s="505"/>
      <c r="W4164" s="505"/>
      <c r="X4164" s="505"/>
      <c r="Y4164" s="505"/>
    </row>
    <row r="4165" spans="1:25" s="88" customFormat="1" hidden="1" x14ac:dyDescent="0.25">
      <c r="A4165" s="258"/>
      <c r="B4165" s="258"/>
      <c r="C4165" s="261"/>
      <c r="D4165" s="258"/>
      <c r="E4165" s="679"/>
      <c r="F4165" s="499">
        <v>543</v>
      </c>
      <c r="G4165" s="492" t="s">
        <v>3844</v>
      </c>
      <c r="H4165" s="555"/>
      <c r="I4165" s="556"/>
      <c r="J4165" s="556">
        <f t="shared" si="139"/>
        <v>0</v>
      </c>
      <c r="K4165" s="505"/>
      <c r="L4165" s="505"/>
      <c r="M4165" s="505"/>
      <c r="N4165" s="505"/>
      <c r="O4165" s="505"/>
      <c r="P4165" s="505"/>
      <c r="Q4165" s="505"/>
      <c r="R4165" s="505"/>
      <c r="S4165" s="505"/>
      <c r="T4165" s="505"/>
      <c r="U4165" s="505"/>
      <c r="V4165" s="505"/>
      <c r="W4165" s="505"/>
      <c r="X4165" s="505"/>
      <c r="Y4165" s="505"/>
    </row>
    <row r="4166" spans="1:25" s="88" customFormat="1" ht="30" hidden="1" x14ac:dyDescent="0.25">
      <c r="A4166" s="258"/>
      <c r="B4166" s="258"/>
      <c r="C4166" s="261"/>
      <c r="D4166" s="258"/>
      <c r="E4166" s="679"/>
      <c r="F4166" s="499">
        <v>551</v>
      </c>
      <c r="G4166" s="492" t="s">
        <v>4140</v>
      </c>
      <c r="H4166" s="555"/>
      <c r="I4166" s="556"/>
      <c r="J4166" s="556">
        <f t="shared" si="139"/>
        <v>0</v>
      </c>
      <c r="K4166" s="505"/>
      <c r="L4166" s="505"/>
      <c r="M4166" s="505"/>
      <c r="N4166" s="505"/>
      <c r="O4166" s="505"/>
      <c r="P4166" s="505"/>
      <c r="Q4166" s="505"/>
      <c r="R4166" s="505"/>
      <c r="S4166" s="505"/>
      <c r="T4166" s="505"/>
      <c r="U4166" s="505"/>
      <c r="V4166" s="505"/>
      <c r="W4166" s="505"/>
      <c r="X4166" s="505"/>
      <c r="Y4166" s="505"/>
    </row>
    <row r="4167" spans="1:25" s="88" customFormat="1" hidden="1" x14ac:dyDescent="0.25">
      <c r="A4167" s="258"/>
      <c r="B4167" s="258"/>
      <c r="C4167" s="261"/>
      <c r="D4167" s="258"/>
      <c r="E4167" s="679"/>
      <c r="F4167" s="500">
        <v>611</v>
      </c>
      <c r="G4167" s="498" t="s">
        <v>3850</v>
      </c>
      <c r="H4167" s="555"/>
      <c r="I4167" s="556"/>
      <c r="J4167" s="556">
        <f t="shared" si="139"/>
        <v>0</v>
      </c>
      <c r="K4167" s="505"/>
      <c r="L4167" s="505"/>
      <c r="M4167" s="505"/>
      <c r="N4167" s="505"/>
      <c r="O4167" s="505"/>
      <c r="P4167" s="505"/>
      <c r="Q4167" s="505"/>
      <c r="R4167" s="505"/>
      <c r="S4167" s="505"/>
      <c r="T4167" s="505"/>
      <c r="U4167" s="505"/>
      <c r="V4167" s="505"/>
      <c r="W4167" s="505"/>
      <c r="X4167" s="505"/>
      <c r="Y4167" s="505"/>
    </row>
    <row r="4168" spans="1:25" s="88" customFormat="1" ht="15.75" hidden="1" thickBot="1" x14ac:dyDescent="0.3">
      <c r="A4168" s="258"/>
      <c r="B4168" s="258"/>
      <c r="C4168" s="261"/>
      <c r="D4168" s="258"/>
      <c r="E4168" s="679"/>
      <c r="F4168" s="500">
        <v>620</v>
      </c>
      <c r="G4168" s="498" t="s">
        <v>88</v>
      </c>
      <c r="H4168" s="555"/>
      <c r="I4168" s="556"/>
      <c r="J4168" s="556">
        <f t="shared" si="139"/>
        <v>0</v>
      </c>
      <c r="K4168" s="505"/>
      <c r="L4168" s="505"/>
      <c r="M4168" s="505"/>
      <c r="N4168" s="505"/>
      <c r="O4168" s="505"/>
      <c r="P4168" s="505"/>
      <c r="Q4168" s="505"/>
      <c r="R4168" s="505"/>
      <c r="S4168" s="505"/>
      <c r="T4168" s="505"/>
      <c r="U4168" s="505"/>
      <c r="V4168" s="505"/>
      <c r="W4168" s="505"/>
      <c r="X4168" s="505"/>
      <c r="Y4168" s="505"/>
    </row>
    <row r="4169" spans="1:25" s="88" customFormat="1" x14ac:dyDescent="0.25">
      <c r="A4169" s="258"/>
      <c r="B4169" s="258"/>
      <c r="C4169" s="261"/>
      <c r="D4169" s="258"/>
      <c r="E4169" s="489"/>
      <c r="F4169" s="500"/>
      <c r="G4169" s="343" t="s">
        <v>5296</v>
      </c>
      <c r="H4169" s="557"/>
      <c r="I4169" s="583"/>
      <c r="J4169" s="558"/>
      <c r="K4169" s="505"/>
      <c r="L4169" s="505"/>
      <c r="M4169" s="505"/>
      <c r="N4169" s="505"/>
      <c r="O4169" s="505"/>
      <c r="P4169" s="505"/>
      <c r="Q4169" s="505"/>
      <c r="R4169" s="505"/>
      <c r="S4169" s="505"/>
      <c r="T4169" s="505"/>
      <c r="U4169" s="505"/>
      <c r="V4169" s="505"/>
      <c r="W4169" s="505"/>
      <c r="X4169" s="505"/>
      <c r="Y4169" s="505"/>
    </row>
    <row r="4170" spans="1:25" s="88" customFormat="1" ht="15" customHeight="1" thickBot="1" x14ac:dyDescent="0.3">
      <c r="A4170" s="258"/>
      <c r="B4170" s="258"/>
      <c r="C4170" s="261"/>
      <c r="D4170" s="258"/>
      <c r="E4170" s="693"/>
      <c r="F4170" s="597" t="s">
        <v>234</v>
      </c>
      <c r="G4170" s="598" t="s">
        <v>235</v>
      </c>
      <c r="H4170" s="559">
        <f>SUM(H4109:H4168)</f>
        <v>200000</v>
      </c>
      <c r="I4170" s="560"/>
      <c r="J4170" s="560">
        <f t="shared" ref="J4170:J4185" si="140">SUM(H4170:I4170)</f>
        <v>200000</v>
      </c>
      <c r="K4170" s="505"/>
      <c r="L4170" s="505"/>
      <c r="M4170" s="505"/>
      <c r="N4170" s="505"/>
      <c r="O4170" s="505"/>
      <c r="P4170" s="505"/>
      <c r="Q4170" s="505"/>
      <c r="R4170" s="505"/>
      <c r="S4170" s="505"/>
      <c r="T4170" s="505"/>
      <c r="U4170" s="505"/>
      <c r="V4170" s="505"/>
      <c r="W4170" s="505"/>
      <c r="X4170" s="505"/>
      <c r="Y4170" s="505"/>
    </row>
    <row r="4171" spans="1:25" s="88" customFormat="1" ht="15.75" hidden="1" thickBot="1" x14ac:dyDescent="0.3">
      <c r="A4171" s="258"/>
      <c r="B4171" s="258"/>
      <c r="C4171" s="261"/>
      <c r="D4171" s="258"/>
      <c r="E4171" s="679"/>
      <c r="F4171" s="597" t="s">
        <v>236</v>
      </c>
      <c r="G4171" s="598" t="s">
        <v>237</v>
      </c>
      <c r="H4171" s="555"/>
      <c r="I4171" s="556"/>
      <c r="J4171" s="560">
        <f t="shared" si="140"/>
        <v>0</v>
      </c>
      <c r="K4171" s="505"/>
      <c r="L4171" s="505"/>
      <c r="M4171" s="505"/>
      <c r="N4171" s="505"/>
      <c r="O4171" s="505"/>
      <c r="P4171" s="505"/>
      <c r="Q4171" s="505"/>
      <c r="R4171" s="505"/>
      <c r="S4171" s="505"/>
      <c r="T4171" s="505"/>
      <c r="U4171" s="505"/>
      <c r="V4171" s="505"/>
      <c r="W4171" s="505"/>
      <c r="X4171" s="505"/>
      <c r="Y4171" s="505"/>
    </row>
    <row r="4172" spans="1:25" s="88" customFormat="1" ht="15.75" hidden="1" thickBot="1" x14ac:dyDescent="0.3">
      <c r="A4172" s="258"/>
      <c r="B4172" s="258"/>
      <c r="C4172" s="261"/>
      <c r="D4172" s="258"/>
      <c r="E4172" s="679"/>
      <c r="F4172" s="597" t="s">
        <v>238</v>
      </c>
      <c r="G4172" s="598" t="s">
        <v>239</v>
      </c>
      <c r="H4172" s="555"/>
      <c r="I4172" s="556"/>
      <c r="J4172" s="560">
        <f t="shared" si="140"/>
        <v>0</v>
      </c>
      <c r="K4172" s="505"/>
      <c r="L4172" s="505"/>
      <c r="M4172" s="505"/>
      <c r="N4172" s="505"/>
      <c r="O4172" s="505"/>
      <c r="P4172" s="505"/>
      <c r="Q4172" s="505"/>
      <c r="R4172" s="505"/>
      <c r="S4172" s="505"/>
      <c r="T4172" s="505"/>
      <c r="U4172" s="505"/>
      <c r="V4172" s="505"/>
      <c r="W4172" s="505"/>
      <c r="X4172" s="505"/>
      <c r="Y4172" s="505"/>
    </row>
    <row r="4173" spans="1:25" s="88" customFormat="1" ht="15.75" hidden="1" thickBot="1" x14ac:dyDescent="0.3">
      <c r="A4173" s="258"/>
      <c r="B4173" s="258"/>
      <c r="C4173" s="261"/>
      <c r="D4173" s="258"/>
      <c r="E4173" s="679"/>
      <c r="F4173" s="597" t="s">
        <v>240</v>
      </c>
      <c r="G4173" s="598" t="s">
        <v>241</v>
      </c>
      <c r="H4173" s="555"/>
      <c r="I4173" s="556"/>
      <c r="J4173" s="560">
        <f t="shared" si="140"/>
        <v>0</v>
      </c>
      <c r="K4173" s="505"/>
      <c r="L4173" s="505"/>
      <c r="M4173" s="505"/>
      <c r="N4173" s="505"/>
      <c r="O4173" s="505"/>
      <c r="P4173" s="505"/>
      <c r="Q4173" s="505"/>
      <c r="R4173" s="505"/>
      <c r="S4173" s="505"/>
      <c r="T4173" s="505"/>
      <c r="U4173" s="505"/>
      <c r="V4173" s="505"/>
      <c r="W4173" s="505"/>
      <c r="X4173" s="505"/>
      <c r="Y4173" s="505"/>
    </row>
    <row r="4174" spans="1:25" s="88" customFormat="1" ht="15.75" hidden="1" thickBot="1" x14ac:dyDescent="0.3">
      <c r="A4174" s="258"/>
      <c r="B4174" s="258"/>
      <c r="C4174" s="261"/>
      <c r="D4174" s="258"/>
      <c r="E4174" s="679"/>
      <c r="F4174" s="597" t="s">
        <v>242</v>
      </c>
      <c r="G4174" s="598" t="s">
        <v>243</v>
      </c>
      <c r="H4174" s="555"/>
      <c r="I4174" s="556"/>
      <c r="J4174" s="560">
        <f t="shared" si="140"/>
        <v>0</v>
      </c>
      <c r="K4174" s="505"/>
      <c r="L4174" s="505"/>
      <c r="M4174" s="505"/>
      <c r="N4174" s="505"/>
      <c r="O4174" s="505"/>
      <c r="P4174" s="505"/>
      <c r="Q4174" s="505"/>
      <c r="R4174" s="505"/>
      <c r="S4174" s="505"/>
      <c r="T4174" s="505"/>
      <c r="U4174" s="505"/>
      <c r="V4174" s="505"/>
      <c r="W4174" s="505"/>
      <c r="X4174" s="505"/>
      <c r="Y4174" s="505"/>
    </row>
    <row r="4175" spans="1:25" s="88" customFormat="1" ht="15.75" hidden="1" thickBot="1" x14ac:dyDescent="0.3">
      <c r="A4175" s="258"/>
      <c r="B4175" s="258"/>
      <c r="C4175" s="261"/>
      <c r="D4175" s="258"/>
      <c r="E4175" s="679"/>
      <c r="F4175" s="597" t="s">
        <v>244</v>
      </c>
      <c r="G4175" s="598" t="s">
        <v>245</v>
      </c>
      <c r="H4175" s="555"/>
      <c r="I4175" s="556"/>
      <c r="J4175" s="560">
        <f t="shared" si="140"/>
        <v>0</v>
      </c>
      <c r="K4175" s="505"/>
      <c r="L4175" s="505"/>
      <c r="M4175" s="505"/>
      <c r="N4175" s="505"/>
      <c r="O4175" s="505"/>
      <c r="P4175" s="505"/>
      <c r="Q4175" s="505"/>
      <c r="R4175" s="505"/>
      <c r="S4175" s="505"/>
      <c r="T4175" s="505"/>
      <c r="U4175" s="505"/>
      <c r="V4175" s="505"/>
      <c r="W4175" s="505"/>
      <c r="X4175" s="505"/>
      <c r="Y4175" s="505"/>
    </row>
    <row r="4176" spans="1:25" s="88" customFormat="1" ht="15.75" hidden="1" thickBot="1" x14ac:dyDescent="0.3">
      <c r="A4176" s="258"/>
      <c r="B4176" s="258"/>
      <c r="C4176" s="261"/>
      <c r="D4176" s="258"/>
      <c r="E4176" s="679"/>
      <c r="F4176" s="597" t="s">
        <v>246</v>
      </c>
      <c r="G4176" s="598" t="s">
        <v>4996</v>
      </c>
      <c r="H4176" s="555"/>
      <c r="I4176" s="556"/>
      <c r="J4176" s="560">
        <f t="shared" si="140"/>
        <v>0</v>
      </c>
      <c r="K4176" s="505"/>
      <c r="L4176" s="505"/>
      <c r="M4176" s="505"/>
      <c r="N4176" s="505"/>
      <c r="O4176" s="505"/>
      <c r="P4176" s="505"/>
      <c r="Q4176" s="505"/>
      <c r="R4176" s="505"/>
      <c r="S4176" s="505"/>
      <c r="T4176" s="505"/>
      <c r="U4176" s="505"/>
      <c r="V4176" s="505"/>
      <c r="W4176" s="505"/>
      <c r="X4176" s="505"/>
      <c r="Y4176" s="505"/>
    </row>
    <row r="4177" spans="1:25" s="88" customFormat="1" ht="15.75" hidden="1" thickBot="1" x14ac:dyDescent="0.3">
      <c r="A4177" s="258"/>
      <c r="B4177" s="258"/>
      <c r="C4177" s="261"/>
      <c r="D4177" s="258"/>
      <c r="E4177" s="679"/>
      <c r="F4177" s="597" t="s">
        <v>247</v>
      </c>
      <c r="G4177" s="598" t="s">
        <v>4995</v>
      </c>
      <c r="H4177" s="555"/>
      <c r="I4177" s="556"/>
      <c r="J4177" s="560">
        <f t="shared" si="140"/>
        <v>0</v>
      </c>
      <c r="K4177" s="505"/>
      <c r="L4177" s="505"/>
      <c r="M4177" s="505"/>
      <c r="N4177" s="505"/>
      <c r="O4177" s="505"/>
      <c r="P4177" s="505"/>
      <c r="Q4177" s="505"/>
      <c r="R4177" s="505"/>
      <c r="S4177" s="505"/>
      <c r="T4177" s="505"/>
      <c r="U4177" s="505"/>
      <c r="V4177" s="505"/>
      <c r="W4177" s="505"/>
      <c r="X4177" s="505"/>
      <c r="Y4177" s="505"/>
    </row>
    <row r="4178" spans="1:25" s="88" customFormat="1" ht="15.75" hidden="1" thickBot="1" x14ac:dyDescent="0.3">
      <c r="A4178" s="258"/>
      <c r="B4178" s="258"/>
      <c r="C4178" s="261"/>
      <c r="D4178" s="258"/>
      <c r="E4178" s="679"/>
      <c r="F4178" s="597" t="s">
        <v>248</v>
      </c>
      <c r="G4178" s="598" t="s">
        <v>57</v>
      </c>
      <c r="H4178" s="555"/>
      <c r="I4178" s="556"/>
      <c r="J4178" s="560">
        <f t="shared" si="140"/>
        <v>0</v>
      </c>
      <c r="K4178" s="505"/>
      <c r="L4178" s="505"/>
      <c r="M4178" s="505"/>
      <c r="N4178" s="505"/>
      <c r="O4178" s="505"/>
      <c r="P4178" s="505"/>
      <c r="Q4178" s="505"/>
      <c r="R4178" s="505"/>
      <c r="S4178" s="505"/>
      <c r="T4178" s="505"/>
      <c r="U4178" s="505"/>
      <c r="V4178" s="505"/>
      <c r="W4178" s="505"/>
      <c r="X4178" s="505"/>
      <c r="Y4178" s="505"/>
    </row>
    <row r="4179" spans="1:25" s="88" customFormat="1" ht="15.75" hidden="1" thickBot="1" x14ac:dyDescent="0.3">
      <c r="A4179" s="258"/>
      <c r="B4179" s="258"/>
      <c r="C4179" s="261"/>
      <c r="D4179" s="258"/>
      <c r="E4179" s="679"/>
      <c r="F4179" s="597" t="s">
        <v>249</v>
      </c>
      <c r="G4179" s="598" t="s">
        <v>250</v>
      </c>
      <c r="H4179" s="555"/>
      <c r="I4179" s="556"/>
      <c r="J4179" s="560">
        <f t="shared" si="140"/>
        <v>0</v>
      </c>
      <c r="K4179" s="505"/>
      <c r="L4179" s="505"/>
      <c r="M4179" s="505"/>
      <c r="N4179" s="505"/>
      <c r="O4179" s="505"/>
      <c r="P4179" s="505"/>
      <c r="Q4179" s="505"/>
      <c r="R4179" s="505"/>
      <c r="S4179" s="505"/>
      <c r="T4179" s="505"/>
      <c r="U4179" s="505"/>
      <c r="V4179" s="505"/>
      <c r="W4179" s="505"/>
      <c r="X4179" s="505"/>
      <c r="Y4179" s="505"/>
    </row>
    <row r="4180" spans="1:25" s="88" customFormat="1" ht="15.75" hidden="1" thickBot="1" x14ac:dyDescent="0.3">
      <c r="A4180" s="258"/>
      <c r="B4180" s="258"/>
      <c r="C4180" s="261"/>
      <c r="D4180" s="258"/>
      <c r="E4180" s="679"/>
      <c r="F4180" s="597" t="s">
        <v>251</v>
      </c>
      <c r="G4180" s="598" t="s">
        <v>252</v>
      </c>
      <c r="H4180" s="555"/>
      <c r="I4180" s="556"/>
      <c r="J4180" s="560">
        <f t="shared" si="140"/>
        <v>0</v>
      </c>
      <c r="K4180" s="505"/>
      <c r="L4180" s="505"/>
      <c r="M4180" s="505"/>
      <c r="N4180" s="505"/>
      <c r="O4180" s="505"/>
      <c r="P4180" s="505"/>
      <c r="Q4180" s="505"/>
      <c r="R4180" s="505"/>
      <c r="S4180" s="505"/>
      <c r="T4180" s="505"/>
      <c r="U4180" s="505"/>
      <c r="V4180" s="505"/>
      <c r="W4180" s="505"/>
      <c r="X4180" s="505"/>
      <c r="Y4180" s="505"/>
    </row>
    <row r="4181" spans="1:25" s="88" customFormat="1" ht="30.75" hidden="1" thickBot="1" x14ac:dyDescent="0.3">
      <c r="A4181" s="258"/>
      <c r="B4181" s="258"/>
      <c r="C4181" s="261"/>
      <c r="D4181" s="258"/>
      <c r="E4181" s="679"/>
      <c r="F4181" s="597" t="s">
        <v>253</v>
      </c>
      <c r="G4181" s="598" t="s">
        <v>254</v>
      </c>
      <c r="H4181" s="555"/>
      <c r="I4181" s="556"/>
      <c r="J4181" s="560">
        <f t="shared" si="140"/>
        <v>0</v>
      </c>
      <c r="K4181" s="505"/>
      <c r="L4181" s="505"/>
      <c r="M4181" s="505"/>
      <c r="N4181" s="505"/>
      <c r="O4181" s="505"/>
      <c r="P4181" s="505"/>
      <c r="Q4181" s="505"/>
      <c r="R4181" s="505"/>
      <c r="S4181" s="505"/>
      <c r="T4181" s="505"/>
      <c r="U4181" s="505"/>
      <c r="V4181" s="505"/>
      <c r="W4181" s="505"/>
      <c r="X4181" s="505"/>
      <c r="Y4181" s="505"/>
    </row>
    <row r="4182" spans="1:25" s="88" customFormat="1" ht="15.75" hidden="1" thickBot="1" x14ac:dyDescent="0.3">
      <c r="A4182" s="258"/>
      <c r="B4182" s="258"/>
      <c r="C4182" s="261"/>
      <c r="D4182" s="258"/>
      <c r="E4182" s="679"/>
      <c r="F4182" s="597" t="s">
        <v>255</v>
      </c>
      <c r="G4182" s="598" t="s">
        <v>256</v>
      </c>
      <c r="H4182" s="555"/>
      <c r="I4182" s="556"/>
      <c r="J4182" s="560">
        <f t="shared" si="140"/>
        <v>0</v>
      </c>
      <c r="K4182" s="505"/>
      <c r="L4182" s="505"/>
      <c r="M4182" s="505"/>
      <c r="N4182" s="505"/>
      <c r="O4182" s="505"/>
      <c r="P4182" s="505"/>
      <c r="Q4182" s="505"/>
      <c r="R4182" s="505"/>
      <c r="S4182" s="505"/>
      <c r="T4182" s="505"/>
      <c r="U4182" s="505"/>
      <c r="V4182" s="505"/>
      <c r="W4182" s="505"/>
      <c r="X4182" s="505"/>
      <c r="Y4182" s="505"/>
    </row>
    <row r="4183" spans="1:25" s="88" customFormat="1" ht="30.75" hidden="1" thickBot="1" x14ac:dyDescent="0.3">
      <c r="A4183" s="258"/>
      <c r="B4183" s="258"/>
      <c r="C4183" s="261"/>
      <c r="D4183" s="258"/>
      <c r="E4183" s="679"/>
      <c r="F4183" s="597" t="s">
        <v>257</v>
      </c>
      <c r="G4183" s="598" t="s">
        <v>258</v>
      </c>
      <c r="H4183" s="555"/>
      <c r="I4183" s="556"/>
      <c r="J4183" s="560">
        <f t="shared" si="140"/>
        <v>0</v>
      </c>
      <c r="K4183" s="505"/>
      <c r="L4183" s="505"/>
      <c r="M4183" s="505"/>
      <c r="N4183" s="505"/>
      <c r="O4183" s="505"/>
      <c r="P4183" s="505"/>
      <c r="Q4183" s="505"/>
      <c r="R4183" s="505"/>
      <c r="S4183" s="505"/>
      <c r="T4183" s="505"/>
      <c r="U4183" s="505"/>
      <c r="V4183" s="505"/>
      <c r="W4183" s="505"/>
      <c r="X4183" s="505"/>
      <c r="Y4183" s="505"/>
    </row>
    <row r="4184" spans="1:25" s="88" customFormat="1" ht="15.75" hidden="1" thickBot="1" x14ac:dyDescent="0.3">
      <c r="A4184" s="258"/>
      <c r="B4184" s="258"/>
      <c r="C4184" s="261"/>
      <c r="D4184" s="258"/>
      <c r="E4184" s="679"/>
      <c r="F4184" s="597" t="s">
        <v>259</v>
      </c>
      <c r="G4184" s="598" t="s">
        <v>260</v>
      </c>
      <c r="H4184" s="555"/>
      <c r="I4184" s="556"/>
      <c r="J4184" s="560">
        <f t="shared" si="140"/>
        <v>0</v>
      </c>
      <c r="K4184" s="505"/>
      <c r="L4184" s="505"/>
      <c r="M4184" s="505"/>
      <c r="N4184" s="505"/>
      <c r="O4184" s="505"/>
      <c r="P4184" s="505"/>
      <c r="Q4184" s="505"/>
      <c r="R4184" s="505"/>
      <c r="S4184" s="505"/>
      <c r="T4184" s="505"/>
      <c r="U4184" s="505"/>
      <c r="V4184" s="505"/>
      <c r="W4184" s="505"/>
      <c r="X4184" s="505"/>
      <c r="Y4184" s="505"/>
    </row>
    <row r="4185" spans="1:25" s="88" customFormat="1" ht="15.75" hidden="1" thickBot="1" x14ac:dyDescent="0.3">
      <c r="A4185" s="258"/>
      <c r="B4185" s="258"/>
      <c r="C4185" s="261"/>
      <c r="D4185" s="258"/>
      <c r="E4185" s="679"/>
      <c r="F4185" s="597" t="s">
        <v>261</v>
      </c>
      <c r="G4185" s="598" t="s">
        <v>262</v>
      </c>
      <c r="H4185" s="559"/>
      <c r="I4185" s="560"/>
      <c r="J4185" s="560">
        <f t="shared" si="140"/>
        <v>0</v>
      </c>
      <c r="K4185" s="505"/>
      <c r="L4185" s="505"/>
      <c r="M4185" s="505"/>
      <c r="N4185" s="505"/>
      <c r="O4185" s="505"/>
      <c r="P4185" s="505"/>
      <c r="Q4185" s="505"/>
      <c r="R4185" s="505"/>
      <c r="S4185" s="505"/>
      <c r="T4185" s="505"/>
      <c r="U4185" s="505"/>
      <c r="V4185" s="505"/>
      <c r="W4185" s="505"/>
      <c r="X4185" s="505"/>
      <c r="Y4185" s="505"/>
    </row>
    <row r="4186" spans="1:25" s="88" customFormat="1" ht="14.25" customHeight="1" thickBot="1" x14ac:dyDescent="0.3">
      <c r="A4186" s="258"/>
      <c r="B4186" s="258"/>
      <c r="C4186" s="261"/>
      <c r="D4186" s="258"/>
      <c r="E4186" s="679"/>
      <c r="F4186" s="258"/>
      <c r="G4186" s="728" t="s">
        <v>5297</v>
      </c>
      <c r="H4186" s="561">
        <f>SUM(H4170:H4185)</f>
        <v>200000</v>
      </c>
      <c r="I4186" s="562">
        <f>SUM(I4171:I4185)</f>
        <v>0</v>
      </c>
      <c r="J4186" s="562">
        <f>SUM(J4170:J4185)</f>
        <v>200000</v>
      </c>
      <c r="K4186" s="505"/>
      <c r="L4186" s="505"/>
      <c r="M4186" s="505"/>
      <c r="N4186" s="505"/>
      <c r="O4186" s="505"/>
      <c r="P4186" s="505"/>
      <c r="Q4186" s="505"/>
      <c r="R4186" s="505"/>
      <c r="S4186" s="505"/>
      <c r="T4186" s="505"/>
      <c r="U4186" s="505"/>
      <c r="V4186" s="505"/>
      <c r="W4186" s="505"/>
      <c r="X4186" s="505"/>
      <c r="Y4186" s="505"/>
    </row>
    <row r="4187" spans="1:25" s="88" customFormat="1" ht="15" customHeight="1" x14ac:dyDescent="0.25">
      <c r="A4187" s="258"/>
      <c r="B4187" s="258"/>
      <c r="C4187" s="261"/>
      <c r="D4187" s="258"/>
      <c r="E4187" s="489"/>
      <c r="F4187" s="500"/>
      <c r="G4187" s="270" t="s">
        <v>5300</v>
      </c>
      <c r="H4187" s="563"/>
      <c r="I4187" s="584"/>
      <c r="J4187" s="564"/>
      <c r="K4187" s="505"/>
      <c r="L4187" s="505"/>
      <c r="M4187" s="505"/>
      <c r="N4187" s="505"/>
      <c r="O4187" s="505"/>
      <c r="P4187" s="505"/>
      <c r="Q4187" s="505"/>
      <c r="R4187" s="505"/>
      <c r="S4187" s="505"/>
      <c r="T4187" s="505"/>
      <c r="U4187" s="505"/>
      <c r="V4187" s="505"/>
      <c r="W4187" s="505"/>
      <c r="X4187" s="505"/>
      <c r="Y4187" s="505"/>
    </row>
    <row r="4188" spans="1:25" s="88" customFormat="1" ht="16.5" customHeight="1" thickBot="1" x14ac:dyDescent="0.3">
      <c r="A4188" s="258"/>
      <c r="B4188" s="258"/>
      <c r="C4188" s="261"/>
      <c r="D4188" s="258"/>
      <c r="E4188" s="693"/>
      <c r="F4188" s="597" t="s">
        <v>234</v>
      </c>
      <c r="G4188" s="598" t="s">
        <v>235</v>
      </c>
      <c r="H4188" s="559">
        <f>SUM(H4109:H4168)</f>
        <v>200000</v>
      </c>
      <c r="I4188" s="560"/>
      <c r="J4188" s="560">
        <f>SUM(H4188:I4188)</f>
        <v>200000</v>
      </c>
      <c r="K4188" s="505"/>
      <c r="L4188" s="505"/>
      <c r="M4188" s="505"/>
      <c r="N4188" s="505"/>
      <c r="O4188" s="505"/>
      <c r="P4188" s="505"/>
      <c r="Q4188" s="505"/>
      <c r="R4188" s="505"/>
      <c r="S4188" s="505"/>
      <c r="T4188" s="505"/>
      <c r="U4188" s="505"/>
      <c r="V4188" s="505"/>
      <c r="W4188" s="505"/>
      <c r="X4188" s="505"/>
      <c r="Y4188" s="505"/>
    </row>
    <row r="4189" spans="1:25" s="88" customFormat="1" ht="15.75" hidden="1" thickBot="1" x14ac:dyDescent="0.3">
      <c r="A4189" s="258"/>
      <c r="B4189" s="258"/>
      <c r="C4189" s="261"/>
      <c r="D4189" s="258"/>
      <c r="E4189" s="679"/>
      <c r="F4189" s="597" t="s">
        <v>236</v>
      </c>
      <c r="G4189" s="598" t="s">
        <v>237</v>
      </c>
      <c r="H4189" s="555"/>
      <c r="I4189" s="556"/>
      <c r="J4189" s="560">
        <f t="shared" ref="J4189:J4203" si="141">SUM(H4189:I4189)</f>
        <v>0</v>
      </c>
      <c r="K4189" s="505"/>
      <c r="L4189" s="505"/>
      <c r="M4189" s="505"/>
      <c r="N4189" s="505"/>
      <c r="O4189" s="505"/>
      <c r="P4189" s="505"/>
      <c r="Q4189" s="505"/>
      <c r="R4189" s="505"/>
      <c r="S4189" s="505"/>
      <c r="T4189" s="505"/>
      <c r="U4189" s="505"/>
      <c r="V4189" s="505"/>
      <c r="W4189" s="505"/>
      <c r="X4189" s="505"/>
      <c r="Y4189" s="505"/>
    </row>
    <row r="4190" spans="1:25" s="88" customFormat="1" ht="15.75" hidden="1" thickBot="1" x14ac:dyDescent="0.3">
      <c r="A4190" s="258"/>
      <c r="B4190" s="258"/>
      <c r="C4190" s="261"/>
      <c r="D4190" s="258"/>
      <c r="E4190" s="679"/>
      <c r="F4190" s="597" t="s">
        <v>238</v>
      </c>
      <c r="G4190" s="598" t="s">
        <v>239</v>
      </c>
      <c r="H4190" s="555"/>
      <c r="I4190" s="556"/>
      <c r="J4190" s="560">
        <f t="shared" si="141"/>
        <v>0</v>
      </c>
      <c r="K4190" s="505"/>
      <c r="L4190" s="505"/>
      <c r="M4190" s="505"/>
      <c r="N4190" s="505"/>
      <c r="O4190" s="505"/>
      <c r="P4190" s="505"/>
      <c r="Q4190" s="505"/>
      <c r="R4190" s="505"/>
      <c r="S4190" s="505"/>
      <c r="T4190" s="505"/>
      <c r="U4190" s="505"/>
      <c r="V4190" s="505"/>
      <c r="W4190" s="505"/>
      <c r="X4190" s="505"/>
      <c r="Y4190" s="505"/>
    </row>
    <row r="4191" spans="1:25" s="88" customFormat="1" ht="15.75" hidden="1" thickBot="1" x14ac:dyDescent="0.3">
      <c r="A4191" s="258"/>
      <c r="B4191" s="258"/>
      <c r="C4191" s="261"/>
      <c r="D4191" s="258"/>
      <c r="E4191" s="679"/>
      <c r="F4191" s="597" t="s">
        <v>240</v>
      </c>
      <c r="G4191" s="598" t="s">
        <v>241</v>
      </c>
      <c r="H4191" s="555"/>
      <c r="I4191" s="556"/>
      <c r="J4191" s="560">
        <f t="shared" si="141"/>
        <v>0</v>
      </c>
      <c r="K4191" s="505"/>
      <c r="L4191" s="505"/>
      <c r="M4191" s="505"/>
      <c r="N4191" s="505"/>
      <c r="O4191" s="505"/>
      <c r="P4191" s="505"/>
      <c r="Q4191" s="505"/>
      <c r="R4191" s="505"/>
      <c r="S4191" s="505"/>
      <c r="T4191" s="505"/>
      <c r="U4191" s="505"/>
      <c r="V4191" s="505"/>
      <c r="W4191" s="505"/>
      <c r="X4191" s="505"/>
      <c r="Y4191" s="505"/>
    </row>
    <row r="4192" spans="1:25" s="88" customFormat="1" ht="15.75" hidden="1" thickBot="1" x14ac:dyDescent="0.3">
      <c r="A4192" s="258"/>
      <c r="B4192" s="258"/>
      <c r="C4192" s="261"/>
      <c r="D4192" s="258"/>
      <c r="E4192" s="679"/>
      <c r="F4192" s="597" t="s">
        <v>242</v>
      </c>
      <c r="G4192" s="598" t="s">
        <v>243</v>
      </c>
      <c r="H4192" s="555"/>
      <c r="I4192" s="556"/>
      <c r="J4192" s="560">
        <f t="shared" si="141"/>
        <v>0</v>
      </c>
      <c r="K4192" s="505"/>
      <c r="L4192" s="505"/>
      <c r="M4192" s="505"/>
      <c r="N4192" s="505"/>
      <c r="O4192" s="505"/>
      <c r="P4192" s="505"/>
      <c r="Q4192" s="505"/>
      <c r="R4192" s="505"/>
      <c r="S4192" s="505"/>
      <c r="T4192" s="505"/>
      <c r="U4192" s="505"/>
      <c r="V4192" s="505"/>
      <c r="W4192" s="505"/>
      <c r="X4192" s="505"/>
      <c r="Y4192" s="505"/>
    </row>
    <row r="4193" spans="1:25" s="88" customFormat="1" ht="15.75" hidden="1" thickBot="1" x14ac:dyDescent="0.3">
      <c r="A4193" s="258"/>
      <c r="B4193" s="258"/>
      <c r="C4193" s="261"/>
      <c r="D4193" s="258"/>
      <c r="E4193" s="679"/>
      <c r="F4193" s="597" t="s">
        <v>244</v>
      </c>
      <c r="G4193" s="598" t="s">
        <v>245</v>
      </c>
      <c r="H4193" s="555"/>
      <c r="I4193" s="556"/>
      <c r="J4193" s="560">
        <f t="shared" si="141"/>
        <v>0</v>
      </c>
      <c r="K4193" s="505"/>
      <c r="L4193" s="505"/>
      <c r="M4193" s="505"/>
      <c r="N4193" s="505"/>
      <c r="O4193" s="505"/>
      <c r="P4193" s="505"/>
      <c r="Q4193" s="505"/>
      <c r="R4193" s="505"/>
      <c r="S4193" s="505"/>
      <c r="T4193" s="505"/>
      <c r="U4193" s="505"/>
      <c r="V4193" s="505"/>
      <c r="W4193" s="505"/>
      <c r="X4193" s="505"/>
      <c r="Y4193" s="505"/>
    </row>
    <row r="4194" spans="1:25" s="88" customFormat="1" ht="15.75" hidden="1" thickBot="1" x14ac:dyDescent="0.3">
      <c r="A4194" s="258"/>
      <c r="B4194" s="258"/>
      <c r="C4194" s="261"/>
      <c r="D4194" s="258"/>
      <c r="E4194" s="679"/>
      <c r="F4194" s="597" t="s">
        <v>246</v>
      </c>
      <c r="G4194" s="598" t="s">
        <v>4996</v>
      </c>
      <c r="H4194" s="555"/>
      <c r="I4194" s="556"/>
      <c r="J4194" s="560">
        <f t="shared" si="141"/>
        <v>0</v>
      </c>
      <c r="K4194" s="505"/>
      <c r="L4194" s="505"/>
      <c r="M4194" s="505"/>
      <c r="N4194" s="505"/>
      <c r="O4194" s="505"/>
      <c r="P4194" s="505"/>
      <c r="Q4194" s="505"/>
      <c r="R4194" s="505"/>
      <c r="S4194" s="505"/>
      <c r="T4194" s="505"/>
      <c r="U4194" s="505"/>
      <c r="V4194" s="505"/>
      <c r="W4194" s="505"/>
      <c r="X4194" s="505"/>
      <c r="Y4194" s="505"/>
    </row>
    <row r="4195" spans="1:25" s="88" customFormat="1" ht="15.75" hidden="1" thickBot="1" x14ac:dyDescent="0.3">
      <c r="A4195" s="258"/>
      <c r="B4195" s="258"/>
      <c r="C4195" s="261"/>
      <c r="D4195" s="258"/>
      <c r="E4195" s="679"/>
      <c r="F4195" s="597" t="s">
        <v>247</v>
      </c>
      <c r="G4195" s="598" t="s">
        <v>4995</v>
      </c>
      <c r="H4195" s="555"/>
      <c r="I4195" s="556"/>
      <c r="J4195" s="560">
        <f t="shared" si="141"/>
        <v>0</v>
      </c>
      <c r="K4195" s="505"/>
      <c r="L4195" s="505"/>
      <c r="M4195" s="505"/>
      <c r="N4195" s="505"/>
      <c r="O4195" s="505"/>
      <c r="P4195" s="505"/>
      <c r="Q4195" s="505"/>
      <c r="R4195" s="505"/>
      <c r="S4195" s="505"/>
      <c r="T4195" s="505"/>
      <c r="U4195" s="505"/>
      <c r="V4195" s="505"/>
      <c r="W4195" s="505"/>
      <c r="X4195" s="505"/>
      <c r="Y4195" s="505"/>
    </row>
    <row r="4196" spans="1:25" s="88" customFormat="1" ht="15.75" hidden="1" thickBot="1" x14ac:dyDescent="0.3">
      <c r="A4196" s="258"/>
      <c r="B4196" s="258"/>
      <c r="C4196" s="261"/>
      <c r="D4196" s="258"/>
      <c r="E4196" s="679"/>
      <c r="F4196" s="597" t="s">
        <v>248</v>
      </c>
      <c r="G4196" s="598" t="s">
        <v>57</v>
      </c>
      <c r="H4196" s="555"/>
      <c r="I4196" s="556"/>
      <c r="J4196" s="560">
        <f t="shared" si="141"/>
        <v>0</v>
      </c>
      <c r="K4196" s="505"/>
      <c r="L4196" s="505"/>
      <c r="M4196" s="505"/>
      <c r="N4196" s="505"/>
      <c r="O4196" s="505"/>
      <c r="P4196" s="505"/>
      <c r="Q4196" s="505"/>
      <c r="R4196" s="505"/>
      <c r="S4196" s="505"/>
      <c r="T4196" s="505"/>
      <c r="U4196" s="505"/>
      <c r="V4196" s="505"/>
      <c r="W4196" s="505"/>
      <c r="X4196" s="505"/>
      <c r="Y4196" s="505"/>
    </row>
    <row r="4197" spans="1:25" s="88" customFormat="1" ht="15.75" hidden="1" thickBot="1" x14ac:dyDescent="0.3">
      <c r="A4197" s="258"/>
      <c r="B4197" s="258"/>
      <c r="C4197" s="261"/>
      <c r="D4197" s="258"/>
      <c r="E4197" s="679"/>
      <c r="F4197" s="597" t="s">
        <v>249</v>
      </c>
      <c r="G4197" s="598" t="s">
        <v>250</v>
      </c>
      <c r="H4197" s="555"/>
      <c r="I4197" s="556"/>
      <c r="J4197" s="560">
        <f t="shared" si="141"/>
        <v>0</v>
      </c>
      <c r="K4197" s="505"/>
      <c r="L4197" s="505"/>
      <c r="M4197" s="505"/>
      <c r="N4197" s="505"/>
      <c r="O4197" s="505"/>
      <c r="P4197" s="505"/>
      <c r="Q4197" s="505"/>
      <c r="R4197" s="505"/>
      <c r="S4197" s="505"/>
      <c r="T4197" s="505"/>
      <c r="U4197" s="505"/>
      <c r="V4197" s="505"/>
      <c r="W4197" s="505"/>
      <c r="X4197" s="505"/>
      <c r="Y4197" s="505"/>
    </row>
    <row r="4198" spans="1:25" s="88" customFormat="1" ht="15.75" hidden="1" thickBot="1" x14ac:dyDescent="0.3">
      <c r="A4198" s="258"/>
      <c r="B4198" s="258"/>
      <c r="C4198" s="261"/>
      <c r="D4198" s="258"/>
      <c r="E4198" s="679"/>
      <c r="F4198" s="597" t="s">
        <v>251</v>
      </c>
      <c r="G4198" s="598" t="s">
        <v>252</v>
      </c>
      <c r="H4198" s="555"/>
      <c r="I4198" s="556"/>
      <c r="J4198" s="560">
        <f t="shared" si="141"/>
        <v>0</v>
      </c>
      <c r="K4198" s="505"/>
      <c r="L4198" s="505"/>
      <c r="M4198" s="505"/>
      <c r="N4198" s="505"/>
      <c r="O4198" s="505"/>
      <c r="P4198" s="505"/>
      <c r="Q4198" s="505"/>
      <c r="R4198" s="505"/>
      <c r="S4198" s="505"/>
      <c r="T4198" s="505"/>
      <c r="U4198" s="505"/>
      <c r="V4198" s="505"/>
      <c r="W4198" s="505"/>
      <c r="X4198" s="505"/>
      <c r="Y4198" s="505"/>
    </row>
    <row r="4199" spans="1:25" s="88" customFormat="1" ht="30.75" hidden="1" thickBot="1" x14ac:dyDescent="0.3">
      <c r="A4199" s="258"/>
      <c r="B4199" s="258"/>
      <c r="C4199" s="261"/>
      <c r="D4199" s="258"/>
      <c r="E4199" s="679"/>
      <c r="F4199" s="597" t="s">
        <v>253</v>
      </c>
      <c r="G4199" s="598" t="s">
        <v>254</v>
      </c>
      <c r="H4199" s="555"/>
      <c r="I4199" s="556"/>
      <c r="J4199" s="560">
        <f t="shared" si="141"/>
        <v>0</v>
      </c>
      <c r="K4199" s="505"/>
      <c r="L4199" s="505"/>
      <c r="M4199" s="505"/>
      <c r="N4199" s="505"/>
      <c r="O4199" s="505"/>
      <c r="P4199" s="505"/>
      <c r="Q4199" s="505"/>
      <c r="R4199" s="505"/>
      <c r="S4199" s="505"/>
      <c r="T4199" s="505"/>
      <c r="U4199" s="505"/>
      <c r="V4199" s="505"/>
      <c r="W4199" s="505"/>
      <c r="X4199" s="505"/>
      <c r="Y4199" s="505"/>
    </row>
    <row r="4200" spans="1:25" s="88" customFormat="1" ht="15.75" hidden="1" thickBot="1" x14ac:dyDescent="0.3">
      <c r="A4200" s="258"/>
      <c r="B4200" s="258"/>
      <c r="C4200" s="261"/>
      <c r="D4200" s="258"/>
      <c r="E4200" s="679"/>
      <c r="F4200" s="597" t="s">
        <v>255</v>
      </c>
      <c r="G4200" s="598" t="s">
        <v>256</v>
      </c>
      <c r="H4200" s="555"/>
      <c r="I4200" s="556"/>
      <c r="J4200" s="560">
        <f t="shared" si="141"/>
        <v>0</v>
      </c>
      <c r="K4200" s="505"/>
      <c r="L4200" s="505"/>
      <c r="M4200" s="505"/>
      <c r="N4200" s="505"/>
      <c r="O4200" s="505"/>
      <c r="P4200" s="505"/>
      <c r="Q4200" s="505"/>
      <c r="R4200" s="505"/>
      <c r="S4200" s="505"/>
      <c r="T4200" s="505"/>
      <c r="U4200" s="505"/>
      <c r="V4200" s="505"/>
      <c r="W4200" s="505"/>
      <c r="X4200" s="505"/>
      <c r="Y4200" s="505"/>
    </row>
    <row r="4201" spans="1:25" s="88" customFormat="1" ht="30.75" hidden="1" thickBot="1" x14ac:dyDescent="0.3">
      <c r="A4201" s="258"/>
      <c r="B4201" s="258"/>
      <c r="C4201" s="261"/>
      <c r="D4201" s="258"/>
      <c r="E4201" s="679"/>
      <c r="F4201" s="597" t="s">
        <v>257</v>
      </c>
      <c r="G4201" s="598" t="s">
        <v>258</v>
      </c>
      <c r="H4201" s="555"/>
      <c r="I4201" s="556"/>
      <c r="J4201" s="560">
        <f t="shared" si="141"/>
        <v>0</v>
      </c>
      <c r="K4201" s="505"/>
      <c r="L4201" s="505"/>
      <c r="M4201" s="505"/>
      <c r="N4201" s="505"/>
      <c r="O4201" s="505"/>
      <c r="P4201" s="505"/>
      <c r="Q4201" s="505"/>
      <c r="R4201" s="505"/>
      <c r="S4201" s="505"/>
      <c r="T4201" s="505"/>
      <c r="U4201" s="505"/>
      <c r="V4201" s="505"/>
      <c r="W4201" s="505"/>
      <c r="X4201" s="505"/>
      <c r="Y4201" s="505"/>
    </row>
    <row r="4202" spans="1:25" s="88" customFormat="1" ht="15.75" hidden="1" thickBot="1" x14ac:dyDescent="0.3">
      <c r="A4202" s="258"/>
      <c r="B4202" s="258"/>
      <c r="C4202" s="261"/>
      <c r="D4202" s="258"/>
      <c r="E4202" s="679"/>
      <c r="F4202" s="597" t="s">
        <v>259</v>
      </c>
      <c r="G4202" s="598" t="s">
        <v>260</v>
      </c>
      <c r="H4202" s="555"/>
      <c r="I4202" s="556"/>
      <c r="J4202" s="560">
        <f t="shared" si="141"/>
        <v>0</v>
      </c>
      <c r="K4202" s="505"/>
      <c r="L4202" s="505"/>
      <c r="M4202" s="505"/>
      <c r="N4202" s="505"/>
      <c r="O4202" s="505"/>
      <c r="P4202" s="505"/>
      <c r="Q4202" s="505"/>
      <c r="R4202" s="505"/>
      <c r="S4202" s="505"/>
      <c r="T4202" s="505"/>
      <c r="U4202" s="505"/>
      <c r="V4202" s="505"/>
      <c r="W4202" s="505"/>
      <c r="X4202" s="505"/>
      <c r="Y4202" s="505"/>
    </row>
    <row r="4203" spans="1:25" s="88" customFormat="1" ht="15.75" hidden="1" thickBot="1" x14ac:dyDescent="0.3">
      <c r="A4203" s="258"/>
      <c r="B4203" s="258"/>
      <c r="C4203" s="261"/>
      <c r="D4203" s="258"/>
      <c r="E4203" s="679"/>
      <c r="F4203" s="597" t="s">
        <v>261</v>
      </c>
      <c r="G4203" s="598" t="s">
        <v>262</v>
      </c>
      <c r="H4203" s="559"/>
      <c r="I4203" s="560"/>
      <c r="J4203" s="560">
        <f t="shared" si="141"/>
        <v>0</v>
      </c>
      <c r="K4203" s="505"/>
      <c r="L4203" s="505"/>
      <c r="M4203" s="505"/>
      <c r="N4203" s="505"/>
      <c r="O4203" s="505"/>
      <c r="P4203" s="505"/>
      <c r="Q4203" s="505"/>
      <c r="R4203" s="505"/>
      <c r="S4203" s="505"/>
      <c r="T4203" s="505"/>
      <c r="U4203" s="505"/>
      <c r="V4203" s="505"/>
      <c r="W4203" s="505"/>
      <c r="X4203" s="505"/>
      <c r="Y4203" s="505"/>
    </row>
    <row r="4204" spans="1:25" s="88" customFormat="1" ht="14.25" customHeight="1" thickBot="1" x14ac:dyDescent="0.3">
      <c r="A4204" s="258"/>
      <c r="B4204" s="258"/>
      <c r="C4204" s="261"/>
      <c r="D4204" s="258"/>
      <c r="E4204" s="679"/>
      <c r="F4204" s="258"/>
      <c r="G4204" s="268" t="s">
        <v>5301</v>
      </c>
      <c r="H4204" s="561">
        <f>SUM(H4188:H4203)</f>
        <v>200000</v>
      </c>
      <c r="I4204" s="562">
        <f>SUM(I4189:I4203)</f>
        <v>0</v>
      </c>
      <c r="J4204" s="562">
        <f>SUM(J4188:J4203)</f>
        <v>200000</v>
      </c>
      <c r="K4204" s="505"/>
      <c r="L4204" s="505"/>
      <c r="M4204" s="505"/>
      <c r="N4204" s="505"/>
      <c r="O4204" s="505"/>
      <c r="P4204" s="505"/>
      <c r="Q4204" s="505"/>
      <c r="R4204" s="505"/>
      <c r="S4204" s="505"/>
      <c r="T4204" s="505"/>
      <c r="U4204" s="505"/>
      <c r="V4204" s="505"/>
      <c r="W4204" s="505"/>
      <c r="X4204" s="505"/>
      <c r="Y4204" s="505"/>
    </row>
    <row r="4205" spans="1:25" s="88" customFormat="1" ht="17.25" customHeight="1" x14ac:dyDescent="0.25">
      <c r="A4205" s="258"/>
      <c r="B4205" s="288"/>
      <c r="C4205" s="302" t="s">
        <v>5107</v>
      </c>
      <c r="D4205" s="259"/>
      <c r="E4205" s="702"/>
      <c r="F4205" s="303"/>
      <c r="G4205" s="406" t="s">
        <v>175</v>
      </c>
      <c r="H4205" s="588"/>
      <c r="I4205" s="571"/>
      <c r="K4205" s="505"/>
      <c r="L4205" s="505"/>
      <c r="M4205" s="505"/>
      <c r="N4205" s="505"/>
      <c r="O4205" s="505"/>
      <c r="P4205" s="505"/>
      <c r="Q4205" s="505"/>
      <c r="R4205" s="505"/>
      <c r="S4205" s="505"/>
      <c r="T4205" s="505"/>
      <c r="U4205" s="505"/>
      <c r="V4205" s="505"/>
      <c r="W4205" s="505"/>
      <c r="X4205" s="505"/>
      <c r="Y4205" s="505"/>
    </row>
    <row r="4206" spans="1:25" s="88" customFormat="1" ht="13.5" customHeight="1" x14ac:dyDescent="0.25">
      <c r="A4206" s="481"/>
      <c r="B4206" s="258"/>
      <c r="C4206" s="267"/>
      <c r="D4206" s="331">
        <v>510</v>
      </c>
      <c r="E4206" s="869"/>
      <c r="F4206" s="331"/>
      <c r="G4206" s="332" t="s">
        <v>174</v>
      </c>
      <c r="H4206" s="555"/>
      <c r="I4206" s="556"/>
      <c r="J4206" s="556"/>
      <c r="K4206" s="505"/>
      <c r="L4206" s="505"/>
      <c r="M4206" s="505"/>
      <c r="N4206" s="505"/>
      <c r="O4206" s="505"/>
      <c r="P4206" s="505"/>
      <c r="Q4206" s="505"/>
      <c r="R4206" s="505"/>
      <c r="S4206" s="505"/>
      <c r="T4206" s="505"/>
      <c r="U4206" s="505"/>
      <c r="V4206" s="505"/>
      <c r="W4206" s="505"/>
      <c r="X4206" s="505"/>
      <c r="Y4206" s="505"/>
    </row>
    <row r="4207" spans="1:25" s="88" customFormat="1" hidden="1" x14ac:dyDescent="0.25">
      <c r="A4207" s="258"/>
      <c r="B4207" s="258"/>
      <c r="C4207" s="261"/>
      <c r="D4207" s="258"/>
      <c r="E4207" s="679"/>
      <c r="F4207" s="499">
        <v>411</v>
      </c>
      <c r="G4207" s="492" t="s">
        <v>4131</v>
      </c>
      <c r="H4207" s="555"/>
      <c r="I4207" s="556"/>
      <c r="J4207" s="556">
        <f>SUM(H4207:I4207)</f>
        <v>0</v>
      </c>
      <c r="K4207" s="505"/>
      <c r="L4207" s="505"/>
      <c r="M4207" s="505"/>
      <c r="N4207" s="505"/>
      <c r="O4207" s="505"/>
      <c r="P4207" s="505"/>
      <c r="Q4207" s="505"/>
      <c r="R4207" s="505"/>
      <c r="S4207" s="505"/>
      <c r="T4207" s="505"/>
      <c r="U4207" s="505"/>
      <c r="V4207" s="505"/>
      <c r="W4207" s="505"/>
      <c r="X4207" s="505"/>
      <c r="Y4207" s="505"/>
    </row>
    <row r="4208" spans="1:25" s="88" customFormat="1" hidden="1" x14ac:dyDescent="0.25">
      <c r="A4208" s="258"/>
      <c r="B4208" s="258"/>
      <c r="C4208" s="261"/>
      <c r="D4208" s="258"/>
      <c r="E4208" s="679"/>
      <c r="F4208" s="499">
        <v>412</v>
      </c>
      <c r="G4208" s="488" t="s">
        <v>3766</v>
      </c>
      <c r="H4208" s="555"/>
      <c r="I4208" s="556"/>
      <c r="J4208" s="556">
        <f t="shared" ref="J4208:J4266" si="142">SUM(H4208:I4208)</f>
        <v>0</v>
      </c>
      <c r="K4208" s="505"/>
      <c r="L4208" s="505"/>
      <c r="M4208" s="505"/>
      <c r="N4208" s="505"/>
      <c r="O4208" s="505"/>
      <c r="P4208" s="505"/>
      <c r="Q4208" s="505"/>
      <c r="R4208" s="505"/>
      <c r="S4208" s="505"/>
      <c r="T4208" s="505"/>
      <c r="U4208" s="505"/>
      <c r="V4208" s="505"/>
      <c r="W4208" s="505"/>
      <c r="X4208" s="505"/>
      <c r="Y4208" s="505"/>
    </row>
    <row r="4209" spans="1:25" s="88" customFormat="1" hidden="1" x14ac:dyDescent="0.25">
      <c r="A4209" s="258"/>
      <c r="B4209" s="258"/>
      <c r="C4209" s="261"/>
      <c r="D4209" s="258"/>
      <c r="E4209" s="679"/>
      <c r="F4209" s="499">
        <v>413</v>
      </c>
      <c r="G4209" s="492" t="s">
        <v>4132</v>
      </c>
      <c r="H4209" s="555"/>
      <c r="I4209" s="556"/>
      <c r="J4209" s="556">
        <f t="shared" si="142"/>
        <v>0</v>
      </c>
      <c r="K4209" s="505"/>
      <c r="L4209" s="505"/>
      <c r="M4209" s="505"/>
      <c r="N4209" s="505"/>
      <c r="O4209" s="505"/>
      <c r="P4209" s="505"/>
      <c r="Q4209" s="505"/>
      <c r="R4209" s="505"/>
      <c r="S4209" s="505"/>
      <c r="T4209" s="505"/>
      <c r="U4209" s="505"/>
      <c r="V4209" s="505"/>
      <c r="W4209" s="505"/>
      <c r="X4209" s="505"/>
      <c r="Y4209" s="505"/>
    </row>
    <row r="4210" spans="1:25" s="88" customFormat="1" hidden="1" x14ac:dyDescent="0.25">
      <c r="A4210" s="258"/>
      <c r="B4210" s="258"/>
      <c r="C4210" s="261"/>
      <c r="D4210" s="258"/>
      <c r="E4210" s="679"/>
      <c r="F4210" s="499">
        <v>414</v>
      </c>
      <c r="G4210" s="492" t="s">
        <v>3769</v>
      </c>
      <c r="H4210" s="555"/>
      <c r="I4210" s="556"/>
      <c r="J4210" s="556">
        <f t="shared" si="142"/>
        <v>0</v>
      </c>
      <c r="K4210" s="505"/>
      <c r="L4210" s="505"/>
      <c r="M4210" s="505"/>
      <c r="N4210" s="505"/>
      <c r="O4210" s="505"/>
      <c r="P4210" s="505"/>
      <c r="Q4210" s="505"/>
      <c r="R4210" s="505"/>
      <c r="S4210" s="505"/>
      <c r="T4210" s="505"/>
      <c r="U4210" s="505"/>
      <c r="V4210" s="505"/>
      <c r="W4210" s="505"/>
      <c r="X4210" s="505"/>
      <c r="Y4210" s="505"/>
    </row>
    <row r="4211" spans="1:25" s="88" customFormat="1" hidden="1" x14ac:dyDescent="0.25">
      <c r="A4211" s="258"/>
      <c r="B4211" s="258"/>
      <c r="C4211" s="261"/>
      <c r="D4211" s="258"/>
      <c r="E4211" s="679"/>
      <c r="F4211" s="499">
        <v>415</v>
      </c>
      <c r="G4211" s="492" t="s">
        <v>4141</v>
      </c>
      <c r="H4211" s="555"/>
      <c r="I4211" s="556"/>
      <c r="J4211" s="556">
        <f t="shared" si="142"/>
        <v>0</v>
      </c>
      <c r="K4211" s="505"/>
      <c r="L4211" s="505"/>
      <c r="M4211" s="505"/>
      <c r="N4211" s="505"/>
      <c r="O4211" s="505"/>
      <c r="P4211" s="505"/>
      <c r="Q4211" s="505"/>
      <c r="R4211" s="505"/>
      <c r="S4211" s="505"/>
      <c r="T4211" s="505"/>
      <c r="U4211" s="505"/>
      <c r="V4211" s="505"/>
      <c r="W4211" s="505"/>
      <c r="X4211" s="505"/>
      <c r="Y4211" s="505"/>
    </row>
    <row r="4212" spans="1:25" s="88" customFormat="1" hidden="1" x14ac:dyDescent="0.25">
      <c r="A4212" s="258"/>
      <c r="B4212" s="258"/>
      <c r="C4212" s="261"/>
      <c r="D4212" s="258"/>
      <c r="E4212" s="679"/>
      <c r="F4212" s="499">
        <v>416</v>
      </c>
      <c r="G4212" s="492" t="s">
        <v>4142</v>
      </c>
      <c r="H4212" s="555"/>
      <c r="I4212" s="556"/>
      <c r="J4212" s="556">
        <f t="shared" si="142"/>
        <v>0</v>
      </c>
      <c r="K4212" s="505"/>
      <c r="L4212" s="505"/>
      <c r="M4212" s="505"/>
      <c r="N4212" s="505"/>
      <c r="O4212" s="505"/>
      <c r="P4212" s="505"/>
      <c r="Q4212" s="505"/>
      <c r="R4212" s="505"/>
      <c r="S4212" s="505"/>
      <c r="T4212" s="505"/>
      <c r="U4212" s="505"/>
      <c r="V4212" s="505"/>
      <c r="W4212" s="505"/>
      <c r="X4212" s="505"/>
      <c r="Y4212" s="505"/>
    </row>
    <row r="4213" spans="1:25" s="88" customFormat="1" hidden="1" x14ac:dyDescent="0.25">
      <c r="A4213" s="258"/>
      <c r="B4213" s="258"/>
      <c r="C4213" s="261"/>
      <c r="D4213" s="258"/>
      <c r="E4213" s="679"/>
      <c r="F4213" s="499">
        <v>417</v>
      </c>
      <c r="G4213" s="492" t="s">
        <v>4143</v>
      </c>
      <c r="H4213" s="555"/>
      <c r="I4213" s="556"/>
      <c r="J4213" s="556">
        <f t="shared" si="142"/>
        <v>0</v>
      </c>
      <c r="K4213" s="505"/>
      <c r="L4213" s="505"/>
      <c r="M4213" s="505"/>
      <c r="N4213" s="505"/>
      <c r="O4213" s="505"/>
      <c r="P4213" s="505"/>
      <c r="Q4213" s="505"/>
      <c r="R4213" s="505"/>
      <c r="S4213" s="505"/>
      <c r="T4213" s="505"/>
      <c r="U4213" s="505"/>
      <c r="V4213" s="505"/>
      <c r="W4213" s="505"/>
      <c r="X4213" s="505"/>
      <c r="Y4213" s="505"/>
    </row>
    <row r="4214" spans="1:25" s="88" customFormat="1" hidden="1" x14ac:dyDescent="0.25">
      <c r="A4214" s="258"/>
      <c r="B4214" s="258"/>
      <c r="C4214" s="261"/>
      <c r="D4214" s="258"/>
      <c r="E4214" s="679"/>
      <c r="F4214" s="499">
        <v>418</v>
      </c>
      <c r="G4214" s="492" t="s">
        <v>3775</v>
      </c>
      <c r="H4214" s="555"/>
      <c r="I4214" s="556"/>
      <c r="J4214" s="556">
        <f t="shared" si="142"/>
        <v>0</v>
      </c>
      <c r="K4214" s="505"/>
      <c r="L4214" s="505"/>
      <c r="M4214" s="505"/>
      <c r="N4214" s="505"/>
      <c r="O4214" s="505"/>
      <c r="P4214" s="505"/>
      <c r="Q4214" s="505"/>
      <c r="R4214" s="505"/>
      <c r="S4214" s="505"/>
      <c r="T4214" s="505"/>
      <c r="U4214" s="505"/>
      <c r="V4214" s="505"/>
      <c r="W4214" s="505"/>
      <c r="X4214" s="505"/>
      <c r="Y4214" s="505"/>
    </row>
    <row r="4215" spans="1:25" s="88" customFormat="1" hidden="1" x14ac:dyDescent="0.25">
      <c r="A4215" s="258"/>
      <c r="B4215" s="258"/>
      <c r="C4215" s="261"/>
      <c r="D4215" s="258"/>
      <c r="E4215" s="679"/>
      <c r="F4215" s="499">
        <v>421</v>
      </c>
      <c r="G4215" s="492" t="s">
        <v>3779</v>
      </c>
      <c r="H4215" s="555"/>
      <c r="I4215" s="556"/>
      <c r="J4215" s="556">
        <f t="shared" si="142"/>
        <v>0</v>
      </c>
      <c r="K4215" s="505"/>
      <c r="L4215" s="505"/>
      <c r="M4215" s="505"/>
      <c r="N4215" s="505"/>
      <c r="O4215" s="505"/>
      <c r="P4215" s="505"/>
      <c r="Q4215" s="505"/>
      <c r="R4215" s="505"/>
      <c r="S4215" s="505"/>
      <c r="T4215" s="505"/>
      <c r="U4215" s="505"/>
      <c r="V4215" s="505"/>
      <c r="W4215" s="505"/>
      <c r="X4215" s="505"/>
      <c r="Y4215" s="505"/>
    </row>
    <row r="4216" spans="1:25" s="88" customFormat="1" hidden="1" x14ac:dyDescent="0.25">
      <c r="A4216" s="258"/>
      <c r="B4216" s="258"/>
      <c r="C4216" s="261"/>
      <c r="D4216" s="258"/>
      <c r="E4216" s="679"/>
      <c r="F4216" s="499">
        <v>422</v>
      </c>
      <c r="G4216" s="492" t="s">
        <v>3780</v>
      </c>
      <c r="H4216" s="555"/>
      <c r="I4216" s="556"/>
      <c r="J4216" s="556">
        <f t="shared" si="142"/>
        <v>0</v>
      </c>
      <c r="K4216" s="505"/>
      <c r="L4216" s="505"/>
      <c r="M4216" s="505"/>
      <c r="N4216" s="505"/>
      <c r="O4216" s="505"/>
      <c r="P4216" s="505"/>
      <c r="Q4216" s="505"/>
      <c r="R4216" s="505"/>
      <c r="S4216" s="505"/>
      <c r="T4216" s="505"/>
      <c r="U4216" s="505"/>
      <c r="V4216" s="505"/>
      <c r="W4216" s="505"/>
      <c r="X4216" s="505"/>
      <c r="Y4216" s="505"/>
    </row>
    <row r="4217" spans="1:25" s="88" customFormat="1" ht="15.75" thickBot="1" x14ac:dyDescent="0.3">
      <c r="A4217" s="258"/>
      <c r="B4217" s="258"/>
      <c r="C4217" s="261"/>
      <c r="D4217" s="258"/>
      <c r="E4217" s="679">
        <v>125</v>
      </c>
      <c r="F4217" s="499">
        <v>423</v>
      </c>
      <c r="G4217" s="492" t="s">
        <v>3781</v>
      </c>
      <c r="H4217" s="555">
        <v>2500000</v>
      </c>
      <c r="I4217" s="556"/>
      <c r="J4217" s="556">
        <f t="shared" si="142"/>
        <v>2500000</v>
      </c>
      <c r="K4217" s="505"/>
      <c r="L4217" s="505"/>
      <c r="M4217" s="505"/>
      <c r="N4217" s="505"/>
      <c r="O4217" s="505"/>
      <c r="P4217" s="505"/>
      <c r="Q4217" s="505"/>
      <c r="R4217" s="505"/>
      <c r="S4217" s="505"/>
      <c r="T4217" s="505"/>
      <c r="U4217" s="505"/>
      <c r="V4217" s="505"/>
      <c r="W4217" s="505"/>
      <c r="X4217" s="505"/>
      <c r="Y4217" s="505"/>
    </row>
    <row r="4218" spans="1:25" s="88" customFormat="1" ht="16.5" hidden="1" customHeight="1" x14ac:dyDescent="0.25">
      <c r="A4218" s="258"/>
      <c r="B4218" s="258"/>
      <c r="C4218" s="261"/>
      <c r="D4218" s="258"/>
      <c r="E4218" s="679">
        <v>71</v>
      </c>
      <c r="F4218" s="499">
        <v>424</v>
      </c>
      <c r="G4218" s="492" t="s">
        <v>5086</v>
      </c>
      <c r="H4218" s="555">
        <v>0</v>
      </c>
      <c r="I4218" s="556"/>
      <c r="J4218" s="556">
        <f t="shared" si="142"/>
        <v>0</v>
      </c>
      <c r="K4218" s="505"/>
      <c r="L4218" s="505"/>
      <c r="M4218" s="505"/>
      <c r="N4218" s="505"/>
      <c r="O4218" s="505"/>
      <c r="P4218" s="505"/>
      <c r="Q4218" s="505"/>
      <c r="R4218" s="505"/>
      <c r="S4218" s="505"/>
      <c r="T4218" s="505"/>
      <c r="U4218" s="505"/>
      <c r="V4218" s="505"/>
      <c r="W4218" s="505"/>
      <c r="X4218" s="505"/>
      <c r="Y4218" s="505"/>
    </row>
    <row r="4219" spans="1:25" s="88" customFormat="1" ht="14.25" hidden="1" customHeight="1" x14ac:dyDescent="0.25">
      <c r="A4219" s="258"/>
      <c r="B4219" s="258"/>
      <c r="C4219" s="261"/>
      <c r="D4219" s="258"/>
      <c r="E4219" s="679"/>
      <c r="F4219" s="499">
        <v>425</v>
      </c>
      <c r="G4219" s="492" t="s">
        <v>4144</v>
      </c>
      <c r="H4219" s="555"/>
      <c r="I4219" s="556"/>
      <c r="J4219" s="556">
        <f t="shared" si="142"/>
        <v>0</v>
      </c>
      <c r="K4219" s="505"/>
      <c r="L4219" s="505"/>
      <c r="M4219" s="505"/>
      <c r="N4219" s="505"/>
      <c r="O4219" s="505"/>
      <c r="P4219" s="505"/>
      <c r="Q4219" s="505"/>
      <c r="R4219" s="505"/>
      <c r="S4219" s="505"/>
      <c r="T4219" s="505"/>
      <c r="U4219" s="505"/>
      <c r="V4219" s="505"/>
      <c r="W4219" s="505"/>
      <c r="X4219" s="505"/>
      <c r="Y4219" s="505"/>
    </row>
    <row r="4220" spans="1:25" s="88" customFormat="1" hidden="1" x14ac:dyDescent="0.25">
      <c r="A4220" s="258"/>
      <c r="B4220" s="258"/>
      <c r="C4220" s="261"/>
      <c r="D4220" s="258"/>
      <c r="E4220" s="679"/>
      <c r="F4220" s="499">
        <v>426</v>
      </c>
      <c r="G4220" s="492" t="s">
        <v>3787</v>
      </c>
      <c r="H4220" s="555"/>
      <c r="I4220" s="556"/>
      <c r="J4220" s="556">
        <f t="shared" si="142"/>
        <v>0</v>
      </c>
      <c r="K4220" s="505"/>
      <c r="L4220" s="505"/>
      <c r="M4220" s="505"/>
      <c r="N4220" s="505"/>
      <c r="O4220" s="505"/>
      <c r="P4220" s="505"/>
      <c r="Q4220" s="505"/>
      <c r="R4220" s="505"/>
      <c r="S4220" s="505"/>
      <c r="T4220" s="505"/>
      <c r="U4220" s="505"/>
      <c r="V4220" s="505"/>
      <c r="W4220" s="505"/>
      <c r="X4220" s="505"/>
      <c r="Y4220" s="505"/>
    </row>
    <row r="4221" spans="1:25" s="88" customFormat="1" hidden="1" x14ac:dyDescent="0.25">
      <c r="A4221" s="258"/>
      <c r="B4221" s="258"/>
      <c r="C4221" s="261"/>
      <c r="D4221" s="258"/>
      <c r="E4221" s="679"/>
      <c r="F4221" s="499">
        <v>431</v>
      </c>
      <c r="G4221" s="492" t="s">
        <v>4145</v>
      </c>
      <c r="H4221" s="555"/>
      <c r="I4221" s="556"/>
      <c r="J4221" s="556">
        <f t="shared" si="142"/>
        <v>0</v>
      </c>
      <c r="K4221" s="505"/>
      <c r="L4221" s="505"/>
      <c r="M4221" s="505"/>
      <c r="N4221" s="505"/>
      <c r="O4221" s="505"/>
      <c r="P4221" s="505"/>
      <c r="Q4221" s="505"/>
      <c r="R4221" s="505"/>
      <c r="S4221" s="505"/>
      <c r="T4221" s="505"/>
      <c r="U4221" s="505"/>
      <c r="V4221" s="505"/>
      <c r="W4221" s="505"/>
      <c r="X4221" s="505"/>
      <c r="Y4221" s="505"/>
    </row>
    <row r="4222" spans="1:25" s="88" customFormat="1" hidden="1" x14ac:dyDescent="0.25">
      <c r="A4222" s="258"/>
      <c r="B4222" s="258"/>
      <c r="C4222" s="261"/>
      <c r="D4222" s="258"/>
      <c r="E4222" s="679"/>
      <c r="F4222" s="499">
        <v>432</v>
      </c>
      <c r="G4222" s="492" t="s">
        <v>4146</v>
      </c>
      <c r="H4222" s="555"/>
      <c r="I4222" s="556"/>
      <c r="J4222" s="556">
        <f t="shared" si="142"/>
        <v>0</v>
      </c>
      <c r="K4222" s="505"/>
      <c r="L4222" s="505"/>
      <c r="M4222" s="505"/>
      <c r="N4222" s="505"/>
      <c r="O4222" s="505"/>
      <c r="P4222" s="505"/>
      <c r="Q4222" s="505"/>
      <c r="R4222" s="505"/>
      <c r="S4222" s="505"/>
      <c r="T4222" s="505"/>
      <c r="U4222" s="505"/>
      <c r="V4222" s="505"/>
      <c r="W4222" s="505"/>
      <c r="X4222" s="505"/>
      <c r="Y4222" s="505"/>
    </row>
    <row r="4223" spans="1:25" s="88" customFormat="1" hidden="1" x14ac:dyDescent="0.25">
      <c r="A4223" s="258"/>
      <c r="B4223" s="258"/>
      <c r="C4223" s="261"/>
      <c r="D4223" s="258"/>
      <c r="E4223" s="679"/>
      <c r="F4223" s="499">
        <v>433</v>
      </c>
      <c r="G4223" s="492" t="s">
        <v>4147</v>
      </c>
      <c r="H4223" s="555"/>
      <c r="I4223" s="556"/>
      <c r="J4223" s="556">
        <f t="shared" si="142"/>
        <v>0</v>
      </c>
      <c r="K4223" s="505"/>
      <c r="L4223" s="505"/>
      <c r="M4223" s="505"/>
      <c r="N4223" s="505"/>
      <c r="O4223" s="505"/>
      <c r="P4223" s="505"/>
      <c r="Q4223" s="505"/>
      <c r="R4223" s="505"/>
      <c r="S4223" s="505"/>
      <c r="T4223" s="505"/>
      <c r="U4223" s="505"/>
      <c r="V4223" s="505"/>
      <c r="W4223" s="505"/>
      <c r="X4223" s="505"/>
      <c r="Y4223" s="505"/>
    </row>
    <row r="4224" spans="1:25" s="88" customFormat="1" hidden="1" x14ac:dyDescent="0.25">
      <c r="A4224" s="258"/>
      <c r="B4224" s="258"/>
      <c r="C4224" s="261"/>
      <c r="D4224" s="258"/>
      <c r="E4224" s="679"/>
      <c r="F4224" s="499">
        <v>434</v>
      </c>
      <c r="G4224" s="492" t="s">
        <v>4148</v>
      </c>
      <c r="H4224" s="555"/>
      <c r="I4224" s="556"/>
      <c r="J4224" s="556">
        <f t="shared" si="142"/>
        <v>0</v>
      </c>
      <c r="K4224" s="505"/>
      <c r="L4224" s="505"/>
      <c r="M4224" s="505"/>
      <c r="N4224" s="505"/>
      <c r="O4224" s="505"/>
      <c r="P4224" s="505"/>
      <c r="Q4224" s="505"/>
      <c r="R4224" s="505"/>
      <c r="S4224" s="505"/>
      <c r="T4224" s="505"/>
      <c r="U4224" s="505"/>
      <c r="V4224" s="505"/>
      <c r="W4224" s="505"/>
      <c r="X4224" s="505"/>
      <c r="Y4224" s="505"/>
    </row>
    <row r="4225" spans="1:25" s="88" customFormat="1" hidden="1" x14ac:dyDescent="0.25">
      <c r="A4225" s="258"/>
      <c r="B4225" s="258"/>
      <c r="C4225" s="261"/>
      <c r="D4225" s="258"/>
      <c r="E4225" s="679"/>
      <c r="F4225" s="499">
        <v>435</v>
      </c>
      <c r="G4225" s="492" t="s">
        <v>3794</v>
      </c>
      <c r="H4225" s="555"/>
      <c r="I4225" s="556"/>
      <c r="J4225" s="556">
        <f t="shared" si="142"/>
        <v>0</v>
      </c>
      <c r="K4225" s="505"/>
      <c r="L4225" s="505"/>
      <c r="M4225" s="505"/>
      <c r="N4225" s="505"/>
      <c r="O4225" s="505"/>
      <c r="P4225" s="505"/>
      <c r="Q4225" s="505"/>
      <c r="R4225" s="505"/>
      <c r="S4225" s="505"/>
      <c r="T4225" s="505"/>
      <c r="U4225" s="505"/>
      <c r="V4225" s="505"/>
      <c r="W4225" s="505"/>
      <c r="X4225" s="505"/>
      <c r="Y4225" s="505"/>
    </row>
    <row r="4226" spans="1:25" s="88" customFormat="1" hidden="1" x14ac:dyDescent="0.25">
      <c r="A4226" s="258"/>
      <c r="B4226" s="258"/>
      <c r="C4226" s="261"/>
      <c r="D4226" s="258"/>
      <c r="E4226" s="679"/>
      <c r="F4226" s="499">
        <v>441</v>
      </c>
      <c r="G4226" s="492" t="s">
        <v>4149</v>
      </c>
      <c r="H4226" s="555"/>
      <c r="I4226" s="556"/>
      <c r="J4226" s="556">
        <f t="shared" si="142"/>
        <v>0</v>
      </c>
      <c r="K4226" s="505"/>
      <c r="L4226" s="505"/>
      <c r="M4226" s="505"/>
      <c r="N4226" s="505"/>
      <c r="O4226" s="505"/>
      <c r="P4226" s="505"/>
      <c r="Q4226" s="505"/>
      <c r="R4226" s="505"/>
      <c r="S4226" s="505"/>
      <c r="T4226" s="505"/>
      <c r="U4226" s="505"/>
      <c r="V4226" s="505"/>
      <c r="W4226" s="505"/>
      <c r="X4226" s="505"/>
      <c r="Y4226" s="505"/>
    </row>
    <row r="4227" spans="1:25" s="88" customFormat="1" hidden="1" x14ac:dyDescent="0.25">
      <c r="A4227" s="258"/>
      <c r="B4227" s="258"/>
      <c r="C4227" s="261"/>
      <c r="D4227" s="258"/>
      <c r="E4227" s="679"/>
      <c r="F4227" s="499">
        <v>442</v>
      </c>
      <c r="G4227" s="492" t="s">
        <v>4150</v>
      </c>
      <c r="H4227" s="555"/>
      <c r="I4227" s="556"/>
      <c r="J4227" s="556">
        <f t="shared" si="142"/>
        <v>0</v>
      </c>
      <c r="K4227" s="505"/>
      <c r="L4227" s="505"/>
      <c r="M4227" s="505"/>
      <c r="N4227" s="505"/>
      <c r="O4227" s="505"/>
      <c r="P4227" s="505"/>
      <c r="Q4227" s="505"/>
      <c r="R4227" s="505"/>
      <c r="S4227" s="505"/>
      <c r="T4227" s="505"/>
      <c r="U4227" s="505"/>
      <c r="V4227" s="505"/>
      <c r="W4227" s="505"/>
      <c r="X4227" s="505"/>
      <c r="Y4227" s="505"/>
    </row>
    <row r="4228" spans="1:25" s="88" customFormat="1" hidden="1" x14ac:dyDescent="0.25">
      <c r="A4228" s="258"/>
      <c r="B4228" s="258"/>
      <c r="C4228" s="261"/>
      <c r="D4228" s="258"/>
      <c r="E4228" s="679"/>
      <c r="F4228" s="499">
        <v>443</v>
      </c>
      <c r="G4228" s="492" t="s">
        <v>3799</v>
      </c>
      <c r="H4228" s="555"/>
      <c r="I4228" s="556"/>
      <c r="J4228" s="556">
        <f t="shared" si="142"/>
        <v>0</v>
      </c>
      <c r="K4228" s="505"/>
      <c r="L4228" s="505"/>
      <c r="M4228" s="505"/>
      <c r="N4228" s="505"/>
      <c r="O4228" s="505"/>
      <c r="P4228" s="505"/>
      <c r="Q4228" s="505"/>
      <c r="R4228" s="505"/>
      <c r="S4228" s="505"/>
      <c r="T4228" s="505"/>
      <c r="U4228" s="505"/>
      <c r="V4228" s="505"/>
      <c r="W4228" s="505"/>
      <c r="X4228" s="505"/>
      <c r="Y4228" s="505"/>
    </row>
    <row r="4229" spans="1:25" s="88" customFormat="1" hidden="1" x14ac:dyDescent="0.25">
      <c r="A4229" s="258"/>
      <c r="B4229" s="258"/>
      <c r="C4229" s="261"/>
      <c r="D4229" s="258"/>
      <c r="E4229" s="679"/>
      <c r="F4229" s="499">
        <v>444</v>
      </c>
      <c r="G4229" s="492" t="s">
        <v>3800</v>
      </c>
      <c r="H4229" s="555"/>
      <c r="I4229" s="556"/>
      <c r="J4229" s="556">
        <f t="shared" si="142"/>
        <v>0</v>
      </c>
      <c r="K4229" s="505"/>
      <c r="L4229" s="505"/>
      <c r="M4229" s="505"/>
      <c r="N4229" s="505"/>
      <c r="O4229" s="505"/>
      <c r="P4229" s="505"/>
      <c r="Q4229" s="505"/>
      <c r="R4229" s="505"/>
      <c r="S4229" s="505"/>
      <c r="T4229" s="505"/>
      <c r="U4229" s="505"/>
      <c r="V4229" s="505"/>
      <c r="W4229" s="505"/>
      <c r="X4229" s="505"/>
      <c r="Y4229" s="505"/>
    </row>
    <row r="4230" spans="1:25" s="88" customFormat="1" ht="30" hidden="1" x14ac:dyDescent="0.25">
      <c r="A4230" s="258"/>
      <c r="B4230" s="258"/>
      <c r="C4230" s="261"/>
      <c r="D4230" s="258"/>
      <c r="E4230" s="679"/>
      <c r="F4230" s="499">
        <v>4511</v>
      </c>
      <c r="G4230" s="771" t="s">
        <v>1690</v>
      </c>
      <c r="H4230" s="555"/>
      <c r="I4230" s="556"/>
      <c r="J4230" s="556">
        <f t="shared" si="142"/>
        <v>0</v>
      </c>
      <c r="K4230" s="505"/>
      <c r="L4230" s="505"/>
      <c r="M4230" s="505"/>
      <c r="N4230" s="505"/>
      <c r="O4230" s="505"/>
      <c r="P4230" s="505"/>
      <c r="Q4230" s="505"/>
      <c r="R4230" s="505"/>
      <c r="S4230" s="505"/>
      <c r="T4230" s="505"/>
      <c r="U4230" s="505"/>
      <c r="V4230" s="505"/>
      <c r="W4230" s="505"/>
      <c r="X4230" s="505"/>
      <c r="Y4230" s="505"/>
    </row>
    <row r="4231" spans="1:25" s="88" customFormat="1" ht="30" hidden="1" x14ac:dyDescent="0.25">
      <c r="A4231" s="258"/>
      <c r="B4231" s="258"/>
      <c r="C4231" s="261"/>
      <c r="D4231" s="258"/>
      <c r="E4231" s="679"/>
      <c r="F4231" s="499">
        <v>4512</v>
      </c>
      <c r="G4231" s="771" t="s">
        <v>1699</v>
      </c>
      <c r="H4231" s="555"/>
      <c r="I4231" s="556"/>
      <c r="J4231" s="556">
        <f t="shared" si="142"/>
        <v>0</v>
      </c>
      <c r="K4231" s="505"/>
      <c r="L4231" s="505"/>
      <c r="M4231" s="505"/>
      <c r="N4231" s="505"/>
      <c r="O4231" s="505"/>
      <c r="P4231" s="505"/>
      <c r="Q4231" s="505"/>
      <c r="R4231" s="505"/>
      <c r="S4231" s="505"/>
      <c r="T4231" s="505"/>
      <c r="U4231" s="505"/>
      <c r="V4231" s="505"/>
      <c r="W4231" s="505"/>
      <c r="X4231" s="505"/>
      <c r="Y4231" s="505"/>
    </row>
    <row r="4232" spans="1:25" s="88" customFormat="1" hidden="1" x14ac:dyDescent="0.25">
      <c r="A4232" s="258"/>
      <c r="B4232" s="258"/>
      <c r="C4232" s="261"/>
      <c r="D4232" s="258"/>
      <c r="E4232" s="679"/>
      <c r="F4232" s="499">
        <v>452</v>
      </c>
      <c r="G4232" s="492" t="s">
        <v>4151</v>
      </c>
      <c r="H4232" s="555"/>
      <c r="I4232" s="556"/>
      <c r="J4232" s="556">
        <f t="shared" si="142"/>
        <v>0</v>
      </c>
      <c r="K4232" s="505"/>
      <c r="L4232" s="505"/>
      <c r="M4232" s="505"/>
      <c r="N4232" s="505"/>
      <c r="O4232" s="505"/>
      <c r="P4232" s="505"/>
      <c r="Q4232" s="505"/>
      <c r="R4232" s="505"/>
      <c r="S4232" s="505"/>
      <c r="T4232" s="505"/>
      <c r="U4232" s="505"/>
      <c r="V4232" s="505"/>
      <c r="W4232" s="505"/>
      <c r="X4232" s="505"/>
      <c r="Y4232" s="505"/>
    </row>
    <row r="4233" spans="1:25" s="88" customFormat="1" hidden="1" x14ac:dyDescent="0.25">
      <c r="A4233" s="258"/>
      <c r="B4233" s="258"/>
      <c r="C4233" s="261"/>
      <c r="D4233" s="258"/>
      <c r="E4233" s="679"/>
      <c r="F4233" s="499">
        <v>453</v>
      </c>
      <c r="G4233" s="492" t="s">
        <v>4152</v>
      </c>
      <c r="H4233" s="555"/>
      <c r="I4233" s="556"/>
      <c r="J4233" s="556">
        <f t="shared" si="142"/>
        <v>0</v>
      </c>
      <c r="K4233" s="505"/>
      <c r="L4233" s="505"/>
      <c r="M4233" s="505"/>
      <c r="N4233" s="505"/>
      <c r="O4233" s="505"/>
      <c r="P4233" s="505"/>
      <c r="Q4233" s="505"/>
      <c r="R4233" s="505"/>
      <c r="S4233" s="505"/>
      <c r="T4233" s="505"/>
      <c r="U4233" s="505"/>
      <c r="V4233" s="505"/>
      <c r="W4233" s="505"/>
      <c r="X4233" s="505"/>
      <c r="Y4233" s="505"/>
    </row>
    <row r="4234" spans="1:25" s="88" customFormat="1" hidden="1" x14ac:dyDescent="0.25">
      <c r="A4234" s="258"/>
      <c r="B4234" s="258"/>
      <c r="C4234" s="261"/>
      <c r="D4234" s="258"/>
      <c r="E4234" s="679"/>
      <c r="F4234" s="499">
        <v>454</v>
      </c>
      <c r="G4234" s="492" t="s">
        <v>3805</v>
      </c>
      <c r="H4234" s="555"/>
      <c r="I4234" s="556"/>
      <c r="J4234" s="556">
        <f t="shared" si="142"/>
        <v>0</v>
      </c>
      <c r="K4234" s="505"/>
      <c r="L4234" s="505"/>
      <c r="M4234" s="505"/>
      <c r="N4234" s="505"/>
      <c r="O4234" s="505"/>
      <c r="P4234" s="505"/>
      <c r="Q4234" s="505"/>
      <c r="R4234" s="505"/>
      <c r="S4234" s="505"/>
      <c r="T4234" s="505"/>
      <c r="U4234" s="505"/>
      <c r="V4234" s="505"/>
      <c r="W4234" s="505"/>
      <c r="X4234" s="505"/>
      <c r="Y4234" s="505"/>
    </row>
    <row r="4235" spans="1:25" s="88" customFormat="1" hidden="1" x14ac:dyDescent="0.25">
      <c r="A4235" s="258"/>
      <c r="B4235" s="258"/>
      <c r="C4235" s="261"/>
      <c r="D4235" s="258"/>
      <c r="E4235" s="679"/>
      <c r="F4235" s="499">
        <v>461</v>
      </c>
      <c r="G4235" s="492" t="s">
        <v>4133</v>
      </c>
      <c r="H4235" s="555"/>
      <c r="I4235" s="556"/>
      <c r="J4235" s="556">
        <f t="shared" si="142"/>
        <v>0</v>
      </c>
      <c r="K4235" s="505"/>
      <c r="L4235" s="505"/>
      <c r="M4235" s="505"/>
      <c r="N4235" s="505"/>
      <c r="O4235" s="505"/>
      <c r="P4235" s="505"/>
      <c r="Q4235" s="505"/>
      <c r="R4235" s="505"/>
      <c r="S4235" s="505"/>
      <c r="T4235" s="505"/>
      <c r="U4235" s="505"/>
      <c r="V4235" s="505"/>
      <c r="W4235" s="505"/>
      <c r="X4235" s="505"/>
      <c r="Y4235" s="505"/>
    </row>
    <row r="4236" spans="1:25" s="88" customFormat="1" hidden="1" x14ac:dyDescent="0.25">
      <c r="A4236" s="258"/>
      <c r="B4236" s="258"/>
      <c r="C4236" s="261"/>
      <c r="D4236" s="258"/>
      <c r="E4236" s="679"/>
      <c r="F4236" s="499">
        <v>462</v>
      </c>
      <c r="G4236" s="492" t="s">
        <v>3808</v>
      </c>
      <c r="H4236" s="555"/>
      <c r="I4236" s="556"/>
      <c r="J4236" s="556">
        <f t="shared" si="142"/>
        <v>0</v>
      </c>
      <c r="K4236" s="505"/>
      <c r="L4236" s="505"/>
      <c r="M4236" s="505"/>
      <c r="N4236" s="505"/>
      <c r="O4236" s="505"/>
      <c r="P4236" s="505"/>
      <c r="Q4236" s="505"/>
      <c r="R4236" s="505"/>
      <c r="S4236" s="505"/>
      <c r="T4236" s="505"/>
      <c r="U4236" s="505"/>
      <c r="V4236" s="505"/>
      <c r="W4236" s="505"/>
      <c r="X4236" s="505"/>
      <c r="Y4236" s="505"/>
    </row>
    <row r="4237" spans="1:25" s="88" customFormat="1" hidden="1" x14ac:dyDescent="0.25">
      <c r="A4237" s="258"/>
      <c r="B4237" s="258"/>
      <c r="C4237" s="261"/>
      <c r="D4237" s="258"/>
      <c r="E4237" s="679"/>
      <c r="F4237" s="499">
        <v>4631</v>
      </c>
      <c r="G4237" s="492" t="s">
        <v>3809</v>
      </c>
      <c r="H4237" s="555"/>
      <c r="I4237" s="556"/>
      <c r="J4237" s="556">
        <f t="shared" si="142"/>
        <v>0</v>
      </c>
      <c r="K4237" s="505"/>
      <c r="L4237" s="505"/>
      <c r="M4237" s="505"/>
      <c r="N4237" s="505"/>
      <c r="O4237" s="505"/>
      <c r="P4237" s="505"/>
      <c r="Q4237" s="505"/>
      <c r="R4237" s="505"/>
      <c r="S4237" s="505"/>
      <c r="T4237" s="505"/>
      <c r="U4237" s="505"/>
      <c r="V4237" s="505"/>
      <c r="W4237" s="505"/>
      <c r="X4237" s="505"/>
      <c r="Y4237" s="505"/>
    </row>
    <row r="4238" spans="1:25" s="88" customFormat="1" hidden="1" x14ac:dyDescent="0.25">
      <c r="A4238" s="258"/>
      <c r="B4238" s="258"/>
      <c r="C4238" s="261"/>
      <c r="D4238" s="258"/>
      <c r="E4238" s="679"/>
      <c r="F4238" s="499">
        <v>4632</v>
      </c>
      <c r="G4238" s="492" t="s">
        <v>3810</v>
      </c>
      <c r="H4238" s="555"/>
      <c r="I4238" s="556"/>
      <c r="J4238" s="556">
        <f t="shared" si="142"/>
        <v>0</v>
      </c>
      <c r="K4238" s="505"/>
      <c r="L4238" s="505"/>
      <c r="M4238" s="505"/>
      <c r="N4238" s="505"/>
      <c r="O4238" s="505"/>
      <c r="P4238" s="505"/>
      <c r="Q4238" s="505"/>
      <c r="R4238" s="505"/>
      <c r="S4238" s="505"/>
      <c r="T4238" s="505"/>
      <c r="U4238" s="505"/>
      <c r="V4238" s="505"/>
      <c r="W4238" s="505"/>
      <c r="X4238" s="505"/>
      <c r="Y4238" s="505"/>
    </row>
    <row r="4239" spans="1:25" s="88" customFormat="1" hidden="1" x14ac:dyDescent="0.25">
      <c r="A4239" s="258"/>
      <c r="B4239" s="258"/>
      <c r="C4239" s="261"/>
      <c r="D4239" s="258"/>
      <c r="E4239" s="679"/>
      <c r="F4239" s="499">
        <v>464</v>
      </c>
      <c r="G4239" s="492" t="s">
        <v>3811</v>
      </c>
      <c r="H4239" s="555"/>
      <c r="I4239" s="556"/>
      <c r="J4239" s="556">
        <f t="shared" si="142"/>
        <v>0</v>
      </c>
      <c r="K4239" s="505"/>
      <c r="L4239" s="505"/>
      <c r="M4239" s="505"/>
      <c r="N4239" s="505"/>
      <c r="O4239" s="505"/>
      <c r="P4239" s="505"/>
      <c r="Q4239" s="505"/>
      <c r="R4239" s="505"/>
      <c r="S4239" s="505"/>
      <c r="T4239" s="505"/>
      <c r="U4239" s="505"/>
      <c r="V4239" s="505"/>
      <c r="W4239" s="505"/>
      <c r="X4239" s="505"/>
      <c r="Y4239" s="505"/>
    </row>
    <row r="4240" spans="1:25" s="88" customFormat="1" hidden="1" x14ac:dyDescent="0.25">
      <c r="A4240" s="258"/>
      <c r="B4240" s="258"/>
      <c r="C4240" s="261"/>
      <c r="D4240" s="258"/>
      <c r="E4240" s="679"/>
      <c r="F4240" s="499">
        <v>465</v>
      </c>
      <c r="G4240" s="492" t="s">
        <v>4134</v>
      </c>
      <c r="H4240" s="555"/>
      <c r="I4240" s="556"/>
      <c r="J4240" s="556">
        <f t="shared" si="142"/>
        <v>0</v>
      </c>
      <c r="K4240" s="505"/>
      <c r="L4240" s="505"/>
      <c r="M4240" s="505"/>
      <c r="N4240" s="505"/>
      <c r="O4240" s="505"/>
      <c r="P4240" s="505"/>
      <c r="Q4240" s="505"/>
      <c r="R4240" s="505"/>
      <c r="S4240" s="505"/>
      <c r="T4240" s="505"/>
      <c r="U4240" s="505"/>
      <c r="V4240" s="505"/>
      <c r="W4240" s="505"/>
      <c r="X4240" s="505"/>
      <c r="Y4240" s="505"/>
    </row>
    <row r="4241" spans="1:25" s="88" customFormat="1" hidden="1" x14ac:dyDescent="0.25">
      <c r="A4241" s="258"/>
      <c r="B4241" s="258"/>
      <c r="C4241" s="261"/>
      <c r="D4241" s="258"/>
      <c r="E4241" s="679"/>
      <c r="F4241" s="499">
        <v>472</v>
      </c>
      <c r="G4241" s="492" t="s">
        <v>3815</v>
      </c>
      <c r="H4241" s="555"/>
      <c r="I4241" s="556"/>
      <c r="J4241" s="556">
        <f t="shared" si="142"/>
        <v>0</v>
      </c>
      <c r="K4241" s="505"/>
      <c r="L4241" s="505"/>
      <c r="M4241" s="505"/>
      <c r="N4241" s="505"/>
      <c r="O4241" s="505"/>
      <c r="P4241" s="505"/>
      <c r="Q4241" s="505"/>
      <c r="R4241" s="505"/>
      <c r="S4241" s="505"/>
      <c r="T4241" s="505"/>
      <c r="U4241" s="505"/>
      <c r="V4241" s="505"/>
      <c r="W4241" s="505"/>
      <c r="X4241" s="505"/>
      <c r="Y4241" s="505"/>
    </row>
    <row r="4242" spans="1:25" s="88" customFormat="1" hidden="1" x14ac:dyDescent="0.25">
      <c r="A4242" s="258"/>
      <c r="B4242" s="258"/>
      <c r="C4242" s="261"/>
      <c r="D4242" s="258"/>
      <c r="E4242" s="679"/>
      <c r="F4242" s="499">
        <v>481</v>
      </c>
      <c r="G4242" s="492" t="s">
        <v>4153</v>
      </c>
      <c r="H4242" s="555"/>
      <c r="I4242" s="556"/>
      <c r="J4242" s="556">
        <f t="shared" si="142"/>
        <v>0</v>
      </c>
      <c r="K4242" s="505"/>
      <c r="L4242" s="505"/>
      <c r="M4242" s="505"/>
      <c r="N4242" s="505"/>
      <c r="O4242" s="505"/>
      <c r="P4242" s="505"/>
      <c r="Q4242" s="505"/>
      <c r="R4242" s="505"/>
      <c r="S4242" s="505"/>
      <c r="T4242" s="505"/>
      <c r="U4242" s="505"/>
      <c r="V4242" s="505"/>
      <c r="W4242" s="505"/>
      <c r="X4242" s="505"/>
      <c r="Y4242" s="505"/>
    </row>
    <row r="4243" spans="1:25" s="88" customFormat="1" hidden="1" x14ac:dyDescent="0.25">
      <c r="A4243" s="258"/>
      <c r="B4243" s="258"/>
      <c r="C4243" s="261"/>
      <c r="D4243" s="258"/>
      <c r="E4243" s="679"/>
      <c r="F4243" s="499">
        <v>482</v>
      </c>
      <c r="G4243" s="492" t="s">
        <v>4154</v>
      </c>
      <c r="H4243" s="555"/>
      <c r="I4243" s="556"/>
      <c r="J4243" s="556">
        <f t="shared" si="142"/>
        <v>0</v>
      </c>
      <c r="K4243" s="505"/>
      <c r="L4243" s="505"/>
      <c r="M4243" s="505"/>
      <c r="N4243" s="505"/>
      <c r="O4243" s="505"/>
      <c r="P4243" s="505"/>
      <c r="Q4243" s="505"/>
      <c r="R4243" s="505"/>
      <c r="S4243" s="505"/>
      <c r="T4243" s="505"/>
      <c r="U4243" s="505"/>
      <c r="V4243" s="505"/>
      <c r="W4243" s="505"/>
      <c r="X4243" s="505"/>
      <c r="Y4243" s="505"/>
    </row>
    <row r="4244" spans="1:25" s="88" customFormat="1" hidden="1" x14ac:dyDescent="0.25">
      <c r="A4244" s="258"/>
      <c r="B4244" s="258"/>
      <c r="C4244" s="261"/>
      <c r="D4244" s="258"/>
      <c r="E4244" s="679"/>
      <c r="F4244" s="499">
        <v>483</v>
      </c>
      <c r="G4244" s="496" t="s">
        <v>4155</v>
      </c>
      <c r="H4244" s="555"/>
      <c r="I4244" s="556"/>
      <c r="J4244" s="556">
        <f t="shared" si="142"/>
        <v>0</v>
      </c>
      <c r="K4244" s="505"/>
      <c r="L4244" s="505"/>
      <c r="M4244" s="505"/>
      <c r="N4244" s="505"/>
      <c r="O4244" s="505"/>
      <c r="P4244" s="505"/>
      <c r="Q4244" s="505"/>
      <c r="R4244" s="505"/>
      <c r="S4244" s="505"/>
      <c r="T4244" s="505"/>
      <c r="U4244" s="505"/>
      <c r="V4244" s="505"/>
      <c r="W4244" s="505"/>
      <c r="X4244" s="505"/>
      <c r="Y4244" s="505"/>
    </row>
    <row r="4245" spans="1:25" s="88" customFormat="1" ht="30" hidden="1" x14ac:dyDescent="0.25">
      <c r="A4245" s="258"/>
      <c r="B4245" s="258"/>
      <c r="C4245" s="261"/>
      <c r="D4245" s="258"/>
      <c r="E4245" s="679"/>
      <c r="F4245" s="499">
        <v>484</v>
      </c>
      <c r="G4245" s="492" t="s">
        <v>4156</v>
      </c>
      <c r="H4245" s="555"/>
      <c r="I4245" s="556"/>
      <c r="J4245" s="556">
        <f t="shared" si="142"/>
        <v>0</v>
      </c>
      <c r="K4245" s="505"/>
      <c r="L4245" s="505"/>
      <c r="M4245" s="505"/>
      <c r="N4245" s="505"/>
      <c r="O4245" s="505"/>
      <c r="P4245" s="505"/>
      <c r="Q4245" s="505"/>
      <c r="R4245" s="505"/>
      <c r="S4245" s="505"/>
      <c r="T4245" s="505"/>
      <c r="U4245" s="505"/>
      <c r="V4245" s="505"/>
      <c r="W4245" s="505"/>
      <c r="X4245" s="505"/>
      <c r="Y4245" s="505"/>
    </row>
    <row r="4246" spans="1:25" s="88" customFormat="1" ht="30" hidden="1" x14ac:dyDescent="0.25">
      <c r="A4246" s="258"/>
      <c r="B4246" s="258"/>
      <c r="C4246" s="261"/>
      <c r="D4246" s="258"/>
      <c r="E4246" s="679"/>
      <c r="F4246" s="499">
        <v>485</v>
      </c>
      <c r="G4246" s="492" t="s">
        <v>4157</v>
      </c>
      <c r="H4246" s="555"/>
      <c r="I4246" s="556"/>
      <c r="J4246" s="556">
        <f t="shared" si="142"/>
        <v>0</v>
      </c>
      <c r="K4246" s="505"/>
      <c r="L4246" s="505"/>
      <c r="M4246" s="505"/>
      <c r="N4246" s="505"/>
      <c r="O4246" s="505"/>
      <c r="P4246" s="505"/>
      <c r="Q4246" s="505"/>
      <c r="R4246" s="505"/>
      <c r="S4246" s="505"/>
      <c r="T4246" s="505"/>
      <c r="U4246" s="505"/>
      <c r="V4246" s="505"/>
      <c r="W4246" s="505"/>
      <c r="X4246" s="505"/>
      <c r="Y4246" s="505"/>
    </row>
    <row r="4247" spans="1:25" s="88" customFormat="1" ht="30" hidden="1" x14ac:dyDescent="0.25">
      <c r="A4247" s="258"/>
      <c r="B4247" s="258"/>
      <c r="C4247" s="261"/>
      <c r="D4247" s="258"/>
      <c r="E4247" s="679"/>
      <c r="F4247" s="499">
        <v>489</v>
      </c>
      <c r="G4247" s="492" t="s">
        <v>3823</v>
      </c>
      <c r="H4247" s="555"/>
      <c r="I4247" s="556"/>
      <c r="J4247" s="556">
        <f t="shared" si="142"/>
        <v>0</v>
      </c>
      <c r="K4247" s="505"/>
      <c r="L4247" s="505"/>
      <c r="M4247" s="505"/>
      <c r="N4247" s="505"/>
      <c r="O4247" s="505"/>
      <c r="P4247" s="505"/>
      <c r="Q4247" s="505"/>
      <c r="R4247" s="505"/>
      <c r="S4247" s="505"/>
      <c r="T4247" s="505"/>
      <c r="U4247" s="505"/>
      <c r="V4247" s="505"/>
      <c r="W4247" s="505"/>
      <c r="X4247" s="505"/>
      <c r="Y4247" s="505"/>
    </row>
    <row r="4248" spans="1:25" s="88" customFormat="1" hidden="1" x14ac:dyDescent="0.25">
      <c r="A4248" s="258"/>
      <c r="B4248" s="258"/>
      <c r="C4248" s="261"/>
      <c r="D4248" s="258"/>
      <c r="E4248" s="679"/>
      <c r="F4248" s="499">
        <v>494</v>
      </c>
      <c r="G4248" s="492" t="s">
        <v>4135</v>
      </c>
      <c r="H4248" s="555"/>
      <c r="I4248" s="556"/>
      <c r="J4248" s="556">
        <f t="shared" si="142"/>
        <v>0</v>
      </c>
      <c r="K4248" s="505"/>
      <c r="L4248" s="505"/>
      <c r="M4248" s="505"/>
      <c r="N4248" s="505"/>
      <c r="O4248" s="505"/>
      <c r="P4248" s="505"/>
      <c r="Q4248" s="505"/>
      <c r="R4248" s="505"/>
      <c r="S4248" s="505"/>
      <c r="T4248" s="505"/>
      <c r="U4248" s="505"/>
      <c r="V4248" s="505"/>
      <c r="W4248" s="505"/>
      <c r="X4248" s="505"/>
      <c r="Y4248" s="505"/>
    </row>
    <row r="4249" spans="1:25" s="88" customFormat="1" ht="30" hidden="1" x14ac:dyDescent="0.25">
      <c r="A4249" s="258"/>
      <c r="B4249" s="258"/>
      <c r="C4249" s="261"/>
      <c r="D4249" s="258"/>
      <c r="E4249" s="679"/>
      <c r="F4249" s="499">
        <v>495</v>
      </c>
      <c r="G4249" s="492" t="s">
        <v>4136</v>
      </c>
      <c r="H4249" s="555"/>
      <c r="I4249" s="556"/>
      <c r="J4249" s="556">
        <f t="shared" si="142"/>
        <v>0</v>
      </c>
      <c r="K4249" s="505"/>
      <c r="L4249" s="505"/>
      <c r="M4249" s="505"/>
      <c r="N4249" s="505"/>
      <c r="O4249" s="505"/>
      <c r="P4249" s="505"/>
      <c r="Q4249" s="505"/>
      <c r="R4249" s="505"/>
      <c r="S4249" s="505"/>
      <c r="T4249" s="505"/>
      <c r="U4249" s="505"/>
      <c r="V4249" s="505"/>
      <c r="W4249" s="505"/>
      <c r="X4249" s="505"/>
      <c r="Y4249" s="505"/>
    </row>
    <row r="4250" spans="1:25" s="88" customFormat="1" ht="30" hidden="1" x14ac:dyDescent="0.25">
      <c r="A4250" s="258"/>
      <c r="B4250" s="258"/>
      <c r="C4250" s="261"/>
      <c r="D4250" s="258"/>
      <c r="E4250" s="679"/>
      <c r="F4250" s="499">
        <v>496</v>
      </c>
      <c r="G4250" s="492" t="s">
        <v>4137</v>
      </c>
      <c r="H4250" s="555"/>
      <c r="I4250" s="556"/>
      <c r="J4250" s="556">
        <f t="shared" si="142"/>
        <v>0</v>
      </c>
      <c r="K4250" s="505"/>
      <c r="L4250" s="505"/>
      <c r="M4250" s="505"/>
      <c r="N4250" s="505"/>
      <c r="O4250" s="505"/>
      <c r="P4250" s="505"/>
      <c r="Q4250" s="505"/>
      <c r="R4250" s="505"/>
      <c r="S4250" s="505"/>
      <c r="T4250" s="505"/>
      <c r="U4250" s="505"/>
      <c r="V4250" s="505"/>
      <c r="W4250" s="505"/>
      <c r="X4250" s="505"/>
      <c r="Y4250" s="505"/>
    </row>
    <row r="4251" spans="1:25" s="88" customFormat="1" ht="30" hidden="1" x14ac:dyDescent="0.25">
      <c r="A4251" s="258"/>
      <c r="B4251" s="258"/>
      <c r="C4251" s="261"/>
      <c r="D4251" s="258"/>
      <c r="E4251" s="679"/>
      <c r="F4251" s="499">
        <v>499</v>
      </c>
      <c r="G4251" s="492" t="s">
        <v>4138</v>
      </c>
      <c r="H4251" s="555"/>
      <c r="I4251" s="556"/>
      <c r="J4251" s="556">
        <f t="shared" si="142"/>
        <v>0</v>
      </c>
      <c r="K4251" s="505"/>
      <c r="L4251" s="505"/>
      <c r="M4251" s="505"/>
      <c r="N4251" s="505"/>
      <c r="O4251" s="505"/>
      <c r="P4251" s="505"/>
      <c r="Q4251" s="505"/>
      <c r="R4251" s="505"/>
      <c r="S4251" s="505"/>
      <c r="T4251" s="505"/>
      <c r="U4251" s="505"/>
      <c r="V4251" s="505"/>
      <c r="W4251" s="505"/>
      <c r="X4251" s="505"/>
      <c r="Y4251" s="505"/>
    </row>
    <row r="4252" spans="1:25" s="88" customFormat="1" hidden="1" x14ac:dyDescent="0.25">
      <c r="A4252" s="258"/>
      <c r="B4252" s="258"/>
      <c r="C4252" s="261"/>
      <c r="D4252" s="258"/>
      <c r="E4252" s="679"/>
      <c r="F4252" s="499">
        <v>511</v>
      </c>
      <c r="G4252" s="496" t="s">
        <v>4158</v>
      </c>
      <c r="H4252" s="555">
        <v>0</v>
      </c>
      <c r="I4252" s="556"/>
      <c r="J4252" s="556">
        <f t="shared" si="142"/>
        <v>0</v>
      </c>
      <c r="K4252" s="505"/>
      <c r="L4252" s="505"/>
      <c r="M4252" s="505"/>
      <c r="N4252" s="505"/>
      <c r="O4252" s="505"/>
      <c r="P4252" s="505"/>
      <c r="Q4252" s="505"/>
      <c r="R4252" s="505"/>
      <c r="S4252" s="505"/>
      <c r="T4252" s="505"/>
      <c r="U4252" s="505"/>
      <c r="V4252" s="505"/>
      <c r="W4252" s="505"/>
      <c r="X4252" s="505"/>
      <c r="Y4252" s="505"/>
    </row>
    <row r="4253" spans="1:25" s="88" customFormat="1" hidden="1" x14ac:dyDescent="0.25">
      <c r="A4253" s="258"/>
      <c r="B4253" s="258"/>
      <c r="C4253" s="261"/>
      <c r="D4253" s="258"/>
      <c r="E4253" s="679"/>
      <c r="F4253" s="499">
        <v>512</v>
      </c>
      <c r="G4253" s="496" t="s">
        <v>4159</v>
      </c>
      <c r="H4253" s="555"/>
      <c r="I4253" s="556"/>
      <c r="J4253" s="556">
        <f t="shared" si="142"/>
        <v>0</v>
      </c>
      <c r="K4253" s="505"/>
      <c r="L4253" s="505"/>
      <c r="M4253" s="505"/>
      <c r="N4253" s="505"/>
      <c r="O4253" s="505"/>
      <c r="P4253" s="505"/>
      <c r="Q4253" s="505"/>
      <c r="R4253" s="505"/>
      <c r="S4253" s="505"/>
      <c r="T4253" s="505"/>
      <c r="U4253" s="505"/>
      <c r="V4253" s="505"/>
      <c r="W4253" s="505"/>
      <c r="X4253" s="505"/>
      <c r="Y4253" s="505"/>
    </row>
    <row r="4254" spans="1:25" s="88" customFormat="1" hidden="1" x14ac:dyDescent="0.25">
      <c r="A4254" s="258"/>
      <c r="B4254" s="258"/>
      <c r="C4254" s="261"/>
      <c r="D4254" s="258"/>
      <c r="E4254" s="679"/>
      <c r="F4254" s="499">
        <v>513</v>
      </c>
      <c r="G4254" s="496" t="s">
        <v>4160</v>
      </c>
      <c r="H4254" s="555"/>
      <c r="I4254" s="556"/>
      <c r="J4254" s="556">
        <f t="shared" si="142"/>
        <v>0</v>
      </c>
      <c r="K4254" s="505"/>
      <c r="L4254" s="505"/>
      <c r="M4254" s="505"/>
      <c r="N4254" s="505"/>
      <c r="O4254" s="505"/>
      <c r="P4254" s="505"/>
      <c r="Q4254" s="505"/>
      <c r="R4254" s="505"/>
      <c r="S4254" s="505"/>
      <c r="T4254" s="505"/>
      <c r="U4254" s="505"/>
      <c r="V4254" s="505"/>
      <c r="W4254" s="505"/>
      <c r="X4254" s="505"/>
      <c r="Y4254" s="505"/>
    </row>
    <row r="4255" spans="1:25" s="88" customFormat="1" hidden="1" x14ac:dyDescent="0.25">
      <c r="A4255" s="258"/>
      <c r="B4255" s="258"/>
      <c r="C4255" s="261"/>
      <c r="D4255" s="258"/>
      <c r="E4255" s="679"/>
      <c r="F4255" s="499">
        <v>514</v>
      </c>
      <c r="G4255" s="492" t="s">
        <v>4161</v>
      </c>
      <c r="H4255" s="555"/>
      <c r="I4255" s="556"/>
      <c r="J4255" s="556">
        <f t="shared" si="142"/>
        <v>0</v>
      </c>
      <c r="K4255" s="505"/>
      <c r="L4255" s="505"/>
      <c r="M4255" s="505"/>
      <c r="N4255" s="505"/>
      <c r="O4255" s="505"/>
      <c r="P4255" s="505"/>
      <c r="Q4255" s="505"/>
      <c r="R4255" s="505"/>
      <c r="S4255" s="505"/>
      <c r="T4255" s="505"/>
      <c r="U4255" s="505"/>
      <c r="V4255" s="505"/>
      <c r="W4255" s="505"/>
      <c r="X4255" s="505"/>
      <c r="Y4255" s="505"/>
    </row>
    <row r="4256" spans="1:25" s="88" customFormat="1" hidden="1" x14ac:dyDescent="0.25">
      <c r="A4256" s="258"/>
      <c r="B4256" s="258"/>
      <c r="C4256" s="261"/>
      <c r="D4256" s="258"/>
      <c r="E4256" s="679"/>
      <c r="F4256" s="499">
        <v>515</v>
      </c>
      <c r="G4256" s="492" t="s">
        <v>3834</v>
      </c>
      <c r="H4256" s="555"/>
      <c r="I4256" s="556"/>
      <c r="J4256" s="556">
        <f t="shared" si="142"/>
        <v>0</v>
      </c>
      <c r="K4256" s="505"/>
      <c r="L4256" s="505"/>
      <c r="M4256" s="505"/>
      <c r="N4256" s="505"/>
      <c r="O4256" s="505"/>
      <c r="P4256" s="505"/>
      <c r="Q4256" s="505"/>
      <c r="R4256" s="505"/>
      <c r="S4256" s="505"/>
      <c r="T4256" s="505"/>
      <c r="U4256" s="505"/>
      <c r="V4256" s="505"/>
      <c r="W4256" s="505"/>
      <c r="X4256" s="505"/>
      <c r="Y4256" s="505"/>
    </row>
    <row r="4257" spans="1:25" s="88" customFormat="1" hidden="1" x14ac:dyDescent="0.25">
      <c r="A4257" s="258"/>
      <c r="B4257" s="258"/>
      <c r="C4257" s="261"/>
      <c r="D4257" s="258"/>
      <c r="E4257" s="679"/>
      <c r="F4257" s="499">
        <v>521</v>
      </c>
      <c r="G4257" s="492" t="s">
        <v>4162</v>
      </c>
      <c r="H4257" s="555"/>
      <c r="I4257" s="556"/>
      <c r="J4257" s="556">
        <f t="shared" si="142"/>
        <v>0</v>
      </c>
      <c r="K4257" s="505"/>
      <c r="L4257" s="505"/>
      <c r="M4257" s="505"/>
      <c r="N4257" s="505"/>
      <c r="O4257" s="505"/>
      <c r="P4257" s="505"/>
      <c r="Q4257" s="505"/>
      <c r="R4257" s="505"/>
      <c r="S4257" s="505"/>
      <c r="T4257" s="505"/>
      <c r="U4257" s="505"/>
      <c r="V4257" s="505"/>
      <c r="W4257" s="505"/>
      <c r="X4257" s="505"/>
      <c r="Y4257" s="505"/>
    </row>
    <row r="4258" spans="1:25" s="88" customFormat="1" hidden="1" x14ac:dyDescent="0.25">
      <c r="A4258" s="258"/>
      <c r="B4258" s="258"/>
      <c r="C4258" s="261"/>
      <c r="D4258" s="258"/>
      <c r="E4258" s="679"/>
      <c r="F4258" s="499">
        <v>522</v>
      </c>
      <c r="G4258" s="492" t="s">
        <v>4163</v>
      </c>
      <c r="H4258" s="555"/>
      <c r="I4258" s="556"/>
      <c r="J4258" s="556">
        <f t="shared" si="142"/>
        <v>0</v>
      </c>
      <c r="K4258" s="505"/>
      <c r="L4258" s="505"/>
      <c r="M4258" s="505"/>
      <c r="N4258" s="505"/>
      <c r="O4258" s="505"/>
      <c r="P4258" s="505"/>
      <c r="Q4258" s="505"/>
      <c r="R4258" s="505"/>
      <c r="S4258" s="505"/>
      <c r="T4258" s="505"/>
      <c r="U4258" s="505"/>
      <c r="V4258" s="505"/>
      <c r="W4258" s="505"/>
      <c r="X4258" s="505"/>
      <c r="Y4258" s="505"/>
    </row>
    <row r="4259" spans="1:25" s="88" customFormat="1" hidden="1" x14ac:dyDescent="0.25">
      <c r="A4259" s="258"/>
      <c r="B4259" s="258"/>
      <c r="C4259" s="261"/>
      <c r="D4259" s="258"/>
      <c r="E4259" s="679"/>
      <c r="F4259" s="499">
        <v>523</v>
      </c>
      <c r="G4259" s="492" t="s">
        <v>3839</v>
      </c>
      <c r="H4259" s="555"/>
      <c r="I4259" s="556"/>
      <c r="J4259" s="556">
        <f t="shared" si="142"/>
        <v>0</v>
      </c>
      <c r="K4259" s="505"/>
      <c r="L4259" s="505"/>
      <c r="M4259" s="505"/>
      <c r="N4259" s="505"/>
      <c r="O4259" s="505"/>
      <c r="P4259" s="505"/>
      <c r="Q4259" s="505"/>
      <c r="R4259" s="505"/>
      <c r="S4259" s="505"/>
      <c r="T4259" s="505"/>
      <c r="U4259" s="505"/>
      <c r="V4259" s="505"/>
      <c r="W4259" s="505"/>
      <c r="X4259" s="505"/>
      <c r="Y4259" s="505"/>
    </row>
    <row r="4260" spans="1:25" s="88" customFormat="1" hidden="1" x14ac:dyDescent="0.25">
      <c r="A4260" s="258"/>
      <c r="B4260" s="258"/>
      <c r="C4260" s="261"/>
      <c r="D4260" s="258"/>
      <c r="E4260" s="679"/>
      <c r="F4260" s="499">
        <v>531</v>
      </c>
      <c r="G4260" s="488" t="s">
        <v>4139</v>
      </c>
      <c r="H4260" s="555"/>
      <c r="I4260" s="556"/>
      <c r="J4260" s="556">
        <f t="shared" si="142"/>
        <v>0</v>
      </c>
      <c r="K4260" s="505"/>
      <c r="L4260" s="505"/>
      <c r="M4260" s="505"/>
      <c r="N4260" s="505"/>
      <c r="O4260" s="505"/>
      <c r="P4260" s="505"/>
      <c r="Q4260" s="505"/>
      <c r="R4260" s="505"/>
      <c r="S4260" s="505"/>
      <c r="T4260" s="505"/>
      <c r="U4260" s="505"/>
      <c r="V4260" s="505"/>
      <c r="W4260" s="505"/>
      <c r="X4260" s="505"/>
      <c r="Y4260" s="505"/>
    </row>
    <row r="4261" spans="1:25" s="88" customFormat="1" hidden="1" x14ac:dyDescent="0.25">
      <c r="A4261" s="258"/>
      <c r="B4261" s="258"/>
      <c r="C4261" s="261"/>
      <c r="D4261" s="258"/>
      <c r="E4261" s="679"/>
      <c r="F4261" s="499">
        <v>541</v>
      </c>
      <c r="G4261" s="492" t="s">
        <v>4164</v>
      </c>
      <c r="H4261" s="555"/>
      <c r="I4261" s="556"/>
      <c r="J4261" s="556">
        <f t="shared" si="142"/>
        <v>0</v>
      </c>
      <c r="K4261" s="505"/>
      <c r="L4261" s="505"/>
      <c r="M4261" s="505"/>
      <c r="N4261" s="505"/>
      <c r="O4261" s="505"/>
      <c r="P4261" s="505"/>
      <c r="Q4261" s="505"/>
      <c r="R4261" s="505"/>
      <c r="S4261" s="505"/>
      <c r="T4261" s="505"/>
      <c r="U4261" s="505"/>
      <c r="V4261" s="505"/>
      <c r="W4261" s="505"/>
      <c r="X4261" s="505"/>
      <c r="Y4261" s="505"/>
    </row>
    <row r="4262" spans="1:25" s="88" customFormat="1" hidden="1" x14ac:dyDescent="0.25">
      <c r="A4262" s="258"/>
      <c r="B4262" s="258"/>
      <c r="C4262" s="261"/>
      <c r="D4262" s="258"/>
      <c r="E4262" s="679"/>
      <c r="F4262" s="499">
        <v>542</v>
      </c>
      <c r="G4262" s="492" t="s">
        <v>4165</v>
      </c>
      <c r="H4262" s="555"/>
      <c r="I4262" s="556"/>
      <c r="J4262" s="556">
        <f t="shared" si="142"/>
        <v>0</v>
      </c>
      <c r="K4262" s="505"/>
      <c r="L4262" s="505"/>
      <c r="M4262" s="505"/>
      <c r="N4262" s="505"/>
      <c r="O4262" s="505"/>
      <c r="P4262" s="505"/>
      <c r="Q4262" s="505"/>
      <c r="R4262" s="505"/>
      <c r="S4262" s="505"/>
      <c r="T4262" s="505"/>
      <c r="U4262" s="505"/>
      <c r="V4262" s="505"/>
      <c r="W4262" s="505"/>
      <c r="X4262" s="505"/>
      <c r="Y4262" s="505"/>
    </row>
    <row r="4263" spans="1:25" s="88" customFormat="1" hidden="1" x14ac:dyDescent="0.25">
      <c r="A4263" s="258"/>
      <c r="B4263" s="258"/>
      <c r="C4263" s="261"/>
      <c r="D4263" s="258"/>
      <c r="E4263" s="679"/>
      <c r="F4263" s="499">
        <v>543</v>
      </c>
      <c r="G4263" s="492" t="s">
        <v>3844</v>
      </c>
      <c r="H4263" s="555"/>
      <c r="I4263" s="556"/>
      <c r="J4263" s="556">
        <f t="shared" si="142"/>
        <v>0</v>
      </c>
      <c r="K4263" s="505"/>
      <c r="L4263" s="505"/>
      <c r="M4263" s="505"/>
      <c r="N4263" s="505"/>
      <c r="O4263" s="505"/>
      <c r="P4263" s="505"/>
      <c r="Q4263" s="505"/>
      <c r="R4263" s="505"/>
      <c r="S4263" s="505"/>
      <c r="T4263" s="505"/>
      <c r="U4263" s="505"/>
      <c r="V4263" s="505"/>
      <c r="W4263" s="505"/>
      <c r="X4263" s="505"/>
      <c r="Y4263" s="505"/>
    </row>
    <row r="4264" spans="1:25" s="88" customFormat="1" ht="30" hidden="1" x14ac:dyDescent="0.25">
      <c r="A4264" s="258"/>
      <c r="B4264" s="258"/>
      <c r="C4264" s="261"/>
      <c r="D4264" s="258"/>
      <c r="E4264" s="679"/>
      <c r="F4264" s="499">
        <v>551</v>
      </c>
      <c r="G4264" s="492" t="s">
        <v>4140</v>
      </c>
      <c r="H4264" s="555"/>
      <c r="I4264" s="556"/>
      <c r="J4264" s="556">
        <f t="shared" si="142"/>
        <v>0</v>
      </c>
      <c r="K4264" s="505"/>
      <c r="L4264" s="505"/>
      <c r="M4264" s="505"/>
      <c r="N4264" s="505"/>
      <c r="O4264" s="505"/>
      <c r="P4264" s="505"/>
      <c r="Q4264" s="505"/>
      <c r="R4264" s="505"/>
      <c r="S4264" s="505"/>
      <c r="T4264" s="505"/>
      <c r="U4264" s="505"/>
      <c r="V4264" s="505"/>
      <c r="W4264" s="505"/>
      <c r="X4264" s="505"/>
      <c r="Y4264" s="505"/>
    </row>
    <row r="4265" spans="1:25" s="88" customFormat="1" hidden="1" x14ac:dyDescent="0.25">
      <c r="A4265" s="258"/>
      <c r="B4265" s="258"/>
      <c r="C4265" s="261"/>
      <c r="D4265" s="258"/>
      <c r="E4265" s="679"/>
      <c r="F4265" s="500">
        <v>611</v>
      </c>
      <c r="G4265" s="498" t="s">
        <v>3850</v>
      </c>
      <c r="H4265" s="555"/>
      <c r="I4265" s="556"/>
      <c r="J4265" s="556">
        <f t="shared" si="142"/>
        <v>0</v>
      </c>
      <c r="K4265" s="505"/>
      <c r="L4265" s="505"/>
      <c r="M4265" s="505"/>
      <c r="N4265" s="505"/>
      <c r="O4265" s="505"/>
      <c r="P4265" s="505"/>
      <c r="Q4265" s="505"/>
      <c r="R4265" s="505"/>
      <c r="S4265" s="505"/>
      <c r="T4265" s="505"/>
      <c r="U4265" s="505"/>
      <c r="V4265" s="505"/>
      <c r="W4265" s="505"/>
      <c r="X4265" s="505"/>
      <c r="Y4265" s="505"/>
    </row>
    <row r="4266" spans="1:25" s="88" customFormat="1" ht="15.75" hidden="1" thickBot="1" x14ac:dyDescent="0.3">
      <c r="A4266" s="258"/>
      <c r="B4266" s="258"/>
      <c r="C4266" s="261"/>
      <c r="D4266" s="258"/>
      <c r="E4266" s="679"/>
      <c r="F4266" s="500">
        <v>620</v>
      </c>
      <c r="G4266" s="498" t="s">
        <v>88</v>
      </c>
      <c r="H4266" s="555"/>
      <c r="I4266" s="556"/>
      <c r="J4266" s="556">
        <f t="shared" si="142"/>
        <v>0</v>
      </c>
      <c r="K4266" s="505"/>
      <c r="L4266" s="505"/>
      <c r="M4266" s="505"/>
      <c r="N4266" s="505"/>
      <c r="O4266" s="505"/>
      <c r="P4266" s="505"/>
      <c r="Q4266" s="505"/>
      <c r="R4266" s="505"/>
      <c r="S4266" s="505"/>
      <c r="T4266" s="505"/>
      <c r="U4266" s="505"/>
      <c r="V4266" s="505"/>
      <c r="W4266" s="505"/>
      <c r="X4266" s="505"/>
      <c r="Y4266" s="505"/>
    </row>
    <row r="4267" spans="1:25" s="88" customFormat="1" x14ac:dyDescent="0.25">
      <c r="A4267" s="258"/>
      <c r="B4267" s="258"/>
      <c r="C4267" s="261"/>
      <c r="D4267" s="258"/>
      <c r="E4267" s="489"/>
      <c r="F4267" s="500"/>
      <c r="G4267" s="343" t="s">
        <v>5298</v>
      </c>
      <c r="H4267" s="557"/>
      <c r="I4267" s="583"/>
      <c r="J4267" s="558"/>
      <c r="K4267" s="505"/>
      <c r="L4267" s="505"/>
      <c r="M4267" s="505"/>
      <c r="N4267" s="505"/>
      <c r="O4267" s="505"/>
      <c r="P4267" s="505"/>
      <c r="Q4267" s="505"/>
      <c r="R4267" s="505"/>
      <c r="S4267" s="505"/>
      <c r="T4267" s="505"/>
      <c r="U4267" s="505"/>
      <c r="V4267" s="505"/>
      <c r="W4267" s="505"/>
      <c r="X4267" s="505"/>
      <c r="Y4267" s="505"/>
    </row>
    <row r="4268" spans="1:25" s="88" customFormat="1" ht="15" customHeight="1" thickBot="1" x14ac:dyDescent="0.3">
      <c r="A4268" s="258"/>
      <c r="B4268" s="258"/>
      <c r="C4268" s="261"/>
      <c r="D4268" s="258"/>
      <c r="E4268" s="693"/>
      <c r="F4268" s="597" t="s">
        <v>234</v>
      </c>
      <c r="G4268" s="598" t="s">
        <v>235</v>
      </c>
      <c r="H4268" s="559">
        <f>SUM(H4207:H4266)</f>
        <v>2500000</v>
      </c>
      <c r="I4268" s="560"/>
      <c r="J4268" s="560">
        <f t="shared" ref="J4268:J4283" si="143">SUM(H4268:I4268)</f>
        <v>2500000</v>
      </c>
      <c r="K4268" s="505"/>
      <c r="L4268" s="505"/>
      <c r="M4268" s="505"/>
      <c r="N4268" s="505"/>
      <c r="O4268" s="505"/>
      <c r="P4268" s="505"/>
      <c r="Q4268" s="505"/>
      <c r="R4268" s="505"/>
      <c r="S4268" s="505"/>
      <c r="T4268" s="505"/>
      <c r="U4268" s="505"/>
      <c r="V4268" s="505"/>
      <c r="W4268" s="505"/>
      <c r="X4268" s="505"/>
      <c r="Y4268" s="505"/>
    </row>
    <row r="4269" spans="1:25" s="88" customFormat="1" ht="15.75" hidden="1" thickBot="1" x14ac:dyDescent="0.3">
      <c r="A4269" s="258"/>
      <c r="B4269" s="258"/>
      <c r="C4269" s="261"/>
      <c r="D4269" s="258"/>
      <c r="E4269" s="679"/>
      <c r="F4269" s="597" t="s">
        <v>236</v>
      </c>
      <c r="G4269" s="598" t="s">
        <v>237</v>
      </c>
      <c r="H4269" s="555"/>
      <c r="I4269" s="556"/>
      <c r="J4269" s="560">
        <f t="shared" si="143"/>
        <v>0</v>
      </c>
      <c r="K4269" s="505"/>
      <c r="L4269" s="505"/>
      <c r="M4269" s="505"/>
      <c r="N4269" s="505"/>
      <c r="O4269" s="505"/>
      <c r="P4269" s="505"/>
      <c r="Q4269" s="505"/>
      <c r="R4269" s="505"/>
      <c r="S4269" s="505"/>
      <c r="T4269" s="505"/>
      <c r="U4269" s="505"/>
      <c r="V4269" s="505"/>
      <c r="W4269" s="505"/>
      <c r="X4269" s="505"/>
      <c r="Y4269" s="505"/>
    </row>
    <row r="4270" spans="1:25" s="88" customFormat="1" ht="15.75" hidden="1" thickBot="1" x14ac:dyDescent="0.3">
      <c r="A4270" s="258"/>
      <c r="B4270" s="258"/>
      <c r="C4270" s="261"/>
      <c r="D4270" s="258"/>
      <c r="E4270" s="679"/>
      <c r="F4270" s="597" t="s">
        <v>238</v>
      </c>
      <c r="G4270" s="598" t="s">
        <v>239</v>
      </c>
      <c r="H4270" s="555"/>
      <c r="I4270" s="556"/>
      <c r="J4270" s="560">
        <f t="shared" si="143"/>
        <v>0</v>
      </c>
      <c r="K4270" s="505"/>
      <c r="L4270" s="505"/>
      <c r="M4270" s="505"/>
      <c r="N4270" s="505"/>
      <c r="O4270" s="505"/>
      <c r="P4270" s="505"/>
      <c r="Q4270" s="505"/>
      <c r="R4270" s="505"/>
      <c r="S4270" s="505"/>
      <c r="T4270" s="505"/>
      <c r="U4270" s="505"/>
      <c r="V4270" s="505"/>
      <c r="W4270" s="505"/>
      <c r="X4270" s="505"/>
      <c r="Y4270" s="505"/>
    </row>
    <row r="4271" spans="1:25" s="88" customFormat="1" ht="15.75" hidden="1" thickBot="1" x14ac:dyDescent="0.3">
      <c r="A4271" s="258"/>
      <c r="B4271" s="258"/>
      <c r="C4271" s="261"/>
      <c r="D4271" s="258"/>
      <c r="E4271" s="679"/>
      <c r="F4271" s="597" t="s">
        <v>240</v>
      </c>
      <c r="G4271" s="598" t="s">
        <v>241</v>
      </c>
      <c r="H4271" s="555"/>
      <c r="I4271" s="556"/>
      <c r="J4271" s="560">
        <f t="shared" si="143"/>
        <v>0</v>
      </c>
      <c r="K4271" s="505"/>
      <c r="L4271" s="505"/>
      <c r="M4271" s="505"/>
      <c r="N4271" s="505"/>
      <c r="O4271" s="505"/>
      <c r="P4271" s="505"/>
      <c r="Q4271" s="505"/>
      <c r="R4271" s="505"/>
      <c r="S4271" s="505"/>
      <c r="T4271" s="505"/>
      <c r="U4271" s="505"/>
      <c r="V4271" s="505"/>
      <c r="W4271" s="505"/>
      <c r="X4271" s="505"/>
      <c r="Y4271" s="505"/>
    </row>
    <row r="4272" spans="1:25" s="88" customFormat="1" ht="15.75" hidden="1" thickBot="1" x14ac:dyDescent="0.3">
      <c r="A4272" s="258"/>
      <c r="B4272" s="258"/>
      <c r="C4272" s="261"/>
      <c r="D4272" s="258"/>
      <c r="E4272" s="679"/>
      <c r="F4272" s="597" t="s">
        <v>242</v>
      </c>
      <c r="G4272" s="598" t="s">
        <v>243</v>
      </c>
      <c r="H4272" s="555"/>
      <c r="I4272" s="556"/>
      <c r="J4272" s="560">
        <f t="shared" si="143"/>
        <v>0</v>
      </c>
      <c r="K4272" s="505"/>
      <c r="L4272" s="505"/>
      <c r="M4272" s="505"/>
      <c r="N4272" s="505"/>
      <c r="O4272" s="505"/>
      <c r="P4272" s="505"/>
      <c r="Q4272" s="505"/>
      <c r="R4272" s="505"/>
      <c r="S4272" s="505"/>
      <c r="T4272" s="505"/>
      <c r="U4272" s="505"/>
      <c r="V4272" s="505"/>
      <c r="W4272" s="505"/>
      <c r="X4272" s="505"/>
      <c r="Y4272" s="505"/>
    </row>
    <row r="4273" spans="1:25" s="88" customFormat="1" ht="15.75" hidden="1" thickBot="1" x14ac:dyDescent="0.3">
      <c r="A4273" s="258"/>
      <c r="B4273" s="258"/>
      <c r="C4273" s="261"/>
      <c r="D4273" s="258"/>
      <c r="E4273" s="679"/>
      <c r="F4273" s="597" t="s">
        <v>244</v>
      </c>
      <c r="G4273" s="598" t="s">
        <v>245</v>
      </c>
      <c r="H4273" s="555"/>
      <c r="I4273" s="556"/>
      <c r="J4273" s="560">
        <f t="shared" si="143"/>
        <v>0</v>
      </c>
      <c r="K4273" s="505"/>
      <c r="L4273" s="505"/>
      <c r="M4273" s="505"/>
      <c r="N4273" s="505"/>
      <c r="O4273" s="505"/>
      <c r="P4273" s="505"/>
      <c r="Q4273" s="505"/>
      <c r="R4273" s="505"/>
      <c r="S4273" s="505"/>
      <c r="T4273" s="505"/>
      <c r="U4273" s="505"/>
      <c r="V4273" s="505"/>
      <c r="W4273" s="505"/>
      <c r="X4273" s="505"/>
      <c r="Y4273" s="505"/>
    </row>
    <row r="4274" spans="1:25" s="88" customFormat="1" ht="15.75" hidden="1" thickBot="1" x14ac:dyDescent="0.3">
      <c r="A4274" s="258"/>
      <c r="B4274" s="258"/>
      <c r="C4274" s="261"/>
      <c r="D4274" s="258"/>
      <c r="E4274" s="679"/>
      <c r="F4274" s="597" t="s">
        <v>246</v>
      </c>
      <c r="G4274" s="598" t="s">
        <v>4996</v>
      </c>
      <c r="H4274" s="555"/>
      <c r="I4274" s="556"/>
      <c r="J4274" s="560">
        <f t="shared" si="143"/>
        <v>0</v>
      </c>
      <c r="K4274" s="505"/>
      <c r="L4274" s="505"/>
      <c r="M4274" s="505"/>
      <c r="N4274" s="505"/>
      <c r="O4274" s="505"/>
      <c r="P4274" s="505"/>
      <c r="Q4274" s="505"/>
      <c r="R4274" s="505"/>
      <c r="S4274" s="505"/>
      <c r="T4274" s="505"/>
      <c r="U4274" s="505"/>
      <c r="V4274" s="505"/>
      <c r="W4274" s="505"/>
      <c r="X4274" s="505"/>
      <c r="Y4274" s="505"/>
    </row>
    <row r="4275" spans="1:25" s="88" customFormat="1" ht="15.75" hidden="1" thickBot="1" x14ac:dyDescent="0.3">
      <c r="A4275" s="258"/>
      <c r="B4275" s="258"/>
      <c r="C4275" s="261"/>
      <c r="D4275" s="258"/>
      <c r="E4275" s="679"/>
      <c r="F4275" s="597" t="s">
        <v>247</v>
      </c>
      <c r="G4275" s="598" t="s">
        <v>4995</v>
      </c>
      <c r="H4275" s="555"/>
      <c r="I4275" s="556"/>
      <c r="J4275" s="560">
        <f t="shared" si="143"/>
        <v>0</v>
      </c>
      <c r="K4275" s="505"/>
      <c r="L4275" s="505"/>
      <c r="M4275" s="505"/>
      <c r="N4275" s="505"/>
      <c r="O4275" s="505"/>
      <c r="P4275" s="505"/>
      <c r="Q4275" s="505"/>
      <c r="R4275" s="505"/>
      <c r="S4275" s="505"/>
      <c r="T4275" s="505"/>
      <c r="U4275" s="505"/>
      <c r="V4275" s="505"/>
      <c r="W4275" s="505"/>
      <c r="X4275" s="505"/>
      <c r="Y4275" s="505"/>
    </row>
    <row r="4276" spans="1:25" s="88" customFormat="1" ht="15.75" hidden="1" thickBot="1" x14ac:dyDescent="0.3">
      <c r="A4276" s="258"/>
      <c r="B4276" s="258"/>
      <c r="C4276" s="261"/>
      <c r="D4276" s="258"/>
      <c r="E4276" s="679"/>
      <c r="F4276" s="597" t="s">
        <v>248</v>
      </c>
      <c r="G4276" s="598" t="s">
        <v>57</v>
      </c>
      <c r="H4276" s="555"/>
      <c r="I4276" s="556"/>
      <c r="J4276" s="560">
        <f t="shared" si="143"/>
        <v>0</v>
      </c>
      <c r="K4276" s="505"/>
      <c r="L4276" s="505"/>
      <c r="M4276" s="505"/>
      <c r="N4276" s="505"/>
      <c r="O4276" s="505"/>
      <c r="P4276" s="505"/>
      <c r="Q4276" s="505"/>
      <c r="R4276" s="505"/>
      <c r="S4276" s="505"/>
      <c r="T4276" s="505"/>
      <c r="U4276" s="505"/>
      <c r="V4276" s="505"/>
      <c r="W4276" s="505"/>
      <c r="X4276" s="505"/>
      <c r="Y4276" s="505"/>
    </row>
    <row r="4277" spans="1:25" s="88" customFormat="1" ht="15.75" hidden="1" thickBot="1" x14ac:dyDescent="0.3">
      <c r="A4277" s="258"/>
      <c r="B4277" s="258"/>
      <c r="C4277" s="261"/>
      <c r="D4277" s="258"/>
      <c r="E4277" s="679"/>
      <c r="F4277" s="597" t="s">
        <v>249</v>
      </c>
      <c r="G4277" s="598" t="s">
        <v>250</v>
      </c>
      <c r="H4277" s="555"/>
      <c r="I4277" s="556"/>
      <c r="J4277" s="560">
        <f t="shared" si="143"/>
        <v>0</v>
      </c>
      <c r="K4277" s="505"/>
      <c r="L4277" s="505"/>
      <c r="M4277" s="505"/>
      <c r="N4277" s="505"/>
      <c r="O4277" s="505"/>
      <c r="P4277" s="505"/>
      <c r="Q4277" s="505"/>
      <c r="R4277" s="505"/>
      <c r="S4277" s="505"/>
      <c r="T4277" s="505"/>
      <c r="U4277" s="505"/>
      <c r="V4277" s="505"/>
      <c r="W4277" s="505"/>
      <c r="X4277" s="505"/>
      <c r="Y4277" s="505"/>
    </row>
    <row r="4278" spans="1:25" s="88" customFormat="1" ht="15.75" hidden="1" thickBot="1" x14ac:dyDescent="0.3">
      <c r="A4278" s="258"/>
      <c r="B4278" s="258"/>
      <c r="C4278" s="261"/>
      <c r="D4278" s="258"/>
      <c r="E4278" s="679"/>
      <c r="F4278" s="597" t="s">
        <v>251</v>
      </c>
      <c r="G4278" s="598" t="s">
        <v>252</v>
      </c>
      <c r="H4278" s="555"/>
      <c r="I4278" s="556"/>
      <c r="J4278" s="560">
        <f t="shared" si="143"/>
        <v>0</v>
      </c>
      <c r="K4278" s="505"/>
      <c r="L4278" s="505"/>
      <c r="M4278" s="505"/>
      <c r="N4278" s="505"/>
      <c r="O4278" s="505"/>
      <c r="P4278" s="505"/>
      <c r="Q4278" s="505"/>
      <c r="R4278" s="505"/>
      <c r="S4278" s="505"/>
      <c r="T4278" s="505"/>
      <c r="U4278" s="505"/>
      <c r="V4278" s="505"/>
      <c r="W4278" s="505"/>
      <c r="X4278" s="505"/>
      <c r="Y4278" s="505"/>
    </row>
    <row r="4279" spans="1:25" s="88" customFormat="1" ht="30.75" hidden="1" thickBot="1" x14ac:dyDescent="0.3">
      <c r="A4279" s="258"/>
      <c r="B4279" s="258"/>
      <c r="C4279" s="261"/>
      <c r="D4279" s="258"/>
      <c r="E4279" s="679"/>
      <c r="F4279" s="597" t="s">
        <v>253</v>
      </c>
      <c r="G4279" s="598" t="s">
        <v>254</v>
      </c>
      <c r="H4279" s="555"/>
      <c r="I4279" s="556"/>
      <c r="J4279" s="560">
        <f t="shared" si="143"/>
        <v>0</v>
      </c>
      <c r="K4279" s="505"/>
      <c r="L4279" s="505"/>
      <c r="M4279" s="505"/>
      <c r="N4279" s="505"/>
      <c r="O4279" s="505"/>
      <c r="P4279" s="505"/>
      <c r="Q4279" s="505"/>
      <c r="R4279" s="505"/>
      <c r="S4279" s="505"/>
      <c r="T4279" s="505"/>
      <c r="U4279" s="505"/>
      <c r="V4279" s="505"/>
      <c r="W4279" s="505"/>
      <c r="X4279" s="505"/>
      <c r="Y4279" s="505"/>
    </row>
    <row r="4280" spans="1:25" s="88" customFormat="1" ht="15.75" hidden="1" thickBot="1" x14ac:dyDescent="0.3">
      <c r="A4280" s="258"/>
      <c r="B4280" s="258"/>
      <c r="C4280" s="261"/>
      <c r="D4280" s="258"/>
      <c r="E4280" s="679"/>
      <c r="F4280" s="597" t="s">
        <v>255</v>
      </c>
      <c r="G4280" s="598" t="s">
        <v>256</v>
      </c>
      <c r="H4280" s="555"/>
      <c r="I4280" s="556"/>
      <c r="J4280" s="560">
        <f t="shared" si="143"/>
        <v>0</v>
      </c>
      <c r="K4280" s="505"/>
      <c r="L4280" s="505"/>
      <c r="M4280" s="505"/>
      <c r="N4280" s="505"/>
      <c r="O4280" s="505"/>
      <c r="P4280" s="505"/>
      <c r="Q4280" s="505"/>
      <c r="R4280" s="505"/>
      <c r="S4280" s="505"/>
      <c r="T4280" s="505"/>
      <c r="U4280" s="505"/>
      <c r="V4280" s="505"/>
      <c r="W4280" s="505"/>
      <c r="X4280" s="505"/>
      <c r="Y4280" s="505"/>
    </row>
    <row r="4281" spans="1:25" s="88" customFormat="1" ht="30.75" hidden="1" thickBot="1" x14ac:dyDescent="0.3">
      <c r="A4281" s="258"/>
      <c r="B4281" s="258"/>
      <c r="C4281" s="261"/>
      <c r="D4281" s="258"/>
      <c r="E4281" s="679"/>
      <c r="F4281" s="597" t="s">
        <v>257</v>
      </c>
      <c r="G4281" s="598" t="s">
        <v>258</v>
      </c>
      <c r="H4281" s="555"/>
      <c r="I4281" s="556"/>
      <c r="J4281" s="560">
        <f t="shared" si="143"/>
        <v>0</v>
      </c>
      <c r="K4281" s="505"/>
      <c r="L4281" s="505"/>
      <c r="M4281" s="505"/>
      <c r="N4281" s="505"/>
      <c r="O4281" s="505"/>
      <c r="P4281" s="505"/>
      <c r="Q4281" s="505"/>
      <c r="R4281" s="505"/>
      <c r="S4281" s="505"/>
      <c r="T4281" s="505"/>
      <c r="U4281" s="505"/>
      <c r="V4281" s="505"/>
      <c r="W4281" s="505"/>
      <c r="X4281" s="505"/>
      <c r="Y4281" s="505"/>
    </row>
    <row r="4282" spans="1:25" s="88" customFormat="1" ht="15.75" hidden="1" thickBot="1" x14ac:dyDescent="0.3">
      <c r="A4282" s="258"/>
      <c r="B4282" s="258"/>
      <c r="C4282" s="261"/>
      <c r="D4282" s="258"/>
      <c r="E4282" s="679"/>
      <c r="F4282" s="597" t="s">
        <v>259</v>
      </c>
      <c r="G4282" s="598" t="s">
        <v>260</v>
      </c>
      <c r="H4282" s="555"/>
      <c r="I4282" s="556"/>
      <c r="J4282" s="560">
        <f t="shared" si="143"/>
        <v>0</v>
      </c>
      <c r="K4282" s="505"/>
      <c r="L4282" s="505"/>
      <c r="M4282" s="505"/>
      <c r="N4282" s="505"/>
      <c r="O4282" s="505"/>
      <c r="P4282" s="505"/>
      <c r="Q4282" s="505"/>
      <c r="R4282" s="505"/>
      <c r="S4282" s="505"/>
      <c r="T4282" s="505"/>
      <c r="U4282" s="505"/>
      <c r="V4282" s="505"/>
      <c r="W4282" s="505"/>
      <c r="X4282" s="505"/>
      <c r="Y4282" s="505"/>
    </row>
    <row r="4283" spans="1:25" s="88" customFormat="1" ht="15.75" hidden="1" thickBot="1" x14ac:dyDescent="0.3">
      <c r="A4283" s="258"/>
      <c r="B4283" s="258"/>
      <c r="C4283" s="261"/>
      <c r="D4283" s="258"/>
      <c r="E4283" s="679"/>
      <c r="F4283" s="597" t="s">
        <v>261</v>
      </c>
      <c r="G4283" s="598" t="s">
        <v>262</v>
      </c>
      <c r="H4283" s="559"/>
      <c r="I4283" s="560"/>
      <c r="J4283" s="560">
        <f t="shared" si="143"/>
        <v>0</v>
      </c>
      <c r="K4283" s="505"/>
      <c r="L4283" s="505"/>
      <c r="M4283" s="505"/>
      <c r="N4283" s="505"/>
      <c r="O4283" s="505"/>
      <c r="P4283" s="505"/>
      <c r="Q4283" s="505"/>
      <c r="R4283" s="505"/>
      <c r="S4283" s="505"/>
      <c r="T4283" s="505"/>
      <c r="U4283" s="505"/>
      <c r="V4283" s="505"/>
      <c r="W4283" s="505"/>
      <c r="X4283" s="505"/>
      <c r="Y4283" s="505"/>
    </row>
    <row r="4284" spans="1:25" s="88" customFormat="1" ht="14.25" customHeight="1" thickBot="1" x14ac:dyDescent="0.3">
      <c r="A4284" s="258"/>
      <c r="B4284" s="258"/>
      <c r="C4284" s="261"/>
      <c r="D4284" s="258"/>
      <c r="E4284" s="679"/>
      <c r="F4284" s="258"/>
      <c r="G4284" s="728" t="s">
        <v>5299</v>
      </c>
      <c r="H4284" s="561">
        <f>SUM(H4268:H4283)</f>
        <v>2500000</v>
      </c>
      <c r="I4284" s="562">
        <f>SUM(I4269:I4283)</f>
        <v>0</v>
      </c>
      <c r="J4284" s="562">
        <f>SUM(J4268:J4283)</f>
        <v>2500000</v>
      </c>
      <c r="K4284" s="505"/>
      <c r="L4284" s="505"/>
      <c r="M4284" s="505"/>
      <c r="N4284" s="505"/>
      <c r="O4284" s="505"/>
      <c r="P4284" s="505"/>
      <c r="Q4284" s="505"/>
      <c r="R4284" s="505"/>
      <c r="S4284" s="505"/>
      <c r="T4284" s="505"/>
      <c r="U4284" s="505"/>
      <c r="V4284" s="505"/>
      <c r="W4284" s="505"/>
      <c r="X4284" s="505"/>
      <c r="Y4284" s="505"/>
    </row>
    <row r="4285" spans="1:25" s="88" customFormat="1" ht="15" customHeight="1" x14ac:dyDescent="0.25">
      <c r="A4285" s="258"/>
      <c r="B4285" s="258"/>
      <c r="C4285" s="261"/>
      <c r="D4285" s="258"/>
      <c r="E4285" s="489"/>
      <c r="F4285" s="500"/>
      <c r="G4285" s="270" t="s">
        <v>5302</v>
      </c>
      <c r="H4285" s="563"/>
      <c r="I4285" s="584"/>
      <c r="J4285" s="564"/>
      <c r="K4285" s="505"/>
      <c r="L4285" s="505"/>
      <c r="M4285" s="505"/>
      <c r="N4285" s="505"/>
      <c r="O4285" s="505"/>
      <c r="P4285" s="505"/>
      <c r="Q4285" s="505"/>
      <c r="R4285" s="505"/>
      <c r="S4285" s="505"/>
      <c r="T4285" s="505"/>
      <c r="U4285" s="505"/>
      <c r="V4285" s="505"/>
      <c r="W4285" s="505"/>
      <c r="X4285" s="505"/>
      <c r="Y4285" s="505"/>
    </row>
    <row r="4286" spans="1:25" s="88" customFormat="1" ht="16.5" customHeight="1" thickBot="1" x14ac:dyDescent="0.3">
      <c r="A4286" s="258"/>
      <c r="B4286" s="258"/>
      <c r="C4286" s="261"/>
      <c r="D4286" s="258"/>
      <c r="E4286" s="693"/>
      <c r="F4286" s="597" t="s">
        <v>234</v>
      </c>
      <c r="G4286" s="598" t="s">
        <v>235</v>
      </c>
      <c r="H4286" s="559">
        <f>SUM(H4207:H4266)</f>
        <v>2500000</v>
      </c>
      <c r="I4286" s="560"/>
      <c r="J4286" s="560">
        <f>SUM(H4286:I4286)</f>
        <v>2500000</v>
      </c>
      <c r="K4286" s="505"/>
      <c r="L4286" s="505"/>
      <c r="M4286" s="505"/>
      <c r="N4286" s="505"/>
      <c r="O4286" s="505"/>
      <c r="P4286" s="505"/>
      <c r="Q4286" s="505"/>
      <c r="R4286" s="505"/>
      <c r="S4286" s="505"/>
      <c r="T4286" s="505"/>
      <c r="U4286" s="505"/>
      <c r="V4286" s="505"/>
      <c r="W4286" s="505"/>
      <c r="X4286" s="505"/>
      <c r="Y4286" s="505"/>
    </row>
    <row r="4287" spans="1:25" s="88" customFormat="1" ht="15.75" hidden="1" thickBot="1" x14ac:dyDescent="0.3">
      <c r="A4287" s="258"/>
      <c r="B4287" s="258"/>
      <c r="C4287" s="261"/>
      <c r="D4287" s="258"/>
      <c r="E4287" s="679"/>
      <c r="F4287" s="597" t="s">
        <v>236</v>
      </c>
      <c r="G4287" s="598" t="s">
        <v>237</v>
      </c>
      <c r="H4287" s="555"/>
      <c r="I4287" s="556"/>
      <c r="J4287" s="560">
        <f t="shared" ref="J4287:J4301" si="144">SUM(H4287:I4287)</f>
        <v>0</v>
      </c>
      <c r="K4287" s="505"/>
      <c r="L4287" s="505"/>
      <c r="M4287" s="505"/>
      <c r="N4287" s="505"/>
      <c r="O4287" s="505"/>
      <c r="P4287" s="505"/>
      <c r="Q4287" s="505"/>
      <c r="R4287" s="505"/>
      <c r="S4287" s="505"/>
      <c r="T4287" s="505"/>
      <c r="U4287" s="505"/>
      <c r="V4287" s="505"/>
      <c r="W4287" s="505"/>
      <c r="X4287" s="505"/>
      <c r="Y4287" s="505"/>
    </row>
    <row r="4288" spans="1:25" s="88" customFormat="1" ht="15.75" hidden="1" thickBot="1" x14ac:dyDescent="0.3">
      <c r="A4288" s="258"/>
      <c r="B4288" s="258"/>
      <c r="C4288" s="261"/>
      <c r="D4288" s="258"/>
      <c r="E4288" s="679"/>
      <c r="F4288" s="597" t="s">
        <v>238</v>
      </c>
      <c r="G4288" s="598" t="s">
        <v>239</v>
      </c>
      <c r="H4288" s="555"/>
      <c r="I4288" s="556"/>
      <c r="J4288" s="560">
        <f t="shared" si="144"/>
        <v>0</v>
      </c>
      <c r="K4288" s="505"/>
      <c r="L4288" s="505"/>
      <c r="M4288" s="505"/>
      <c r="N4288" s="505"/>
      <c r="O4288" s="505"/>
      <c r="P4288" s="505"/>
      <c r="Q4288" s="505"/>
      <c r="R4288" s="505"/>
      <c r="S4288" s="505"/>
      <c r="T4288" s="505"/>
      <c r="U4288" s="505"/>
      <c r="V4288" s="505"/>
      <c r="W4288" s="505"/>
      <c r="X4288" s="505"/>
      <c r="Y4288" s="505"/>
    </row>
    <row r="4289" spans="1:25" s="88" customFormat="1" ht="15.75" hidden="1" thickBot="1" x14ac:dyDescent="0.3">
      <c r="A4289" s="258"/>
      <c r="B4289" s="258"/>
      <c r="C4289" s="261"/>
      <c r="D4289" s="258"/>
      <c r="E4289" s="679"/>
      <c r="F4289" s="597" t="s">
        <v>240</v>
      </c>
      <c r="G4289" s="598" t="s">
        <v>241</v>
      </c>
      <c r="H4289" s="555"/>
      <c r="I4289" s="556"/>
      <c r="J4289" s="560">
        <f t="shared" si="144"/>
        <v>0</v>
      </c>
      <c r="K4289" s="505"/>
      <c r="L4289" s="505"/>
      <c r="M4289" s="505"/>
      <c r="N4289" s="505"/>
      <c r="O4289" s="505"/>
      <c r="P4289" s="505"/>
      <c r="Q4289" s="505"/>
      <c r="R4289" s="505"/>
      <c r="S4289" s="505"/>
      <c r="T4289" s="505"/>
      <c r="U4289" s="505"/>
      <c r="V4289" s="505"/>
      <c r="W4289" s="505"/>
      <c r="X4289" s="505"/>
      <c r="Y4289" s="505"/>
    </row>
    <row r="4290" spans="1:25" s="88" customFormat="1" ht="15.75" hidden="1" thickBot="1" x14ac:dyDescent="0.3">
      <c r="A4290" s="258"/>
      <c r="B4290" s="258"/>
      <c r="C4290" s="261"/>
      <c r="D4290" s="258"/>
      <c r="E4290" s="679"/>
      <c r="F4290" s="597" t="s">
        <v>242</v>
      </c>
      <c r="G4290" s="598" t="s">
        <v>243</v>
      </c>
      <c r="H4290" s="555"/>
      <c r="I4290" s="556"/>
      <c r="J4290" s="560">
        <f t="shared" si="144"/>
        <v>0</v>
      </c>
      <c r="K4290" s="505"/>
      <c r="L4290" s="505"/>
      <c r="M4290" s="505"/>
      <c r="N4290" s="505"/>
      <c r="O4290" s="505"/>
      <c r="P4290" s="505"/>
      <c r="Q4290" s="505"/>
      <c r="R4290" s="505"/>
      <c r="S4290" s="505"/>
      <c r="T4290" s="505"/>
      <c r="U4290" s="505"/>
      <c r="V4290" s="505"/>
      <c r="W4290" s="505"/>
      <c r="X4290" s="505"/>
      <c r="Y4290" s="505"/>
    </row>
    <row r="4291" spans="1:25" s="88" customFormat="1" ht="15.75" hidden="1" thickBot="1" x14ac:dyDescent="0.3">
      <c r="A4291" s="258"/>
      <c r="B4291" s="258"/>
      <c r="C4291" s="261"/>
      <c r="D4291" s="258"/>
      <c r="E4291" s="679"/>
      <c r="F4291" s="597" t="s">
        <v>244</v>
      </c>
      <c r="G4291" s="598" t="s">
        <v>245</v>
      </c>
      <c r="H4291" s="555"/>
      <c r="I4291" s="556"/>
      <c r="J4291" s="560">
        <f t="shared" si="144"/>
        <v>0</v>
      </c>
      <c r="K4291" s="505"/>
      <c r="L4291" s="505"/>
      <c r="M4291" s="505"/>
      <c r="N4291" s="505"/>
      <c r="O4291" s="505"/>
      <c r="P4291" s="505"/>
      <c r="Q4291" s="505"/>
      <c r="R4291" s="505"/>
      <c r="S4291" s="505"/>
      <c r="T4291" s="505"/>
      <c r="U4291" s="505"/>
      <c r="V4291" s="505"/>
      <c r="W4291" s="505"/>
      <c r="X4291" s="505"/>
      <c r="Y4291" s="505"/>
    </row>
    <row r="4292" spans="1:25" s="88" customFormat="1" ht="15.75" hidden="1" thickBot="1" x14ac:dyDescent="0.3">
      <c r="A4292" s="258"/>
      <c r="B4292" s="258"/>
      <c r="C4292" s="261"/>
      <c r="D4292" s="258"/>
      <c r="E4292" s="679"/>
      <c r="F4292" s="597" t="s">
        <v>246</v>
      </c>
      <c r="G4292" s="598" t="s">
        <v>4996</v>
      </c>
      <c r="H4292" s="555"/>
      <c r="I4292" s="556"/>
      <c r="J4292" s="560">
        <f t="shared" si="144"/>
        <v>0</v>
      </c>
      <c r="K4292" s="505"/>
      <c r="L4292" s="505"/>
      <c r="M4292" s="505"/>
      <c r="N4292" s="505"/>
      <c r="O4292" s="505"/>
      <c r="P4292" s="505"/>
      <c r="Q4292" s="505"/>
      <c r="R4292" s="505"/>
      <c r="S4292" s="505"/>
      <c r="T4292" s="505"/>
      <c r="U4292" s="505"/>
      <c r="V4292" s="505"/>
      <c r="W4292" s="505"/>
      <c r="X4292" s="505"/>
      <c r="Y4292" s="505"/>
    </row>
    <row r="4293" spans="1:25" s="88" customFormat="1" ht="15.75" hidden="1" thickBot="1" x14ac:dyDescent="0.3">
      <c r="A4293" s="258"/>
      <c r="B4293" s="258"/>
      <c r="C4293" s="261"/>
      <c r="D4293" s="258"/>
      <c r="E4293" s="679"/>
      <c r="F4293" s="597" t="s">
        <v>247</v>
      </c>
      <c r="G4293" s="598" t="s">
        <v>4995</v>
      </c>
      <c r="H4293" s="555"/>
      <c r="I4293" s="556"/>
      <c r="J4293" s="560">
        <f t="shared" si="144"/>
        <v>0</v>
      </c>
      <c r="K4293" s="505"/>
      <c r="L4293" s="505"/>
      <c r="M4293" s="505"/>
      <c r="N4293" s="505"/>
      <c r="O4293" s="505"/>
      <c r="P4293" s="505"/>
      <c r="Q4293" s="505"/>
      <c r="R4293" s="505"/>
      <c r="S4293" s="505"/>
      <c r="T4293" s="505"/>
      <c r="U4293" s="505"/>
      <c r="V4293" s="505"/>
      <c r="W4293" s="505"/>
      <c r="X4293" s="505"/>
      <c r="Y4293" s="505"/>
    </row>
    <row r="4294" spans="1:25" s="88" customFormat="1" ht="15.75" hidden="1" thickBot="1" x14ac:dyDescent="0.3">
      <c r="A4294" s="258"/>
      <c r="B4294" s="258"/>
      <c r="C4294" s="261"/>
      <c r="D4294" s="258"/>
      <c r="E4294" s="679"/>
      <c r="F4294" s="597" t="s">
        <v>248</v>
      </c>
      <c r="G4294" s="598" t="s">
        <v>57</v>
      </c>
      <c r="H4294" s="555"/>
      <c r="I4294" s="556"/>
      <c r="J4294" s="560">
        <f t="shared" si="144"/>
        <v>0</v>
      </c>
      <c r="K4294" s="505"/>
      <c r="L4294" s="505"/>
      <c r="M4294" s="505"/>
      <c r="N4294" s="505"/>
      <c r="O4294" s="505"/>
      <c r="P4294" s="505"/>
      <c r="Q4294" s="505"/>
      <c r="R4294" s="505"/>
      <c r="S4294" s="505"/>
      <c r="T4294" s="505"/>
      <c r="U4294" s="505"/>
      <c r="V4294" s="505"/>
      <c r="W4294" s="505"/>
      <c r="X4294" s="505"/>
      <c r="Y4294" s="505"/>
    </row>
    <row r="4295" spans="1:25" s="88" customFormat="1" ht="15.75" hidden="1" thickBot="1" x14ac:dyDescent="0.3">
      <c r="A4295" s="258"/>
      <c r="B4295" s="258"/>
      <c r="C4295" s="261"/>
      <c r="D4295" s="258"/>
      <c r="E4295" s="679"/>
      <c r="F4295" s="597" t="s">
        <v>249</v>
      </c>
      <c r="G4295" s="598" t="s">
        <v>250</v>
      </c>
      <c r="H4295" s="555"/>
      <c r="I4295" s="556"/>
      <c r="J4295" s="560">
        <f t="shared" si="144"/>
        <v>0</v>
      </c>
      <c r="K4295" s="505"/>
      <c r="L4295" s="505"/>
      <c r="M4295" s="505"/>
      <c r="N4295" s="505"/>
      <c r="O4295" s="505"/>
      <c r="P4295" s="505"/>
      <c r="Q4295" s="505"/>
      <c r="R4295" s="505"/>
      <c r="S4295" s="505"/>
      <c r="T4295" s="505"/>
      <c r="U4295" s="505"/>
      <c r="V4295" s="505"/>
      <c r="W4295" s="505"/>
      <c r="X4295" s="505"/>
      <c r="Y4295" s="505"/>
    </row>
    <row r="4296" spans="1:25" s="88" customFormat="1" ht="15.75" hidden="1" thickBot="1" x14ac:dyDescent="0.3">
      <c r="A4296" s="258"/>
      <c r="B4296" s="258"/>
      <c r="C4296" s="261"/>
      <c r="D4296" s="258"/>
      <c r="E4296" s="679"/>
      <c r="F4296" s="597" t="s">
        <v>251</v>
      </c>
      <c r="G4296" s="598" t="s">
        <v>252</v>
      </c>
      <c r="H4296" s="555"/>
      <c r="I4296" s="556"/>
      <c r="J4296" s="560">
        <f t="shared" si="144"/>
        <v>0</v>
      </c>
      <c r="K4296" s="505"/>
      <c r="L4296" s="505"/>
      <c r="M4296" s="505"/>
      <c r="N4296" s="505"/>
      <c r="O4296" s="505"/>
      <c r="P4296" s="505"/>
      <c r="Q4296" s="505"/>
      <c r="R4296" s="505"/>
      <c r="S4296" s="505"/>
      <c r="T4296" s="505"/>
      <c r="U4296" s="505"/>
      <c r="V4296" s="505"/>
      <c r="W4296" s="505"/>
      <c r="X4296" s="505"/>
      <c r="Y4296" s="505"/>
    </row>
    <row r="4297" spans="1:25" s="88" customFormat="1" ht="30.75" hidden="1" thickBot="1" x14ac:dyDescent="0.3">
      <c r="A4297" s="258"/>
      <c r="B4297" s="258"/>
      <c r="C4297" s="261"/>
      <c r="D4297" s="258"/>
      <c r="E4297" s="679"/>
      <c r="F4297" s="597" t="s">
        <v>253</v>
      </c>
      <c r="G4297" s="598" t="s">
        <v>254</v>
      </c>
      <c r="H4297" s="555"/>
      <c r="I4297" s="556"/>
      <c r="J4297" s="560">
        <f t="shared" si="144"/>
        <v>0</v>
      </c>
      <c r="K4297" s="505"/>
      <c r="L4297" s="505"/>
      <c r="M4297" s="505"/>
      <c r="N4297" s="505"/>
      <c r="O4297" s="505"/>
      <c r="P4297" s="505"/>
      <c r="Q4297" s="505"/>
      <c r="R4297" s="505"/>
      <c r="S4297" s="505"/>
      <c r="T4297" s="505"/>
      <c r="U4297" s="505"/>
      <c r="V4297" s="505"/>
      <c r="W4297" s="505"/>
      <c r="X4297" s="505"/>
      <c r="Y4297" s="505"/>
    </row>
    <row r="4298" spans="1:25" s="88" customFormat="1" ht="15.75" hidden="1" thickBot="1" x14ac:dyDescent="0.3">
      <c r="A4298" s="258"/>
      <c r="B4298" s="258"/>
      <c r="C4298" s="261"/>
      <c r="D4298" s="258"/>
      <c r="E4298" s="679"/>
      <c r="F4298" s="597" t="s">
        <v>255</v>
      </c>
      <c r="G4298" s="598" t="s">
        <v>256</v>
      </c>
      <c r="H4298" s="555"/>
      <c r="I4298" s="556"/>
      <c r="J4298" s="560">
        <f t="shared" si="144"/>
        <v>0</v>
      </c>
      <c r="K4298" s="505"/>
      <c r="L4298" s="505"/>
      <c r="M4298" s="505"/>
      <c r="N4298" s="505"/>
      <c r="O4298" s="505"/>
      <c r="P4298" s="505"/>
      <c r="Q4298" s="505"/>
      <c r="R4298" s="505"/>
      <c r="S4298" s="505"/>
      <c r="T4298" s="505"/>
      <c r="U4298" s="505"/>
      <c r="V4298" s="505"/>
      <c r="W4298" s="505"/>
      <c r="X4298" s="505"/>
      <c r="Y4298" s="505"/>
    </row>
    <row r="4299" spans="1:25" s="88" customFormat="1" ht="30.75" hidden="1" thickBot="1" x14ac:dyDescent="0.3">
      <c r="A4299" s="258"/>
      <c r="B4299" s="258"/>
      <c r="C4299" s="261"/>
      <c r="D4299" s="258"/>
      <c r="E4299" s="679"/>
      <c r="F4299" s="597" t="s">
        <v>257</v>
      </c>
      <c r="G4299" s="598" t="s">
        <v>258</v>
      </c>
      <c r="H4299" s="555"/>
      <c r="I4299" s="556"/>
      <c r="J4299" s="560">
        <f t="shared" si="144"/>
        <v>0</v>
      </c>
      <c r="K4299" s="505"/>
      <c r="L4299" s="505"/>
      <c r="M4299" s="505"/>
      <c r="N4299" s="505"/>
      <c r="O4299" s="505"/>
      <c r="P4299" s="505"/>
      <c r="Q4299" s="505"/>
      <c r="R4299" s="505"/>
      <c r="S4299" s="505"/>
      <c r="T4299" s="505"/>
      <c r="U4299" s="505"/>
      <c r="V4299" s="505"/>
      <c r="W4299" s="505"/>
      <c r="X4299" s="505"/>
      <c r="Y4299" s="505"/>
    </row>
    <row r="4300" spans="1:25" s="88" customFormat="1" ht="15.75" hidden="1" thickBot="1" x14ac:dyDescent="0.3">
      <c r="A4300" s="258"/>
      <c r="B4300" s="258"/>
      <c r="C4300" s="261"/>
      <c r="D4300" s="258"/>
      <c r="E4300" s="679"/>
      <c r="F4300" s="597" t="s">
        <v>259</v>
      </c>
      <c r="G4300" s="598" t="s">
        <v>260</v>
      </c>
      <c r="H4300" s="555"/>
      <c r="I4300" s="556"/>
      <c r="J4300" s="560">
        <f t="shared" si="144"/>
        <v>0</v>
      </c>
      <c r="K4300" s="505"/>
      <c r="L4300" s="505"/>
      <c r="M4300" s="505"/>
      <c r="N4300" s="505"/>
      <c r="O4300" s="505"/>
      <c r="P4300" s="505"/>
      <c r="Q4300" s="505"/>
      <c r="R4300" s="505"/>
      <c r="S4300" s="505"/>
      <c r="T4300" s="505"/>
      <c r="U4300" s="505"/>
      <c r="V4300" s="505"/>
      <c r="W4300" s="505"/>
      <c r="X4300" s="505"/>
      <c r="Y4300" s="505"/>
    </row>
    <row r="4301" spans="1:25" s="88" customFormat="1" ht="15.75" hidden="1" thickBot="1" x14ac:dyDescent="0.3">
      <c r="A4301" s="258"/>
      <c r="B4301" s="258"/>
      <c r="C4301" s="261"/>
      <c r="D4301" s="258"/>
      <c r="E4301" s="679"/>
      <c r="F4301" s="597" t="s">
        <v>261</v>
      </c>
      <c r="G4301" s="598" t="s">
        <v>262</v>
      </c>
      <c r="H4301" s="559"/>
      <c r="I4301" s="560"/>
      <c r="J4301" s="560">
        <f t="shared" si="144"/>
        <v>0</v>
      </c>
      <c r="K4301" s="505"/>
      <c r="L4301" s="505"/>
      <c r="M4301" s="505"/>
      <c r="N4301" s="505"/>
      <c r="O4301" s="505"/>
      <c r="P4301" s="505"/>
      <c r="Q4301" s="505"/>
      <c r="R4301" s="505"/>
      <c r="S4301" s="505"/>
      <c r="T4301" s="505"/>
      <c r="U4301" s="505"/>
      <c r="V4301" s="505"/>
      <c r="W4301" s="505"/>
      <c r="X4301" s="505"/>
      <c r="Y4301" s="505"/>
    </row>
    <row r="4302" spans="1:25" s="88" customFormat="1" ht="14.25" customHeight="1" thickBot="1" x14ac:dyDescent="0.3">
      <c r="A4302" s="258"/>
      <c r="B4302" s="258"/>
      <c r="C4302" s="261"/>
      <c r="D4302" s="258"/>
      <c r="E4302" s="679"/>
      <c r="F4302" s="258"/>
      <c r="G4302" s="268" t="s">
        <v>5303</v>
      </c>
      <c r="H4302" s="561">
        <f>SUM(H4286:H4301)</f>
        <v>2500000</v>
      </c>
      <c r="I4302" s="562">
        <f>SUM(I4287:I4301)</f>
        <v>0</v>
      </c>
      <c r="J4302" s="562">
        <f>SUM(J4286:J4301)</f>
        <v>2500000</v>
      </c>
      <c r="K4302" s="505"/>
      <c r="L4302" s="505"/>
      <c r="M4302" s="505"/>
      <c r="N4302" s="505"/>
      <c r="O4302" s="505"/>
      <c r="P4302" s="505"/>
      <c r="Q4302" s="505"/>
      <c r="R4302" s="505"/>
      <c r="S4302" s="505"/>
      <c r="T4302" s="505"/>
      <c r="U4302" s="505"/>
      <c r="V4302" s="505"/>
      <c r="W4302" s="505"/>
      <c r="X4302" s="505"/>
      <c r="Y4302" s="505"/>
    </row>
    <row r="4303" spans="1:25" s="88" customFormat="1" x14ac:dyDescent="0.25">
      <c r="A4303" s="481"/>
      <c r="B4303" s="288"/>
      <c r="C4303" s="334"/>
      <c r="D4303" s="286"/>
      <c r="E4303" s="876"/>
      <c r="F4303" s="500"/>
      <c r="G4303" s="285" t="s">
        <v>5352</v>
      </c>
      <c r="H4303" s="567"/>
      <c r="I4303" s="585"/>
      <c r="J4303" s="568"/>
      <c r="K4303" s="505"/>
      <c r="L4303" s="505"/>
      <c r="M4303" s="505"/>
      <c r="N4303" s="505"/>
      <c r="O4303" s="505"/>
      <c r="P4303" s="505"/>
      <c r="Q4303" s="505"/>
      <c r="R4303" s="505"/>
      <c r="S4303" s="505"/>
      <c r="T4303" s="505"/>
      <c r="U4303" s="505"/>
      <c r="V4303" s="505"/>
      <c r="W4303" s="505"/>
      <c r="X4303" s="505"/>
      <c r="Y4303" s="505"/>
    </row>
    <row r="4304" spans="1:25" s="88" customFormat="1" x14ac:dyDescent="0.25">
      <c r="A4304" s="481"/>
      <c r="B4304" s="288"/>
      <c r="C4304" s="334"/>
      <c r="D4304" s="286"/>
      <c r="E4304" s="876"/>
      <c r="F4304" s="597" t="s">
        <v>234</v>
      </c>
      <c r="G4304" s="598" t="s">
        <v>235</v>
      </c>
      <c r="H4304" s="559">
        <f>SUM(H4286+H4188)</f>
        <v>2700000</v>
      </c>
      <c r="I4304" s="560"/>
      <c r="J4304" s="560">
        <f>SUM(H4304:I4304)</f>
        <v>2700000</v>
      </c>
      <c r="K4304" s="505"/>
      <c r="L4304" s="505"/>
      <c r="M4304" s="505"/>
      <c r="N4304" s="505"/>
      <c r="O4304" s="505"/>
      <c r="P4304" s="505"/>
      <c r="Q4304" s="505"/>
      <c r="R4304" s="505"/>
      <c r="S4304" s="505"/>
      <c r="T4304" s="505"/>
      <c r="U4304" s="505"/>
      <c r="V4304" s="505"/>
      <c r="W4304" s="505"/>
      <c r="X4304" s="505"/>
      <c r="Y4304" s="505"/>
    </row>
    <row r="4305" spans="1:25" s="88" customFormat="1" hidden="1" x14ac:dyDescent="0.25">
      <c r="A4305" s="481"/>
      <c r="B4305" s="288"/>
      <c r="C4305" s="334"/>
      <c r="D4305" s="286"/>
      <c r="E4305" s="876"/>
      <c r="F4305" s="597" t="s">
        <v>236</v>
      </c>
      <c r="G4305" s="598" t="s">
        <v>237</v>
      </c>
      <c r="H4305" s="555"/>
      <c r="I4305" s="556"/>
      <c r="J4305" s="560">
        <f t="shared" ref="J4305:J4319" si="145">SUM(H4305:I4305)</f>
        <v>0</v>
      </c>
      <c r="K4305" s="505"/>
      <c r="L4305" s="505"/>
      <c r="M4305" s="505"/>
      <c r="N4305" s="505"/>
      <c r="O4305" s="505"/>
      <c r="P4305" s="505"/>
      <c r="Q4305" s="505"/>
      <c r="R4305" s="505"/>
      <c r="S4305" s="505"/>
      <c r="T4305" s="505"/>
      <c r="U4305" s="505"/>
      <c r="V4305" s="505"/>
      <c r="W4305" s="505"/>
      <c r="X4305" s="505"/>
      <c r="Y4305" s="505"/>
    </row>
    <row r="4306" spans="1:25" s="88" customFormat="1" hidden="1" x14ac:dyDescent="0.25">
      <c r="A4306" s="481"/>
      <c r="B4306" s="288"/>
      <c r="C4306" s="334"/>
      <c r="D4306" s="286"/>
      <c r="E4306" s="876"/>
      <c r="F4306" s="597" t="s">
        <v>238</v>
      </c>
      <c r="G4306" s="598" t="s">
        <v>239</v>
      </c>
      <c r="H4306" s="555"/>
      <c r="I4306" s="556"/>
      <c r="J4306" s="560">
        <f t="shared" si="145"/>
        <v>0</v>
      </c>
      <c r="K4306" s="505"/>
      <c r="L4306" s="505"/>
      <c r="M4306" s="505"/>
      <c r="N4306" s="505"/>
      <c r="O4306" s="505"/>
      <c r="P4306" s="505"/>
      <c r="Q4306" s="505"/>
      <c r="R4306" s="505"/>
      <c r="S4306" s="505"/>
      <c r="T4306" s="505"/>
      <c r="U4306" s="505"/>
      <c r="V4306" s="505"/>
      <c r="W4306" s="505"/>
      <c r="X4306" s="505"/>
      <c r="Y4306" s="505"/>
    </row>
    <row r="4307" spans="1:25" s="88" customFormat="1" hidden="1" x14ac:dyDescent="0.25">
      <c r="A4307" s="481"/>
      <c r="B4307" s="288"/>
      <c r="C4307" s="334"/>
      <c r="D4307" s="286"/>
      <c r="E4307" s="876"/>
      <c r="F4307" s="597" t="s">
        <v>240</v>
      </c>
      <c r="G4307" s="598" t="s">
        <v>241</v>
      </c>
      <c r="H4307" s="555"/>
      <c r="I4307" s="556"/>
      <c r="J4307" s="560">
        <f t="shared" si="145"/>
        <v>0</v>
      </c>
      <c r="K4307" s="505"/>
      <c r="L4307" s="505"/>
      <c r="M4307" s="505"/>
      <c r="N4307" s="505"/>
      <c r="O4307" s="505"/>
      <c r="P4307" s="505"/>
      <c r="Q4307" s="505"/>
      <c r="R4307" s="505"/>
      <c r="S4307" s="505"/>
      <c r="T4307" s="505"/>
      <c r="U4307" s="505"/>
      <c r="V4307" s="505"/>
      <c r="W4307" s="505"/>
      <c r="X4307" s="505"/>
      <c r="Y4307" s="505"/>
    </row>
    <row r="4308" spans="1:25" s="88" customFormat="1" hidden="1" x14ac:dyDescent="0.25">
      <c r="A4308" s="481"/>
      <c r="B4308" s="288"/>
      <c r="C4308" s="334"/>
      <c r="D4308" s="286"/>
      <c r="E4308" s="876"/>
      <c r="F4308" s="597" t="s">
        <v>242</v>
      </c>
      <c r="G4308" s="598" t="s">
        <v>243</v>
      </c>
      <c r="H4308" s="555"/>
      <c r="I4308" s="556"/>
      <c r="J4308" s="560">
        <f t="shared" si="145"/>
        <v>0</v>
      </c>
      <c r="K4308" s="505"/>
      <c r="L4308" s="505"/>
      <c r="M4308" s="505"/>
      <c r="N4308" s="505"/>
      <c r="O4308" s="505"/>
      <c r="P4308" s="505"/>
      <c r="Q4308" s="505"/>
      <c r="R4308" s="505"/>
      <c r="S4308" s="505"/>
      <c r="T4308" s="505"/>
      <c r="U4308" s="505"/>
      <c r="V4308" s="505"/>
      <c r="W4308" s="505"/>
      <c r="X4308" s="505"/>
      <c r="Y4308" s="505"/>
    </row>
    <row r="4309" spans="1:25" s="88" customFormat="1" hidden="1" x14ac:dyDescent="0.25">
      <c r="A4309" s="481"/>
      <c r="B4309" s="288"/>
      <c r="C4309" s="334"/>
      <c r="D4309" s="286"/>
      <c r="E4309" s="876"/>
      <c r="F4309" s="597" t="s">
        <v>244</v>
      </c>
      <c r="G4309" s="598" t="s">
        <v>245</v>
      </c>
      <c r="H4309" s="555"/>
      <c r="I4309" s="556"/>
      <c r="J4309" s="560">
        <f t="shared" si="145"/>
        <v>0</v>
      </c>
      <c r="K4309" s="505"/>
      <c r="L4309" s="505"/>
      <c r="M4309" s="505"/>
      <c r="N4309" s="505"/>
      <c r="O4309" s="505"/>
      <c r="P4309" s="505"/>
      <c r="Q4309" s="505"/>
      <c r="R4309" s="505"/>
      <c r="S4309" s="505"/>
      <c r="T4309" s="505"/>
      <c r="U4309" s="505"/>
      <c r="V4309" s="505"/>
      <c r="W4309" s="505"/>
      <c r="X4309" s="505"/>
      <c r="Y4309" s="505"/>
    </row>
    <row r="4310" spans="1:25" s="88" customFormat="1" hidden="1" x14ac:dyDescent="0.25">
      <c r="A4310" s="481"/>
      <c r="B4310" s="288"/>
      <c r="C4310" s="334"/>
      <c r="D4310" s="286"/>
      <c r="E4310" s="876"/>
      <c r="F4310" s="597" t="s">
        <v>246</v>
      </c>
      <c r="G4310" s="598" t="s">
        <v>4996</v>
      </c>
      <c r="H4310" s="555"/>
      <c r="I4310" s="556"/>
      <c r="J4310" s="560">
        <f t="shared" si="145"/>
        <v>0</v>
      </c>
      <c r="K4310" s="505"/>
      <c r="L4310" s="505"/>
      <c r="M4310" s="505"/>
      <c r="N4310" s="505"/>
      <c r="O4310" s="505"/>
      <c r="P4310" s="505"/>
      <c r="Q4310" s="505"/>
      <c r="R4310" s="505"/>
      <c r="S4310" s="505"/>
      <c r="T4310" s="505"/>
      <c r="U4310" s="505"/>
      <c r="V4310" s="505"/>
      <c r="W4310" s="505"/>
      <c r="X4310" s="505"/>
      <c r="Y4310" s="505"/>
    </row>
    <row r="4311" spans="1:25" s="88" customFormat="1" hidden="1" x14ac:dyDescent="0.25">
      <c r="A4311" s="481"/>
      <c r="B4311" s="288"/>
      <c r="C4311" s="334"/>
      <c r="D4311" s="286"/>
      <c r="E4311" s="876"/>
      <c r="F4311" s="597" t="s">
        <v>247</v>
      </c>
      <c r="G4311" s="598" t="s">
        <v>4995</v>
      </c>
      <c r="H4311" s="555"/>
      <c r="I4311" s="556"/>
      <c r="J4311" s="560">
        <f t="shared" si="145"/>
        <v>0</v>
      </c>
      <c r="K4311" s="505"/>
      <c r="L4311" s="505"/>
      <c r="M4311" s="505"/>
      <c r="N4311" s="505"/>
      <c r="O4311" s="505"/>
      <c r="P4311" s="505"/>
      <c r="Q4311" s="505"/>
      <c r="R4311" s="505"/>
      <c r="S4311" s="505"/>
      <c r="T4311" s="505"/>
      <c r="U4311" s="505"/>
      <c r="V4311" s="505"/>
      <c r="W4311" s="505"/>
      <c r="X4311" s="505"/>
      <c r="Y4311" s="505"/>
    </row>
    <row r="4312" spans="1:25" s="88" customFormat="1" hidden="1" x14ac:dyDescent="0.25">
      <c r="A4312" s="481"/>
      <c r="B4312" s="288"/>
      <c r="C4312" s="334"/>
      <c r="D4312" s="286"/>
      <c r="E4312" s="876"/>
      <c r="F4312" s="597" t="s">
        <v>248</v>
      </c>
      <c r="G4312" s="598" t="s">
        <v>57</v>
      </c>
      <c r="H4312" s="555"/>
      <c r="I4312" s="556"/>
      <c r="J4312" s="560">
        <f t="shared" si="145"/>
        <v>0</v>
      </c>
      <c r="K4312" s="505"/>
      <c r="L4312" s="505"/>
      <c r="M4312" s="505"/>
      <c r="N4312" s="505"/>
      <c r="O4312" s="505"/>
      <c r="P4312" s="505"/>
      <c r="Q4312" s="505"/>
      <c r="R4312" s="505"/>
      <c r="S4312" s="505"/>
      <c r="T4312" s="505"/>
      <c r="U4312" s="505"/>
      <c r="V4312" s="505"/>
      <c r="W4312" s="505"/>
      <c r="X4312" s="505"/>
      <c r="Y4312" s="505"/>
    </row>
    <row r="4313" spans="1:25" s="88" customFormat="1" hidden="1" x14ac:dyDescent="0.25">
      <c r="A4313" s="481"/>
      <c r="B4313" s="288"/>
      <c r="C4313" s="334"/>
      <c r="D4313" s="286"/>
      <c r="E4313" s="876"/>
      <c r="F4313" s="597" t="s">
        <v>249</v>
      </c>
      <c r="G4313" s="598" t="s">
        <v>250</v>
      </c>
      <c r="H4313" s="555"/>
      <c r="I4313" s="556"/>
      <c r="J4313" s="560">
        <f t="shared" si="145"/>
        <v>0</v>
      </c>
      <c r="K4313" s="505"/>
      <c r="L4313" s="505"/>
      <c r="M4313" s="505"/>
      <c r="N4313" s="505"/>
      <c r="O4313" s="505"/>
      <c r="P4313" s="505"/>
      <c r="Q4313" s="505"/>
      <c r="R4313" s="505"/>
      <c r="S4313" s="505"/>
      <c r="T4313" s="505"/>
      <c r="U4313" s="505"/>
      <c r="V4313" s="505"/>
      <c r="W4313" s="505"/>
      <c r="X4313" s="505"/>
      <c r="Y4313" s="505"/>
    </row>
    <row r="4314" spans="1:25" s="88" customFormat="1" hidden="1" x14ac:dyDescent="0.25">
      <c r="A4314" s="481"/>
      <c r="B4314" s="288"/>
      <c r="C4314" s="334"/>
      <c r="D4314" s="286"/>
      <c r="E4314" s="876"/>
      <c r="F4314" s="597" t="s">
        <v>251</v>
      </c>
      <c r="G4314" s="598" t="s">
        <v>252</v>
      </c>
      <c r="H4314" s="555"/>
      <c r="I4314" s="556"/>
      <c r="J4314" s="560">
        <f t="shared" si="145"/>
        <v>0</v>
      </c>
      <c r="K4314" s="505"/>
      <c r="L4314" s="505"/>
      <c r="M4314" s="505"/>
      <c r="N4314" s="505"/>
      <c r="O4314" s="505"/>
      <c r="P4314" s="505"/>
      <c r="Q4314" s="505"/>
      <c r="R4314" s="505"/>
      <c r="S4314" s="505"/>
      <c r="T4314" s="505"/>
      <c r="U4314" s="505"/>
      <c r="V4314" s="505"/>
      <c r="W4314" s="505"/>
      <c r="X4314" s="505"/>
      <c r="Y4314" s="505"/>
    </row>
    <row r="4315" spans="1:25" s="88" customFormat="1" ht="30" hidden="1" x14ac:dyDescent="0.25">
      <c r="A4315" s="481"/>
      <c r="B4315" s="288"/>
      <c r="C4315" s="334"/>
      <c r="D4315" s="286"/>
      <c r="E4315" s="876"/>
      <c r="F4315" s="597" t="s">
        <v>253</v>
      </c>
      <c r="G4315" s="598" t="s">
        <v>254</v>
      </c>
      <c r="H4315" s="555"/>
      <c r="I4315" s="556"/>
      <c r="J4315" s="560">
        <f t="shared" si="145"/>
        <v>0</v>
      </c>
      <c r="K4315" s="505"/>
      <c r="L4315" s="505"/>
      <c r="M4315" s="505"/>
      <c r="N4315" s="505"/>
      <c r="O4315" s="505"/>
      <c r="P4315" s="505"/>
      <c r="Q4315" s="505"/>
      <c r="R4315" s="505"/>
      <c r="S4315" s="505"/>
      <c r="T4315" s="505"/>
      <c r="U4315" s="505"/>
      <c r="V4315" s="505"/>
      <c r="W4315" s="505"/>
      <c r="X4315" s="505"/>
      <c r="Y4315" s="505"/>
    </row>
    <row r="4316" spans="1:25" s="88" customFormat="1" ht="15.75" thickBot="1" x14ac:dyDescent="0.3">
      <c r="A4316" s="481"/>
      <c r="B4316" s="288"/>
      <c r="C4316" s="334"/>
      <c r="D4316" s="286"/>
      <c r="E4316" s="876"/>
      <c r="F4316" s="597" t="s">
        <v>255</v>
      </c>
      <c r="G4316" s="598" t="s">
        <v>256</v>
      </c>
      <c r="H4316" s="555"/>
      <c r="I4316" s="556">
        <f>SUM(I4101+I4199+I4298)</f>
        <v>0</v>
      </c>
      <c r="J4316" s="560">
        <f t="shared" si="145"/>
        <v>0</v>
      </c>
      <c r="K4316" s="505"/>
      <c r="L4316" s="505"/>
      <c r="M4316" s="505"/>
      <c r="N4316" s="505"/>
      <c r="O4316" s="505"/>
      <c r="P4316" s="505"/>
      <c r="Q4316" s="505"/>
      <c r="R4316" s="505"/>
      <c r="S4316" s="505"/>
      <c r="T4316" s="505"/>
      <c r="U4316" s="505"/>
      <c r="V4316" s="505"/>
      <c r="W4316" s="505"/>
      <c r="X4316" s="505"/>
      <c r="Y4316" s="505"/>
    </row>
    <row r="4317" spans="1:25" s="88" customFormat="1" ht="30" hidden="1" x14ac:dyDescent="0.25">
      <c r="A4317" s="481"/>
      <c r="B4317" s="288"/>
      <c r="C4317" s="334"/>
      <c r="D4317" s="286"/>
      <c r="E4317" s="876"/>
      <c r="F4317" s="597" t="s">
        <v>257</v>
      </c>
      <c r="G4317" s="598" t="s">
        <v>258</v>
      </c>
      <c r="H4317" s="555"/>
      <c r="I4317" s="556"/>
      <c r="J4317" s="560">
        <f t="shared" si="145"/>
        <v>0</v>
      </c>
      <c r="K4317" s="505"/>
      <c r="L4317" s="505"/>
      <c r="M4317" s="505"/>
      <c r="N4317" s="505"/>
      <c r="O4317" s="505"/>
      <c r="P4317" s="505"/>
      <c r="Q4317" s="505"/>
      <c r="R4317" s="505"/>
      <c r="S4317" s="505"/>
      <c r="T4317" s="505"/>
      <c r="U4317" s="505"/>
      <c r="V4317" s="505"/>
      <c r="W4317" s="505"/>
      <c r="X4317" s="505"/>
      <c r="Y4317" s="505"/>
    </row>
    <row r="4318" spans="1:25" s="88" customFormat="1" hidden="1" x14ac:dyDescent="0.25">
      <c r="A4318" s="481"/>
      <c r="B4318" s="288"/>
      <c r="C4318" s="334"/>
      <c r="D4318" s="286"/>
      <c r="E4318" s="876"/>
      <c r="F4318" s="597" t="s">
        <v>259</v>
      </c>
      <c r="G4318" s="598" t="s">
        <v>260</v>
      </c>
      <c r="H4318" s="555"/>
      <c r="I4318" s="556"/>
      <c r="J4318" s="560">
        <f t="shared" si="145"/>
        <v>0</v>
      </c>
      <c r="K4318" s="505"/>
      <c r="L4318" s="505"/>
      <c r="M4318" s="505"/>
      <c r="N4318" s="505"/>
      <c r="O4318" s="505"/>
      <c r="P4318" s="505"/>
      <c r="Q4318" s="505"/>
      <c r="R4318" s="505"/>
      <c r="S4318" s="505"/>
      <c r="T4318" s="505"/>
      <c r="U4318" s="505"/>
      <c r="V4318" s="505"/>
      <c r="W4318" s="505"/>
      <c r="X4318" s="505"/>
      <c r="Y4318" s="505"/>
    </row>
    <row r="4319" spans="1:25" s="88" customFormat="1" ht="7.5" hidden="1" customHeight="1" x14ac:dyDescent="0.25">
      <c r="A4319" s="481"/>
      <c r="B4319" s="288"/>
      <c r="C4319" s="334"/>
      <c r="D4319" s="286"/>
      <c r="E4319" s="876"/>
      <c r="F4319" s="597" t="s">
        <v>261</v>
      </c>
      <c r="G4319" s="598" t="s">
        <v>262</v>
      </c>
      <c r="H4319" s="559"/>
      <c r="I4319" s="560"/>
      <c r="J4319" s="560">
        <f t="shared" si="145"/>
        <v>0</v>
      </c>
      <c r="K4319" s="505"/>
      <c r="L4319" s="505"/>
      <c r="M4319" s="505"/>
      <c r="N4319" s="505"/>
      <c r="O4319" s="505"/>
      <c r="P4319" s="505"/>
      <c r="Q4319" s="505"/>
      <c r="R4319" s="505"/>
      <c r="S4319" s="505"/>
      <c r="T4319" s="505"/>
      <c r="U4319" s="505"/>
      <c r="V4319" s="505"/>
      <c r="W4319" s="505"/>
      <c r="X4319" s="505"/>
      <c r="Y4319" s="505"/>
    </row>
    <row r="4320" spans="1:25" s="88" customFormat="1" ht="9.75" hidden="1" customHeight="1" thickBot="1" x14ac:dyDescent="0.3">
      <c r="A4320" s="481"/>
      <c r="B4320" s="288"/>
      <c r="C4320" s="334"/>
      <c r="D4320" s="286"/>
      <c r="E4320" s="876"/>
      <c r="F4320" s="597"/>
      <c r="G4320" s="598"/>
      <c r="H4320" s="559"/>
      <c r="I4320" s="560"/>
      <c r="J4320" s="560"/>
      <c r="K4320" s="505"/>
      <c r="L4320" s="505"/>
      <c r="M4320" s="505"/>
      <c r="N4320" s="505"/>
      <c r="O4320" s="505"/>
      <c r="P4320" s="505"/>
      <c r="Q4320" s="505"/>
      <c r="R4320" s="505"/>
      <c r="S4320" s="505"/>
      <c r="T4320" s="505"/>
      <c r="U4320" s="505"/>
      <c r="V4320" s="505"/>
      <c r="W4320" s="505"/>
      <c r="X4320" s="505"/>
      <c r="Y4320" s="505"/>
    </row>
    <row r="4321" spans="1:25" s="88" customFormat="1" ht="14.25" customHeight="1" thickBot="1" x14ac:dyDescent="0.3">
      <c r="A4321" s="481"/>
      <c r="B4321" s="288"/>
      <c r="C4321" s="334"/>
      <c r="D4321" s="286"/>
      <c r="E4321" s="876"/>
      <c r="F4321" s="258"/>
      <c r="G4321" s="728" t="s">
        <v>5353</v>
      </c>
      <c r="H4321" s="561">
        <f>SUM(H4304)</f>
        <v>2700000</v>
      </c>
      <c r="I4321" s="562">
        <f>SUM(I4305:I4319)</f>
        <v>0</v>
      </c>
      <c r="J4321" s="562">
        <f>SUM(J4304:J4319)</f>
        <v>2700000</v>
      </c>
      <c r="K4321" s="505"/>
      <c r="L4321" s="505"/>
      <c r="M4321" s="505"/>
      <c r="N4321" s="505"/>
      <c r="O4321" s="505"/>
      <c r="P4321" s="505"/>
      <c r="Q4321" s="505"/>
      <c r="R4321" s="505"/>
      <c r="S4321" s="505"/>
      <c r="T4321" s="505"/>
      <c r="U4321" s="505"/>
      <c r="V4321" s="505"/>
      <c r="W4321" s="505"/>
      <c r="X4321" s="505"/>
      <c r="Y4321" s="505"/>
    </row>
    <row r="4322" spans="1:25" s="88" customFormat="1" ht="14.25" customHeight="1" x14ac:dyDescent="0.25">
      <c r="A4322" s="258"/>
      <c r="B4322" s="258"/>
      <c r="C4322" s="261"/>
      <c r="D4322" s="258"/>
      <c r="E4322" s="679"/>
      <c r="F4322" s="258"/>
      <c r="G4322" s="312"/>
      <c r="H4322" s="565"/>
      <c r="I4322" s="566"/>
      <c r="J4322" s="566"/>
      <c r="K4322" s="505"/>
      <c r="L4322" s="505"/>
      <c r="M4322" s="505"/>
      <c r="N4322" s="505"/>
      <c r="O4322" s="505"/>
      <c r="P4322" s="505"/>
      <c r="Q4322" s="505"/>
      <c r="R4322" s="505"/>
      <c r="S4322" s="505"/>
      <c r="T4322" s="505"/>
      <c r="U4322" s="505"/>
      <c r="V4322" s="505"/>
      <c r="W4322" s="505"/>
      <c r="X4322" s="505"/>
      <c r="Y4322" s="505"/>
    </row>
    <row r="4323" spans="1:25" s="88" customFormat="1" ht="23.25" customHeight="1" x14ac:dyDescent="0.25">
      <c r="A4323" s="481"/>
      <c r="B4323" s="258"/>
      <c r="C4323" s="267" t="s">
        <v>3581</v>
      </c>
      <c r="D4323" s="258"/>
      <c r="E4323" s="679"/>
      <c r="F4323" s="258"/>
      <c r="G4323" s="490" t="s">
        <v>5163</v>
      </c>
      <c r="H4323" s="555"/>
      <c r="I4323" s="556"/>
      <c r="J4323" s="556"/>
      <c r="K4323" s="505"/>
      <c r="L4323" s="505"/>
      <c r="M4323" s="505"/>
      <c r="N4323" s="505"/>
      <c r="O4323" s="505"/>
      <c r="P4323" s="505"/>
      <c r="Q4323" s="505"/>
      <c r="R4323" s="505"/>
      <c r="S4323" s="505"/>
      <c r="T4323" s="505"/>
      <c r="U4323" s="505"/>
      <c r="V4323" s="505"/>
      <c r="W4323" s="505"/>
      <c r="X4323" s="505"/>
      <c r="Y4323" s="505"/>
    </row>
    <row r="4324" spans="1:25" s="88" customFormat="1" ht="28.5" x14ac:dyDescent="0.25">
      <c r="A4324" s="258"/>
      <c r="B4324" s="258"/>
      <c r="C4324" s="267" t="s">
        <v>4076</v>
      </c>
      <c r="D4324" s="259"/>
      <c r="E4324" s="679"/>
      <c r="F4324" s="258"/>
      <c r="G4324" s="490" t="s">
        <v>5305</v>
      </c>
      <c r="H4324" s="555"/>
      <c r="I4324" s="556"/>
      <c r="J4324" s="556"/>
      <c r="K4324" s="505"/>
      <c r="L4324" s="505"/>
      <c r="M4324" s="505"/>
      <c r="N4324" s="505"/>
      <c r="O4324" s="505"/>
      <c r="P4324" s="505"/>
      <c r="Q4324" s="505"/>
      <c r="R4324" s="505"/>
      <c r="S4324" s="505"/>
      <c r="T4324" s="505"/>
      <c r="U4324" s="505"/>
      <c r="V4324" s="505"/>
      <c r="W4324" s="505"/>
      <c r="X4324" s="505"/>
      <c r="Y4324" s="505"/>
    </row>
    <row r="4325" spans="1:25" s="88" customFormat="1" ht="12.75" customHeight="1" x14ac:dyDescent="0.25">
      <c r="A4325" s="258"/>
      <c r="B4325" s="258"/>
      <c r="C4325" s="267"/>
      <c r="D4325" s="331">
        <v>912</v>
      </c>
      <c r="E4325" s="869"/>
      <c r="F4325" s="331"/>
      <c r="G4325" s="332" t="s">
        <v>215</v>
      </c>
      <c r="H4325" s="555"/>
      <c r="I4325" s="556"/>
      <c r="J4325" s="556"/>
      <c r="K4325" s="505"/>
      <c r="L4325" s="505"/>
      <c r="M4325" s="505"/>
      <c r="N4325" s="505"/>
      <c r="O4325" s="505"/>
      <c r="P4325" s="505"/>
      <c r="Q4325" s="505"/>
      <c r="R4325" s="505"/>
      <c r="S4325" s="505"/>
      <c r="T4325" s="505"/>
      <c r="U4325" s="505"/>
      <c r="V4325" s="505"/>
      <c r="W4325" s="505"/>
      <c r="X4325" s="505"/>
      <c r="Y4325" s="505"/>
    </row>
    <row r="4326" spans="1:25" s="88" customFormat="1" hidden="1" x14ac:dyDescent="0.25">
      <c r="A4326" s="258"/>
      <c r="B4326" s="258"/>
      <c r="C4326" s="261"/>
      <c r="D4326" s="258"/>
      <c r="E4326" s="679"/>
      <c r="F4326" s="499">
        <v>411</v>
      </c>
      <c r="G4326" s="492" t="s">
        <v>4131</v>
      </c>
      <c r="H4326" s="555"/>
      <c r="I4326" s="556"/>
      <c r="J4326" s="556">
        <f>SUM(H4326:I4326)</f>
        <v>0</v>
      </c>
      <c r="K4326" s="505"/>
      <c r="L4326" s="505"/>
      <c r="M4326" s="505"/>
      <c r="N4326" s="505"/>
      <c r="O4326" s="505"/>
      <c r="P4326" s="505"/>
      <c r="Q4326" s="505"/>
      <c r="R4326" s="505"/>
      <c r="S4326" s="505"/>
      <c r="T4326" s="505"/>
      <c r="U4326" s="505"/>
      <c r="V4326" s="505"/>
      <c r="W4326" s="505"/>
      <c r="X4326" s="505"/>
      <c r="Y4326" s="505"/>
    </row>
    <row r="4327" spans="1:25" s="88" customFormat="1" hidden="1" x14ac:dyDescent="0.25">
      <c r="A4327" s="258"/>
      <c r="B4327" s="258"/>
      <c r="C4327" s="261"/>
      <c r="D4327" s="258"/>
      <c r="E4327" s="679"/>
      <c r="F4327" s="499">
        <v>412</v>
      </c>
      <c r="G4327" s="488" t="s">
        <v>3766</v>
      </c>
      <c r="H4327" s="555"/>
      <c r="I4327" s="556"/>
      <c r="J4327" s="556">
        <f t="shared" ref="J4327:J4385" si="146">SUM(H4327:I4327)</f>
        <v>0</v>
      </c>
      <c r="K4327" s="505"/>
      <c r="L4327" s="505"/>
      <c r="M4327" s="505"/>
      <c r="N4327" s="505"/>
      <c r="O4327" s="505"/>
      <c r="P4327" s="505"/>
      <c r="Q4327" s="505"/>
      <c r="R4327" s="505"/>
      <c r="S4327" s="505"/>
      <c r="T4327" s="505"/>
      <c r="U4327" s="505"/>
      <c r="V4327" s="505"/>
      <c r="W4327" s="505"/>
      <c r="X4327" s="505"/>
      <c r="Y4327" s="505"/>
    </row>
    <row r="4328" spans="1:25" s="88" customFormat="1" hidden="1" x14ac:dyDescent="0.25">
      <c r="A4328" s="258"/>
      <c r="B4328" s="258"/>
      <c r="C4328" s="261"/>
      <c r="D4328" s="258"/>
      <c r="E4328" s="679"/>
      <c r="F4328" s="499">
        <v>413</v>
      </c>
      <c r="G4328" s="492" t="s">
        <v>4132</v>
      </c>
      <c r="H4328" s="555"/>
      <c r="I4328" s="556"/>
      <c r="J4328" s="556">
        <f t="shared" si="146"/>
        <v>0</v>
      </c>
      <c r="K4328" s="505"/>
      <c r="L4328" s="505"/>
      <c r="M4328" s="505"/>
      <c r="N4328" s="505"/>
      <c r="O4328" s="505"/>
      <c r="P4328" s="505"/>
      <c r="Q4328" s="505"/>
      <c r="R4328" s="505"/>
      <c r="S4328" s="505"/>
      <c r="T4328" s="505"/>
      <c r="U4328" s="505"/>
      <c r="V4328" s="505"/>
      <c r="W4328" s="505"/>
      <c r="X4328" s="505"/>
      <c r="Y4328" s="505"/>
    </row>
    <row r="4329" spans="1:25" s="88" customFormat="1" hidden="1" x14ac:dyDescent="0.25">
      <c r="A4329" s="258"/>
      <c r="B4329" s="258"/>
      <c r="C4329" s="261"/>
      <c r="D4329" s="258"/>
      <c r="E4329" s="679"/>
      <c r="F4329" s="499">
        <v>414</v>
      </c>
      <c r="G4329" s="492" t="s">
        <v>3769</v>
      </c>
      <c r="H4329" s="555"/>
      <c r="I4329" s="556"/>
      <c r="J4329" s="556">
        <f t="shared" si="146"/>
        <v>0</v>
      </c>
      <c r="K4329" s="505"/>
      <c r="L4329" s="505"/>
      <c r="M4329" s="505"/>
      <c r="N4329" s="505"/>
      <c r="O4329" s="505"/>
      <c r="P4329" s="505"/>
      <c r="Q4329" s="505"/>
      <c r="R4329" s="505"/>
      <c r="S4329" s="505"/>
      <c r="T4329" s="505"/>
      <c r="U4329" s="505"/>
      <c r="V4329" s="505"/>
      <c r="W4329" s="505"/>
      <c r="X4329" s="505"/>
      <c r="Y4329" s="505"/>
    </row>
    <row r="4330" spans="1:25" s="88" customFormat="1" hidden="1" x14ac:dyDescent="0.25">
      <c r="A4330" s="258"/>
      <c r="B4330" s="258"/>
      <c r="C4330" s="261"/>
      <c r="D4330" s="258"/>
      <c r="E4330" s="679"/>
      <c r="F4330" s="499">
        <v>415</v>
      </c>
      <c r="G4330" s="492" t="s">
        <v>4141</v>
      </c>
      <c r="H4330" s="555"/>
      <c r="I4330" s="556"/>
      <c r="J4330" s="556">
        <f t="shared" si="146"/>
        <v>0</v>
      </c>
      <c r="K4330" s="505"/>
      <c r="L4330" s="505"/>
      <c r="M4330" s="505"/>
      <c r="N4330" s="505"/>
      <c r="O4330" s="505"/>
      <c r="P4330" s="505"/>
      <c r="Q4330" s="505"/>
      <c r="R4330" s="505"/>
      <c r="S4330" s="505"/>
      <c r="T4330" s="505"/>
      <c r="U4330" s="505"/>
      <c r="V4330" s="505"/>
      <c r="W4330" s="505"/>
      <c r="X4330" s="505"/>
      <c r="Y4330" s="505"/>
    </row>
    <row r="4331" spans="1:25" s="88" customFormat="1" hidden="1" x14ac:dyDescent="0.25">
      <c r="A4331" s="258"/>
      <c r="B4331" s="258"/>
      <c r="C4331" s="261"/>
      <c r="D4331" s="258"/>
      <c r="E4331" s="679"/>
      <c r="F4331" s="499">
        <v>416</v>
      </c>
      <c r="G4331" s="492" t="s">
        <v>4142</v>
      </c>
      <c r="H4331" s="555"/>
      <c r="I4331" s="556"/>
      <c r="J4331" s="556">
        <f t="shared" si="146"/>
        <v>0</v>
      </c>
      <c r="K4331" s="505"/>
      <c r="L4331" s="505"/>
      <c r="M4331" s="505"/>
      <c r="N4331" s="505"/>
      <c r="O4331" s="505"/>
      <c r="P4331" s="505"/>
      <c r="Q4331" s="505"/>
      <c r="R4331" s="505"/>
      <c r="S4331" s="505"/>
      <c r="T4331" s="505"/>
      <c r="U4331" s="505"/>
      <c r="V4331" s="505"/>
      <c r="W4331" s="505"/>
      <c r="X4331" s="505"/>
      <c r="Y4331" s="505"/>
    </row>
    <row r="4332" spans="1:25" s="88" customFormat="1" hidden="1" x14ac:dyDescent="0.25">
      <c r="A4332" s="258"/>
      <c r="B4332" s="258"/>
      <c r="C4332" s="261"/>
      <c r="D4332" s="258"/>
      <c r="E4332" s="679"/>
      <c r="F4332" s="499">
        <v>417</v>
      </c>
      <c r="G4332" s="492" t="s">
        <v>4143</v>
      </c>
      <c r="H4332" s="555"/>
      <c r="I4332" s="556"/>
      <c r="J4332" s="556">
        <f t="shared" si="146"/>
        <v>0</v>
      </c>
      <c r="K4332" s="505"/>
      <c r="L4332" s="505"/>
      <c r="M4332" s="505"/>
      <c r="N4332" s="505"/>
      <c r="O4332" s="505"/>
      <c r="P4332" s="505"/>
      <c r="Q4332" s="505"/>
      <c r="R4332" s="505"/>
      <c r="S4332" s="505"/>
      <c r="T4332" s="505"/>
      <c r="U4332" s="505"/>
      <c r="V4332" s="505"/>
      <c r="W4332" s="505"/>
      <c r="X4332" s="505"/>
      <c r="Y4332" s="505"/>
    </row>
    <row r="4333" spans="1:25" s="88" customFormat="1" hidden="1" x14ac:dyDescent="0.25">
      <c r="A4333" s="258"/>
      <c r="B4333" s="258"/>
      <c r="C4333" s="261"/>
      <c r="D4333" s="258"/>
      <c r="E4333" s="679"/>
      <c r="F4333" s="499">
        <v>418</v>
      </c>
      <c r="G4333" s="492" t="s">
        <v>3775</v>
      </c>
      <c r="H4333" s="555"/>
      <c r="I4333" s="556"/>
      <c r="J4333" s="556">
        <f t="shared" si="146"/>
        <v>0</v>
      </c>
      <c r="K4333" s="505"/>
      <c r="L4333" s="505"/>
      <c r="M4333" s="505"/>
      <c r="N4333" s="505"/>
      <c r="O4333" s="505"/>
      <c r="P4333" s="505"/>
      <c r="Q4333" s="505"/>
      <c r="R4333" s="505"/>
      <c r="S4333" s="505"/>
      <c r="T4333" s="505"/>
      <c r="U4333" s="505"/>
      <c r="V4333" s="505"/>
      <c r="W4333" s="505"/>
      <c r="X4333" s="505"/>
      <c r="Y4333" s="505"/>
    </row>
    <row r="4334" spans="1:25" s="88" customFormat="1" hidden="1" x14ac:dyDescent="0.25">
      <c r="A4334" s="258"/>
      <c r="B4334" s="258"/>
      <c r="C4334" s="261"/>
      <c r="D4334" s="258"/>
      <c r="E4334" s="679"/>
      <c r="F4334" s="499">
        <v>421</v>
      </c>
      <c r="G4334" s="492" t="s">
        <v>3779</v>
      </c>
      <c r="H4334" s="555"/>
      <c r="I4334" s="556"/>
      <c r="J4334" s="556">
        <f t="shared" si="146"/>
        <v>0</v>
      </c>
      <c r="K4334" s="505"/>
      <c r="L4334" s="505"/>
      <c r="M4334" s="505"/>
      <c r="N4334" s="505"/>
      <c r="O4334" s="505"/>
      <c r="P4334" s="505"/>
      <c r="Q4334" s="505"/>
      <c r="R4334" s="505"/>
      <c r="S4334" s="505"/>
      <c r="T4334" s="505"/>
      <c r="U4334" s="505"/>
      <c r="V4334" s="505"/>
      <c r="W4334" s="505"/>
      <c r="X4334" s="505"/>
      <c r="Y4334" s="505"/>
    </row>
    <row r="4335" spans="1:25" s="88" customFormat="1" hidden="1" x14ac:dyDescent="0.25">
      <c r="A4335" s="258"/>
      <c r="B4335" s="258"/>
      <c r="C4335" s="261"/>
      <c r="D4335" s="258"/>
      <c r="E4335" s="679"/>
      <c r="F4335" s="499">
        <v>422</v>
      </c>
      <c r="G4335" s="492" t="s">
        <v>3780</v>
      </c>
      <c r="H4335" s="555"/>
      <c r="I4335" s="556"/>
      <c r="J4335" s="556">
        <f t="shared" si="146"/>
        <v>0</v>
      </c>
      <c r="K4335" s="505"/>
      <c r="L4335" s="505"/>
      <c r="M4335" s="505"/>
      <c r="N4335" s="505"/>
      <c r="O4335" s="505"/>
      <c r="P4335" s="505"/>
      <c r="Q4335" s="505"/>
      <c r="R4335" s="505"/>
      <c r="S4335" s="505"/>
      <c r="T4335" s="505"/>
      <c r="U4335" s="505"/>
      <c r="V4335" s="505"/>
      <c r="W4335" s="505"/>
      <c r="X4335" s="505"/>
      <c r="Y4335" s="505"/>
    </row>
    <row r="4336" spans="1:25" s="88" customFormat="1" hidden="1" x14ac:dyDescent="0.25">
      <c r="A4336" s="258"/>
      <c r="B4336" s="258"/>
      <c r="C4336" s="261"/>
      <c r="D4336" s="258"/>
      <c r="E4336" s="679"/>
      <c r="F4336" s="499">
        <v>423</v>
      </c>
      <c r="G4336" s="492" t="s">
        <v>3781</v>
      </c>
      <c r="H4336" s="555"/>
      <c r="I4336" s="556"/>
      <c r="J4336" s="556">
        <f t="shared" si="146"/>
        <v>0</v>
      </c>
      <c r="K4336" s="505"/>
      <c r="L4336" s="505"/>
      <c r="M4336" s="505"/>
      <c r="N4336" s="505"/>
      <c r="O4336" s="505"/>
      <c r="P4336" s="505"/>
      <c r="Q4336" s="505"/>
      <c r="R4336" s="505"/>
      <c r="S4336" s="505"/>
      <c r="T4336" s="505"/>
      <c r="U4336" s="505"/>
      <c r="V4336" s="505"/>
      <c r="W4336" s="505"/>
      <c r="X4336" s="505"/>
      <c r="Y4336" s="505"/>
    </row>
    <row r="4337" spans="1:25" s="88" customFormat="1" hidden="1" x14ac:dyDescent="0.25">
      <c r="A4337" s="258"/>
      <c r="B4337" s="258"/>
      <c r="C4337" s="261"/>
      <c r="D4337" s="258"/>
      <c r="E4337" s="679"/>
      <c r="F4337" s="499">
        <v>424</v>
      </c>
      <c r="G4337" s="492" t="s">
        <v>3783</v>
      </c>
      <c r="H4337" s="555"/>
      <c r="I4337" s="556"/>
      <c r="J4337" s="556">
        <f t="shared" si="146"/>
        <v>0</v>
      </c>
      <c r="K4337" s="505"/>
      <c r="L4337" s="505"/>
      <c r="M4337" s="505"/>
      <c r="N4337" s="505"/>
      <c r="O4337" s="505"/>
      <c r="P4337" s="505"/>
      <c r="Q4337" s="505"/>
      <c r="R4337" s="505"/>
      <c r="S4337" s="505"/>
      <c r="T4337" s="505"/>
      <c r="U4337" s="505"/>
      <c r="V4337" s="505"/>
      <c r="W4337" s="505"/>
      <c r="X4337" s="505"/>
      <c r="Y4337" s="505"/>
    </row>
    <row r="4338" spans="1:25" s="88" customFormat="1" hidden="1" x14ac:dyDescent="0.25">
      <c r="A4338" s="258"/>
      <c r="B4338" s="258"/>
      <c r="C4338" s="261"/>
      <c r="D4338" s="258"/>
      <c r="E4338" s="679"/>
      <c r="F4338" s="499">
        <v>425</v>
      </c>
      <c r="G4338" s="492" t="s">
        <v>4144</v>
      </c>
      <c r="H4338" s="555"/>
      <c r="I4338" s="556"/>
      <c r="J4338" s="556">
        <f t="shared" si="146"/>
        <v>0</v>
      </c>
      <c r="K4338" s="505"/>
      <c r="L4338" s="505"/>
      <c r="M4338" s="505"/>
      <c r="N4338" s="505"/>
      <c r="O4338" s="505"/>
      <c r="P4338" s="505"/>
      <c r="Q4338" s="505"/>
      <c r="R4338" s="505"/>
      <c r="S4338" s="505"/>
      <c r="T4338" s="505"/>
      <c r="U4338" s="505"/>
      <c r="V4338" s="505"/>
      <c r="W4338" s="505"/>
      <c r="X4338" s="505"/>
      <c r="Y4338" s="505"/>
    </row>
    <row r="4339" spans="1:25" s="88" customFormat="1" hidden="1" x14ac:dyDescent="0.25">
      <c r="A4339" s="258"/>
      <c r="B4339" s="258"/>
      <c r="C4339" s="261"/>
      <c r="D4339" s="258"/>
      <c r="E4339" s="679"/>
      <c r="F4339" s="499">
        <v>426</v>
      </c>
      <c r="G4339" s="492" t="s">
        <v>3787</v>
      </c>
      <c r="H4339" s="555"/>
      <c r="I4339" s="556"/>
      <c r="J4339" s="556">
        <f t="shared" si="146"/>
        <v>0</v>
      </c>
      <c r="K4339" s="505"/>
      <c r="L4339" s="505"/>
      <c r="M4339" s="505"/>
      <c r="N4339" s="505"/>
      <c r="O4339" s="505"/>
      <c r="P4339" s="505"/>
      <c r="Q4339" s="505"/>
      <c r="R4339" s="505"/>
      <c r="S4339" s="505"/>
      <c r="T4339" s="505"/>
      <c r="U4339" s="505"/>
      <c r="V4339" s="505"/>
      <c r="W4339" s="505"/>
      <c r="X4339" s="505"/>
      <c r="Y4339" s="505"/>
    </row>
    <row r="4340" spans="1:25" s="88" customFormat="1" hidden="1" x14ac:dyDescent="0.25">
      <c r="A4340" s="258"/>
      <c r="B4340" s="258"/>
      <c r="C4340" s="261"/>
      <c r="D4340" s="258"/>
      <c r="E4340" s="679"/>
      <c r="F4340" s="499">
        <v>431</v>
      </c>
      <c r="G4340" s="492" t="s">
        <v>4145</v>
      </c>
      <c r="H4340" s="555"/>
      <c r="I4340" s="556"/>
      <c r="J4340" s="556">
        <f t="shared" si="146"/>
        <v>0</v>
      </c>
      <c r="K4340" s="505"/>
      <c r="L4340" s="505"/>
      <c r="M4340" s="505"/>
      <c r="N4340" s="505"/>
      <c r="O4340" s="505"/>
      <c r="P4340" s="505"/>
      <c r="Q4340" s="505"/>
      <c r="R4340" s="505"/>
      <c r="S4340" s="505"/>
      <c r="T4340" s="505"/>
      <c r="U4340" s="505"/>
      <c r="V4340" s="505"/>
      <c r="W4340" s="505"/>
      <c r="X4340" s="505"/>
      <c r="Y4340" s="505"/>
    </row>
    <row r="4341" spans="1:25" s="88" customFormat="1" hidden="1" x14ac:dyDescent="0.25">
      <c r="A4341" s="258"/>
      <c r="B4341" s="258"/>
      <c r="C4341" s="261"/>
      <c r="D4341" s="258"/>
      <c r="E4341" s="679"/>
      <c r="F4341" s="499">
        <v>432</v>
      </c>
      <c r="G4341" s="492" t="s">
        <v>4146</v>
      </c>
      <c r="H4341" s="555"/>
      <c r="I4341" s="556"/>
      <c r="J4341" s="556">
        <f t="shared" si="146"/>
        <v>0</v>
      </c>
      <c r="K4341" s="505"/>
      <c r="L4341" s="505"/>
      <c r="M4341" s="505"/>
      <c r="N4341" s="505"/>
      <c r="O4341" s="505"/>
      <c r="P4341" s="505"/>
      <c r="Q4341" s="505"/>
      <c r="R4341" s="505"/>
      <c r="S4341" s="505"/>
      <c r="T4341" s="505"/>
      <c r="U4341" s="505"/>
      <c r="V4341" s="505"/>
      <c r="W4341" s="505"/>
      <c r="X4341" s="505"/>
      <c r="Y4341" s="505"/>
    </row>
    <row r="4342" spans="1:25" s="88" customFormat="1" hidden="1" x14ac:dyDescent="0.25">
      <c r="A4342" s="258"/>
      <c r="B4342" s="258"/>
      <c r="C4342" s="261"/>
      <c r="D4342" s="258"/>
      <c r="E4342" s="679"/>
      <c r="F4342" s="499">
        <v>433</v>
      </c>
      <c r="G4342" s="492" t="s">
        <v>4147</v>
      </c>
      <c r="H4342" s="555"/>
      <c r="I4342" s="556"/>
      <c r="J4342" s="556">
        <f t="shared" si="146"/>
        <v>0</v>
      </c>
      <c r="K4342" s="505"/>
      <c r="L4342" s="505"/>
      <c r="M4342" s="505"/>
      <c r="N4342" s="505"/>
      <c r="O4342" s="505"/>
      <c r="P4342" s="505"/>
      <c r="Q4342" s="505"/>
      <c r="R4342" s="505"/>
      <c r="S4342" s="505"/>
      <c r="T4342" s="505"/>
      <c r="U4342" s="505"/>
      <c r="V4342" s="505"/>
      <c r="W4342" s="505"/>
      <c r="X4342" s="505"/>
      <c r="Y4342" s="505"/>
    </row>
    <row r="4343" spans="1:25" s="88" customFormat="1" hidden="1" x14ac:dyDescent="0.25">
      <c r="A4343" s="258"/>
      <c r="B4343" s="258"/>
      <c r="C4343" s="261"/>
      <c r="D4343" s="258"/>
      <c r="E4343" s="679"/>
      <c r="F4343" s="499">
        <v>434</v>
      </c>
      <c r="G4343" s="492" t="s">
        <v>4148</v>
      </c>
      <c r="H4343" s="555"/>
      <c r="I4343" s="556"/>
      <c r="J4343" s="556">
        <f t="shared" si="146"/>
        <v>0</v>
      </c>
      <c r="K4343" s="505"/>
      <c r="L4343" s="505"/>
      <c r="M4343" s="505"/>
      <c r="N4343" s="505"/>
      <c r="O4343" s="505"/>
      <c r="P4343" s="505"/>
      <c r="Q4343" s="505"/>
      <c r="R4343" s="505"/>
      <c r="S4343" s="505"/>
      <c r="T4343" s="505"/>
      <c r="U4343" s="505"/>
      <c r="V4343" s="505"/>
      <c r="W4343" s="505"/>
      <c r="X4343" s="505"/>
      <c r="Y4343" s="505"/>
    </row>
    <row r="4344" spans="1:25" s="88" customFormat="1" hidden="1" x14ac:dyDescent="0.25">
      <c r="A4344" s="258"/>
      <c r="B4344" s="258"/>
      <c r="C4344" s="261"/>
      <c r="D4344" s="258"/>
      <c r="E4344" s="679"/>
      <c r="F4344" s="499">
        <v>435</v>
      </c>
      <c r="G4344" s="492" t="s">
        <v>3794</v>
      </c>
      <c r="H4344" s="555"/>
      <c r="I4344" s="556"/>
      <c r="J4344" s="556">
        <f t="shared" si="146"/>
        <v>0</v>
      </c>
      <c r="K4344" s="505"/>
      <c r="L4344" s="505"/>
      <c r="M4344" s="505"/>
      <c r="N4344" s="505"/>
      <c r="O4344" s="505"/>
      <c r="P4344" s="505"/>
      <c r="Q4344" s="505"/>
      <c r="R4344" s="505"/>
      <c r="S4344" s="505"/>
      <c r="T4344" s="505"/>
      <c r="U4344" s="505"/>
      <c r="V4344" s="505"/>
      <c r="W4344" s="505"/>
      <c r="X4344" s="505"/>
      <c r="Y4344" s="505"/>
    </row>
    <row r="4345" spans="1:25" s="88" customFormat="1" hidden="1" x14ac:dyDescent="0.25">
      <c r="A4345" s="258"/>
      <c r="B4345" s="258"/>
      <c r="C4345" s="261"/>
      <c r="D4345" s="258"/>
      <c r="E4345" s="679"/>
      <c r="F4345" s="499">
        <v>441</v>
      </c>
      <c r="G4345" s="492" t="s">
        <v>4149</v>
      </c>
      <c r="H4345" s="555"/>
      <c r="I4345" s="556"/>
      <c r="J4345" s="556">
        <f t="shared" si="146"/>
        <v>0</v>
      </c>
      <c r="K4345" s="505"/>
      <c r="L4345" s="505"/>
      <c r="M4345" s="505"/>
      <c r="N4345" s="505"/>
      <c r="O4345" s="505"/>
      <c r="P4345" s="505"/>
      <c r="Q4345" s="505"/>
      <c r="R4345" s="505"/>
      <c r="S4345" s="505"/>
      <c r="T4345" s="505"/>
      <c r="U4345" s="505"/>
      <c r="V4345" s="505"/>
      <c r="W4345" s="505"/>
      <c r="X4345" s="505"/>
      <c r="Y4345" s="505"/>
    </row>
    <row r="4346" spans="1:25" s="88" customFormat="1" hidden="1" x14ac:dyDescent="0.25">
      <c r="A4346" s="258"/>
      <c r="B4346" s="258"/>
      <c r="C4346" s="261"/>
      <c r="D4346" s="258"/>
      <c r="E4346" s="679"/>
      <c r="F4346" s="499">
        <v>442</v>
      </c>
      <c r="G4346" s="492" t="s">
        <v>4150</v>
      </c>
      <c r="H4346" s="555"/>
      <c r="I4346" s="556"/>
      <c r="J4346" s="556">
        <f t="shared" si="146"/>
        <v>0</v>
      </c>
      <c r="K4346" s="505"/>
      <c r="L4346" s="505"/>
      <c r="M4346" s="505"/>
      <c r="N4346" s="505"/>
      <c r="O4346" s="505"/>
      <c r="P4346" s="505"/>
      <c r="Q4346" s="505"/>
      <c r="R4346" s="505"/>
      <c r="S4346" s="505"/>
      <c r="T4346" s="505"/>
      <c r="U4346" s="505"/>
      <c r="V4346" s="505"/>
      <c r="W4346" s="505"/>
      <c r="X4346" s="505"/>
      <c r="Y4346" s="505"/>
    </row>
    <row r="4347" spans="1:25" s="88" customFormat="1" hidden="1" x14ac:dyDescent="0.25">
      <c r="A4347" s="258"/>
      <c r="B4347" s="258"/>
      <c r="C4347" s="261"/>
      <c r="D4347" s="258"/>
      <c r="E4347" s="679"/>
      <c r="F4347" s="499">
        <v>443</v>
      </c>
      <c r="G4347" s="492" t="s">
        <v>3799</v>
      </c>
      <c r="H4347" s="555"/>
      <c r="I4347" s="556"/>
      <c r="J4347" s="556">
        <f t="shared" si="146"/>
        <v>0</v>
      </c>
      <c r="K4347" s="505"/>
      <c r="L4347" s="505"/>
      <c r="M4347" s="505"/>
      <c r="N4347" s="505"/>
      <c r="O4347" s="505"/>
      <c r="P4347" s="505"/>
      <c r="Q4347" s="505"/>
      <c r="R4347" s="505"/>
      <c r="S4347" s="505"/>
      <c r="T4347" s="505"/>
      <c r="U4347" s="505"/>
      <c r="V4347" s="505"/>
      <c r="W4347" s="505"/>
      <c r="X4347" s="505"/>
      <c r="Y4347" s="505"/>
    </row>
    <row r="4348" spans="1:25" s="88" customFormat="1" hidden="1" x14ac:dyDescent="0.25">
      <c r="A4348" s="258"/>
      <c r="B4348" s="258"/>
      <c r="C4348" s="261"/>
      <c r="D4348" s="258"/>
      <c r="E4348" s="679"/>
      <c r="F4348" s="499">
        <v>444</v>
      </c>
      <c r="G4348" s="492" t="s">
        <v>3800</v>
      </c>
      <c r="H4348" s="555"/>
      <c r="I4348" s="556"/>
      <c r="J4348" s="556">
        <f t="shared" si="146"/>
        <v>0</v>
      </c>
      <c r="K4348" s="505"/>
      <c r="L4348" s="505"/>
      <c r="M4348" s="505"/>
      <c r="N4348" s="505"/>
      <c r="O4348" s="505"/>
      <c r="P4348" s="505"/>
      <c r="Q4348" s="505"/>
      <c r="R4348" s="505"/>
      <c r="S4348" s="505"/>
      <c r="T4348" s="505"/>
      <c r="U4348" s="505"/>
      <c r="V4348" s="505"/>
      <c r="W4348" s="505"/>
      <c r="X4348" s="505"/>
      <c r="Y4348" s="505"/>
    </row>
    <row r="4349" spans="1:25" s="88" customFormat="1" ht="30" hidden="1" x14ac:dyDescent="0.25">
      <c r="A4349" s="258"/>
      <c r="B4349" s="258"/>
      <c r="C4349" s="261"/>
      <c r="D4349" s="258"/>
      <c r="E4349" s="679"/>
      <c r="F4349" s="499">
        <v>4511</v>
      </c>
      <c r="G4349" s="771" t="s">
        <v>1690</v>
      </c>
      <c r="H4349" s="555"/>
      <c r="I4349" s="556"/>
      <c r="J4349" s="556">
        <f t="shared" si="146"/>
        <v>0</v>
      </c>
      <c r="K4349" s="505"/>
      <c r="L4349" s="505"/>
      <c r="M4349" s="505"/>
      <c r="N4349" s="505"/>
      <c r="O4349" s="505"/>
      <c r="P4349" s="505"/>
      <c r="Q4349" s="505"/>
      <c r="R4349" s="505"/>
      <c r="S4349" s="505"/>
      <c r="T4349" s="505"/>
      <c r="U4349" s="505"/>
      <c r="V4349" s="505"/>
      <c r="W4349" s="505"/>
      <c r="X4349" s="505"/>
      <c r="Y4349" s="505"/>
    </row>
    <row r="4350" spans="1:25" s="88" customFormat="1" ht="30" hidden="1" x14ac:dyDescent="0.25">
      <c r="A4350" s="258"/>
      <c r="B4350" s="258"/>
      <c r="C4350" s="261"/>
      <c r="D4350" s="258"/>
      <c r="E4350" s="679"/>
      <c r="F4350" s="499">
        <v>4512</v>
      </c>
      <c r="G4350" s="771" t="s">
        <v>1699</v>
      </c>
      <c r="H4350" s="555"/>
      <c r="I4350" s="556"/>
      <c r="J4350" s="556">
        <f t="shared" si="146"/>
        <v>0</v>
      </c>
      <c r="K4350" s="505"/>
      <c r="L4350" s="505"/>
      <c r="M4350" s="505"/>
      <c r="N4350" s="505"/>
      <c r="O4350" s="505"/>
      <c r="P4350" s="505"/>
      <c r="Q4350" s="505"/>
      <c r="R4350" s="505"/>
      <c r="S4350" s="505"/>
      <c r="T4350" s="505"/>
      <c r="U4350" s="505"/>
      <c r="V4350" s="505"/>
      <c r="W4350" s="505"/>
      <c r="X4350" s="505"/>
      <c r="Y4350" s="505"/>
    </row>
    <row r="4351" spans="1:25" s="88" customFormat="1" hidden="1" x14ac:dyDescent="0.25">
      <c r="A4351" s="258"/>
      <c r="B4351" s="258"/>
      <c r="C4351" s="261"/>
      <c r="D4351" s="258"/>
      <c r="E4351" s="679"/>
      <c r="F4351" s="499">
        <v>452</v>
      </c>
      <c r="G4351" s="492" t="s">
        <v>4151</v>
      </c>
      <c r="H4351" s="555"/>
      <c r="I4351" s="556"/>
      <c r="J4351" s="556">
        <f t="shared" si="146"/>
        <v>0</v>
      </c>
      <c r="K4351" s="505"/>
      <c r="L4351" s="505"/>
      <c r="M4351" s="505"/>
      <c r="N4351" s="505"/>
      <c r="O4351" s="505"/>
      <c r="P4351" s="505"/>
      <c r="Q4351" s="505"/>
      <c r="R4351" s="505"/>
      <c r="S4351" s="505"/>
      <c r="T4351" s="505"/>
      <c r="U4351" s="505"/>
      <c r="V4351" s="505"/>
      <c r="W4351" s="505"/>
      <c r="X4351" s="505"/>
      <c r="Y4351" s="505"/>
    </row>
    <row r="4352" spans="1:25" s="88" customFormat="1" hidden="1" x14ac:dyDescent="0.25">
      <c r="A4352" s="258"/>
      <c r="B4352" s="258"/>
      <c r="C4352" s="261"/>
      <c r="D4352" s="258"/>
      <c r="E4352" s="679"/>
      <c r="F4352" s="499">
        <v>453</v>
      </c>
      <c r="G4352" s="492" t="s">
        <v>4152</v>
      </c>
      <c r="H4352" s="555"/>
      <c r="I4352" s="556"/>
      <c r="J4352" s="556">
        <f t="shared" si="146"/>
        <v>0</v>
      </c>
      <c r="K4352" s="505"/>
      <c r="L4352" s="505"/>
      <c r="M4352" s="505"/>
      <c r="N4352" s="505"/>
      <c r="O4352" s="505"/>
      <c r="P4352" s="505"/>
      <c r="Q4352" s="505"/>
      <c r="R4352" s="505"/>
      <c r="S4352" s="505"/>
      <c r="T4352" s="505"/>
      <c r="U4352" s="505"/>
      <c r="V4352" s="505"/>
      <c r="W4352" s="505"/>
      <c r="X4352" s="505"/>
      <c r="Y4352" s="505"/>
    </row>
    <row r="4353" spans="1:25" s="88" customFormat="1" hidden="1" x14ac:dyDescent="0.25">
      <c r="A4353" s="258"/>
      <c r="B4353" s="258"/>
      <c r="C4353" s="261"/>
      <c r="D4353" s="258"/>
      <c r="E4353" s="679"/>
      <c r="F4353" s="499">
        <v>454</v>
      </c>
      <c r="G4353" s="492" t="s">
        <v>3805</v>
      </c>
      <c r="H4353" s="555"/>
      <c r="I4353" s="556"/>
      <c r="J4353" s="556">
        <f t="shared" si="146"/>
        <v>0</v>
      </c>
      <c r="K4353" s="505"/>
      <c r="L4353" s="505"/>
      <c r="M4353" s="505"/>
      <c r="N4353" s="505"/>
      <c r="O4353" s="505"/>
      <c r="P4353" s="505"/>
      <c r="Q4353" s="505"/>
      <c r="R4353" s="505"/>
      <c r="S4353" s="505"/>
      <c r="T4353" s="505"/>
      <c r="U4353" s="505"/>
      <c r="V4353" s="505"/>
      <c r="W4353" s="505"/>
      <c r="X4353" s="505"/>
      <c r="Y4353" s="505"/>
    </row>
    <row r="4354" spans="1:25" s="88" customFormat="1" hidden="1" x14ac:dyDescent="0.25">
      <c r="A4354" s="258"/>
      <c r="B4354" s="258"/>
      <c r="C4354" s="261"/>
      <c r="D4354" s="258"/>
      <c r="E4354" s="679"/>
      <c r="F4354" s="499">
        <v>461</v>
      </c>
      <c r="G4354" s="492" t="s">
        <v>4133</v>
      </c>
      <c r="H4354" s="555"/>
      <c r="I4354" s="556"/>
      <c r="J4354" s="556">
        <f t="shared" si="146"/>
        <v>0</v>
      </c>
      <c r="K4354" s="505"/>
      <c r="L4354" s="505"/>
      <c r="M4354" s="505"/>
      <c r="N4354" s="505"/>
      <c r="O4354" s="505"/>
      <c r="P4354" s="505"/>
      <c r="Q4354" s="505"/>
      <c r="R4354" s="505"/>
      <c r="S4354" s="505"/>
      <c r="T4354" s="505"/>
      <c r="U4354" s="505"/>
      <c r="V4354" s="505"/>
      <c r="W4354" s="505"/>
      <c r="X4354" s="505"/>
      <c r="Y4354" s="505"/>
    </row>
    <row r="4355" spans="1:25" s="88" customFormat="1" hidden="1" x14ac:dyDescent="0.25">
      <c r="A4355" s="258"/>
      <c r="B4355" s="258"/>
      <c r="C4355" s="261"/>
      <c r="D4355" s="258"/>
      <c r="E4355" s="679"/>
      <c r="F4355" s="499">
        <v>462</v>
      </c>
      <c r="G4355" s="492" t="s">
        <v>3808</v>
      </c>
      <c r="H4355" s="555"/>
      <c r="I4355" s="556"/>
      <c r="J4355" s="556">
        <f t="shared" si="146"/>
        <v>0</v>
      </c>
      <c r="K4355" s="505"/>
      <c r="L4355" s="505"/>
      <c r="M4355" s="505"/>
      <c r="N4355" s="505"/>
      <c r="O4355" s="505"/>
      <c r="P4355" s="505"/>
      <c r="Q4355" s="505"/>
      <c r="R4355" s="505"/>
      <c r="S4355" s="505"/>
      <c r="T4355" s="505"/>
      <c r="U4355" s="505"/>
      <c r="V4355" s="505"/>
      <c r="W4355" s="505"/>
      <c r="X4355" s="505"/>
      <c r="Y4355" s="505"/>
    </row>
    <row r="4356" spans="1:25" s="88" customFormat="1" x14ac:dyDescent="0.25">
      <c r="A4356" s="258"/>
      <c r="B4356" s="258"/>
      <c r="C4356" s="261"/>
      <c r="D4356" s="258"/>
      <c r="E4356" s="679">
        <v>126</v>
      </c>
      <c r="F4356" s="499">
        <v>4631</v>
      </c>
      <c r="G4356" s="492" t="s">
        <v>3809</v>
      </c>
      <c r="H4356" s="555">
        <v>10130000</v>
      </c>
      <c r="I4356" s="556"/>
      <c r="J4356" s="556">
        <f t="shared" si="146"/>
        <v>10130000</v>
      </c>
      <c r="K4356" s="505"/>
      <c r="L4356" s="505"/>
      <c r="M4356" s="505"/>
      <c r="N4356" s="505"/>
      <c r="O4356" s="505"/>
      <c r="P4356" s="505"/>
      <c r="Q4356" s="505"/>
      <c r="R4356" s="505"/>
      <c r="S4356" s="505"/>
      <c r="T4356" s="505"/>
      <c r="U4356" s="505"/>
      <c r="V4356" s="505"/>
      <c r="W4356" s="505"/>
      <c r="X4356" s="505"/>
      <c r="Y4356" s="505"/>
    </row>
    <row r="4357" spans="1:25" s="88" customFormat="1" ht="15.75" thickBot="1" x14ac:dyDescent="0.3">
      <c r="A4357" s="258"/>
      <c r="B4357" s="258"/>
      <c r="C4357" s="261"/>
      <c r="D4357" s="258"/>
      <c r="E4357" s="679">
        <v>127</v>
      </c>
      <c r="F4357" s="499">
        <v>4632</v>
      </c>
      <c r="G4357" s="492" t="s">
        <v>3810</v>
      </c>
      <c r="H4357" s="555">
        <v>4230000</v>
      </c>
      <c r="I4357" s="556"/>
      <c r="J4357" s="556">
        <f t="shared" si="146"/>
        <v>4230000</v>
      </c>
      <c r="K4357" s="505"/>
      <c r="L4357" s="505"/>
      <c r="M4357" s="505"/>
      <c r="N4357" s="505"/>
      <c r="O4357" s="505"/>
      <c r="P4357" s="505"/>
      <c r="Q4357" s="505"/>
      <c r="R4357" s="505"/>
      <c r="S4357" s="505"/>
      <c r="T4357" s="505"/>
      <c r="U4357" s="505"/>
      <c r="V4357" s="505"/>
      <c r="W4357" s="505"/>
      <c r="X4357" s="505"/>
      <c r="Y4357" s="505"/>
    </row>
    <row r="4358" spans="1:25" s="88" customFormat="1" hidden="1" x14ac:dyDescent="0.25">
      <c r="A4358" s="258"/>
      <c r="B4358" s="258"/>
      <c r="C4358" s="261"/>
      <c r="D4358" s="258"/>
      <c r="E4358" s="679"/>
      <c r="F4358" s="499">
        <v>464</v>
      </c>
      <c r="G4358" s="492" t="s">
        <v>3811</v>
      </c>
      <c r="H4358" s="555"/>
      <c r="I4358" s="556"/>
      <c r="J4358" s="556">
        <f t="shared" si="146"/>
        <v>0</v>
      </c>
      <c r="K4358" s="505"/>
      <c r="L4358" s="505"/>
      <c r="M4358" s="505"/>
      <c r="N4358" s="505"/>
      <c r="O4358" s="505"/>
      <c r="P4358" s="505"/>
      <c r="Q4358" s="505"/>
      <c r="R4358" s="505"/>
      <c r="S4358" s="505"/>
      <c r="T4358" s="505"/>
      <c r="U4358" s="505"/>
      <c r="V4358" s="505"/>
      <c r="W4358" s="505"/>
      <c r="X4358" s="505"/>
      <c r="Y4358" s="505"/>
    </row>
    <row r="4359" spans="1:25" s="88" customFormat="1" hidden="1" x14ac:dyDescent="0.25">
      <c r="A4359" s="258"/>
      <c r="B4359" s="258"/>
      <c r="C4359" s="261"/>
      <c r="D4359" s="258"/>
      <c r="E4359" s="679"/>
      <c r="F4359" s="499">
        <v>465</v>
      </c>
      <c r="G4359" s="492" t="s">
        <v>4134</v>
      </c>
      <c r="H4359" s="555"/>
      <c r="I4359" s="556"/>
      <c r="J4359" s="556">
        <f t="shared" si="146"/>
        <v>0</v>
      </c>
      <c r="K4359" s="505"/>
      <c r="L4359" s="505"/>
      <c r="M4359" s="505"/>
      <c r="N4359" s="505"/>
      <c r="O4359" s="505"/>
      <c r="P4359" s="505"/>
      <c r="Q4359" s="505"/>
      <c r="R4359" s="505"/>
      <c r="S4359" s="505"/>
      <c r="T4359" s="505"/>
      <c r="U4359" s="505"/>
      <c r="V4359" s="505"/>
      <c r="W4359" s="505"/>
      <c r="X4359" s="505"/>
      <c r="Y4359" s="505"/>
    </row>
    <row r="4360" spans="1:25" s="88" customFormat="1" hidden="1" x14ac:dyDescent="0.25">
      <c r="A4360" s="258"/>
      <c r="B4360" s="258"/>
      <c r="C4360" s="261"/>
      <c r="D4360" s="258"/>
      <c r="E4360" s="679"/>
      <c r="F4360" s="499">
        <v>472</v>
      </c>
      <c r="G4360" s="492" t="s">
        <v>3815</v>
      </c>
      <c r="H4360" s="555"/>
      <c r="I4360" s="556"/>
      <c r="J4360" s="556">
        <f t="shared" si="146"/>
        <v>0</v>
      </c>
      <c r="K4360" s="505"/>
      <c r="L4360" s="505"/>
      <c r="M4360" s="505"/>
      <c r="N4360" s="505"/>
      <c r="O4360" s="505"/>
      <c r="P4360" s="505"/>
      <c r="Q4360" s="505"/>
      <c r="R4360" s="505"/>
      <c r="S4360" s="505"/>
      <c r="T4360" s="505"/>
      <c r="U4360" s="505"/>
      <c r="V4360" s="505"/>
      <c r="W4360" s="505"/>
      <c r="X4360" s="505"/>
      <c r="Y4360" s="505"/>
    </row>
    <row r="4361" spans="1:25" s="88" customFormat="1" hidden="1" x14ac:dyDescent="0.25">
      <c r="A4361" s="258"/>
      <c r="B4361" s="258"/>
      <c r="C4361" s="261"/>
      <c r="D4361" s="258"/>
      <c r="E4361" s="679"/>
      <c r="F4361" s="499">
        <v>481</v>
      </c>
      <c r="G4361" s="492" t="s">
        <v>4153</v>
      </c>
      <c r="H4361" s="555"/>
      <c r="I4361" s="556"/>
      <c r="J4361" s="556">
        <f t="shared" si="146"/>
        <v>0</v>
      </c>
      <c r="K4361" s="505"/>
      <c r="L4361" s="505"/>
      <c r="M4361" s="505"/>
      <c r="N4361" s="505"/>
      <c r="O4361" s="505"/>
      <c r="P4361" s="505"/>
      <c r="Q4361" s="505"/>
      <c r="R4361" s="505"/>
      <c r="S4361" s="505"/>
      <c r="T4361" s="505"/>
      <c r="U4361" s="505"/>
      <c r="V4361" s="505"/>
      <c r="W4361" s="505"/>
      <c r="X4361" s="505"/>
      <c r="Y4361" s="505"/>
    </row>
    <row r="4362" spans="1:25" s="88" customFormat="1" hidden="1" x14ac:dyDescent="0.25">
      <c r="A4362" s="258"/>
      <c r="B4362" s="258"/>
      <c r="C4362" s="261"/>
      <c r="D4362" s="258"/>
      <c r="E4362" s="679"/>
      <c r="F4362" s="499">
        <v>482</v>
      </c>
      <c r="G4362" s="492" t="s">
        <v>4154</v>
      </c>
      <c r="H4362" s="555"/>
      <c r="I4362" s="556"/>
      <c r="J4362" s="556">
        <f t="shared" si="146"/>
        <v>0</v>
      </c>
      <c r="K4362" s="505"/>
      <c r="L4362" s="505"/>
      <c r="M4362" s="505"/>
      <c r="N4362" s="505"/>
      <c r="O4362" s="505"/>
      <c r="P4362" s="505"/>
      <c r="Q4362" s="505"/>
      <c r="R4362" s="505"/>
      <c r="S4362" s="505"/>
      <c r="T4362" s="505"/>
      <c r="U4362" s="505"/>
      <c r="V4362" s="505"/>
      <c r="W4362" s="505"/>
      <c r="X4362" s="505"/>
      <c r="Y4362" s="505"/>
    </row>
    <row r="4363" spans="1:25" s="88" customFormat="1" hidden="1" x14ac:dyDescent="0.25">
      <c r="A4363" s="258"/>
      <c r="B4363" s="258"/>
      <c r="C4363" s="261"/>
      <c r="D4363" s="258"/>
      <c r="E4363" s="679"/>
      <c r="F4363" s="499">
        <v>483</v>
      </c>
      <c r="G4363" s="496" t="s">
        <v>4155</v>
      </c>
      <c r="H4363" s="555"/>
      <c r="I4363" s="556"/>
      <c r="J4363" s="556">
        <f t="shared" si="146"/>
        <v>0</v>
      </c>
      <c r="K4363" s="505"/>
      <c r="L4363" s="505"/>
      <c r="M4363" s="505"/>
      <c r="N4363" s="505"/>
      <c r="O4363" s="505"/>
      <c r="P4363" s="505"/>
      <c r="Q4363" s="505"/>
      <c r="R4363" s="505"/>
      <c r="S4363" s="505"/>
      <c r="T4363" s="505"/>
      <c r="U4363" s="505"/>
      <c r="V4363" s="505"/>
      <c r="W4363" s="505"/>
      <c r="X4363" s="505"/>
      <c r="Y4363" s="505"/>
    </row>
    <row r="4364" spans="1:25" s="88" customFormat="1" ht="30" hidden="1" x14ac:dyDescent="0.25">
      <c r="A4364" s="258"/>
      <c r="B4364" s="258"/>
      <c r="C4364" s="261"/>
      <c r="D4364" s="258"/>
      <c r="E4364" s="679"/>
      <c r="F4364" s="499">
        <v>484</v>
      </c>
      <c r="G4364" s="492" t="s">
        <v>4156</v>
      </c>
      <c r="H4364" s="555"/>
      <c r="I4364" s="556"/>
      <c r="J4364" s="556">
        <f t="shared" si="146"/>
        <v>0</v>
      </c>
      <c r="K4364" s="505"/>
      <c r="L4364" s="505"/>
      <c r="M4364" s="505"/>
      <c r="N4364" s="505"/>
      <c r="O4364" s="505"/>
      <c r="P4364" s="505"/>
      <c r="Q4364" s="505"/>
      <c r="R4364" s="505"/>
      <c r="S4364" s="505"/>
      <c r="T4364" s="505"/>
      <c r="U4364" s="505"/>
      <c r="V4364" s="505"/>
      <c r="W4364" s="505"/>
      <c r="X4364" s="505"/>
      <c r="Y4364" s="505"/>
    </row>
    <row r="4365" spans="1:25" s="88" customFormat="1" ht="30" hidden="1" x14ac:dyDescent="0.25">
      <c r="A4365" s="258"/>
      <c r="B4365" s="258"/>
      <c r="C4365" s="261"/>
      <c r="D4365" s="258"/>
      <c r="E4365" s="679"/>
      <c r="F4365" s="499">
        <v>485</v>
      </c>
      <c r="G4365" s="492" t="s">
        <v>4157</v>
      </c>
      <c r="H4365" s="555"/>
      <c r="I4365" s="556"/>
      <c r="J4365" s="556">
        <f t="shared" si="146"/>
        <v>0</v>
      </c>
      <c r="K4365" s="505"/>
      <c r="L4365" s="505"/>
      <c r="M4365" s="505"/>
      <c r="N4365" s="505"/>
      <c r="O4365" s="505"/>
      <c r="P4365" s="505"/>
      <c r="Q4365" s="505"/>
      <c r="R4365" s="505"/>
      <c r="S4365" s="505"/>
      <c r="T4365" s="505"/>
      <c r="U4365" s="505"/>
      <c r="V4365" s="505"/>
      <c r="W4365" s="505"/>
      <c r="X4365" s="505"/>
      <c r="Y4365" s="505"/>
    </row>
    <row r="4366" spans="1:25" s="88" customFormat="1" ht="30" hidden="1" x14ac:dyDescent="0.25">
      <c r="A4366" s="258"/>
      <c r="B4366" s="258"/>
      <c r="C4366" s="261"/>
      <c r="D4366" s="258"/>
      <c r="E4366" s="679"/>
      <c r="F4366" s="499">
        <v>489</v>
      </c>
      <c r="G4366" s="492" t="s">
        <v>3823</v>
      </c>
      <c r="H4366" s="555"/>
      <c r="I4366" s="556"/>
      <c r="J4366" s="556">
        <f t="shared" si="146"/>
        <v>0</v>
      </c>
      <c r="K4366" s="505"/>
      <c r="L4366" s="505"/>
      <c r="M4366" s="505"/>
      <c r="N4366" s="505"/>
      <c r="O4366" s="505"/>
      <c r="P4366" s="505"/>
      <c r="Q4366" s="505"/>
      <c r="R4366" s="505"/>
      <c r="S4366" s="505"/>
      <c r="T4366" s="505"/>
      <c r="U4366" s="505"/>
      <c r="V4366" s="505"/>
      <c r="W4366" s="505"/>
      <c r="X4366" s="505"/>
      <c r="Y4366" s="505"/>
    </row>
    <row r="4367" spans="1:25" s="88" customFormat="1" hidden="1" x14ac:dyDescent="0.25">
      <c r="A4367" s="258"/>
      <c r="B4367" s="258"/>
      <c r="C4367" s="261"/>
      <c r="D4367" s="258"/>
      <c r="E4367" s="679"/>
      <c r="F4367" s="499">
        <v>494</v>
      </c>
      <c r="G4367" s="492" t="s">
        <v>4135</v>
      </c>
      <c r="H4367" s="555"/>
      <c r="I4367" s="556"/>
      <c r="J4367" s="556">
        <f t="shared" si="146"/>
        <v>0</v>
      </c>
      <c r="K4367" s="505"/>
      <c r="L4367" s="505"/>
      <c r="M4367" s="505"/>
      <c r="N4367" s="505"/>
      <c r="O4367" s="505"/>
      <c r="P4367" s="505"/>
      <c r="Q4367" s="505"/>
      <c r="R4367" s="505"/>
      <c r="S4367" s="505"/>
      <c r="T4367" s="505"/>
      <c r="U4367" s="505"/>
      <c r="V4367" s="505"/>
      <c r="W4367" s="505"/>
      <c r="X4367" s="505"/>
      <c r="Y4367" s="505"/>
    </row>
    <row r="4368" spans="1:25" s="88" customFormat="1" ht="30" hidden="1" x14ac:dyDescent="0.25">
      <c r="A4368" s="258"/>
      <c r="B4368" s="258"/>
      <c r="C4368" s="261"/>
      <c r="D4368" s="258"/>
      <c r="E4368" s="679"/>
      <c r="F4368" s="499">
        <v>495</v>
      </c>
      <c r="G4368" s="492" t="s">
        <v>4136</v>
      </c>
      <c r="H4368" s="555"/>
      <c r="I4368" s="556"/>
      <c r="J4368" s="556">
        <f t="shared" si="146"/>
        <v>0</v>
      </c>
      <c r="K4368" s="505"/>
      <c r="L4368" s="505"/>
      <c r="M4368" s="505"/>
      <c r="N4368" s="505"/>
      <c r="O4368" s="505"/>
      <c r="P4368" s="505"/>
      <c r="Q4368" s="505"/>
      <c r="R4368" s="505"/>
      <c r="S4368" s="505"/>
      <c r="T4368" s="505"/>
      <c r="U4368" s="505"/>
      <c r="V4368" s="505"/>
      <c r="W4368" s="505"/>
      <c r="X4368" s="505"/>
      <c r="Y4368" s="505"/>
    </row>
    <row r="4369" spans="1:25" s="88" customFormat="1" ht="30" hidden="1" x14ac:dyDescent="0.25">
      <c r="A4369" s="258"/>
      <c r="B4369" s="258"/>
      <c r="C4369" s="261"/>
      <c r="D4369" s="258"/>
      <c r="E4369" s="679"/>
      <c r="F4369" s="499">
        <v>496</v>
      </c>
      <c r="G4369" s="492" t="s">
        <v>4137</v>
      </c>
      <c r="H4369" s="555"/>
      <c r="I4369" s="556"/>
      <c r="J4369" s="556">
        <f t="shared" si="146"/>
        <v>0</v>
      </c>
      <c r="K4369" s="505"/>
      <c r="L4369" s="505"/>
      <c r="M4369" s="505"/>
      <c r="N4369" s="505"/>
      <c r="O4369" s="505"/>
      <c r="P4369" s="505"/>
      <c r="Q4369" s="505"/>
      <c r="R4369" s="505"/>
      <c r="S4369" s="505"/>
      <c r="T4369" s="505"/>
      <c r="U4369" s="505"/>
      <c r="V4369" s="505"/>
      <c r="W4369" s="505"/>
      <c r="X4369" s="505"/>
      <c r="Y4369" s="505"/>
    </row>
    <row r="4370" spans="1:25" s="88" customFormat="1" ht="30" hidden="1" x14ac:dyDescent="0.25">
      <c r="A4370" s="258"/>
      <c r="B4370" s="258"/>
      <c r="C4370" s="261"/>
      <c r="D4370" s="258"/>
      <c r="E4370" s="679"/>
      <c r="F4370" s="499">
        <v>499</v>
      </c>
      <c r="G4370" s="492" t="s">
        <v>4138</v>
      </c>
      <c r="H4370" s="555"/>
      <c r="I4370" s="556"/>
      <c r="J4370" s="556">
        <f t="shared" si="146"/>
        <v>0</v>
      </c>
      <c r="K4370" s="505"/>
      <c r="L4370" s="505"/>
      <c r="M4370" s="505"/>
      <c r="N4370" s="505"/>
      <c r="O4370" s="505"/>
      <c r="P4370" s="505"/>
      <c r="Q4370" s="505"/>
      <c r="R4370" s="505"/>
      <c r="S4370" s="505"/>
      <c r="T4370" s="505"/>
      <c r="U4370" s="505"/>
      <c r="V4370" s="505"/>
      <c r="W4370" s="505"/>
      <c r="X4370" s="505"/>
      <c r="Y4370" s="505"/>
    </row>
    <row r="4371" spans="1:25" s="88" customFormat="1" hidden="1" x14ac:dyDescent="0.25">
      <c r="A4371" s="258"/>
      <c r="B4371" s="258"/>
      <c r="C4371" s="261"/>
      <c r="D4371" s="258"/>
      <c r="E4371" s="679"/>
      <c r="F4371" s="499">
        <v>511</v>
      </c>
      <c r="G4371" s="496" t="s">
        <v>4158</v>
      </c>
      <c r="H4371" s="555"/>
      <c r="I4371" s="556"/>
      <c r="J4371" s="556">
        <f t="shared" si="146"/>
        <v>0</v>
      </c>
      <c r="K4371" s="505"/>
      <c r="L4371" s="505"/>
      <c r="M4371" s="505"/>
      <c r="N4371" s="505"/>
      <c r="O4371" s="505"/>
      <c r="P4371" s="505"/>
      <c r="Q4371" s="505"/>
      <c r="R4371" s="505"/>
      <c r="S4371" s="505"/>
      <c r="T4371" s="505"/>
      <c r="U4371" s="505"/>
      <c r="V4371" s="505"/>
      <c r="W4371" s="505"/>
      <c r="X4371" s="505"/>
      <c r="Y4371" s="505"/>
    </row>
    <row r="4372" spans="1:25" s="88" customFormat="1" hidden="1" x14ac:dyDescent="0.25">
      <c r="A4372" s="258"/>
      <c r="B4372" s="258"/>
      <c r="C4372" s="261"/>
      <c r="D4372" s="258"/>
      <c r="E4372" s="679"/>
      <c r="F4372" s="499">
        <v>512</v>
      </c>
      <c r="G4372" s="496" t="s">
        <v>4159</v>
      </c>
      <c r="H4372" s="555"/>
      <c r="I4372" s="556"/>
      <c r="J4372" s="556">
        <f t="shared" si="146"/>
        <v>0</v>
      </c>
      <c r="K4372" s="505"/>
      <c r="L4372" s="505"/>
      <c r="M4372" s="505"/>
      <c r="N4372" s="505"/>
      <c r="O4372" s="505"/>
      <c r="P4372" s="505"/>
      <c r="Q4372" s="505"/>
      <c r="R4372" s="505"/>
      <c r="S4372" s="505"/>
      <c r="T4372" s="505"/>
      <c r="U4372" s="505"/>
      <c r="V4372" s="505"/>
      <c r="W4372" s="505"/>
      <c r="X4372" s="505"/>
      <c r="Y4372" s="505"/>
    </row>
    <row r="4373" spans="1:25" s="88" customFormat="1" hidden="1" x14ac:dyDescent="0.25">
      <c r="A4373" s="258"/>
      <c r="B4373" s="258"/>
      <c r="C4373" s="261"/>
      <c r="D4373" s="258"/>
      <c r="E4373" s="679"/>
      <c r="F4373" s="499">
        <v>513</v>
      </c>
      <c r="G4373" s="496" t="s">
        <v>4160</v>
      </c>
      <c r="H4373" s="555"/>
      <c r="I4373" s="556"/>
      <c r="J4373" s="556">
        <f t="shared" si="146"/>
        <v>0</v>
      </c>
      <c r="K4373" s="505"/>
      <c r="L4373" s="505"/>
      <c r="M4373" s="505"/>
      <c r="N4373" s="505"/>
      <c r="O4373" s="505"/>
      <c r="P4373" s="505"/>
      <c r="Q4373" s="505"/>
      <c r="R4373" s="505"/>
      <c r="S4373" s="505"/>
      <c r="T4373" s="505"/>
      <c r="U4373" s="505"/>
      <c r="V4373" s="505"/>
      <c r="W4373" s="505"/>
      <c r="X4373" s="505"/>
      <c r="Y4373" s="505"/>
    </row>
    <row r="4374" spans="1:25" s="88" customFormat="1" hidden="1" x14ac:dyDescent="0.25">
      <c r="A4374" s="258"/>
      <c r="B4374" s="258"/>
      <c r="C4374" s="261"/>
      <c r="D4374" s="258"/>
      <c r="E4374" s="679"/>
      <c r="F4374" s="499">
        <v>514</v>
      </c>
      <c r="G4374" s="492" t="s">
        <v>4161</v>
      </c>
      <c r="H4374" s="555"/>
      <c r="I4374" s="556"/>
      <c r="J4374" s="556">
        <f t="shared" si="146"/>
        <v>0</v>
      </c>
      <c r="K4374" s="505"/>
      <c r="L4374" s="505"/>
      <c r="M4374" s="505"/>
      <c r="N4374" s="505"/>
      <c r="O4374" s="505"/>
      <c r="P4374" s="505"/>
      <c r="Q4374" s="505"/>
      <c r="R4374" s="505"/>
      <c r="S4374" s="505"/>
      <c r="T4374" s="505"/>
      <c r="U4374" s="505"/>
      <c r="V4374" s="505"/>
      <c r="W4374" s="505"/>
      <c r="X4374" s="505"/>
      <c r="Y4374" s="505"/>
    </row>
    <row r="4375" spans="1:25" s="88" customFormat="1" hidden="1" x14ac:dyDescent="0.25">
      <c r="A4375" s="258"/>
      <c r="B4375" s="258"/>
      <c r="C4375" s="261"/>
      <c r="D4375" s="258"/>
      <c r="E4375" s="679"/>
      <c r="F4375" s="499">
        <v>515</v>
      </c>
      <c r="G4375" s="492" t="s">
        <v>3834</v>
      </c>
      <c r="H4375" s="555"/>
      <c r="I4375" s="556"/>
      <c r="J4375" s="556">
        <f t="shared" si="146"/>
        <v>0</v>
      </c>
      <c r="K4375" s="505"/>
      <c r="L4375" s="505"/>
      <c r="M4375" s="505"/>
      <c r="N4375" s="505"/>
      <c r="O4375" s="505"/>
      <c r="P4375" s="505"/>
      <c r="Q4375" s="505"/>
      <c r="R4375" s="505"/>
      <c r="S4375" s="505"/>
      <c r="T4375" s="505"/>
      <c r="U4375" s="505"/>
      <c r="V4375" s="505"/>
      <c r="W4375" s="505"/>
      <c r="X4375" s="505"/>
      <c r="Y4375" s="505"/>
    </row>
    <row r="4376" spans="1:25" s="88" customFormat="1" hidden="1" x14ac:dyDescent="0.25">
      <c r="A4376" s="258"/>
      <c r="B4376" s="258"/>
      <c r="C4376" s="261"/>
      <c r="D4376" s="258"/>
      <c r="E4376" s="679"/>
      <c r="F4376" s="499">
        <v>521</v>
      </c>
      <c r="G4376" s="492" t="s">
        <v>4162</v>
      </c>
      <c r="H4376" s="555"/>
      <c r="I4376" s="556"/>
      <c r="J4376" s="556">
        <f t="shared" si="146"/>
        <v>0</v>
      </c>
      <c r="K4376" s="505"/>
      <c r="L4376" s="505"/>
      <c r="M4376" s="505"/>
      <c r="N4376" s="505"/>
      <c r="O4376" s="505"/>
      <c r="P4376" s="505"/>
      <c r="Q4376" s="505"/>
      <c r="R4376" s="505"/>
      <c r="S4376" s="505"/>
      <c r="T4376" s="505"/>
      <c r="U4376" s="505"/>
      <c r="V4376" s="505"/>
      <c r="W4376" s="505"/>
      <c r="X4376" s="505"/>
      <c r="Y4376" s="505"/>
    </row>
    <row r="4377" spans="1:25" s="88" customFormat="1" hidden="1" x14ac:dyDescent="0.25">
      <c r="A4377" s="258"/>
      <c r="B4377" s="258"/>
      <c r="C4377" s="261"/>
      <c r="D4377" s="258"/>
      <c r="E4377" s="679"/>
      <c r="F4377" s="499">
        <v>522</v>
      </c>
      <c r="G4377" s="492" t="s">
        <v>4163</v>
      </c>
      <c r="H4377" s="555"/>
      <c r="I4377" s="556"/>
      <c r="J4377" s="556">
        <f t="shared" si="146"/>
        <v>0</v>
      </c>
      <c r="K4377" s="505"/>
      <c r="L4377" s="505"/>
      <c r="M4377" s="505"/>
      <c r="N4377" s="505"/>
      <c r="O4377" s="505"/>
      <c r="P4377" s="505"/>
      <c r="Q4377" s="505"/>
      <c r="R4377" s="505"/>
      <c r="S4377" s="505"/>
      <c r="T4377" s="505"/>
      <c r="U4377" s="505"/>
      <c r="V4377" s="505"/>
      <c r="W4377" s="505"/>
      <c r="X4377" s="505"/>
      <c r="Y4377" s="505"/>
    </row>
    <row r="4378" spans="1:25" s="88" customFormat="1" hidden="1" x14ac:dyDescent="0.25">
      <c r="A4378" s="258"/>
      <c r="B4378" s="258"/>
      <c r="C4378" s="261"/>
      <c r="D4378" s="258"/>
      <c r="E4378" s="679"/>
      <c r="F4378" s="499">
        <v>523</v>
      </c>
      <c r="G4378" s="492" t="s">
        <v>3839</v>
      </c>
      <c r="H4378" s="555"/>
      <c r="I4378" s="556"/>
      <c r="J4378" s="556">
        <f t="shared" si="146"/>
        <v>0</v>
      </c>
      <c r="K4378" s="505"/>
      <c r="L4378" s="505"/>
      <c r="M4378" s="505"/>
      <c r="N4378" s="505"/>
      <c r="O4378" s="505"/>
      <c r="P4378" s="505"/>
      <c r="Q4378" s="505"/>
      <c r="R4378" s="505"/>
      <c r="S4378" s="505"/>
      <c r="T4378" s="505"/>
      <c r="U4378" s="505"/>
      <c r="V4378" s="505"/>
      <c r="W4378" s="505"/>
      <c r="X4378" s="505"/>
      <c r="Y4378" s="505"/>
    </row>
    <row r="4379" spans="1:25" s="88" customFormat="1" hidden="1" x14ac:dyDescent="0.25">
      <c r="A4379" s="258"/>
      <c r="B4379" s="258"/>
      <c r="C4379" s="261"/>
      <c r="D4379" s="258"/>
      <c r="E4379" s="679"/>
      <c r="F4379" s="499">
        <v>531</v>
      </c>
      <c r="G4379" s="488" t="s">
        <v>4139</v>
      </c>
      <c r="H4379" s="555"/>
      <c r="I4379" s="556"/>
      <c r="J4379" s="556">
        <f t="shared" si="146"/>
        <v>0</v>
      </c>
      <c r="K4379" s="505"/>
      <c r="L4379" s="505"/>
      <c r="M4379" s="505"/>
      <c r="N4379" s="505"/>
      <c r="O4379" s="505"/>
      <c r="P4379" s="505"/>
      <c r="Q4379" s="505"/>
      <c r="R4379" s="505"/>
      <c r="S4379" s="505"/>
      <c r="T4379" s="505"/>
      <c r="U4379" s="505"/>
      <c r="V4379" s="505"/>
      <c r="W4379" s="505"/>
      <c r="X4379" s="505"/>
      <c r="Y4379" s="505"/>
    </row>
    <row r="4380" spans="1:25" s="88" customFormat="1" hidden="1" x14ac:dyDescent="0.25">
      <c r="A4380" s="258"/>
      <c r="B4380" s="258"/>
      <c r="C4380" s="261"/>
      <c r="D4380" s="258"/>
      <c r="E4380" s="679"/>
      <c r="F4380" s="499">
        <v>541</v>
      </c>
      <c r="G4380" s="492" t="s">
        <v>4164</v>
      </c>
      <c r="H4380" s="555"/>
      <c r="I4380" s="556"/>
      <c r="J4380" s="556">
        <f t="shared" si="146"/>
        <v>0</v>
      </c>
      <c r="K4380" s="505"/>
      <c r="L4380" s="505"/>
      <c r="M4380" s="505"/>
      <c r="N4380" s="505"/>
      <c r="O4380" s="505"/>
      <c r="P4380" s="505"/>
      <c r="Q4380" s="505"/>
      <c r="R4380" s="505"/>
      <c r="S4380" s="505"/>
      <c r="T4380" s="505"/>
      <c r="U4380" s="505"/>
      <c r="V4380" s="505"/>
      <c r="W4380" s="505"/>
      <c r="X4380" s="505"/>
      <c r="Y4380" s="505"/>
    </row>
    <row r="4381" spans="1:25" s="88" customFormat="1" hidden="1" x14ac:dyDescent="0.25">
      <c r="A4381" s="258"/>
      <c r="B4381" s="258"/>
      <c r="C4381" s="261"/>
      <c r="D4381" s="258"/>
      <c r="E4381" s="679"/>
      <c r="F4381" s="499">
        <v>542</v>
      </c>
      <c r="G4381" s="492" t="s">
        <v>4165</v>
      </c>
      <c r="H4381" s="555"/>
      <c r="I4381" s="556"/>
      <c r="J4381" s="556">
        <f t="shared" si="146"/>
        <v>0</v>
      </c>
      <c r="K4381" s="505"/>
      <c r="L4381" s="505"/>
      <c r="M4381" s="505"/>
      <c r="N4381" s="505"/>
      <c r="O4381" s="505"/>
      <c r="P4381" s="505"/>
      <c r="Q4381" s="505"/>
      <c r="R4381" s="505"/>
      <c r="S4381" s="505"/>
      <c r="T4381" s="505"/>
      <c r="U4381" s="505"/>
      <c r="V4381" s="505"/>
      <c r="W4381" s="505"/>
      <c r="X4381" s="505"/>
      <c r="Y4381" s="505"/>
    </row>
    <row r="4382" spans="1:25" s="88" customFormat="1" hidden="1" x14ac:dyDescent="0.25">
      <c r="A4382" s="258"/>
      <c r="B4382" s="258"/>
      <c r="C4382" s="261"/>
      <c r="D4382" s="258"/>
      <c r="E4382" s="679"/>
      <c r="F4382" s="499">
        <v>543</v>
      </c>
      <c r="G4382" s="492" t="s">
        <v>3844</v>
      </c>
      <c r="H4382" s="555"/>
      <c r="I4382" s="556"/>
      <c r="J4382" s="556">
        <f t="shared" si="146"/>
        <v>0</v>
      </c>
      <c r="K4382" s="505"/>
      <c r="L4382" s="505"/>
      <c r="M4382" s="505"/>
      <c r="N4382" s="505"/>
      <c r="O4382" s="505"/>
      <c r="P4382" s="505"/>
      <c r="Q4382" s="505"/>
      <c r="R4382" s="505"/>
      <c r="S4382" s="505"/>
      <c r="T4382" s="505"/>
      <c r="U4382" s="505"/>
      <c r="V4382" s="505"/>
      <c r="W4382" s="505"/>
      <c r="X4382" s="505"/>
      <c r="Y4382" s="505"/>
    </row>
    <row r="4383" spans="1:25" s="88" customFormat="1" ht="30" hidden="1" x14ac:dyDescent="0.25">
      <c r="A4383" s="258"/>
      <c r="B4383" s="258"/>
      <c r="C4383" s="261"/>
      <c r="D4383" s="258"/>
      <c r="E4383" s="679"/>
      <c r="F4383" s="499">
        <v>551</v>
      </c>
      <c r="G4383" s="492" t="s">
        <v>4140</v>
      </c>
      <c r="H4383" s="555"/>
      <c r="I4383" s="556"/>
      <c r="J4383" s="556">
        <f t="shared" si="146"/>
        <v>0</v>
      </c>
      <c r="K4383" s="505"/>
      <c r="L4383" s="505"/>
      <c r="M4383" s="505"/>
      <c r="N4383" s="505"/>
      <c r="O4383" s="505"/>
      <c r="P4383" s="505"/>
      <c r="Q4383" s="505"/>
      <c r="R4383" s="505"/>
      <c r="S4383" s="505"/>
      <c r="T4383" s="505"/>
      <c r="U4383" s="505"/>
      <c r="V4383" s="505"/>
      <c r="W4383" s="505"/>
      <c r="X4383" s="505"/>
      <c r="Y4383" s="505"/>
    </row>
    <row r="4384" spans="1:25" s="88" customFormat="1" hidden="1" x14ac:dyDescent="0.25">
      <c r="A4384" s="258"/>
      <c r="B4384" s="258"/>
      <c r="C4384" s="261"/>
      <c r="D4384" s="258"/>
      <c r="E4384" s="679"/>
      <c r="F4384" s="500">
        <v>611</v>
      </c>
      <c r="G4384" s="498" t="s">
        <v>3850</v>
      </c>
      <c r="H4384" s="555"/>
      <c r="I4384" s="556"/>
      <c r="J4384" s="556">
        <f t="shared" si="146"/>
        <v>0</v>
      </c>
      <c r="K4384" s="505"/>
      <c r="L4384" s="505"/>
      <c r="M4384" s="505"/>
      <c r="N4384" s="505"/>
      <c r="O4384" s="505"/>
      <c r="P4384" s="505"/>
      <c r="Q4384" s="505"/>
      <c r="R4384" s="505"/>
      <c r="S4384" s="505"/>
      <c r="T4384" s="505"/>
      <c r="U4384" s="505"/>
      <c r="V4384" s="505"/>
      <c r="W4384" s="505"/>
      <c r="X4384" s="505"/>
      <c r="Y4384" s="505"/>
    </row>
    <row r="4385" spans="1:25" s="88" customFormat="1" hidden="1" x14ac:dyDescent="0.25">
      <c r="A4385" s="258"/>
      <c r="B4385" s="258"/>
      <c r="C4385" s="261"/>
      <c r="D4385" s="258"/>
      <c r="E4385" s="679"/>
      <c r="F4385" s="500">
        <v>620</v>
      </c>
      <c r="G4385" s="498" t="s">
        <v>88</v>
      </c>
      <c r="H4385" s="555"/>
      <c r="I4385" s="556"/>
      <c r="J4385" s="556">
        <f t="shared" si="146"/>
        <v>0</v>
      </c>
      <c r="K4385" s="505"/>
      <c r="L4385" s="505"/>
      <c r="M4385" s="505"/>
      <c r="N4385" s="505"/>
      <c r="O4385" s="505"/>
      <c r="P4385" s="505"/>
      <c r="Q4385" s="505"/>
      <c r="R4385" s="505"/>
      <c r="S4385" s="505"/>
      <c r="T4385" s="505"/>
      <c r="U4385" s="505"/>
      <c r="V4385" s="505"/>
      <c r="W4385" s="505"/>
      <c r="X4385" s="505"/>
      <c r="Y4385" s="505"/>
    </row>
    <row r="4386" spans="1:25" s="88" customFormat="1" x14ac:dyDescent="0.25">
      <c r="A4386" s="258"/>
      <c r="B4386" s="258"/>
      <c r="C4386" s="261"/>
      <c r="D4386" s="258"/>
      <c r="E4386" s="489"/>
      <c r="F4386" s="500"/>
      <c r="G4386" s="343" t="s">
        <v>4367</v>
      </c>
      <c r="H4386" s="557"/>
      <c r="I4386" s="583"/>
      <c r="J4386" s="558"/>
      <c r="K4386" s="505"/>
      <c r="L4386" s="505"/>
      <c r="M4386" s="505"/>
      <c r="N4386" s="505"/>
      <c r="O4386" s="505"/>
      <c r="P4386" s="505"/>
      <c r="Q4386" s="505"/>
      <c r="R4386" s="505"/>
      <c r="S4386" s="505"/>
      <c r="T4386" s="505"/>
      <c r="U4386" s="505"/>
      <c r="V4386" s="505"/>
      <c r="W4386" s="505"/>
      <c r="X4386" s="505"/>
      <c r="Y4386" s="505"/>
    </row>
    <row r="4387" spans="1:25" s="88" customFormat="1" ht="15" customHeight="1" thickBot="1" x14ac:dyDescent="0.3">
      <c r="A4387" s="258"/>
      <c r="B4387" s="258"/>
      <c r="C4387" s="261"/>
      <c r="D4387" s="258"/>
      <c r="E4387" s="693"/>
      <c r="F4387" s="597" t="s">
        <v>234</v>
      </c>
      <c r="G4387" s="598" t="s">
        <v>235</v>
      </c>
      <c r="H4387" s="559">
        <f>SUM(H4356:H4357)</f>
        <v>14360000</v>
      </c>
      <c r="I4387" s="560"/>
      <c r="J4387" s="560">
        <f t="shared" ref="J4387:J4402" si="147">SUM(H4387:I4387)</f>
        <v>14360000</v>
      </c>
      <c r="K4387" s="505"/>
      <c r="L4387" s="505"/>
      <c r="M4387" s="505"/>
      <c r="N4387" s="505"/>
      <c r="O4387" s="505"/>
      <c r="P4387" s="505"/>
      <c r="Q4387" s="505"/>
      <c r="R4387" s="505"/>
      <c r="S4387" s="505"/>
      <c r="T4387" s="505"/>
      <c r="U4387" s="505"/>
      <c r="V4387" s="505"/>
      <c r="W4387" s="505"/>
      <c r="X4387" s="505"/>
      <c r="Y4387" s="505"/>
    </row>
    <row r="4388" spans="1:25" s="88" customFormat="1" ht="15.75" hidden="1" thickBot="1" x14ac:dyDescent="0.3">
      <c r="A4388" s="258"/>
      <c r="B4388" s="258"/>
      <c r="C4388" s="261"/>
      <c r="D4388" s="258"/>
      <c r="E4388" s="679"/>
      <c r="F4388" s="597" t="s">
        <v>236</v>
      </c>
      <c r="G4388" s="598" t="s">
        <v>237</v>
      </c>
      <c r="H4388" s="555"/>
      <c r="I4388" s="556"/>
      <c r="J4388" s="560">
        <f t="shared" si="147"/>
        <v>0</v>
      </c>
      <c r="K4388" s="505"/>
      <c r="L4388" s="505"/>
      <c r="M4388" s="505"/>
      <c r="N4388" s="505"/>
      <c r="O4388" s="505"/>
      <c r="P4388" s="505"/>
      <c r="Q4388" s="505"/>
      <c r="R4388" s="505"/>
      <c r="S4388" s="505"/>
      <c r="T4388" s="505"/>
      <c r="U4388" s="505"/>
      <c r="V4388" s="505"/>
      <c r="W4388" s="505"/>
      <c r="X4388" s="505"/>
      <c r="Y4388" s="505"/>
    </row>
    <row r="4389" spans="1:25" s="88" customFormat="1" ht="15.75" hidden="1" thickBot="1" x14ac:dyDescent="0.3">
      <c r="A4389" s="258"/>
      <c r="B4389" s="258"/>
      <c r="C4389" s="261"/>
      <c r="D4389" s="258"/>
      <c r="E4389" s="679"/>
      <c r="F4389" s="597" t="s">
        <v>238</v>
      </c>
      <c r="G4389" s="598" t="s">
        <v>239</v>
      </c>
      <c r="H4389" s="555"/>
      <c r="I4389" s="556"/>
      <c r="J4389" s="560">
        <f t="shared" si="147"/>
        <v>0</v>
      </c>
      <c r="K4389" s="505"/>
      <c r="L4389" s="505"/>
      <c r="M4389" s="505"/>
      <c r="N4389" s="505"/>
      <c r="O4389" s="505"/>
      <c r="P4389" s="505"/>
      <c r="Q4389" s="505"/>
      <c r="R4389" s="505"/>
      <c r="S4389" s="505"/>
      <c r="T4389" s="505"/>
      <c r="U4389" s="505"/>
      <c r="V4389" s="505"/>
      <c r="W4389" s="505"/>
      <c r="X4389" s="505"/>
      <c r="Y4389" s="505"/>
    </row>
    <row r="4390" spans="1:25" s="88" customFormat="1" ht="15.75" hidden="1" thickBot="1" x14ac:dyDescent="0.3">
      <c r="A4390" s="258"/>
      <c r="B4390" s="258"/>
      <c r="C4390" s="261"/>
      <c r="D4390" s="258"/>
      <c r="E4390" s="679"/>
      <c r="F4390" s="597" t="s">
        <v>240</v>
      </c>
      <c r="G4390" s="598" t="s">
        <v>241</v>
      </c>
      <c r="H4390" s="555"/>
      <c r="I4390" s="556"/>
      <c r="J4390" s="560">
        <f t="shared" si="147"/>
        <v>0</v>
      </c>
      <c r="K4390" s="505"/>
      <c r="L4390" s="505"/>
      <c r="M4390" s="505"/>
      <c r="N4390" s="505"/>
      <c r="O4390" s="505"/>
      <c r="P4390" s="505"/>
      <c r="Q4390" s="505"/>
      <c r="R4390" s="505"/>
      <c r="S4390" s="505"/>
      <c r="T4390" s="505"/>
      <c r="U4390" s="505"/>
      <c r="V4390" s="505"/>
      <c r="W4390" s="505"/>
      <c r="X4390" s="505"/>
      <c r="Y4390" s="505"/>
    </row>
    <row r="4391" spans="1:25" s="88" customFormat="1" ht="15.75" hidden="1" thickBot="1" x14ac:dyDescent="0.3">
      <c r="A4391" s="258"/>
      <c r="B4391" s="258"/>
      <c r="C4391" s="261"/>
      <c r="D4391" s="258"/>
      <c r="E4391" s="679"/>
      <c r="F4391" s="597" t="s">
        <v>242</v>
      </c>
      <c r="G4391" s="598" t="s">
        <v>243</v>
      </c>
      <c r="H4391" s="555"/>
      <c r="I4391" s="556"/>
      <c r="J4391" s="560">
        <f t="shared" si="147"/>
        <v>0</v>
      </c>
      <c r="K4391" s="505"/>
      <c r="L4391" s="505"/>
      <c r="M4391" s="505"/>
      <c r="N4391" s="505"/>
      <c r="O4391" s="505"/>
      <c r="P4391" s="505"/>
      <c r="Q4391" s="505"/>
      <c r="R4391" s="505"/>
      <c r="S4391" s="505"/>
      <c r="T4391" s="505"/>
      <c r="U4391" s="505"/>
      <c r="V4391" s="505"/>
      <c r="W4391" s="505"/>
      <c r="X4391" s="505"/>
      <c r="Y4391" s="505"/>
    </row>
    <row r="4392" spans="1:25" s="88" customFormat="1" ht="15.75" hidden="1" thickBot="1" x14ac:dyDescent="0.3">
      <c r="A4392" s="258"/>
      <c r="B4392" s="258"/>
      <c r="C4392" s="261"/>
      <c r="D4392" s="258"/>
      <c r="E4392" s="679"/>
      <c r="F4392" s="597" t="s">
        <v>244</v>
      </c>
      <c r="G4392" s="598" t="s">
        <v>245</v>
      </c>
      <c r="H4392" s="555"/>
      <c r="I4392" s="556"/>
      <c r="J4392" s="560">
        <f t="shared" si="147"/>
        <v>0</v>
      </c>
      <c r="K4392" s="505"/>
      <c r="L4392" s="505"/>
      <c r="M4392" s="505"/>
      <c r="N4392" s="505"/>
      <c r="O4392" s="505"/>
      <c r="P4392" s="505"/>
      <c r="Q4392" s="505"/>
      <c r="R4392" s="505"/>
      <c r="S4392" s="505"/>
      <c r="T4392" s="505"/>
      <c r="U4392" s="505"/>
      <c r="V4392" s="505"/>
      <c r="W4392" s="505"/>
      <c r="X4392" s="505"/>
      <c r="Y4392" s="505"/>
    </row>
    <row r="4393" spans="1:25" s="88" customFormat="1" ht="15.75" hidden="1" thickBot="1" x14ac:dyDescent="0.3">
      <c r="A4393" s="258"/>
      <c r="B4393" s="258"/>
      <c r="C4393" s="261"/>
      <c r="D4393" s="258"/>
      <c r="E4393" s="679"/>
      <c r="F4393" s="597" t="s">
        <v>246</v>
      </c>
      <c r="G4393" s="598" t="s">
        <v>4996</v>
      </c>
      <c r="H4393" s="555"/>
      <c r="I4393" s="556"/>
      <c r="J4393" s="560">
        <f t="shared" si="147"/>
        <v>0</v>
      </c>
      <c r="K4393" s="505"/>
      <c r="L4393" s="505"/>
      <c r="M4393" s="505"/>
      <c r="N4393" s="505"/>
      <c r="O4393" s="505"/>
      <c r="P4393" s="505"/>
      <c r="Q4393" s="505"/>
      <c r="R4393" s="505"/>
      <c r="S4393" s="505"/>
      <c r="T4393" s="505"/>
      <c r="U4393" s="505"/>
      <c r="V4393" s="505"/>
      <c r="W4393" s="505"/>
      <c r="X4393" s="505"/>
      <c r="Y4393" s="505"/>
    </row>
    <row r="4394" spans="1:25" s="88" customFormat="1" ht="15.75" hidden="1" thickBot="1" x14ac:dyDescent="0.3">
      <c r="A4394" s="258"/>
      <c r="B4394" s="258"/>
      <c r="C4394" s="261"/>
      <c r="D4394" s="258"/>
      <c r="E4394" s="679"/>
      <c r="F4394" s="597" t="s">
        <v>247</v>
      </c>
      <c r="G4394" s="598" t="s">
        <v>4995</v>
      </c>
      <c r="H4394" s="555"/>
      <c r="I4394" s="556"/>
      <c r="J4394" s="560">
        <f t="shared" si="147"/>
        <v>0</v>
      </c>
      <c r="K4394" s="505"/>
      <c r="L4394" s="505"/>
      <c r="M4394" s="505"/>
      <c r="N4394" s="505"/>
      <c r="O4394" s="505"/>
      <c r="P4394" s="505"/>
      <c r="Q4394" s="505"/>
      <c r="R4394" s="505"/>
      <c r="S4394" s="505"/>
      <c r="T4394" s="505"/>
      <c r="U4394" s="505"/>
      <c r="V4394" s="505"/>
      <c r="W4394" s="505"/>
      <c r="X4394" s="505"/>
      <c r="Y4394" s="505"/>
    </row>
    <row r="4395" spans="1:25" s="88" customFormat="1" ht="15.75" hidden="1" thickBot="1" x14ac:dyDescent="0.3">
      <c r="A4395" s="258"/>
      <c r="B4395" s="258"/>
      <c r="C4395" s="261"/>
      <c r="D4395" s="258"/>
      <c r="E4395" s="679"/>
      <c r="F4395" s="597" t="s">
        <v>248</v>
      </c>
      <c r="G4395" s="598" t="s">
        <v>57</v>
      </c>
      <c r="H4395" s="555"/>
      <c r="I4395" s="556"/>
      <c r="J4395" s="560">
        <f t="shared" si="147"/>
        <v>0</v>
      </c>
      <c r="K4395" s="505"/>
      <c r="L4395" s="505"/>
      <c r="M4395" s="505"/>
      <c r="N4395" s="505"/>
      <c r="O4395" s="505"/>
      <c r="P4395" s="505"/>
      <c r="Q4395" s="505"/>
      <c r="R4395" s="505"/>
      <c r="S4395" s="505"/>
      <c r="T4395" s="505"/>
      <c r="U4395" s="505"/>
      <c r="V4395" s="505"/>
      <c r="W4395" s="505"/>
      <c r="X4395" s="505"/>
      <c r="Y4395" s="505"/>
    </row>
    <row r="4396" spans="1:25" s="88" customFormat="1" ht="15.75" hidden="1" thickBot="1" x14ac:dyDescent="0.3">
      <c r="A4396" s="258"/>
      <c r="B4396" s="258"/>
      <c r="C4396" s="261"/>
      <c r="D4396" s="258"/>
      <c r="E4396" s="679"/>
      <c r="F4396" s="597" t="s">
        <v>249</v>
      </c>
      <c r="G4396" s="598" t="s">
        <v>250</v>
      </c>
      <c r="H4396" s="555"/>
      <c r="I4396" s="556"/>
      <c r="J4396" s="560">
        <f t="shared" si="147"/>
        <v>0</v>
      </c>
      <c r="K4396" s="505"/>
      <c r="L4396" s="505"/>
      <c r="M4396" s="505"/>
      <c r="N4396" s="505"/>
      <c r="O4396" s="505"/>
      <c r="P4396" s="505"/>
      <c r="Q4396" s="505"/>
      <c r="R4396" s="505"/>
      <c r="S4396" s="505"/>
      <c r="T4396" s="505"/>
      <c r="U4396" s="505"/>
      <c r="V4396" s="505"/>
      <c r="W4396" s="505"/>
      <c r="X4396" s="505"/>
      <c r="Y4396" s="505"/>
    </row>
    <row r="4397" spans="1:25" s="88" customFormat="1" ht="15.75" hidden="1" thickBot="1" x14ac:dyDescent="0.3">
      <c r="A4397" s="258"/>
      <c r="B4397" s="258"/>
      <c r="C4397" s="261"/>
      <c r="D4397" s="258"/>
      <c r="E4397" s="679"/>
      <c r="F4397" s="597" t="s">
        <v>251</v>
      </c>
      <c r="G4397" s="598" t="s">
        <v>252</v>
      </c>
      <c r="H4397" s="555"/>
      <c r="I4397" s="556"/>
      <c r="J4397" s="560">
        <f t="shared" si="147"/>
        <v>0</v>
      </c>
      <c r="K4397" s="505"/>
      <c r="L4397" s="505"/>
      <c r="M4397" s="505"/>
      <c r="N4397" s="505"/>
      <c r="O4397" s="505"/>
      <c r="P4397" s="505"/>
      <c r="Q4397" s="505"/>
      <c r="R4397" s="505"/>
      <c r="S4397" s="505"/>
      <c r="T4397" s="505"/>
      <c r="U4397" s="505"/>
      <c r="V4397" s="505"/>
      <c r="W4397" s="505"/>
      <c r="X4397" s="505"/>
      <c r="Y4397" s="505"/>
    </row>
    <row r="4398" spans="1:25" s="88" customFormat="1" ht="30.75" hidden="1" thickBot="1" x14ac:dyDescent="0.3">
      <c r="A4398" s="258"/>
      <c r="B4398" s="258"/>
      <c r="C4398" s="261"/>
      <c r="D4398" s="258"/>
      <c r="E4398" s="679"/>
      <c r="F4398" s="597" t="s">
        <v>253</v>
      </c>
      <c r="G4398" s="598" t="s">
        <v>254</v>
      </c>
      <c r="H4398" s="555"/>
      <c r="I4398" s="556"/>
      <c r="J4398" s="560">
        <f t="shared" si="147"/>
        <v>0</v>
      </c>
      <c r="K4398" s="505"/>
      <c r="L4398" s="505"/>
      <c r="M4398" s="505"/>
      <c r="N4398" s="505"/>
      <c r="O4398" s="505"/>
      <c r="P4398" s="505"/>
      <c r="Q4398" s="505"/>
      <c r="R4398" s="505"/>
      <c r="S4398" s="505"/>
      <c r="T4398" s="505"/>
      <c r="U4398" s="505"/>
      <c r="V4398" s="505"/>
      <c r="W4398" s="505"/>
      <c r="X4398" s="505"/>
      <c r="Y4398" s="505"/>
    </row>
    <row r="4399" spans="1:25" s="88" customFormat="1" ht="15.75" hidden="1" thickBot="1" x14ac:dyDescent="0.3">
      <c r="A4399" s="258"/>
      <c r="B4399" s="258"/>
      <c r="C4399" s="261"/>
      <c r="D4399" s="258"/>
      <c r="E4399" s="679"/>
      <c r="F4399" s="597" t="s">
        <v>255</v>
      </c>
      <c r="G4399" s="598" t="s">
        <v>256</v>
      </c>
      <c r="H4399" s="555"/>
      <c r="I4399" s="556"/>
      <c r="J4399" s="560">
        <f t="shared" si="147"/>
        <v>0</v>
      </c>
      <c r="K4399" s="505"/>
      <c r="L4399" s="505"/>
      <c r="M4399" s="505"/>
      <c r="N4399" s="505"/>
      <c r="O4399" s="505"/>
      <c r="P4399" s="505"/>
      <c r="Q4399" s="505"/>
      <c r="R4399" s="505"/>
      <c r="S4399" s="505"/>
      <c r="T4399" s="505"/>
      <c r="U4399" s="505"/>
      <c r="V4399" s="505"/>
      <c r="W4399" s="505"/>
      <c r="X4399" s="505"/>
      <c r="Y4399" s="505"/>
    </row>
    <row r="4400" spans="1:25" s="88" customFormat="1" ht="30.75" hidden="1" thickBot="1" x14ac:dyDescent="0.3">
      <c r="A4400" s="258"/>
      <c r="B4400" s="258"/>
      <c r="C4400" s="261"/>
      <c r="D4400" s="258"/>
      <c r="E4400" s="679"/>
      <c r="F4400" s="597" t="s">
        <v>257</v>
      </c>
      <c r="G4400" s="598" t="s">
        <v>258</v>
      </c>
      <c r="H4400" s="555"/>
      <c r="I4400" s="556"/>
      <c r="J4400" s="560">
        <f t="shared" si="147"/>
        <v>0</v>
      </c>
      <c r="K4400" s="505"/>
      <c r="L4400" s="505"/>
      <c r="M4400" s="505"/>
      <c r="N4400" s="505"/>
      <c r="O4400" s="505"/>
      <c r="P4400" s="505"/>
      <c r="Q4400" s="505"/>
      <c r="R4400" s="505"/>
      <c r="S4400" s="505"/>
      <c r="T4400" s="505"/>
      <c r="U4400" s="505"/>
      <c r="V4400" s="505"/>
      <c r="W4400" s="505"/>
      <c r="X4400" s="505"/>
      <c r="Y4400" s="505"/>
    </row>
    <row r="4401" spans="1:25" s="88" customFormat="1" ht="15.75" hidden="1" thickBot="1" x14ac:dyDescent="0.3">
      <c r="A4401" s="258"/>
      <c r="B4401" s="258"/>
      <c r="C4401" s="261"/>
      <c r="D4401" s="258"/>
      <c r="E4401" s="679"/>
      <c r="F4401" s="597" t="s">
        <v>259</v>
      </c>
      <c r="G4401" s="598" t="s">
        <v>260</v>
      </c>
      <c r="H4401" s="555"/>
      <c r="I4401" s="556"/>
      <c r="J4401" s="560">
        <f t="shared" si="147"/>
        <v>0</v>
      </c>
      <c r="K4401" s="505"/>
      <c r="L4401" s="505"/>
      <c r="M4401" s="505"/>
      <c r="N4401" s="505"/>
      <c r="O4401" s="505"/>
      <c r="P4401" s="505"/>
      <c r="Q4401" s="505"/>
      <c r="R4401" s="505"/>
      <c r="S4401" s="505"/>
      <c r="T4401" s="505"/>
      <c r="U4401" s="505"/>
      <c r="V4401" s="505"/>
      <c r="W4401" s="505"/>
      <c r="X4401" s="505"/>
      <c r="Y4401" s="505"/>
    </row>
    <row r="4402" spans="1:25" s="88" customFormat="1" ht="15.75" hidden="1" thickBot="1" x14ac:dyDescent="0.3">
      <c r="A4402" s="258"/>
      <c r="B4402" s="258"/>
      <c r="C4402" s="261"/>
      <c r="D4402" s="258"/>
      <c r="E4402" s="679"/>
      <c r="F4402" s="597" t="s">
        <v>261</v>
      </c>
      <c r="G4402" s="598" t="s">
        <v>262</v>
      </c>
      <c r="H4402" s="559"/>
      <c r="I4402" s="560"/>
      <c r="J4402" s="560">
        <f t="shared" si="147"/>
        <v>0</v>
      </c>
      <c r="K4402" s="505"/>
      <c r="L4402" s="505"/>
      <c r="M4402" s="505"/>
      <c r="N4402" s="505"/>
      <c r="O4402" s="505"/>
      <c r="P4402" s="505"/>
      <c r="Q4402" s="505"/>
      <c r="R4402" s="505"/>
      <c r="S4402" s="505"/>
      <c r="T4402" s="505"/>
      <c r="U4402" s="505"/>
      <c r="V4402" s="505"/>
      <c r="W4402" s="505"/>
      <c r="X4402" s="505"/>
      <c r="Y4402" s="505"/>
    </row>
    <row r="4403" spans="1:25" s="88" customFormat="1" ht="15" customHeight="1" thickBot="1" x14ac:dyDescent="0.3">
      <c r="A4403" s="258"/>
      <c r="B4403" s="258"/>
      <c r="C4403" s="261"/>
      <c r="D4403" s="258"/>
      <c r="E4403" s="679"/>
      <c r="F4403" s="258"/>
      <c r="G4403" s="268" t="s">
        <v>4368</v>
      </c>
      <c r="H4403" s="561">
        <f>SUM(H4387)</f>
        <v>14360000</v>
      </c>
      <c r="I4403" s="562">
        <f>SUM(I4388:I4402)</f>
        <v>0</v>
      </c>
      <c r="J4403" s="562">
        <f>SUM(J4387:J4402)</f>
        <v>14360000</v>
      </c>
      <c r="K4403" s="505"/>
      <c r="L4403" s="505"/>
      <c r="M4403" s="505"/>
      <c r="N4403" s="505"/>
      <c r="O4403" s="505"/>
      <c r="P4403" s="505"/>
      <c r="Q4403" s="505"/>
      <c r="R4403" s="505"/>
      <c r="S4403" s="505"/>
      <c r="T4403" s="505"/>
      <c r="U4403" s="505"/>
      <c r="V4403" s="505"/>
      <c r="W4403" s="505"/>
      <c r="X4403" s="505"/>
      <c r="Y4403" s="505"/>
    </row>
    <row r="4404" spans="1:25" s="88" customFormat="1" ht="28.5" x14ac:dyDescent="0.25">
      <c r="A4404" s="258"/>
      <c r="B4404" s="258"/>
      <c r="C4404" s="261"/>
      <c r="D4404" s="258"/>
      <c r="E4404" s="489"/>
      <c r="F4404" s="500"/>
      <c r="G4404" s="270" t="s">
        <v>4383</v>
      </c>
      <c r="H4404" s="563"/>
      <c r="I4404" s="584"/>
      <c r="J4404" s="564"/>
      <c r="K4404" s="505"/>
      <c r="L4404" s="505"/>
      <c r="M4404" s="505"/>
      <c r="N4404" s="505"/>
      <c r="O4404" s="505"/>
      <c r="P4404" s="505"/>
      <c r="Q4404" s="505"/>
      <c r="R4404" s="505"/>
      <c r="S4404" s="505"/>
      <c r="T4404" s="505"/>
      <c r="U4404" s="505"/>
      <c r="V4404" s="505"/>
      <c r="W4404" s="505"/>
      <c r="X4404" s="505"/>
      <c r="Y4404" s="505"/>
    </row>
    <row r="4405" spans="1:25" s="88" customFormat="1" ht="13.5" customHeight="1" thickBot="1" x14ac:dyDescent="0.3">
      <c r="A4405" s="258"/>
      <c r="B4405" s="258"/>
      <c r="C4405" s="261"/>
      <c r="D4405" s="258"/>
      <c r="E4405" s="693"/>
      <c r="F4405" s="597" t="s">
        <v>234</v>
      </c>
      <c r="G4405" s="729" t="s">
        <v>235</v>
      </c>
      <c r="H4405" s="559">
        <f>SUM(H4326:H4385)</f>
        <v>14360000</v>
      </c>
      <c r="I4405" s="560"/>
      <c r="J4405" s="560">
        <f>SUM(H4405:I4405)</f>
        <v>14360000</v>
      </c>
      <c r="K4405" s="505"/>
      <c r="L4405" s="505"/>
      <c r="M4405" s="505"/>
      <c r="N4405" s="505"/>
      <c r="O4405" s="505"/>
      <c r="P4405" s="505"/>
      <c r="Q4405" s="505"/>
      <c r="R4405" s="505"/>
      <c r="S4405" s="505"/>
      <c r="T4405" s="505"/>
      <c r="U4405" s="505"/>
      <c r="V4405" s="505"/>
      <c r="W4405" s="505"/>
      <c r="X4405" s="505"/>
      <c r="Y4405" s="505"/>
    </row>
    <row r="4406" spans="1:25" s="88" customFormat="1" ht="17.25" hidden="1" customHeight="1" x14ac:dyDescent="0.25">
      <c r="A4406" s="258"/>
      <c r="B4406" s="258"/>
      <c r="C4406" s="261"/>
      <c r="D4406" s="258"/>
      <c r="E4406" s="679"/>
      <c r="F4406" s="597" t="s">
        <v>236</v>
      </c>
      <c r="G4406" s="598" t="s">
        <v>237</v>
      </c>
      <c r="H4406" s="555"/>
      <c r="I4406" s="556"/>
      <c r="J4406" s="560">
        <f t="shared" ref="J4406:J4420" si="148">SUM(H4406:I4406)</f>
        <v>0</v>
      </c>
      <c r="K4406" s="505"/>
      <c r="L4406" s="505"/>
      <c r="M4406" s="505"/>
      <c r="N4406" s="505"/>
      <c r="O4406" s="505"/>
      <c r="P4406" s="505"/>
      <c r="Q4406" s="505"/>
      <c r="R4406" s="505"/>
      <c r="S4406" s="505"/>
      <c r="T4406" s="505"/>
      <c r="U4406" s="505"/>
      <c r="V4406" s="505"/>
      <c r="W4406" s="505"/>
      <c r="X4406" s="505"/>
      <c r="Y4406" s="505"/>
    </row>
    <row r="4407" spans="1:25" s="88" customFormat="1" ht="15.75" hidden="1" thickBot="1" x14ac:dyDescent="0.3">
      <c r="A4407" s="258"/>
      <c r="B4407" s="258"/>
      <c r="C4407" s="261"/>
      <c r="D4407" s="258"/>
      <c r="E4407" s="679"/>
      <c r="F4407" s="597" t="s">
        <v>238</v>
      </c>
      <c r="G4407" s="598" t="s">
        <v>239</v>
      </c>
      <c r="H4407" s="555"/>
      <c r="I4407" s="556"/>
      <c r="J4407" s="560">
        <f t="shared" si="148"/>
        <v>0</v>
      </c>
      <c r="K4407" s="505"/>
      <c r="L4407" s="505"/>
      <c r="M4407" s="505"/>
      <c r="N4407" s="505"/>
      <c r="O4407" s="505"/>
      <c r="P4407" s="505"/>
      <c r="Q4407" s="505"/>
      <c r="R4407" s="505"/>
      <c r="S4407" s="505"/>
      <c r="T4407" s="505"/>
      <c r="U4407" s="505"/>
      <c r="V4407" s="505"/>
      <c r="W4407" s="505"/>
      <c r="X4407" s="505"/>
      <c r="Y4407" s="505"/>
    </row>
    <row r="4408" spans="1:25" s="88" customFormat="1" ht="15.75" hidden="1" thickBot="1" x14ac:dyDescent="0.3">
      <c r="A4408" s="258"/>
      <c r="B4408" s="258"/>
      <c r="C4408" s="261"/>
      <c r="D4408" s="258"/>
      <c r="E4408" s="679"/>
      <c r="F4408" s="597" t="s">
        <v>240</v>
      </c>
      <c r="G4408" s="598" t="s">
        <v>241</v>
      </c>
      <c r="H4408" s="555"/>
      <c r="I4408" s="556"/>
      <c r="J4408" s="560">
        <f t="shared" si="148"/>
        <v>0</v>
      </c>
      <c r="K4408" s="505"/>
      <c r="L4408" s="505"/>
      <c r="M4408" s="505"/>
      <c r="N4408" s="505"/>
      <c r="O4408" s="505"/>
      <c r="P4408" s="505"/>
      <c r="Q4408" s="505"/>
      <c r="R4408" s="505"/>
      <c r="S4408" s="505"/>
      <c r="T4408" s="505"/>
      <c r="U4408" s="505"/>
      <c r="V4408" s="505"/>
      <c r="W4408" s="505"/>
      <c r="X4408" s="505"/>
      <c r="Y4408" s="505"/>
    </row>
    <row r="4409" spans="1:25" s="88" customFormat="1" ht="15.75" hidden="1" thickBot="1" x14ac:dyDescent="0.3">
      <c r="A4409" s="258"/>
      <c r="B4409" s="258"/>
      <c r="C4409" s="261"/>
      <c r="D4409" s="258"/>
      <c r="E4409" s="679"/>
      <c r="F4409" s="597" t="s">
        <v>242</v>
      </c>
      <c r="G4409" s="598" t="s">
        <v>243</v>
      </c>
      <c r="H4409" s="555"/>
      <c r="I4409" s="556"/>
      <c r="J4409" s="560">
        <f t="shared" si="148"/>
        <v>0</v>
      </c>
      <c r="K4409" s="505"/>
      <c r="L4409" s="505"/>
      <c r="M4409" s="505"/>
      <c r="N4409" s="505"/>
      <c r="O4409" s="505"/>
      <c r="P4409" s="505"/>
      <c r="Q4409" s="505"/>
      <c r="R4409" s="505"/>
      <c r="S4409" s="505"/>
      <c r="T4409" s="505"/>
      <c r="U4409" s="505"/>
      <c r="V4409" s="505"/>
      <c r="W4409" s="505"/>
      <c r="X4409" s="505"/>
      <c r="Y4409" s="505"/>
    </row>
    <row r="4410" spans="1:25" s="88" customFormat="1" ht="15.75" hidden="1" thickBot="1" x14ac:dyDescent="0.3">
      <c r="A4410" s="258"/>
      <c r="B4410" s="258"/>
      <c r="C4410" s="261"/>
      <c r="D4410" s="258"/>
      <c r="E4410" s="679"/>
      <c r="F4410" s="597" t="s">
        <v>244</v>
      </c>
      <c r="G4410" s="598" t="s">
        <v>245</v>
      </c>
      <c r="H4410" s="555"/>
      <c r="I4410" s="556"/>
      <c r="J4410" s="560">
        <f t="shared" si="148"/>
        <v>0</v>
      </c>
      <c r="K4410" s="505"/>
      <c r="L4410" s="505"/>
      <c r="M4410" s="505"/>
      <c r="N4410" s="505"/>
      <c r="O4410" s="505"/>
      <c r="P4410" s="505"/>
      <c r="Q4410" s="505"/>
      <c r="R4410" s="505"/>
      <c r="S4410" s="505"/>
      <c r="T4410" s="505"/>
      <c r="U4410" s="505"/>
      <c r="V4410" s="505"/>
      <c r="W4410" s="505"/>
      <c r="X4410" s="505"/>
      <c r="Y4410" s="505"/>
    </row>
    <row r="4411" spans="1:25" s="88" customFormat="1" ht="15.75" hidden="1" thickBot="1" x14ac:dyDescent="0.3">
      <c r="A4411" s="258"/>
      <c r="B4411" s="258"/>
      <c r="C4411" s="261"/>
      <c r="D4411" s="258"/>
      <c r="E4411" s="679"/>
      <c r="F4411" s="597" t="s">
        <v>246</v>
      </c>
      <c r="G4411" s="598" t="s">
        <v>4996</v>
      </c>
      <c r="H4411" s="555"/>
      <c r="I4411" s="556"/>
      <c r="J4411" s="560">
        <f t="shared" si="148"/>
        <v>0</v>
      </c>
      <c r="K4411" s="505"/>
      <c r="L4411" s="505"/>
      <c r="M4411" s="505"/>
      <c r="N4411" s="505"/>
      <c r="O4411" s="505"/>
      <c r="P4411" s="505"/>
      <c r="Q4411" s="505"/>
      <c r="R4411" s="505"/>
      <c r="S4411" s="505"/>
      <c r="T4411" s="505"/>
      <c r="U4411" s="505"/>
      <c r="V4411" s="505"/>
      <c r="W4411" s="505"/>
      <c r="X4411" s="505"/>
      <c r="Y4411" s="505"/>
    </row>
    <row r="4412" spans="1:25" s="88" customFormat="1" ht="15.75" hidden="1" thickBot="1" x14ac:dyDescent="0.3">
      <c r="A4412" s="258"/>
      <c r="B4412" s="258"/>
      <c r="C4412" s="261"/>
      <c r="D4412" s="258"/>
      <c r="E4412" s="679"/>
      <c r="F4412" s="597" t="s">
        <v>247</v>
      </c>
      <c r="G4412" s="598" t="s">
        <v>4995</v>
      </c>
      <c r="H4412" s="555"/>
      <c r="I4412" s="556"/>
      <c r="J4412" s="560">
        <f t="shared" si="148"/>
        <v>0</v>
      </c>
      <c r="K4412" s="505"/>
      <c r="L4412" s="505"/>
      <c r="M4412" s="505"/>
      <c r="N4412" s="505"/>
      <c r="O4412" s="505"/>
      <c r="P4412" s="505"/>
      <c r="Q4412" s="505"/>
      <c r="R4412" s="505"/>
      <c r="S4412" s="505"/>
      <c r="T4412" s="505"/>
      <c r="U4412" s="505"/>
      <c r="V4412" s="505"/>
      <c r="W4412" s="505"/>
      <c r="X4412" s="505"/>
      <c r="Y4412" s="505"/>
    </row>
    <row r="4413" spans="1:25" s="88" customFormat="1" ht="15.75" hidden="1" thickBot="1" x14ac:dyDescent="0.3">
      <c r="A4413" s="258"/>
      <c r="B4413" s="258"/>
      <c r="C4413" s="261"/>
      <c r="D4413" s="258"/>
      <c r="E4413" s="679"/>
      <c r="F4413" s="597" t="s">
        <v>248</v>
      </c>
      <c r="G4413" s="598" t="s">
        <v>57</v>
      </c>
      <c r="H4413" s="555"/>
      <c r="I4413" s="556"/>
      <c r="J4413" s="560">
        <f t="shared" si="148"/>
        <v>0</v>
      </c>
      <c r="K4413" s="505"/>
      <c r="L4413" s="505"/>
      <c r="M4413" s="505"/>
      <c r="N4413" s="505"/>
      <c r="O4413" s="505"/>
      <c r="P4413" s="505"/>
      <c r="Q4413" s="505"/>
      <c r="R4413" s="505"/>
      <c r="S4413" s="505"/>
      <c r="T4413" s="505"/>
      <c r="U4413" s="505"/>
      <c r="V4413" s="505"/>
      <c r="W4413" s="505"/>
      <c r="X4413" s="505"/>
      <c r="Y4413" s="505"/>
    </row>
    <row r="4414" spans="1:25" s="88" customFormat="1" ht="15.75" hidden="1" thickBot="1" x14ac:dyDescent="0.3">
      <c r="A4414" s="258"/>
      <c r="B4414" s="258"/>
      <c r="C4414" s="261"/>
      <c r="D4414" s="258"/>
      <c r="E4414" s="679"/>
      <c r="F4414" s="597" t="s">
        <v>249</v>
      </c>
      <c r="G4414" s="598" t="s">
        <v>250</v>
      </c>
      <c r="H4414" s="555"/>
      <c r="I4414" s="556"/>
      <c r="J4414" s="560">
        <f t="shared" si="148"/>
        <v>0</v>
      </c>
      <c r="K4414" s="505"/>
      <c r="L4414" s="505"/>
      <c r="M4414" s="505"/>
      <c r="N4414" s="505"/>
      <c r="O4414" s="505"/>
      <c r="P4414" s="505"/>
      <c r="Q4414" s="505"/>
      <c r="R4414" s="505"/>
      <c r="S4414" s="505"/>
      <c r="T4414" s="505"/>
      <c r="U4414" s="505"/>
      <c r="V4414" s="505"/>
      <c r="W4414" s="505"/>
      <c r="X4414" s="505"/>
      <c r="Y4414" s="505"/>
    </row>
    <row r="4415" spans="1:25" s="88" customFormat="1" ht="15.75" hidden="1" thickBot="1" x14ac:dyDescent="0.3">
      <c r="A4415" s="258"/>
      <c r="B4415" s="258"/>
      <c r="C4415" s="261"/>
      <c r="D4415" s="258"/>
      <c r="E4415" s="679"/>
      <c r="F4415" s="597" t="s">
        <v>251</v>
      </c>
      <c r="G4415" s="598" t="s">
        <v>252</v>
      </c>
      <c r="H4415" s="555"/>
      <c r="I4415" s="556"/>
      <c r="J4415" s="560">
        <f t="shared" si="148"/>
        <v>0</v>
      </c>
      <c r="K4415" s="505"/>
      <c r="L4415" s="505"/>
      <c r="M4415" s="505"/>
      <c r="N4415" s="505"/>
      <c r="O4415" s="505"/>
      <c r="P4415" s="505"/>
      <c r="Q4415" s="505"/>
      <c r="R4415" s="505"/>
      <c r="S4415" s="505"/>
      <c r="T4415" s="505"/>
      <c r="U4415" s="505"/>
      <c r="V4415" s="505"/>
      <c r="W4415" s="505"/>
      <c r="X4415" s="505"/>
      <c r="Y4415" s="505"/>
    </row>
    <row r="4416" spans="1:25" s="88" customFormat="1" ht="30.75" hidden="1" thickBot="1" x14ac:dyDescent="0.3">
      <c r="A4416" s="258"/>
      <c r="B4416" s="258"/>
      <c r="C4416" s="261"/>
      <c r="D4416" s="258"/>
      <c r="E4416" s="679"/>
      <c r="F4416" s="597" t="s">
        <v>253</v>
      </c>
      <c r="G4416" s="598" t="s">
        <v>254</v>
      </c>
      <c r="H4416" s="555"/>
      <c r="I4416" s="556"/>
      <c r="J4416" s="560">
        <f t="shared" si="148"/>
        <v>0</v>
      </c>
      <c r="K4416" s="505"/>
      <c r="L4416" s="505"/>
      <c r="M4416" s="505"/>
      <c r="N4416" s="505"/>
      <c r="O4416" s="505"/>
      <c r="P4416" s="505"/>
      <c r="Q4416" s="505"/>
      <c r="R4416" s="505"/>
      <c r="S4416" s="505"/>
      <c r="T4416" s="505"/>
      <c r="U4416" s="505"/>
      <c r="V4416" s="505"/>
      <c r="W4416" s="505"/>
      <c r="X4416" s="505"/>
      <c r="Y4416" s="505"/>
    </row>
    <row r="4417" spans="1:25" s="88" customFormat="1" ht="15.75" hidden="1" thickBot="1" x14ac:dyDescent="0.3">
      <c r="A4417" s="258"/>
      <c r="B4417" s="258"/>
      <c r="C4417" s="261"/>
      <c r="D4417" s="258"/>
      <c r="E4417" s="679"/>
      <c r="F4417" s="597" t="s">
        <v>255</v>
      </c>
      <c r="G4417" s="598" t="s">
        <v>256</v>
      </c>
      <c r="H4417" s="555"/>
      <c r="I4417" s="556"/>
      <c r="J4417" s="560">
        <f t="shared" si="148"/>
        <v>0</v>
      </c>
      <c r="K4417" s="505"/>
      <c r="L4417" s="505"/>
      <c r="M4417" s="505"/>
      <c r="N4417" s="505"/>
      <c r="O4417" s="505"/>
      <c r="P4417" s="505"/>
      <c r="Q4417" s="505"/>
      <c r="R4417" s="505"/>
      <c r="S4417" s="505"/>
      <c r="T4417" s="505"/>
      <c r="U4417" s="505"/>
      <c r="V4417" s="505"/>
      <c r="W4417" s="505"/>
      <c r="X4417" s="505"/>
      <c r="Y4417" s="505"/>
    </row>
    <row r="4418" spans="1:25" s="88" customFormat="1" ht="30.75" hidden="1" thickBot="1" x14ac:dyDescent="0.3">
      <c r="A4418" s="258"/>
      <c r="B4418" s="258"/>
      <c r="C4418" s="261"/>
      <c r="D4418" s="258"/>
      <c r="E4418" s="679"/>
      <c r="F4418" s="597" t="s">
        <v>257</v>
      </c>
      <c r="G4418" s="598" t="s">
        <v>258</v>
      </c>
      <c r="H4418" s="555"/>
      <c r="I4418" s="556"/>
      <c r="J4418" s="560">
        <f t="shared" si="148"/>
        <v>0</v>
      </c>
      <c r="K4418" s="505"/>
      <c r="L4418" s="505"/>
      <c r="M4418" s="505"/>
      <c r="N4418" s="505"/>
      <c r="O4418" s="505"/>
      <c r="P4418" s="505"/>
      <c r="Q4418" s="505"/>
      <c r="R4418" s="505"/>
      <c r="S4418" s="505"/>
      <c r="T4418" s="505"/>
      <c r="U4418" s="505"/>
      <c r="V4418" s="505"/>
      <c r="W4418" s="505"/>
      <c r="X4418" s="505"/>
      <c r="Y4418" s="505"/>
    </row>
    <row r="4419" spans="1:25" s="88" customFormat="1" ht="15.75" hidden="1" thickBot="1" x14ac:dyDescent="0.3">
      <c r="A4419" s="258"/>
      <c r="B4419" s="258"/>
      <c r="C4419" s="261"/>
      <c r="D4419" s="258"/>
      <c r="E4419" s="679"/>
      <c r="F4419" s="597" t="s">
        <v>259</v>
      </c>
      <c r="G4419" s="598" t="s">
        <v>260</v>
      </c>
      <c r="H4419" s="555"/>
      <c r="I4419" s="556"/>
      <c r="J4419" s="560">
        <f t="shared" si="148"/>
        <v>0</v>
      </c>
      <c r="K4419" s="505"/>
      <c r="L4419" s="505"/>
      <c r="M4419" s="505"/>
      <c r="N4419" s="505"/>
      <c r="O4419" s="505"/>
      <c r="P4419" s="505"/>
      <c r="Q4419" s="505"/>
      <c r="R4419" s="505"/>
      <c r="S4419" s="505"/>
      <c r="T4419" s="505"/>
      <c r="U4419" s="505"/>
      <c r="V4419" s="505"/>
      <c r="W4419" s="505"/>
      <c r="X4419" s="505"/>
      <c r="Y4419" s="505"/>
    </row>
    <row r="4420" spans="1:25" s="88" customFormat="1" ht="15.75" hidden="1" thickBot="1" x14ac:dyDescent="0.3">
      <c r="A4420" s="258"/>
      <c r="B4420" s="258"/>
      <c r="C4420" s="261"/>
      <c r="D4420" s="258"/>
      <c r="E4420" s="679"/>
      <c r="F4420" s="597" t="s">
        <v>261</v>
      </c>
      <c r="G4420" s="598" t="s">
        <v>262</v>
      </c>
      <c r="H4420" s="559"/>
      <c r="I4420" s="560"/>
      <c r="J4420" s="560">
        <f t="shared" si="148"/>
        <v>0</v>
      </c>
      <c r="K4420" s="505"/>
      <c r="L4420" s="505"/>
      <c r="M4420" s="505"/>
      <c r="N4420" s="505"/>
      <c r="O4420" s="505"/>
      <c r="P4420" s="505"/>
      <c r="Q4420" s="505"/>
      <c r="R4420" s="505"/>
      <c r="S4420" s="505"/>
      <c r="T4420" s="505"/>
      <c r="U4420" s="505"/>
      <c r="V4420" s="505"/>
      <c r="W4420" s="505"/>
      <c r="X4420" s="505"/>
      <c r="Y4420" s="505"/>
    </row>
    <row r="4421" spans="1:25" s="88" customFormat="1" ht="15.75" thickBot="1" x14ac:dyDescent="0.3">
      <c r="A4421" s="258"/>
      <c r="B4421" s="258"/>
      <c r="C4421" s="261"/>
      <c r="D4421" s="258"/>
      <c r="E4421" s="679"/>
      <c r="F4421" s="258"/>
      <c r="G4421" s="268" t="s">
        <v>4384</v>
      </c>
      <c r="H4421" s="561">
        <f>SUM(H4405:H4420)</f>
        <v>14360000</v>
      </c>
      <c r="I4421" s="562">
        <f>SUM(I4406:I4420)</f>
        <v>0</v>
      </c>
      <c r="J4421" s="562">
        <f>SUM(J4405:J4420)</f>
        <v>14360000</v>
      </c>
      <c r="K4421" s="505"/>
      <c r="L4421" s="505"/>
      <c r="M4421" s="505"/>
      <c r="N4421" s="505"/>
      <c r="O4421" s="505"/>
      <c r="P4421" s="505"/>
      <c r="Q4421" s="505"/>
      <c r="R4421" s="505"/>
      <c r="S4421" s="505"/>
      <c r="T4421" s="505"/>
      <c r="U4421" s="505"/>
      <c r="V4421" s="505"/>
      <c r="W4421" s="505"/>
      <c r="X4421" s="505"/>
      <c r="Y4421" s="505"/>
    </row>
    <row r="4422" spans="1:25" s="88" customFormat="1" ht="24.75" customHeight="1" x14ac:dyDescent="0.25">
      <c r="A4422" s="258"/>
      <c r="B4422" s="258"/>
      <c r="C4422" s="267" t="s">
        <v>4076</v>
      </c>
      <c r="D4422" s="259"/>
      <c r="E4422" s="679"/>
      <c r="F4422" s="258"/>
      <c r="G4422" s="490" t="s">
        <v>5304</v>
      </c>
      <c r="H4422" s="555"/>
      <c r="I4422" s="556"/>
      <c r="J4422" s="556"/>
      <c r="K4422" s="505"/>
      <c r="L4422" s="505"/>
      <c r="M4422" s="505"/>
      <c r="N4422" s="505"/>
      <c r="O4422" s="505"/>
      <c r="P4422" s="505"/>
      <c r="Q4422" s="505"/>
      <c r="R4422" s="505"/>
      <c r="S4422" s="505"/>
      <c r="T4422" s="505"/>
      <c r="U4422" s="505"/>
      <c r="V4422" s="505"/>
      <c r="W4422" s="505"/>
      <c r="X4422" s="505"/>
      <c r="Y4422" s="505"/>
    </row>
    <row r="4423" spans="1:25" s="88" customFormat="1" ht="12.75" customHeight="1" x14ac:dyDescent="0.25">
      <c r="A4423" s="258"/>
      <c r="B4423" s="258"/>
      <c r="C4423" s="267"/>
      <c r="D4423" s="331">
        <v>912</v>
      </c>
      <c r="E4423" s="869"/>
      <c r="F4423" s="331"/>
      <c r="G4423" s="332" t="s">
        <v>215</v>
      </c>
      <c r="H4423" s="555"/>
      <c r="I4423" s="556"/>
      <c r="J4423" s="556"/>
      <c r="K4423" s="505"/>
      <c r="L4423" s="505"/>
      <c r="M4423" s="505"/>
      <c r="N4423" s="505"/>
      <c r="O4423" s="505"/>
      <c r="P4423" s="505"/>
      <c r="Q4423" s="505"/>
      <c r="R4423" s="505"/>
      <c r="S4423" s="505"/>
      <c r="T4423" s="505"/>
      <c r="U4423" s="505"/>
      <c r="V4423" s="505"/>
      <c r="W4423" s="505"/>
      <c r="X4423" s="505"/>
      <c r="Y4423" s="505"/>
    </row>
    <row r="4424" spans="1:25" s="88" customFormat="1" hidden="1" x14ac:dyDescent="0.25">
      <c r="A4424" s="258"/>
      <c r="B4424" s="258"/>
      <c r="C4424" s="261"/>
      <c r="D4424" s="258"/>
      <c r="E4424" s="679"/>
      <c r="F4424" s="499">
        <v>411</v>
      </c>
      <c r="G4424" s="492" t="s">
        <v>4131</v>
      </c>
      <c r="H4424" s="555"/>
      <c r="I4424" s="556"/>
      <c r="J4424" s="556">
        <f>SUM(H4424:I4424)</f>
        <v>0</v>
      </c>
      <c r="K4424" s="505"/>
      <c r="L4424" s="505"/>
      <c r="M4424" s="505"/>
      <c r="N4424" s="505"/>
      <c r="O4424" s="505"/>
      <c r="P4424" s="505"/>
      <c r="Q4424" s="505"/>
      <c r="R4424" s="505"/>
      <c r="S4424" s="505"/>
      <c r="T4424" s="505"/>
      <c r="U4424" s="505"/>
      <c r="V4424" s="505"/>
      <c r="W4424" s="505"/>
      <c r="X4424" s="505"/>
      <c r="Y4424" s="505"/>
    </row>
    <row r="4425" spans="1:25" s="88" customFormat="1" hidden="1" x14ac:dyDescent="0.25">
      <c r="A4425" s="258"/>
      <c r="B4425" s="258"/>
      <c r="C4425" s="261"/>
      <c r="D4425" s="258"/>
      <c r="E4425" s="679"/>
      <c r="F4425" s="499">
        <v>412</v>
      </c>
      <c r="G4425" s="488" t="s">
        <v>3766</v>
      </c>
      <c r="H4425" s="555"/>
      <c r="I4425" s="556"/>
      <c r="J4425" s="556">
        <f t="shared" ref="J4425:J4483" si="149">SUM(H4425:I4425)</f>
        <v>0</v>
      </c>
      <c r="K4425" s="505"/>
      <c r="L4425" s="505"/>
      <c r="M4425" s="505"/>
      <c r="N4425" s="505"/>
      <c r="O4425" s="505"/>
      <c r="P4425" s="505"/>
      <c r="Q4425" s="505"/>
      <c r="R4425" s="505"/>
      <c r="S4425" s="505"/>
      <c r="T4425" s="505"/>
      <c r="U4425" s="505"/>
      <c r="V4425" s="505"/>
      <c r="W4425" s="505"/>
      <c r="X4425" s="505"/>
      <c r="Y4425" s="505"/>
    </row>
    <row r="4426" spans="1:25" s="88" customFormat="1" hidden="1" x14ac:dyDescent="0.25">
      <c r="A4426" s="258"/>
      <c r="B4426" s="258"/>
      <c r="C4426" s="261"/>
      <c r="D4426" s="258"/>
      <c r="E4426" s="679"/>
      <c r="F4426" s="499">
        <v>413</v>
      </c>
      <c r="G4426" s="492" t="s">
        <v>4132</v>
      </c>
      <c r="H4426" s="555"/>
      <c r="I4426" s="556"/>
      <c r="J4426" s="556">
        <f t="shared" si="149"/>
        <v>0</v>
      </c>
      <c r="K4426" s="505"/>
      <c r="L4426" s="505"/>
      <c r="M4426" s="505"/>
      <c r="N4426" s="505"/>
      <c r="O4426" s="505"/>
      <c r="P4426" s="505"/>
      <c r="Q4426" s="505"/>
      <c r="R4426" s="505"/>
      <c r="S4426" s="505"/>
      <c r="T4426" s="505"/>
      <c r="U4426" s="505"/>
      <c r="V4426" s="505"/>
      <c r="W4426" s="505"/>
      <c r="X4426" s="505"/>
      <c r="Y4426" s="505"/>
    </row>
    <row r="4427" spans="1:25" s="88" customFormat="1" hidden="1" x14ac:dyDescent="0.25">
      <c r="A4427" s="258"/>
      <c r="B4427" s="258"/>
      <c r="C4427" s="261"/>
      <c r="D4427" s="258"/>
      <c r="E4427" s="679"/>
      <c r="F4427" s="499">
        <v>414</v>
      </c>
      <c r="G4427" s="492" t="s">
        <v>3769</v>
      </c>
      <c r="H4427" s="555"/>
      <c r="I4427" s="556"/>
      <c r="J4427" s="556">
        <f t="shared" si="149"/>
        <v>0</v>
      </c>
      <c r="K4427" s="505"/>
      <c r="L4427" s="505"/>
      <c r="M4427" s="505"/>
      <c r="N4427" s="505"/>
      <c r="O4427" s="505"/>
      <c r="P4427" s="505"/>
      <c r="Q4427" s="505"/>
      <c r="R4427" s="505"/>
      <c r="S4427" s="505"/>
      <c r="T4427" s="505"/>
      <c r="U4427" s="505"/>
      <c r="V4427" s="505"/>
      <c r="W4427" s="505"/>
      <c r="X4427" s="505"/>
      <c r="Y4427" s="505"/>
    </row>
    <row r="4428" spans="1:25" s="88" customFormat="1" hidden="1" x14ac:dyDescent="0.25">
      <c r="A4428" s="258"/>
      <c r="B4428" s="258"/>
      <c r="C4428" s="261"/>
      <c r="D4428" s="258"/>
      <c r="E4428" s="679"/>
      <c r="F4428" s="499">
        <v>415</v>
      </c>
      <c r="G4428" s="492" t="s">
        <v>4141</v>
      </c>
      <c r="H4428" s="555"/>
      <c r="I4428" s="556"/>
      <c r="J4428" s="556">
        <f t="shared" si="149"/>
        <v>0</v>
      </c>
      <c r="K4428" s="505"/>
      <c r="L4428" s="505"/>
      <c r="M4428" s="505"/>
      <c r="N4428" s="505"/>
      <c r="O4428" s="505"/>
      <c r="P4428" s="505"/>
      <c r="Q4428" s="505"/>
      <c r="R4428" s="505"/>
      <c r="S4428" s="505"/>
      <c r="T4428" s="505"/>
      <c r="U4428" s="505"/>
      <c r="V4428" s="505"/>
      <c r="W4428" s="505"/>
      <c r="X4428" s="505"/>
      <c r="Y4428" s="505"/>
    </row>
    <row r="4429" spans="1:25" s="88" customFormat="1" hidden="1" x14ac:dyDescent="0.25">
      <c r="A4429" s="258"/>
      <c r="B4429" s="258"/>
      <c r="C4429" s="261"/>
      <c r="D4429" s="258"/>
      <c r="E4429" s="679"/>
      <c r="F4429" s="499">
        <v>416</v>
      </c>
      <c r="G4429" s="492" t="s">
        <v>4142</v>
      </c>
      <c r="H4429" s="555"/>
      <c r="I4429" s="556"/>
      <c r="J4429" s="556">
        <f t="shared" si="149"/>
        <v>0</v>
      </c>
      <c r="K4429" s="505"/>
      <c r="L4429" s="505"/>
      <c r="M4429" s="505"/>
      <c r="N4429" s="505"/>
      <c r="O4429" s="505"/>
      <c r="P4429" s="505"/>
      <c r="Q4429" s="505"/>
      <c r="R4429" s="505"/>
      <c r="S4429" s="505"/>
      <c r="T4429" s="505"/>
      <c r="U4429" s="505"/>
      <c r="V4429" s="505"/>
      <c r="W4429" s="505"/>
      <c r="X4429" s="505"/>
      <c r="Y4429" s="505"/>
    </row>
    <row r="4430" spans="1:25" s="88" customFormat="1" hidden="1" x14ac:dyDescent="0.25">
      <c r="A4430" s="258"/>
      <c r="B4430" s="258"/>
      <c r="C4430" s="261"/>
      <c r="D4430" s="258"/>
      <c r="E4430" s="679"/>
      <c r="F4430" s="499">
        <v>417</v>
      </c>
      <c r="G4430" s="492" t="s">
        <v>4143</v>
      </c>
      <c r="H4430" s="555"/>
      <c r="I4430" s="556"/>
      <c r="J4430" s="556">
        <f t="shared" si="149"/>
        <v>0</v>
      </c>
      <c r="K4430" s="505"/>
      <c r="L4430" s="505"/>
      <c r="M4430" s="505"/>
      <c r="N4430" s="505"/>
      <c r="O4430" s="505"/>
      <c r="P4430" s="505"/>
      <c r="Q4430" s="505"/>
      <c r="R4430" s="505"/>
      <c r="S4430" s="505"/>
      <c r="T4430" s="505"/>
      <c r="U4430" s="505"/>
      <c r="V4430" s="505"/>
      <c r="W4430" s="505"/>
      <c r="X4430" s="505"/>
      <c r="Y4430" s="505"/>
    </row>
    <row r="4431" spans="1:25" s="88" customFormat="1" hidden="1" x14ac:dyDescent="0.25">
      <c r="A4431" s="258"/>
      <c r="B4431" s="258"/>
      <c r="C4431" s="261"/>
      <c r="D4431" s="258"/>
      <c r="E4431" s="679"/>
      <c r="F4431" s="499">
        <v>418</v>
      </c>
      <c r="G4431" s="492" t="s">
        <v>3775</v>
      </c>
      <c r="H4431" s="555"/>
      <c r="I4431" s="556"/>
      <c r="J4431" s="556">
        <f t="shared" si="149"/>
        <v>0</v>
      </c>
      <c r="K4431" s="505"/>
      <c r="L4431" s="505"/>
      <c r="M4431" s="505"/>
      <c r="N4431" s="505"/>
      <c r="O4431" s="505"/>
      <c r="P4431" s="505"/>
      <c r="Q4431" s="505"/>
      <c r="R4431" s="505"/>
      <c r="S4431" s="505"/>
      <c r="T4431" s="505"/>
      <c r="U4431" s="505"/>
      <c r="V4431" s="505"/>
      <c r="W4431" s="505"/>
      <c r="X4431" s="505"/>
      <c r="Y4431" s="505"/>
    </row>
    <row r="4432" spans="1:25" s="88" customFormat="1" hidden="1" x14ac:dyDescent="0.25">
      <c r="A4432" s="258"/>
      <c r="B4432" s="258"/>
      <c r="C4432" s="261"/>
      <c r="D4432" s="258"/>
      <c r="E4432" s="679"/>
      <c r="F4432" s="499">
        <v>421</v>
      </c>
      <c r="G4432" s="492" t="s">
        <v>3779</v>
      </c>
      <c r="H4432" s="555"/>
      <c r="I4432" s="556"/>
      <c r="J4432" s="556">
        <f t="shared" si="149"/>
        <v>0</v>
      </c>
      <c r="K4432" s="505"/>
      <c r="L4432" s="505"/>
      <c r="M4432" s="505"/>
      <c r="N4432" s="505"/>
      <c r="O4432" s="505"/>
      <c r="P4432" s="505"/>
      <c r="Q4432" s="505"/>
      <c r="R4432" s="505"/>
      <c r="S4432" s="505"/>
      <c r="T4432" s="505"/>
      <c r="U4432" s="505"/>
      <c r="V4432" s="505"/>
      <c r="W4432" s="505"/>
      <c r="X4432" s="505"/>
      <c r="Y4432" s="505"/>
    </row>
    <row r="4433" spans="1:25" s="88" customFormat="1" hidden="1" x14ac:dyDescent="0.25">
      <c r="A4433" s="258"/>
      <c r="B4433" s="258"/>
      <c r="C4433" s="261"/>
      <c r="D4433" s="258"/>
      <c r="E4433" s="679"/>
      <c r="F4433" s="499">
        <v>422</v>
      </c>
      <c r="G4433" s="492" t="s">
        <v>3780</v>
      </c>
      <c r="H4433" s="555"/>
      <c r="I4433" s="556"/>
      <c r="J4433" s="556">
        <f t="shared" si="149"/>
        <v>0</v>
      </c>
      <c r="K4433" s="505"/>
      <c r="L4433" s="505"/>
      <c r="M4433" s="505"/>
      <c r="N4433" s="505"/>
      <c r="O4433" s="505"/>
      <c r="P4433" s="505"/>
      <c r="Q4433" s="505"/>
      <c r="R4433" s="505"/>
      <c r="S4433" s="505"/>
      <c r="T4433" s="505"/>
      <c r="U4433" s="505"/>
      <c r="V4433" s="505"/>
      <c r="W4433" s="505"/>
      <c r="X4433" s="505"/>
      <c r="Y4433" s="505"/>
    </row>
    <row r="4434" spans="1:25" s="88" customFormat="1" hidden="1" x14ac:dyDescent="0.25">
      <c r="A4434" s="258"/>
      <c r="B4434" s="258"/>
      <c r="C4434" s="261"/>
      <c r="D4434" s="258"/>
      <c r="E4434" s="679"/>
      <c r="F4434" s="499">
        <v>423</v>
      </c>
      <c r="G4434" s="492" t="s">
        <v>3781</v>
      </c>
      <c r="H4434" s="555"/>
      <c r="I4434" s="556"/>
      <c r="J4434" s="556">
        <f t="shared" si="149"/>
        <v>0</v>
      </c>
      <c r="K4434" s="505"/>
      <c r="L4434" s="505"/>
      <c r="M4434" s="505"/>
      <c r="N4434" s="505"/>
      <c r="O4434" s="505"/>
      <c r="P4434" s="505"/>
      <c r="Q4434" s="505"/>
      <c r="R4434" s="505"/>
      <c r="S4434" s="505"/>
      <c r="T4434" s="505"/>
      <c r="U4434" s="505"/>
      <c r="V4434" s="505"/>
      <c r="W4434" s="505"/>
      <c r="X4434" s="505"/>
      <c r="Y4434" s="505"/>
    </row>
    <row r="4435" spans="1:25" s="88" customFormat="1" hidden="1" x14ac:dyDescent="0.25">
      <c r="A4435" s="258"/>
      <c r="B4435" s="258"/>
      <c r="C4435" s="261"/>
      <c r="D4435" s="258"/>
      <c r="E4435" s="679"/>
      <c r="F4435" s="499">
        <v>424</v>
      </c>
      <c r="G4435" s="492" t="s">
        <v>3783</v>
      </c>
      <c r="H4435" s="555"/>
      <c r="I4435" s="556"/>
      <c r="J4435" s="556">
        <f t="shared" si="149"/>
        <v>0</v>
      </c>
      <c r="K4435" s="505"/>
      <c r="L4435" s="505"/>
      <c r="M4435" s="505"/>
      <c r="N4435" s="505"/>
      <c r="O4435" s="505"/>
      <c r="P4435" s="505"/>
      <c r="Q4435" s="505"/>
      <c r="R4435" s="505"/>
      <c r="S4435" s="505"/>
      <c r="T4435" s="505"/>
      <c r="U4435" s="505"/>
      <c r="V4435" s="505"/>
      <c r="W4435" s="505"/>
      <c r="X4435" s="505"/>
      <c r="Y4435" s="505"/>
    </row>
    <row r="4436" spans="1:25" s="88" customFormat="1" hidden="1" x14ac:dyDescent="0.25">
      <c r="A4436" s="258"/>
      <c r="B4436" s="258"/>
      <c r="C4436" s="261"/>
      <c r="D4436" s="258"/>
      <c r="E4436" s="679"/>
      <c r="F4436" s="499">
        <v>425</v>
      </c>
      <c r="G4436" s="492" t="s">
        <v>4144</v>
      </c>
      <c r="H4436" s="555"/>
      <c r="I4436" s="556"/>
      <c r="J4436" s="556">
        <f t="shared" si="149"/>
        <v>0</v>
      </c>
      <c r="K4436" s="505"/>
      <c r="L4436" s="505"/>
      <c r="M4436" s="505"/>
      <c r="N4436" s="505"/>
      <c r="O4436" s="505"/>
      <c r="P4436" s="505"/>
      <c r="Q4436" s="505"/>
      <c r="R4436" s="505"/>
      <c r="S4436" s="505"/>
      <c r="T4436" s="505"/>
      <c r="U4436" s="505"/>
      <c r="V4436" s="505"/>
      <c r="W4436" s="505"/>
      <c r="X4436" s="505"/>
      <c r="Y4436" s="505"/>
    </row>
    <row r="4437" spans="1:25" s="88" customFormat="1" hidden="1" x14ac:dyDescent="0.25">
      <c r="A4437" s="258"/>
      <c r="B4437" s="258"/>
      <c r="C4437" s="261"/>
      <c r="D4437" s="258"/>
      <c r="E4437" s="679"/>
      <c r="F4437" s="499">
        <v>426</v>
      </c>
      <c r="G4437" s="492" t="s">
        <v>3787</v>
      </c>
      <c r="H4437" s="555"/>
      <c r="I4437" s="556"/>
      <c r="J4437" s="556">
        <f t="shared" si="149"/>
        <v>0</v>
      </c>
      <c r="K4437" s="505"/>
      <c r="L4437" s="505"/>
      <c r="M4437" s="505"/>
      <c r="N4437" s="505"/>
      <c r="O4437" s="505"/>
      <c r="P4437" s="505"/>
      <c r="Q4437" s="505"/>
      <c r="R4437" s="505"/>
      <c r="S4437" s="505"/>
      <c r="T4437" s="505"/>
      <c r="U4437" s="505"/>
      <c r="V4437" s="505"/>
      <c r="W4437" s="505"/>
      <c r="X4437" s="505"/>
      <c r="Y4437" s="505"/>
    </row>
    <row r="4438" spans="1:25" s="88" customFormat="1" hidden="1" x14ac:dyDescent="0.25">
      <c r="A4438" s="258"/>
      <c r="B4438" s="258"/>
      <c r="C4438" s="261"/>
      <c r="D4438" s="258"/>
      <c r="E4438" s="679"/>
      <c r="F4438" s="499">
        <v>431</v>
      </c>
      <c r="G4438" s="492" t="s">
        <v>4145</v>
      </c>
      <c r="H4438" s="555"/>
      <c r="I4438" s="556"/>
      <c r="J4438" s="556">
        <f t="shared" si="149"/>
        <v>0</v>
      </c>
      <c r="K4438" s="505"/>
      <c r="L4438" s="505"/>
      <c r="M4438" s="505"/>
      <c r="N4438" s="505"/>
      <c r="O4438" s="505"/>
      <c r="P4438" s="505"/>
      <c r="Q4438" s="505"/>
      <c r="R4438" s="505"/>
      <c r="S4438" s="505"/>
      <c r="T4438" s="505"/>
      <c r="U4438" s="505"/>
      <c r="V4438" s="505"/>
      <c r="W4438" s="505"/>
      <c r="X4438" s="505"/>
      <c r="Y4438" s="505"/>
    </row>
    <row r="4439" spans="1:25" s="88" customFormat="1" hidden="1" x14ac:dyDescent="0.25">
      <c r="A4439" s="258"/>
      <c r="B4439" s="258"/>
      <c r="C4439" s="261"/>
      <c r="D4439" s="258"/>
      <c r="E4439" s="679"/>
      <c r="F4439" s="499">
        <v>432</v>
      </c>
      <c r="G4439" s="492" t="s">
        <v>4146</v>
      </c>
      <c r="H4439" s="555"/>
      <c r="I4439" s="556"/>
      <c r="J4439" s="556">
        <f t="shared" si="149"/>
        <v>0</v>
      </c>
      <c r="K4439" s="505"/>
      <c r="L4439" s="505"/>
      <c r="M4439" s="505"/>
      <c r="N4439" s="505"/>
      <c r="O4439" s="505"/>
      <c r="P4439" s="505"/>
      <c r="Q4439" s="505"/>
      <c r="R4439" s="505"/>
      <c r="S4439" s="505"/>
      <c r="T4439" s="505"/>
      <c r="U4439" s="505"/>
      <c r="V4439" s="505"/>
      <c r="W4439" s="505"/>
      <c r="X4439" s="505"/>
      <c r="Y4439" s="505"/>
    </row>
    <row r="4440" spans="1:25" s="88" customFormat="1" hidden="1" x14ac:dyDescent="0.25">
      <c r="A4440" s="258"/>
      <c r="B4440" s="258"/>
      <c r="C4440" s="261"/>
      <c r="D4440" s="258"/>
      <c r="E4440" s="679"/>
      <c r="F4440" s="499">
        <v>433</v>
      </c>
      <c r="G4440" s="492" t="s">
        <v>4147</v>
      </c>
      <c r="H4440" s="555"/>
      <c r="I4440" s="556"/>
      <c r="J4440" s="556">
        <f t="shared" si="149"/>
        <v>0</v>
      </c>
      <c r="K4440" s="505"/>
      <c r="L4440" s="505"/>
      <c r="M4440" s="505"/>
      <c r="N4440" s="505"/>
      <c r="O4440" s="505"/>
      <c r="P4440" s="505"/>
      <c r="Q4440" s="505"/>
      <c r="R4440" s="505"/>
      <c r="S4440" s="505"/>
      <c r="T4440" s="505"/>
      <c r="U4440" s="505"/>
      <c r="V4440" s="505"/>
      <c r="W4440" s="505"/>
      <c r="X4440" s="505"/>
      <c r="Y4440" s="505"/>
    </row>
    <row r="4441" spans="1:25" s="88" customFormat="1" hidden="1" x14ac:dyDescent="0.25">
      <c r="A4441" s="258"/>
      <c r="B4441" s="258"/>
      <c r="C4441" s="261"/>
      <c r="D4441" s="258"/>
      <c r="E4441" s="679"/>
      <c r="F4441" s="499">
        <v>434</v>
      </c>
      <c r="G4441" s="492" t="s">
        <v>4148</v>
      </c>
      <c r="H4441" s="555"/>
      <c r="I4441" s="556"/>
      <c r="J4441" s="556">
        <f t="shared" si="149"/>
        <v>0</v>
      </c>
      <c r="K4441" s="505"/>
      <c r="L4441" s="505"/>
      <c r="M4441" s="505"/>
      <c r="N4441" s="505"/>
      <c r="O4441" s="505"/>
      <c r="P4441" s="505"/>
      <c r="Q4441" s="505"/>
      <c r="R4441" s="505"/>
      <c r="S4441" s="505"/>
      <c r="T4441" s="505"/>
      <c r="U4441" s="505"/>
      <c r="V4441" s="505"/>
      <c r="W4441" s="505"/>
      <c r="X4441" s="505"/>
      <c r="Y4441" s="505"/>
    </row>
    <row r="4442" spans="1:25" s="88" customFormat="1" hidden="1" x14ac:dyDescent="0.25">
      <c r="A4442" s="258"/>
      <c r="B4442" s="258"/>
      <c r="C4442" s="261"/>
      <c r="D4442" s="258"/>
      <c r="E4442" s="679"/>
      <c r="F4442" s="499">
        <v>435</v>
      </c>
      <c r="G4442" s="492" t="s">
        <v>3794</v>
      </c>
      <c r="H4442" s="555"/>
      <c r="I4442" s="556"/>
      <c r="J4442" s="556">
        <f t="shared" si="149"/>
        <v>0</v>
      </c>
      <c r="K4442" s="505"/>
      <c r="L4442" s="505"/>
      <c r="M4442" s="505"/>
      <c r="N4442" s="505"/>
      <c r="O4442" s="505"/>
      <c r="P4442" s="505"/>
      <c r="Q4442" s="505"/>
      <c r="R4442" s="505"/>
      <c r="S4442" s="505"/>
      <c r="T4442" s="505"/>
      <c r="U4442" s="505"/>
      <c r="V4442" s="505"/>
      <c r="W4442" s="505"/>
      <c r="X4442" s="505"/>
      <c r="Y4442" s="505"/>
    </row>
    <row r="4443" spans="1:25" s="88" customFormat="1" hidden="1" x14ac:dyDescent="0.25">
      <c r="A4443" s="258"/>
      <c r="B4443" s="258"/>
      <c r="C4443" s="261"/>
      <c r="D4443" s="258"/>
      <c r="E4443" s="679"/>
      <c r="F4443" s="499">
        <v>441</v>
      </c>
      <c r="G4443" s="492" t="s">
        <v>4149</v>
      </c>
      <c r="H4443" s="555"/>
      <c r="I4443" s="556"/>
      <c r="J4443" s="556">
        <f t="shared" si="149"/>
        <v>0</v>
      </c>
      <c r="K4443" s="505"/>
      <c r="L4443" s="505"/>
      <c r="M4443" s="505"/>
      <c r="N4443" s="505"/>
      <c r="O4443" s="505"/>
      <c r="P4443" s="505"/>
      <c r="Q4443" s="505"/>
      <c r="R4443" s="505"/>
      <c r="S4443" s="505"/>
      <c r="T4443" s="505"/>
      <c r="U4443" s="505"/>
      <c r="V4443" s="505"/>
      <c r="W4443" s="505"/>
      <c r="X4443" s="505"/>
      <c r="Y4443" s="505"/>
    </row>
    <row r="4444" spans="1:25" s="88" customFormat="1" hidden="1" x14ac:dyDescent="0.25">
      <c r="A4444" s="258"/>
      <c r="B4444" s="258"/>
      <c r="C4444" s="261"/>
      <c r="D4444" s="258"/>
      <c r="E4444" s="679"/>
      <c r="F4444" s="499">
        <v>442</v>
      </c>
      <c r="G4444" s="492" t="s">
        <v>4150</v>
      </c>
      <c r="H4444" s="555"/>
      <c r="I4444" s="556"/>
      <c r="J4444" s="556">
        <f t="shared" si="149"/>
        <v>0</v>
      </c>
      <c r="K4444" s="505"/>
      <c r="L4444" s="505"/>
      <c r="M4444" s="505"/>
      <c r="N4444" s="505"/>
      <c r="O4444" s="505"/>
      <c r="P4444" s="505"/>
      <c r="Q4444" s="505"/>
      <c r="R4444" s="505"/>
      <c r="S4444" s="505"/>
      <c r="T4444" s="505"/>
      <c r="U4444" s="505"/>
      <c r="V4444" s="505"/>
      <c r="W4444" s="505"/>
      <c r="X4444" s="505"/>
      <c r="Y4444" s="505"/>
    </row>
    <row r="4445" spans="1:25" s="88" customFormat="1" hidden="1" x14ac:dyDescent="0.25">
      <c r="A4445" s="258"/>
      <c r="B4445" s="258"/>
      <c r="C4445" s="261"/>
      <c r="D4445" s="258"/>
      <c r="E4445" s="679"/>
      <c r="F4445" s="499">
        <v>443</v>
      </c>
      <c r="G4445" s="492" t="s">
        <v>3799</v>
      </c>
      <c r="H4445" s="555"/>
      <c r="I4445" s="556"/>
      <c r="J4445" s="556">
        <f t="shared" si="149"/>
        <v>0</v>
      </c>
      <c r="K4445" s="505"/>
      <c r="L4445" s="505"/>
      <c r="M4445" s="505"/>
      <c r="N4445" s="505"/>
      <c r="O4445" s="505"/>
      <c r="P4445" s="505"/>
      <c r="Q4445" s="505"/>
      <c r="R4445" s="505"/>
      <c r="S4445" s="505"/>
      <c r="T4445" s="505"/>
      <c r="U4445" s="505"/>
      <c r="V4445" s="505"/>
      <c r="W4445" s="505"/>
      <c r="X4445" s="505"/>
      <c r="Y4445" s="505"/>
    </row>
    <row r="4446" spans="1:25" s="88" customFormat="1" hidden="1" x14ac:dyDescent="0.25">
      <c r="A4446" s="258"/>
      <c r="B4446" s="258"/>
      <c r="C4446" s="261"/>
      <c r="D4446" s="258"/>
      <c r="E4446" s="679"/>
      <c r="F4446" s="499">
        <v>444</v>
      </c>
      <c r="G4446" s="492" t="s">
        <v>3800</v>
      </c>
      <c r="H4446" s="555"/>
      <c r="I4446" s="556"/>
      <c r="J4446" s="556">
        <f t="shared" si="149"/>
        <v>0</v>
      </c>
      <c r="K4446" s="505"/>
      <c r="L4446" s="505"/>
      <c r="M4446" s="505"/>
      <c r="N4446" s="505"/>
      <c r="O4446" s="505"/>
      <c r="P4446" s="505"/>
      <c r="Q4446" s="505"/>
      <c r="R4446" s="505"/>
      <c r="S4446" s="505"/>
      <c r="T4446" s="505"/>
      <c r="U4446" s="505"/>
      <c r="V4446" s="505"/>
      <c r="W4446" s="505"/>
      <c r="X4446" s="505"/>
      <c r="Y4446" s="505"/>
    </row>
    <row r="4447" spans="1:25" s="88" customFormat="1" ht="30" hidden="1" x14ac:dyDescent="0.25">
      <c r="A4447" s="258"/>
      <c r="B4447" s="258"/>
      <c r="C4447" s="261"/>
      <c r="D4447" s="258"/>
      <c r="E4447" s="679"/>
      <c r="F4447" s="499">
        <v>4511</v>
      </c>
      <c r="G4447" s="771" t="s">
        <v>1690</v>
      </c>
      <c r="H4447" s="555"/>
      <c r="I4447" s="556"/>
      <c r="J4447" s="556">
        <f t="shared" si="149"/>
        <v>0</v>
      </c>
      <c r="K4447" s="505"/>
      <c r="L4447" s="505"/>
      <c r="M4447" s="505"/>
      <c r="N4447" s="505"/>
      <c r="O4447" s="505"/>
      <c r="P4447" s="505"/>
      <c r="Q4447" s="505"/>
      <c r="R4447" s="505"/>
      <c r="S4447" s="505"/>
      <c r="T4447" s="505"/>
      <c r="U4447" s="505"/>
      <c r="V4447" s="505"/>
      <c r="W4447" s="505"/>
      <c r="X4447" s="505"/>
      <c r="Y4447" s="505"/>
    </row>
    <row r="4448" spans="1:25" s="88" customFormat="1" ht="30" hidden="1" x14ac:dyDescent="0.25">
      <c r="A4448" s="258"/>
      <c r="B4448" s="258"/>
      <c r="C4448" s="261"/>
      <c r="D4448" s="258"/>
      <c r="E4448" s="679"/>
      <c r="F4448" s="499">
        <v>4512</v>
      </c>
      <c r="G4448" s="771" t="s">
        <v>1699</v>
      </c>
      <c r="H4448" s="555"/>
      <c r="I4448" s="556"/>
      <c r="J4448" s="556">
        <f t="shared" si="149"/>
        <v>0</v>
      </c>
      <c r="K4448" s="505"/>
      <c r="L4448" s="505"/>
      <c r="M4448" s="505"/>
      <c r="N4448" s="505"/>
      <c r="O4448" s="505"/>
      <c r="P4448" s="505"/>
      <c r="Q4448" s="505"/>
      <c r="R4448" s="505"/>
      <c r="S4448" s="505"/>
      <c r="T4448" s="505"/>
      <c r="U4448" s="505"/>
      <c r="V4448" s="505"/>
      <c r="W4448" s="505"/>
      <c r="X4448" s="505"/>
      <c r="Y4448" s="505"/>
    </row>
    <row r="4449" spans="1:25" s="88" customFormat="1" hidden="1" x14ac:dyDescent="0.25">
      <c r="A4449" s="258"/>
      <c r="B4449" s="258"/>
      <c r="C4449" s="261"/>
      <c r="D4449" s="258"/>
      <c r="E4449" s="679"/>
      <c r="F4449" s="499">
        <v>452</v>
      </c>
      <c r="G4449" s="492" t="s">
        <v>4151</v>
      </c>
      <c r="H4449" s="555"/>
      <c r="I4449" s="556"/>
      <c r="J4449" s="556">
        <f t="shared" si="149"/>
        <v>0</v>
      </c>
      <c r="K4449" s="505"/>
      <c r="L4449" s="505"/>
      <c r="M4449" s="505"/>
      <c r="N4449" s="505"/>
      <c r="O4449" s="505"/>
      <c r="P4449" s="505"/>
      <c r="Q4449" s="505"/>
      <c r="R4449" s="505"/>
      <c r="S4449" s="505"/>
      <c r="T4449" s="505"/>
      <c r="U4449" s="505"/>
      <c r="V4449" s="505"/>
      <c r="W4449" s="505"/>
      <c r="X4449" s="505"/>
      <c r="Y4449" s="505"/>
    </row>
    <row r="4450" spans="1:25" s="88" customFormat="1" hidden="1" x14ac:dyDescent="0.25">
      <c r="A4450" s="258"/>
      <c r="B4450" s="258"/>
      <c r="C4450" s="261"/>
      <c r="D4450" s="258"/>
      <c r="E4450" s="679"/>
      <c r="F4450" s="499">
        <v>453</v>
      </c>
      <c r="G4450" s="492" t="s">
        <v>4152</v>
      </c>
      <c r="H4450" s="555"/>
      <c r="I4450" s="556"/>
      <c r="J4450" s="556">
        <f t="shared" si="149"/>
        <v>0</v>
      </c>
      <c r="K4450" s="505"/>
      <c r="L4450" s="505"/>
      <c r="M4450" s="505"/>
      <c r="N4450" s="505"/>
      <c r="O4450" s="505"/>
      <c r="P4450" s="505"/>
      <c r="Q4450" s="505"/>
      <c r="R4450" s="505"/>
      <c r="S4450" s="505"/>
      <c r="T4450" s="505"/>
      <c r="U4450" s="505"/>
      <c r="V4450" s="505"/>
      <c r="W4450" s="505"/>
      <c r="X4450" s="505"/>
      <c r="Y4450" s="505"/>
    </row>
    <row r="4451" spans="1:25" s="88" customFormat="1" hidden="1" x14ac:dyDescent="0.25">
      <c r="A4451" s="258"/>
      <c r="B4451" s="258"/>
      <c r="C4451" s="261"/>
      <c r="D4451" s="258"/>
      <c r="E4451" s="679"/>
      <c r="F4451" s="499">
        <v>454</v>
      </c>
      <c r="G4451" s="492" t="s">
        <v>3805</v>
      </c>
      <c r="H4451" s="555"/>
      <c r="I4451" s="556"/>
      <c r="J4451" s="556">
        <f t="shared" si="149"/>
        <v>0</v>
      </c>
      <c r="K4451" s="505"/>
      <c r="L4451" s="505"/>
      <c r="M4451" s="505"/>
      <c r="N4451" s="505"/>
      <c r="O4451" s="505"/>
      <c r="P4451" s="505"/>
      <c r="Q4451" s="505"/>
      <c r="R4451" s="505"/>
      <c r="S4451" s="505"/>
      <c r="T4451" s="505"/>
      <c r="U4451" s="505"/>
      <c r="V4451" s="505"/>
      <c r="W4451" s="505"/>
      <c r="X4451" s="505"/>
      <c r="Y4451" s="505"/>
    </row>
    <row r="4452" spans="1:25" s="88" customFormat="1" hidden="1" x14ac:dyDescent="0.25">
      <c r="A4452" s="258"/>
      <c r="B4452" s="258"/>
      <c r="C4452" s="261"/>
      <c r="D4452" s="258"/>
      <c r="E4452" s="679"/>
      <c r="F4452" s="499">
        <v>461</v>
      </c>
      <c r="G4452" s="492" t="s">
        <v>4133</v>
      </c>
      <c r="H4452" s="555"/>
      <c r="I4452" s="556"/>
      <c r="J4452" s="556">
        <f t="shared" si="149"/>
        <v>0</v>
      </c>
      <c r="K4452" s="505"/>
      <c r="L4452" s="505"/>
      <c r="M4452" s="505"/>
      <c r="N4452" s="505"/>
      <c r="O4452" s="505"/>
      <c r="P4452" s="505"/>
      <c r="Q4452" s="505"/>
      <c r="R4452" s="505"/>
      <c r="S4452" s="505"/>
      <c r="T4452" s="505"/>
      <c r="U4452" s="505"/>
      <c r="V4452" s="505"/>
      <c r="W4452" s="505"/>
      <c r="X4452" s="505"/>
      <c r="Y4452" s="505"/>
    </row>
    <row r="4453" spans="1:25" s="88" customFormat="1" hidden="1" x14ac:dyDescent="0.25">
      <c r="A4453" s="258"/>
      <c r="B4453" s="258"/>
      <c r="C4453" s="261"/>
      <c r="D4453" s="258"/>
      <c r="E4453" s="679"/>
      <c r="F4453" s="499">
        <v>462</v>
      </c>
      <c r="G4453" s="492" t="s">
        <v>3808</v>
      </c>
      <c r="H4453" s="555"/>
      <c r="I4453" s="556"/>
      <c r="J4453" s="556">
        <f t="shared" si="149"/>
        <v>0</v>
      </c>
      <c r="K4453" s="505"/>
      <c r="L4453" s="505"/>
      <c r="M4453" s="505"/>
      <c r="N4453" s="505"/>
      <c r="O4453" s="505"/>
      <c r="P4453" s="505"/>
      <c r="Q4453" s="505"/>
      <c r="R4453" s="505"/>
      <c r="S4453" s="505"/>
      <c r="T4453" s="505"/>
      <c r="U4453" s="505"/>
      <c r="V4453" s="505"/>
      <c r="W4453" s="505"/>
      <c r="X4453" s="505"/>
      <c r="Y4453" s="505"/>
    </row>
    <row r="4454" spans="1:25" s="88" customFormat="1" x14ac:dyDescent="0.25">
      <c r="A4454" s="258"/>
      <c r="B4454" s="258"/>
      <c r="C4454" s="261"/>
      <c r="D4454" s="258"/>
      <c r="E4454" s="679">
        <v>128</v>
      </c>
      <c r="F4454" s="499">
        <v>4631</v>
      </c>
      <c r="G4454" s="492" t="s">
        <v>3809</v>
      </c>
      <c r="H4454" s="555">
        <v>10087000</v>
      </c>
      <c r="I4454" s="556"/>
      <c r="J4454" s="556">
        <f t="shared" si="149"/>
        <v>10087000</v>
      </c>
      <c r="K4454" s="505"/>
      <c r="L4454" s="505"/>
      <c r="M4454" s="505"/>
      <c r="N4454" s="505"/>
      <c r="O4454" s="505"/>
      <c r="P4454" s="505"/>
      <c r="Q4454" s="505"/>
      <c r="R4454" s="505"/>
      <c r="S4454" s="505"/>
      <c r="T4454" s="505"/>
      <c r="U4454" s="505"/>
      <c r="V4454" s="505"/>
      <c r="W4454" s="505"/>
      <c r="X4454" s="505"/>
      <c r="Y4454" s="505"/>
    </row>
    <row r="4455" spans="1:25" s="88" customFormat="1" ht="15.75" thickBot="1" x14ac:dyDescent="0.3">
      <c r="A4455" s="258"/>
      <c r="B4455" s="258"/>
      <c r="C4455" s="261"/>
      <c r="D4455" s="258"/>
      <c r="E4455" s="679">
        <v>129</v>
      </c>
      <c r="F4455" s="499">
        <v>4632</v>
      </c>
      <c r="G4455" s="492" t="s">
        <v>3810</v>
      </c>
      <c r="H4455" s="555">
        <v>2200000</v>
      </c>
      <c r="I4455" s="556"/>
      <c r="J4455" s="556">
        <f t="shared" si="149"/>
        <v>2200000</v>
      </c>
      <c r="K4455" s="505"/>
      <c r="L4455" s="505"/>
      <c r="M4455" s="505"/>
      <c r="N4455" s="505"/>
      <c r="O4455" s="505"/>
      <c r="P4455" s="505"/>
      <c r="Q4455" s="505"/>
      <c r="R4455" s="505"/>
      <c r="S4455" s="505"/>
      <c r="T4455" s="505"/>
      <c r="U4455" s="505"/>
      <c r="V4455" s="505"/>
      <c r="W4455" s="505"/>
      <c r="X4455" s="505"/>
      <c r="Y4455" s="505"/>
    </row>
    <row r="4456" spans="1:25" s="88" customFormat="1" hidden="1" x14ac:dyDescent="0.25">
      <c r="A4456" s="258"/>
      <c r="B4456" s="258"/>
      <c r="C4456" s="261"/>
      <c r="D4456" s="258"/>
      <c r="E4456" s="679"/>
      <c r="F4456" s="499">
        <v>464</v>
      </c>
      <c r="G4456" s="492" t="s">
        <v>3811</v>
      </c>
      <c r="H4456" s="555"/>
      <c r="I4456" s="556"/>
      <c r="J4456" s="556">
        <f t="shared" si="149"/>
        <v>0</v>
      </c>
      <c r="K4456" s="505"/>
      <c r="L4456" s="505"/>
      <c r="M4456" s="505"/>
      <c r="N4456" s="505"/>
      <c r="O4456" s="505"/>
      <c r="P4456" s="505"/>
      <c r="Q4456" s="505"/>
      <c r="R4456" s="505"/>
      <c r="S4456" s="505"/>
      <c r="T4456" s="505"/>
      <c r="U4456" s="505"/>
      <c r="V4456" s="505"/>
      <c r="W4456" s="505"/>
      <c r="X4456" s="505"/>
      <c r="Y4456" s="505"/>
    </row>
    <row r="4457" spans="1:25" s="88" customFormat="1" hidden="1" x14ac:dyDescent="0.25">
      <c r="A4457" s="258"/>
      <c r="B4457" s="258"/>
      <c r="C4457" s="261"/>
      <c r="D4457" s="258"/>
      <c r="E4457" s="679"/>
      <c r="F4457" s="499">
        <v>465</v>
      </c>
      <c r="G4457" s="492" t="s">
        <v>4134</v>
      </c>
      <c r="H4457" s="555"/>
      <c r="I4457" s="556"/>
      <c r="J4457" s="556">
        <f t="shared" si="149"/>
        <v>0</v>
      </c>
      <c r="K4457" s="505"/>
      <c r="L4457" s="505"/>
      <c r="M4457" s="505"/>
      <c r="N4457" s="505"/>
      <c r="O4457" s="505"/>
      <c r="P4457" s="505"/>
      <c r="Q4457" s="505"/>
      <c r="R4457" s="505"/>
      <c r="S4457" s="505"/>
      <c r="T4457" s="505"/>
      <c r="U4457" s="505"/>
      <c r="V4457" s="505"/>
      <c r="W4457" s="505"/>
      <c r="X4457" s="505"/>
      <c r="Y4457" s="505"/>
    </row>
    <row r="4458" spans="1:25" s="88" customFormat="1" hidden="1" x14ac:dyDescent="0.25">
      <c r="A4458" s="258"/>
      <c r="B4458" s="258"/>
      <c r="C4458" s="261"/>
      <c r="D4458" s="258"/>
      <c r="E4458" s="679"/>
      <c r="F4458" s="499">
        <v>472</v>
      </c>
      <c r="G4458" s="492" t="s">
        <v>3815</v>
      </c>
      <c r="H4458" s="555"/>
      <c r="I4458" s="556"/>
      <c r="J4458" s="556">
        <f t="shared" si="149"/>
        <v>0</v>
      </c>
      <c r="K4458" s="505"/>
      <c r="L4458" s="505"/>
      <c r="M4458" s="505"/>
      <c r="N4458" s="505"/>
      <c r="O4458" s="505"/>
      <c r="P4458" s="505"/>
      <c r="Q4458" s="505"/>
      <c r="R4458" s="505"/>
      <c r="S4458" s="505"/>
      <c r="T4458" s="505"/>
      <c r="U4458" s="505"/>
      <c r="V4458" s="505"/>
      <c r="W4458" s="505"/>
      <c r="X4458" s="505"/>
      <c r="Y4458" s="505"/>
    </row>
    <row r="4459" spans="1:25" s="88" customFormat="1" hidden="1" x14ac:dyDescent="0.25">
      <c r="A4459" s="258"/>
      <c r="B4459" s="258"/>
      <c r="C4459" s="261"/>
      <c r="D4459" s="258"/>
      <c r="E4459" s="679"/>
      <c r="F4459" s="499">
        <v>481</v>
      </c>
      <c r="G4459" s="492" t="s">
        <v>4153</v>
      </c>
      <c r="H4459" s="555"/>
      <c r="I4459" s="556"/>
      <c r="J4459" s="556">
        <f t="shared" si="149"/>
        <v>0</v>
      </c>
      <c r="K4459" s="505"/>
      <c r="L4459" s="505"/>
      <c r="M4459" s="505"/>
      <c r="N4459" s="505"/>
      <c r="O4459" s="505"/>
      <c r="P4459" s="505"/>
      <c r="Q4459" s="505"/>
      <c r="R4459" s="505"/>
      <c r="S4459" s="505"/>
      <c r="T4459" s="505"/>
      <c r="U4459" s="505"/>
      <c r="V4459" s="505"/>
      <c r="W4459" s="505"/>
      <c r="X4459" s="505"/>
      <c r="Y4459" s="505"/>
    </row>
    <row r="4460" spans="1:25" s="88" customFormat="1" hidden="1" x14ac:dyDescent="0.25">
      <c r="A4460" s="258"/>
      <c r="B4460" s="258"/>
      <c r="C4460" s="261"/>
      <c r="D4460" s="258"/>
      <c r="E4460" s="679"/>
      <c r="F4460" s="499">
        <v>482</v>
      </c>
      <c r="G4460" s="492" t="s">
        <v>4154</v>
      </c>
      <c r="H4460" s="555"/>
      <c r="I4460" s="556"/>
      <c r="J4460" s="556">
        <f t="shared" si="149"/>
        <v>0</v>
      </c>
      <c r="K4460" s="505"/>
      <c r="L4460" s="505"/>
      <c r="M4460" s="505"/>
      <c r="N4460" s="505"/>
      <c r="O4460" s="505"/>
      <c r="P4460" s="505"/>
      <c r="Q4460" s="505"/>
      <c r="R4460" s="505"/>
      <c r="S4460" s="505"/>
      <c r="T4460" s="505"/>
      <c r="U4460" s="505"/>
      <c r="V4460" s="505"/>
      <c r="W4460" s="505"/>
      <c r="X4460" s="505"/>
      <c r="Y4460" s="505"/>
    </row>
    <row r="4461" spans="1:25" s="88" customFormat="1" hidden="1" x14ac:dyDescent="0.25">
      <c r="A4461" s="258"/>
      <c r="B4461" s="258"/>
      <c r="C4461" s="261"/>
      <c r="D4461" s="258"/>
      <c r="E4461" s="679"/>
      <c r="F4461" s="499">
        <v>483</v>
      </c>
      <c r="G4461" s="496" t="s">
        <v>4155</v>
      </c>
      <c r="H4461" s="555"/>
      <c r="I4461" s="556"/>
      <c r="J4461" s="556">
        <f t="shared" si="149"/>
        <v>0</v>
      </c>
      <c r="K4461" s="505"/>
      <c r="L4461" s="505"/>
      <c r="M4461" s="505"/>
      <c r="N4461" s="505"/>
      <c r="O4461" s="505"/>
      <c r="P4461" s="505"/>
      <c r="Q4461" s="505"/>
      <c r="R4461" s="505"/>
      <c r="S4461" s="505"/>
      <c r="T4461" s="505"/>
      <c r="U4461" s="505"/>
      <c r="V4461" s="505"/>
      <c r="W4461" s="505"/>
      <c r="X4461" s="505"/>
      <c r="Y4461" s="505"/>
    </row>
    <row r="4462" spans="1:25" s="88" customFormat="1" ht="30" hidden="1" x14ac:dyDescent="0.25">
      <c r="A4462" s="258"/>
      <c r="B4462" s="258"/>
      <c r="C4462" s="261"/>
      <c r="D4462" s="258"/>
      <c r="E4462" s="679"/>
      <c r="F4462" s="499">
        <v>484</v>
      </c>
      <c r="G4462" s="492" t="s">
        <v>4156</v>
      </c>
      <c r="H4462" s="555"/>
      <c r="I4462" s="556"/>
      <c r="J4462" s="556">
        <f t="shared" si="149"/>
        <v>0</v>
      </c>
      <c r="K4462" s="505"/>
      <c r="L4462" s="505"/>
      <c r="M4462" s="505"/>
      <c r="N4462" s="505"/>
      <c r="O4462" s="505"/>
      <c r="P4462" s="505"/>
      <c r="Q4462" s="505"/>
      <c r="R4462" s="505"/>
      <c r="S4462" s="505"/>
      <c r="T4462" s="505"/>
      <c r="U4462" s="505"/>
      <c r="V4462" s="505"/>
      <c r="W4462" s="505"/>
      <c r="X4462" s="505"/>
      <c r="Y4462" s="505"/>
    </row>
    <row r="4463" spans="1:25" s="88" customFormat="1" ht="30" hidden="1" x14ac:dyDescent="0.25">
      <c r="A4463" s="258"/>
      <c r="B4463" s="258"/>
      <c r="C4463" s="261"/>
      <c r="D4463" s="258"/>
      <c r="E4463" s="679"/>
      <c r="F4463" s="499">
        <v>485</v>
      </c>
      <c r="G4463" s="492" t="s">
        <v>4157</v>
      </c>
      <c r="H4463" s="555"/>
      <c r="I4463" s="556"/>
      <c r="J4463" s="556">
        <f t="shared" si="149"/>
        <v>0</v>
      </c>
      <c r="K4463" s="505"/>
      <c r="L4463" s="505"/>
      <c r="M4463" s="505"/>
      <c r="N4463" s="505"/>
      <c r="O4463" s="505"/>
      <c r="P4463" s="505"/>
      <c r="Q4463" s="505"/>
      <c r="R4463" s="505"/>
      <c r="S4463" s="505"/>
      <c r="T4463" s="505"/>
      <c r="U4463" s="505"/>
      <c r="V4463" s="505"/>
      <c r="W4463" s="505"/>
      <c r="X4463" s="505"/>
      <c r="Y4463" s="505"/>
    </row>
    <row r="4464" spans="1:25" s="88" customFormat="1" ht="30" hidden="1" x14ac:dyDescent="0.25">
      <c r="A4464" s="258"/>
      <c r="B4464" s="258"/>
      <c r="C4464" s="261"/>
      <c r="D4464" s="258"/>
      <c r="E4464" s="679"/>
      <c r="F4464" s="499">
        <v>489</v>
      </c>
      <c r="G4464" s="492" t="s">
        <v>3823</v>
      </c>
      <c r="H4464" s="555"/>
      <c r="I4464" s="556"/>
      <c r="J4464" s="556">
        <f t="shared" si="149"/>
        <v>0</v>
      </c>
      <c r="K4464" s="505"/>
      <c r="L4464" s="505"/>
      <c r="M4464" s="505"/>
      <c r="N4464" s="505"/>
      <c r="O4464" s="505"/>
      <c r="P4464" s="505"/>
      <c r="Q4464" s="505"/>
      <c r="R4464" s="505"/>
      <c r="S4464" s="505"/>
      <c r="T4464" s="505"/>
      <c r="U4464" s="505"/>
      <c r="V4464" s="505"/>
      <c r="W4464" s="505"/>
      <c r="X4464" s="505"/>
      <c r="Y4464" s="505"/>
    </row>
    <row r="4465" spans="1:25" s="88" customFormat="1" hidden="1" x14ac:dyDescent="0.25">
      <c r="A4465" s="258"/>
      <c r="B4465" s="258"/>
      <c r="C4465" s="261"/>
      <c r="D4465" s="258"/>
      <c r="E4465" s="679"/>
      <c r="F4465" s="499">
        <v>494</v>
      </c>
      <c r="G4465" s="492" t="s">
        <v>4135</v>
      </c>
      <c r="H4465" s="555"/>
      <c r="I4465" s="556"/>
      <c r="J4465" s="556">
        <f t="shared" si="149"/>
        <v>0</v>
      </c>
      <c r="K4465" s="505"/>
      <c r="L4465" s="505"/>
      <c r="M4465" s="505"/>
      <c r="N4465" s="505"/>
      <c r="O4465" s="505"/>
      <c r="P4465" s="505"/>
      <c r="Q4465" s="505"/>
      <c r="R4465" s="505"/>
      <c r="S4465" s="505"/>
      <c r="T4465" s="505"/>
      <c r="U4465" s="505"/>
      <c r="V4465" s="505"/>
      <c r="W4465" s="505"/>
      <c r="X4465" s="505"/>
      <c r="Y4465" s="505"/>
    </row>
    <row r="4466" spans="1:25" s="88" customFormat="1" ht="30" hidden="1" x14ac:dyDescent="0.25">
      <c r="A4466" s="258"/>
      <c r="B4466" s="258"/>
      <c r="C4466" s="261"/>
      <c r="D4466" s="258"/>
      <c r="E4466" s="679"/>
      <c r="F4466" s="499">
        <v>495</v>
      </c>
      <c r="G4466" s="492" t="s">
        <v>4136</v>
      </c>
      <c r="H4466" s="555"/>
      <c r="I4466" s="556"/>
      <c r="J4466" s="556">
        <f t="shared" si="149"/>
        <v>0</v>
      </c>
      <c r="K4466" s="505"/>
      <c r="L4466" s="505"/>
      <c r="M4466" s="505"/>
      <c r="N4466" s="505"/>
      <c r="O4466" s="505"/>
      <c r="P4466" s="505"/>
      <c r="Q4466" s="505"/>
      <c r="R4466" s="505"/>
      <c r="S4466" s="505"/>
      <c r="T4466" s="505"/>
      <c r="U4466" s="505"/>
      <c r="V4466" s="505"/>
      <c r="W4466" s="505"/>
      <c r="X4466" s="505"/>
      <c r="Y4466" s="505"/>
    </row>
    <row r="4467" spans="1:25" s="88" customFormat="1" ht="30" hidden="1" x14ac:dyDescent="0.25">
      <c r="A4467" s="258"/>
      <c r="B4467" s="258"/>
      <c r="C4467" s="261"/>
      <c r="D4467" s="258"/>
      <c r="E4467" s="679"/>
      <c r="F4467" s="499">
        <v>496</v>
      </c>
      <c r="G4467" s="492" t="s">
        <v>4137</v>
      </c>
      <c r="H4467" s="555"/>
      <c r="I4467" s="556"/>
      <c r="J4467" s="556">
        <f t="shared" si="149"/>
        <v>0</v>
      </c>
      <c r="K4467" s="505"/>
      <c r="L4467" s="505"/>
      <c r="M4467" s="505"/>
      <c r="N4467" s="505"/>
      <c r="O4467" s="505"/>
      <c r="P4467" s="505"/>
      <c r="Q4467" s="505"/>
      <c r="R4467" s="505"/>
      <c r="S4467" s="505"/>
      <c r="T4467" s="505"/>
      <c r="U4467" s="505"/>
      <c r="V4467" s="505"/>
      <c r="W4467" s="505"/>
      <c r="X4467" s="505"/>
      <c r="Y4467" s="505"/>
    </row>
    <row r="4468" spans="1:25" s="88" customFormat="1" ht="30" hidden="1" x14ac:dyDescent="0.25">
      <c r="A4468" s="258"/>
      <c r="B4468" s="258"/>
      <c r="C4468" s="261"/>
      <c r="D4468" s="258"/>
      <c r="E4468" s="679"/>
      <c r="F4468" s="499">
        <v>499</v>
      </c>
      <c r="G4468" s="492" t="s">
        <v>4138</v>
      </c>
      <c r="H4468" s="555"/>
      <c r="I4468" s="556"/>
      <c r="J4468" s="556">
        <f t="shared" si="149"/>
        <v>0</v>
      </c>
      <c r="K4468" s="505"/>
      <c r="L4468" s="505"/>
      <c r="M4468" s="505"/>
      <c r="N4468" s="505"/>
      <c r="O4468" s="505"/>
      <c r="P4468" s="505"/>
      <c r="Q4468" s="505"/>
      <c r="R4468" s="505"/>
      <c r="S4468" s="505"/>
      <c r="T4468" s="505"/>
      <c r="U4468" s="505"/>
      <c r="V4468" s="505"/>
      <c r="W4468" s="505"/>
      <c r="X4468" s="505"/>
      <c r="Y4468" s="505"/>
    </row>
    <row r="4469" spans="1:25" s="88" customFormat="1" hidden="1" x14ac:dyDescent="0.25">
      <c r="A4469" s="258"/>
      <c r="B4469" s="258"/>
      <c r="C4469" s="261"/>
      <c r="D4469" s="258"/>
      <c r="E4469" s="679"/>
      <c r="F4469" s="499">
        <v>511</v>
      </c>
      <c r="G4469" s="496" t="s">
        <v>4158</v>
      </c>
      <c r="H4469" s="555"/>
      <c r="I4469" s="556"/>
      <c r="J4469" s="556">
        <f t="shared" si="149"/>
        <v>0</v>
      </c>
      <c r="K4469" s="505"/>
      <c r="L4469" s="505"/>
      <c r="M4469" s="505"/>
      <c r="N4469" s="505"/>
      <c r="O4469" s="505"/>
      <c r="P4469" s="505"/>
      <c r="Q4469" s="505"/>
      <c r="R4469" s="505"/>
      <c r="S4469" s="505"/>
      <c r="T4469" s="505"/>
      <c r="U4469" s="505"/>
      <c r="V4469" s="505"/>
      <c r="W4469" s="505"/>
      <c r="X4469" s="505"/>
      <c r="Y4469" s="505"/>
    </row>
    <row r="4470" spans="1:25" s="88" customFormat="1" hidden="1" x14ac:dyDescent="0.25">
      <c r="A4470" s="258"/>
      <c r="B4470" s="258"/>
      <c r="C4470" s="261"/>
      <c r="D4470" s="258"/>
      <c r="E4470" s="679"/>
      <c r="F4470" s="499">
        <v>512</v>
      </c>
      <c r="G4470" s="496" t="s">
        <v>4159</v>
      </c>
      <c r="H4470" s="555"/>
      <c r="I4470" s="556"/>
      <c r="J4470" s="556">
        <f t="shared" si="149"/>
        <v>0</v>
      </c>
      <c r="K4470" s="505"/>
      <c r="L4470" s="505"/>
      <c r="M4470" s="505"/>
      <c r="N4470" s="505"/>
      <c r="O4470" s="505"/>
      <c r="P4470" s="505"/>
      <c r="Q4470" s="505"/>
      <c r="R4470" s="505"/>
      <c r="S4470" s="505"/>
      <c r="T4470" s="505"/>
      <c r="U4470" s="505"/>
      <c r="V4470" s="505"/>
      <c r="W4470" s="505"/>
      <c r="X4470" s="505"/>
      <c r="Y4470" s="505"/>
    </row>
    <row r="4471" spans="1:25" s="88" customFormat="1" hidden="1" x14ac:dyDescent="0.25">
      <c r="A4471" s="258"/>
      <c r="B4471" s="258"/>
      <c r="C4471" s="261"/>
      <c r="D4471" s="258"/>
      <c r="E4471" s="679"/>
      <c r="F4471" s="499">
        <v>513</v>
      </c>
      <c r="G4471" s="496" t="s">
        <v>4160</v>
      </c>
      <c r="H4471" s="555"/>
      <c r="I4471" s="556"/>
      <c r="J4471" s="556">
        <f t="shared" si="149"/>
        <v>0</v>
      </c>
      <c r="K4471" s="505"/>
      <c r="L4471" s="505"/>
      <c r="M4471" s="505"/>
      <c r="N4471" s="505"/>
      <c r="O4471" s="505"/>
      <c r="P4471" s="505"/>
      <c r="Q4471" s="505"/>
      <c r="R4471" s="505"/>
      <c r="S4471" s="505"/>
      <c r="T4471" s="505"/>
      <c r="U4471" s="505"/>
      <c r="V4471" s="505"/>
      <c r="W4471" s="505"/>
      <c r="X4471" s="505"/>
      <c r="Y4471" s="505"/>
    </row>
    <row r="4472" spans="1:25" s="88" customFormat="1" hidden="1" x14ac:dyDescent="0.25">
      <c r="A4472" s="258"/>
      <c r="B4472" s="258"/>
      <c r="C4472" s="261"/>
      <c r="D4472" s="258"/>
      <c r="E4472" s="679"/>
      <c r="F4472" s="499">
        <v>514</v>
      </c>
      <c r="G4472" s="492" t="s">
        <v>4161</v>
      </c>
      <c r="H4472" s="555"/>
      <c r="I4472" s="556"/>
      <c r="J4472" s="556">
        <f t="shared" si="149"/>
        <v>0</v>
      </c>
      <c r="K4472" s="505"/>
      <c r="L4472" s="505"/>
      <c r="M4472" s="505"/>
      <c r="N4472" s="505"/>
      <c r="O4472" s="505"/>
      <c r="P4472" s="505"/>
      <c r="Q4472" s="505"/>
      <c r="R4472" s="505"/>
      <c r="S4472" s="505"/>
      <c r="T4472" s="505"/>
      <c r="U4472" s="505"/>
      <c r="V4472" s="505"/>
      <c r="W4472" s="505"/>
      <c r="X4472" s="505"/>
      <c r="Y4472" s="505"/>
    </row>
    <row r="4473" spans="1:25" s="88" customFormat="1" hidden="1" x14ac:dyDescent="0.25">
      <c r="A4473" s="258"/>
      <c r="B4473" s="258"/>
      <c r="C4473" s="261"/>
      <c r="D4473" s="258"/>
      <c r="E4473" s="679"/>
      <c r="F4473" s="499">
        <v>515</v>
      </c>
      <c r="G4473" s="492" t="s">
        <v>3834</v>
      </c>
      <c r="H4473" s="555"/>
      <c r="I4473" s="556"/>
      <c r="J4473" s="556">
        <f t="shared" si="149"/>
        <v>0</v>
      </c>
      <c r="K4473" s="505"/>
      <c r="L4473" s="505"/>
      <c r="M4473" s="505"/>
      <c r="N4473" s="505"/>
      <c r="O4473" s="505"/>
      <c r="P4473" s="505"/>
      <c r="Q4473" s="505"/>
      <c r="R4473" s="505"/>
      <c r="S4473" s="505"/>
      <c r="T4473" s="505"/>
      <c r="U4473" s="505"/>
      <c r="V4473" s="505"/>
      <c r="W4473" s="505"/>
      <c r="X4473" s="505"/>
      <c r="Y4473" s="505"/>
    </row>
    <row r="4474" spans="1:25" s="88" customFormat="1" hidden="1" x14ac:dyDescent="0.25">
      <c r="A4474" s="258"/>
      <c r="B4474" s="258"/>
      <c r="C4474" s="261"/>
      <c r="D4474" s="258"/>
      <c r="E4474" s="679"/>
      <c r="F4474" s="499">
        <v>521</v>
      </c>
      <c r="G4474" s="492" t="s">
        <v>4162</v>
      </c>
      <c r="H4474" s="555"/>
      <c r="I4474" s="556"/>
      <c r="J4474" s="556">
        <f t="shared" si="149"/>
        <v>0</v>
      </c>
      <c r="K4474" s="505"/>
      <c r="L4474" s="505"/>
      <c r="M4474" s="505"/>
      <c r="N4474" s="505"/>
      <c r="O4474" s="505"/>
      <c r="P4474" s="505"/>
      <c r="Q4474" s="505"/>
      <c r="R4474" s="505"/>
      <c r="S4474" s="505"/>
      <c r="T4474" s="505"/>
      <c r="U4474" s="505"/>
      <c r="V4474" s="505"/>
      <c r="W4474" s="505"/>
      <c r="X4474" s="505"/>
      <c r="Y4474" s="505"/>
    </row>
    <row r="4475" spans="1:25" s="88" customFormat="1" hidden="1" x14ac:dyDescent="0.25">
      <c r="A4475" s="258"/>
      <c r="B4475" s="258"/>
      <c r="C4475" s="261"/>
      <c r="D4475" s="258"/>
      <c r="E4475" s="679"/>
      <c r="F4475" s="499">
        <v>522</v>
      </c>
      <c r="G4475" s="492" t="s">
        <v>4163</v>
      </c>
      <c r="H4475" s="555"/>
      <c r="I4475" s="556"/>
      <c r="J4475" s="556">
        <f t="shared" si="149"/>
        <v>0</v>
      </c>
      <c r="K4475" s="505"/>
      <c r="L4475" s="505"/>
      <c r="M4475" s="505"/>
      <c r="N4475" s="505"/>
      <c r="O4475" s="505"/>
      <c r="P4475" s="505"/>
      <c r="Q4475" s="505"/>
      <c r="R4475" s="505"/>
      <c r="S4475" s="505"/>
      <c r="T4475" s="505"/>
      <c r="U4475" s="505"/>
      <c r="V4475" s="505"/>
      <c r="W4475" s="505"/>
      <c r="X4475" s="505"/>
      <c r="Y4475" s="505"/>
    </row>
    <row r="4476" spans="1:25" s="88" customFormat="1" hidden="1" x14ac:dyDescent="0.25">
      <c r="A4476" s="258"/>
      <c r="B4476" s="258"/>
      <c r="C4476" s="261"/>
      <c r="D4476" s="258"/>
      <c r="E4476" s="679"/>
      <c r="F4476" s="499">
        <v>523</v>
      </c>
      <c r="G4476" s="492" t="s">
        <v>3839</v>
      </c>
      <c r="H4476" s="555"/>
      <c r="I4476" s="556"/>
      <c r="J4476" s="556">
        <f t="shared" si="149"/>
        <v>0</v>
      </c>
      <c r="K4476" s="505"/>
      <c r="L4476" s="505"/>
      <c r="M4476" s="505"/>
      <c r="N4476" s="505"/>
      <c r="O4476" s="505"/>
      <c r="P4476" s="505"/>
      <c r="Q4476" s="505"/>
      <c r="R4476" s="505"/>
      <c r="S4476" s="505"/>
      <c r="T4476" s="505"/>
      <c r="U4476" s="505"/>
      <c r="V4476" s="505"/>
      <c r="W4476" s="505"/>
      <c r="X4476" s="505"/>
      <c r="Y4476" s="505"/>
    </row>
    <row r="4477" spans="1:25" s="88" customFormat="1" hidden="1" x14ac:dyDescent="0.25">
      <c r="A4477" s="258"/>
      <c r="B4477" s="258"/>
      <c r="C4477" s="261"/>
      <c r="D4477" s="258"/>
      <c r="E4477" s="679"/>
      <c r="F4477" s="499">
        <v>531</v>
      </c>
      <c r="G4477" s="488" t="s">
        <v>4139</v>
      </c>
      <c r="H4477" s="555"/>
      <c r="I4477" s="556"/>
      <c r="J4477" s="556">
        <f t="shared" si="149"/>
        <v>0</v>
      </c>
      <c r="K4477" s="505"/>
      <c r="L4477" s="505"/>
      <c r="M4477" s="505"/>
      <c r="N4477" s="505"/>
      <c r="O4477" s="505"/>
      <c r="P4477" s="505"/>
      <c r="Q4477" s="505"/>
      <c r="R4477" s="505"/>
      <c r="S4477" s="505"/>
      <c r="T4477" s="505"/>
      <c r="U4477" s="505"/>
      <c r="V4477" s="505"/>
      <c r="W4477" s="505"/>
      <c r="X4477" s="505"/>
      <c r="Y4477" s="505"/>
    </row>
    <row r="4478" spans="1:25" s="88" customFormat="1" hidden="1" x14ac:dyDescent="0.25">
      <c r="A4478" s="258"/>
      <c r="B4478" s="258"/>
      <c r="C4478" s="261"/>
      <c r="D4478" s="258"/>
      <c r="E4478" s="679"/>
      <c r="F4478" s="499">
        <v>541</v>
      </c>
      <c r="G4478" s="492" t="s">
        <v>4164</v>
      </c>
      <c r="H4478" s="555"/>
      <c r="I4478" s="556"/>
      <c r="J4478" s="556">
        <f t="shared" si="149"/>
        <v>0</v>
      </c>
      <c r="K4478" s="505"/>
      <c r="L4478" s="505"/>
      <c r="M4478" s="505"/>
      <c r="N4478" s="505"/>
      <c r="O4478" s="505"/>
      <c r="P4478" s="505"/>
      <c r="Q4478" s="505"/>
      <c r="R4478" s="505"/>
      <c r="S4478" s="505"/>
      <c r="T4478" s="505"/>
      <c r="U4478" s="505"/>
      <c r="V4478" s="505"/>
      <c r="W4478" s="505"/>
      <c r="X4478" s="505"/>
      <c r="Y4478" s="505"/>
    </row>
    <row r="4479" spans="1:25" s="88" customFormat="1" hidden="1" x14ac:dyDescent="0.25">
      <c r="A4479" s="258"/>
      <c r="B4479" s="258"/>
      <c r="C4479" s="261"/>
      <c r="D4479" s="258"/>
      <c r="E4479" s="679"/>
      <c r="F4479" s="499">
        <v>542</v>
      </c>
      <c r="G4479" s="492" t="s">
        <v>4165</v>
      </c>
      <c r="H4479" s="555"/>
      <c r="I4479" s="556"/>
      <c r="J4479" s="556">
        <f t="shared" si="149"/>
        <v>0</v>
      </c>
      <c r="K4479" s="505"/>
      <c r="L4479" s="505"/>
      <c r="M4479" s="505"/>
      <c r="N4479" s="505"/>
      <c r="O4479" s="505"/>
      <c r="P4479" s="505"/>
      <c r="Q4479" s="505"/>
      <c r="R4479" s="505"/>
      <c r="S4479" s="505"/>
      <c r="T4479" s="505"/>
      <c r="U4479" s="505"/>
      <c r="V4479" s="505"/>
      <c r="W4479" s="505"/>
      <c r="X4479" s="505"/>
      <c r="Y4479" s="505"/>
    </row>
    <row r="4480" spans="1:25" s="88" customFormat="1" hidden="1" x14ac:dyDescent="0.25">
      <c r="A4480" s="258"/>
      <c r="B4480" s="258"/>
      <c r="C4480" s="261"/>
      <c r="D4480" s="258"/>
      <c r="E4480" s="679"/>
      <c r="F4480" s="499">
        <v>543</v>
      </c>
      <c r="G4480" s="492" t="s">
        <v>3844</v>
      </c>
      <c r="H4480" s="555"/>
      <c r="I4480" s="556"/>
      <c r="J4480" s="556">
        <f t="shared" si="149"/>
        <v>0</v>
      </c>
      <c r="K4480" s="505"/>
      <c r="L4480" s="505"/>
      <c r="M4480" s="505"/>
      <c r="N4480" s="505"/>
      <c r="O4480" s="505"/>
      <c r="P4480" s="505"/>
      <c r="Q4480" s="505"/>
      <c r="R4480" s="505"/>
      <c r="S4480" s="505"/>
      <c r="T4480" s="505"/>
      <c r="U4480" s="505"/>
      <c r="V4480" s="505"/>
      <c r="W4480" s="505"/>
      <c r="X4480" s="505"/>
      <c r="Y4480" s="505"/>
    </row>
    <row r="4481" spans="1:25" s="88" customFormat="1" ht="30" hidden="1" x14ac:dyDescent="0.25">
      <c r="A4481" s="258"/>
      <c r="B4481" s="258"/>
      <c r="C4481" s="261"/>
      <c r="D4481" s="258"/>
      <c r="E4481" s="679"/>
      <c r="F4481" s="499">
        <v>551</v>
      </c>
      <c r="G4481" s="492" t="s">
        <v>4140</v>
      </c>
      <c r="H4481" s="555"/>
      <c r="I4481" s="556"/>
      <c r="J4481" s="556">
        <f t="shared" si="149"/>
        <v>0</v>
      </c>
      <c r="K4481" s="505"/>
      <c r="L4481" s="505"/>
      <c r="M4481" s="505"/>
      <c r="N4481" s="505"/>
      <c r="O4481" s="505"/>
      <c r="P4481" s="505"/>
      <c r="Q4481" s="505"/>
      <c r="R4481" s="505"/>
      <c r="S4481" s="505"/>
      <c r="T4481" s="505"/>
      <c r="U4481" s="505"/>
      <c r="V4481" s="505"/>
      <c r="W4481" s="505"/>
      <c r="X4481" s="505"/>
      <c r="Y4481" s="505"/>
    </row>
    <row r="4482" spans="1:25" s="88" customFormat="1" hidden="1" x14ac:dyDescent="0.25">
      <c r="A4482" s="258"/>
      <c r="B4482" s="258"/>
      <c r="C4482" s="261"/>
      <c r="D4482" s="258"/>
      <c r="E4482" s="679"/>
      <c r="F4482" s="500">
        <v>611</v>
      </c>
      <c r="G4482" s="498" t="s">
        <v>3850</v>
      </c>
      <c r="H4482" s="555"/>
      <c r="I4482" s="556"/>
      <c r="J4482" s="556">
        <f t="shared" si="149"/>
        <v>0</v>
      </c>
      <c r="K4482" s="505"/>
      <c r="L4482" s="505"/>
      <c r="M4482" s="505"/>
      <c r="N4482" s="505"/>
      <c r="O4482" s="505"/>
      <c r="P4482" s="505"/>
      <c r="Q4482" s="505"/>
      <c r="R4482" s="505"/>
      <c r="S4482" s="505"/>
      <c r="T4482" s="505"/>
      <c r="U4482" s="505"/>
      <c r="V4482" s="505"/>
      <c r="W4482" s="505"/>
      <c r="X4482" s="505"/>
      <c r="Y4482" s="505"/>
    </row>
    <row r="4483" spans="1:25" s="88" customFormat="1" hidden="1" x14ac:dyDescent="0.25">
      <c r="A4483" s="258"/>
      <c r="B4483" s="258"/>
      <c r="C4483" s="261"/>
      <c r="D4483" s="258"/>
      <c r="E4483" s="679"/>
      <c r="F4483" s="500">
        <v>620</v>
      </c>
      <c r="G4483" s="498" t="s">
        <v>88</v>
      </c>
      <c r="H4483" s="555"/>
      <c r="I4483" s="556"/>
      <c r="J4483" s="556">
        <f t="shared" si="149"/>
        <v>0</v>
      </c>
      <c r="K4483" s="505"/>
      <c r="L4483" s="505"/>
      <c r="M4483" s="505"/>
      <c r="N4483" s="505"/>
      <c r="O4483" s="505"/>
      <c r="P4483" s="505"/>
      <c r="Q4483" s="505"/>
      <c r="R4483" s="505"/>
      <c r="S4483" s="505"/>
      <c r="T4483" s="505"/>
      <c r="U4483" s="505"/>
      <c r="V4483" s="505"/>
      <c r="W4483" s="505"/>
      <c r="X4483" s="505"/>
      <c r="Y4483" s="505"/>
    </row>
    <row r="4484" spans="1:25" s="88" customFormat="1" x14ac:dyDescent="0.25">
      <c r="A4484" s="258"/>
      <c r="B4484" s="258"/>
      <c r="C4484" s="261"/>
      <c r="D4484" s="258"/>
      <c r="E4484" s="489"/>
      <c r="F4484" s="500"/>
      <c r="G4484" s="343" t="s">
        <v>4367</v>
      </c>
      <c r="H4484" s="557"/>
      <c r="I4484" s="583"/>
      <c r="J4484" s="558"/>
      <c r="K4484" s="505"/>
      <c r="L4484" s="505"/>
      <c r="M4484" s="505"/>
      <c r="N4484" s="505"/>
      <c r="O4484" s="505"/>
      <c r="P4484" s="505"/>
      <c r="Q4484" s="505"/>
      <c r="R4484" s="505"/>
      <c r="S4484" s="505"/>
      <c r="T4484" s="505"/>
      <c r="U4484" s="505"/>
      <c r="V4484" s="505"/>
      <c r="W4484" s="505"/>
      <c r="X4484" s="505"/>
      <c r="Y4484" s="505"/>
    </row>
    <row r="4485" spans="1:25" s="88" customFormat="1" ht="15" customHeight="1" thickBot="1" x14ac:dyDescent="0.3">
      <c r="A4485" s="258"/>
      <c r="B4485" s="258"/>
      <c r="C4485" s="261"/>
      <c r="D4485" s="258"/>
      <c r="E4485" s="693"/>
      <c r="F4485" s="597" t="s">
        <v>234</v>
      </c>
      <c r="G4485" s="598" t="s">
        <v>235</v>
      </c>
      <c r="H4485" s="559">
        <f>SUM(H4454:H4455)</f>
        <v>12287000</v>
      </c>
      <c r="I4485" s="560"/>
      <c r="J4485" s="560">
        <f t="shared" ref="J4485:J4500" si="150">SUM(H4485:I4485)</f>
        <v>12287000</v>
      </c>
      <c r="K4485" s="505"/>
      <c r="L4485" s="505"/>
      <c r="M4485" s="505"/>
      <c r="N4485" s="505"/>
      <c r="O4485" s="505"/>
      <c r="P4485" s="505"/>
      <c r="Q4485" s="505"/>
      <c r="R4485" s="505"/>
      <c r="S4485" s="505"/>
      <c r="T4485" s="505"/>
      <c r="U4485" s="505"/>
      <c r="V4485" s="505"/>
      <c r="W4485" s="505"/>
      <c r="X4485" s="505"/>
      <c r="Y4485" s="505"/>
    </row>
    <row r="4486" spans="1:25" s="88" customFormat="1" ht="15.75" hidden="1" thickBot="1" x14ac:dyDescent="0.3">
      <c r="A4486" s="258"/>
      <c r="B4486" s="258"/>
      <c r="C4486" s="261"/>
      <c r="D4486" s="258"/>
      <c r="E4486" s="679"/>
      <c r="F4486" s="597" t="s">
        <v>236</v>
      </c>
      <c r="G4486" s="598" t="s">
        <v>237</v>
      </c>
      <c r="H4486" s="555"/>
      <c r="I4486" s="556"/>
      <c r="J4486" s="560">
        <f t="shared" si="150"/>
        <v>0</v>
      </c>
      <c r="K4486" s="505"/>
      <c r="L4486" s="505"/>
      <c r="M4486" s="505"/>
      <c r="N4486" s="505"/>
      <c r="O4486" s="505"/>
      <c r="P4486" s="505"/>
      <c r="Q4486" s="505"/>
      <c r="R4486" s="505"/>
      <c r="S4486" s="505"/>
      <c r="T4486" s="505"/>
      <c r="U4486" s="505"/>
      <c r="V4486" s="505"/>
      <c r="W4486" s="505"/>
      <c r="X4486" s="505"/>
      <c r="Y4486" s="505"/>
    </row>
    <row r="4487" spans="1:25" s="88" customFormat="1" ht="15.75" hidden="1" thickBot="1" x14ac:dyDescent="0.3">
      <c r="A4487" s="258"/>
      <c r="B4487" s="258"/>
      <c r="C4487" s="261"/>
      <c r="D4487" s="258"/>
      <c r="E4487" s="679"/>
      <c r="F4487" s="597" t="s">
        <v>238</v>
      </c>
      <c r="G4487" s="598" t="s">
        <v>239</v>
      </c>
      <c r="H4487" s="555"/>
      <c r="I4487" s="556"/>
      <c r="J4487" s="560">
        <f t="shared" si="150"/>
        <v>0</v>
      </c>
      <c r="K4487" s="505"/>
      <c r="L4487" s="505"/>
      <c r="M4487" s="505"/>
      <c r="N4487" s="505"/>
      <c r="O4487" s="505"/>
      <c r="P4487" s="505"/>
      <c r="Q4487" s="505"/>
      <c r="R4487" s="505"/>
      <c r="S4487" s="505"/>
      <c r="T4487" s="505"/>
      <c r="U4487" s="505"/>
      <c r="V4487" s="505"/>
      <c r="W4487" s="505"/>
      <c r="X4487" s="505"/>
      <c r="Y4487" s="505"/>
    </row>
    <row r="4488" spans="1:25" s="88" customFormat="1" ht="15.75" hidden="1" thickBot="1" x14ac:dyDescent="0.3">
      <c r="A4488" s="258"/>
      <c r="B4488" s="258"/>
      <c r="C4488" s="261"/>
      <c r="D4488" s="258"/>
      <c r="E4488" s="679"/>
      <c r="F4488" s="597" t="s">
        <v>240</v>
      </c>
      <c r="G4488" s="598" t="s">
        <v>241</v>
      </c>
      <c r="H4488" s="555"/>
      <c r="I4488" s="556"/>
      <c r="J4488" s="560">
        <f t="shared" si="150"/>
        <v>0</v>
      </c>
      <c r="K4488" s="505"/>
      <c r="L4488" s="505"/>
      <c r="M4488" s="505"/>
      <c r="N4488" s="505"/>
      <c r="O4488" s="505"/>
      <c r="P4488" s="505"/>
      <c r="Q4488" s="505"/>
      <c r="R4488" s="505"/>
      <c r="S4488" s="505"/>
      <c r="T4488" s="505"/>
      <c r="U4488" s="505"/>
      <c r="V4488" s="505"/>
      <c r="W4488" s="505"/>
      <c r="X4488" s="505"/>
      <c r="Y4488" s="505"/>
    </row>
    <row r="4489" spans="1:25" s="88" customFormat="1" ht="15.75" hidden="1" thickBot="1" x14ac:dyDescent="0.3">
      <c r="A4489" s="258"/>
      <c r="B4489" s="258"/>
      <c r="C4489" s="261"/>
      <c r="D4489" s="258"/>
      <c r="E4489" s="679"/>
      <c r="F4489" s="597" t="s">
        <v>242</v>
      </c>
      <c r="G4489" s="598" t="s">
        <v>243</v>
      </c>
      <c r="H4489" s="555"/>
      <c r="I4489" s="556"/>
      <c r="J4489" s="560">
        <f t="shared" si="150"/>
        <v>0</v>
      </c>
      <c r="K4489" s="505"/>
      <c r="L4489" s="505"/>
      <c r="M4489" s="505"/>
      <c r="N4489" s="505"/>
      <c r="O4489" s="505"/>
      <c r="P4489" s="505"/>
      <c r="Q4489" s="505"/>
      <c r="R4489" s="505"/>
      <c r="S4489" s="505"/>
      <c r="T4489" s="505"/>
      <c r="U4489" s="505"/>
      <c r="V4489" s="505"/>
      <c r="W4489" s="505"/>
      <c r="X4489" s="505"/>
      <c r="Y4489" s="505"/>
    </row>
    <row r="4490" spans="1:25" s="88" customFormat="1" ht="15.75" hidden="1" thickBot="1" x14ac:dyDescent="0.3">
      <c r="A4490" s="258"/>
      <c r="B4490" s="258"/>
      <c r="C4490" s="261"/>
      <c r="D4490" s="258"/>
      <c r="E4490" s="679"/>
      <c r="F4490" s="597" t="s">
        <v>244</v>
      </c>
      <c r="G4490" s="598" t="s">
        <v>245</v>
      </c>
      <c r="H4490" s="555"/>
      <c r="I4490" s="556"/>
      <c r="J4490" s="560">
        <f t="shared" si="150"/>
        <v>0</v>
      </c>
      <c r="K4490" s="505"/>
      <c r="L4490" s="505"/>
      <c r="M4490" s="505"/>
      <c r="N4490" s="505"/>
      <c r="O4490" s="505"/>
      <c r="P4490" s="505"/>
      <c r="Q4490" s="505"/>
      <c r="R4490" s="505"/>
      <c r="S4490" s="505"/>
      <c r="T4490" s="505"/>
      <c r="U4490" s="505"/>
      <c r="V4490" s="505"/>
      <c r="W4490" s="505"/>
      <c r="X4490" s="505"/>
      <c r="Y4490" s="505"/>
    </row>
    <row r="4491" spans="1:25" s="88" customFormat="1" ht="15.75" hidden="1" thickBot="1" x14ac:dyDescent="0.3">
      <c r="A4491" s="258"/>
      <c r="B4491" s="258"/>
      <c r="C4491" s="261"/>
      <c r="D4491" s="258"/>
      <c r="E4491" s="679"/>
      <c r="F4491" s="597" t="s">
        <v>246</v>
      </c>
      <c r="G4491" s="598" t="s">
        <v>4996</v>
      </c>
      <c r="H4491" s="555"/>
      <c r="I4491" s="556"/>
      <c r="J4491" s="560">
        <f t="shared" si="150"/>
        <v>0</v>
      </c>
      <c r="K4491" s="505"/>
      <c r="L4491" s="505"/>
      <c r="M4491" s="505"/>
      <c r="N4491" s="505"/>
      <c r="O4491" s="505"/>
      <c r="P4491" s="505"/>
      <c r="Q4491" s="505"/>
      <c r="R4491" s="505"/>
      <c r="S4491" s="505"/>
      <c r="T4491" s="505"/>
      <c r="U4491" s="505"/>
      <c r="V4491" s="505"/>
      <c r="W4491" s="505"/>
      <c r="X4491" s="505"/>
      <c r="Y4491" s="505"/>
    </row>
    <row r="4492" spans="1:25" s="88" customFormat="1" ht="15.75" hidden="1" thickBot="1" x14ac:dyDescent="0.3">
      <c r="A4492" s="258"/>
      <c r="B4492" s="258"/>
      <c r="C4492" s="261"/>
      <c r="D4492" s="258"/>
      <c r="E4492" s="679"/>
      <c r="F4492" s="597" t="s">
        <v>247</v>
      </c>
      <c r="G4492" s="598" t="s">
        <v>4995</v>
      </c>
      <c r="H4492" s="555"/>
      <c r="I4492" s="556"/>
      <c r="J4492" s="560">
        <f t="shared" si="150"/>
        <v>0</v>
      </c>
      <c r="K4492" s="505"/>
      <c r="L4492" s="505"/>
      <c r="M4492" s="505"/>
      <c r="N4492" s="505"/>
      <c r="O4492" s="505"/>
      <c r="P4492" s="505"/>
      <c r="Q4492" s="505"/>
      <c r="R4492" s="505"/>
      <c r="S4492" s="505"/>
      <c r="T4492" s="505"/>
      <c r="U4492" s="505"/>
      <c r="V4492" s="505"/>
      <c r="W4492" s="505"/>
      <c r="X4492" s="505"/>
      <c r="Y4492" s="505"/>
    </row>
    <row r="4493" spans="1:25" s="88" customFormat="1" ht="15.75" hidden="1" thickBot="1" x14ac:dyDescent="0.3">
      <c r="A4493" s="258"/>
      <c r="B4493" s="258"/>
      <c r="C4493" s="261"/>
      <c r="D4493" s="258"/>
      <c r="E4493" s="679"/>
      <c r="F4493" s="597" t="s">
        <v>248</v>
      </c>
      <c r="G4493" s="598" t="s">
        <v>57</v>
      </c>
      <c r="H4493" s="555"/>
      <c r="I4493" s="556"/>
      <c r="J4493" s="560">
        <f t="shared" si="150"/>
        <v>0</v>
      </c>
      <c r="K4493" s="505"/>
      <c r="L4493" s="505"/>
      <c r="M4493" s="505"/>
      <c r="N4493" s="505"/>
      <c r="O4493" s="505"/>
      <c r="P4493" s="505"/>
      <c r="Q4493" s="505"/>
      <c r="R4493" s="505"/>
      <c r="S4493" s="505"/>
      <c r="T4493" s="505"/>
      <c r="U4493" s="505"/>
      <c r="V4493" s="505"/>
      <c r="W4493" s="505"/>
      <c r="X4493" s="505"/>
      <c r="Y4493" s="505"/>
    </row>
    <row r="4494" spans="1:25" s="88" customFormat="1" ht="15.75" hidden="1" thickBot="1" x14ac:dyDescent="0.3">
      <c r="A4494" s="258"/>
      <c r="B4494" s="258"/>
      <c r="C4494" s="261"/>
      <c r="D4494" s="258"/>
      <c r="E4494" s="679"/>
      <c r="F4494" s="597" t="s">
        <v>249</v>
      </c>
      <c r="G4494" s="598" t="s">
        <v>250</v>
      </c>
      <c r="H4494" s="555"/>
      <c r="I4494" s="556"/>
      <c r="J4494" s="560">
        <f t="shared" si="150"/>
        <v>0</v>
      </c>
      <c r="K4494" s="505"/>
      <c r="L4494" s="505"/>
      <c r="M4494" s="505"/>
      <c r="N4494" s="505"/>
      <c r="O4494" s="505"/>
      <c r="P4494" s="505"/>
      <c r="Q4494" s="505"/>
      <c r="R4494" s="505"/>
      <c r="S4494" s="505"/>
      <c r="T4494" s="505"/>
      <c r="U4494" s="505"/>
      <c r="V4494" s="505"/>
      <c r="W4494" s="505"/>
      <c r="X4494" s="505"/>
      <c r="Y4494" s="505"/>
    </row>
    <row r="4495" spans="1:25" s="88" customFormat="1" ht="15.75" hidden="1" thickBot="1" x14ac:dyDescent="0.3">
      <c r="A4495" s="258"/>
      <c r="B4495" s="258"/>
      <c r="C4495" s="261"/>
      <c r="D4495" s="258"/>
      <c r="E4495" s="679"/>
      <c r="F4495" s="597" t="s">
        <v>251</v>
      </c>
      <c r="G4495" s="598" t="s">
        <v>252</v>
      </c>
      <c r="H4495" s="555"/>
      <c r="I4495" s="556"/>
      <c r="J4495" s="560">
        <f t="shared" si="150"/>
        <v>0</v>
      </c>
      <c r="K4495" s="505"/>
      <c r="L4495" s="505"/>
      <c r="M4495" s="505"/>
      <c r="N4495" s="505"/>
      <c r="O4495" s="505"/>
      <c r="P4495" s="505"/>
      <c r="Q4495" s="505"/>
      <c r="R4495" s="505"/>
      <c r="S4495" s="505"/>
      <c r="T4495" s="505"/>
      <c r="U4495" s="505"/>
      <c r="V4495" s="505"/>
      <c r="W4495" s="505"/>
      <c r="X4495" s="505"/>
      <c r="Y4495" s="505"/>
    </row>
    <row r="4496" spans="1:25" s="88" customFormat="1" ht="30.75" hidden="1" thickBot="1" x14ac:dyDescent="0.3">
      <c r="A4496" s="258"/>
      <c r="B4496" s="258"/>
      <c r="C4496" s="261"/>
      <c r="D4496" s="258"/>
      <c r="E4496" s="679"/>
      <c r="F4496" s="597" t="s">
        <v>253</v>
      </c>
      <c r="G4496" s="598" t="s">
        <v>254</v>
      </c>
      <c r="H4496" s="555"/>
      <c r="I4496" s="556"/>
      <c r="J4496" s="560">
        <f t="shared" si="150"/>
        <v>0</v>
      </c>
      <c r="K4496" s="505"/>
      <c r="L4496" s="505"/>
      <c r="M4496" s="505"/>
      <c r="N4496" s="505"/>
      <c r="O4496" s="505"/>
      <c r="P4496" s="505"/>
      <c r="Q4496" s="505"/>
      <c r="R4496" s="505"/>
      <c r="S4496" s="505"/>
      <c r="T4496" s="505"/>
      <c r="U4496" s="505"/>
      <c r="V4496" s="505"/>
      <c r="W4496" s="505"/>
      <c r="X4496" s="505"/>
      <c r="Y4496" s="505"/>
    </row>
    <row r="4497" spans="1:25" s="88" customFormat="1" ht="15.75" hidden="1" thickBot="1" x14ac:dyDescent="0.3">
      <c r="A4497" s="258"/>
      <c r="B4497" s="258"/>
      <c r="C4497" s="261"/>
      <c r="D4497" s="258"/>
      <c r="E4497" s="679"/>
      <c r="F4497" s="597" t="s">
        <v>255</v>
      </c>
      <c r="G4497" s="598" t="s">
        <v>256</v>
      </c>
      <c r="H4497" s="555"/>
      <c r="I4497" s="556"/>
      <c r="J4497" s="560">
        <f t="shared" si="150"/>
        <v>0</v>
      </c>
      <c r="K4497" s="505"/>
      <c r="L4497" s="505"/>
      <c r="M4497" s="505"/>
      <c r="N4497" s="505"/>
      <c r="O4497" s="505"/>
      <c r="P4497" s="505"/>
      <c r="Q4497" s="505"/>
      <c r="R4497" s="505"/>
      <c r="S4497" s="505"/>
      <c r="T4497" s="505"/>
      <c r="U4497" s="505"/>
      <c r="V4497" s="505"/>
      <c r="W4497" s="505"/>
      <c r="X4497" s="505"/>
      <c r="Y4497" s="505"/>
    </row>
    <row r="4498" spans="1:25" s="88" customFormat="1" ht="30.75" hidden="1" thickBot="1" x14ac:dyDescent="0.3">
      <c r="A4498" s="258"/>
      <c r="B4498" s="258"/>
      <c r="C4498" s="261"/>
      <c r="D4498" s="258"/>
      <c r="E4498" s="679"/>
      <c r="F4498" s="597" t="s">
        <v>257</v>
      </c>
      <c r="G4498" s="598" t="s">
        <v>258</v>
      </c>
      <c r="H4498" s="555"/>
      <c r="I4498" s="556"/>
      <c r="J4498" s="560">
        <f t="shared" si="150"/>
        <v>0</v>
      </c>
      <c r="K4498" s="505"/>
      <c r="L4498" s="505"/>
      <c r="M4498" s="505"/>
      <c r="N4498" s="505"/>
      <c r="O4498" s="505"/>
      <c r="P4498" s="505"/>
      <c r="Q4498" s="505"/>
      <c r="R4498" s="505"/>
      <c r="S4498" s="505"/>
      <c r="T4498" s="505"/>
      <c r="U4498" s="505"/>
      <c r="V4498" s="505"/>
      <c r="W4498" s="505"/>
      <c r="X4498" s="505"/>
      <c r="Y4498" s="505"/>
    </row>
    <row r="4499" spans="1:25" s="88" customFormat="1" ht="15.75" hidden="1" thickBot="1" x14ac:dyDescent="0.3">
      <c r="A4499" s="258"/>
      <c r="B4499" s="258"/>
      <c r="C4499" s="261"/>
      <c r="D4499" s="258"/>
      <c r="E4499" s="679"/>
      <c r="F4499" s="597" t="s">
        <v>259</v>
      </c>
      <c r="G4499" s="598" t="s">
        <v>260</v>
      </c>
      <c r="H4499" s="555"/>
      <c r="I4499" s="556"/>
      <c r="J4499" s="560">
        <f t="shared" si="150"/>
        <v>0</v>
      </c>
      <c r="K4499" s="505"/>
      <c r="L4499" s="505"/>
      <c r="M4499" s="505"/>
      <c r="N4499" s="505"/>
      <c r="O4499" s="505"/>
      <c r="P4499" s="505"/>
      <c r="Q4499" s="505"/>
      <c r="R4499" s="505"/>
      <c r="S4499" s="505"/>
      <c r="T4499" s="505"/>
      <c r="U4499" s="505"/>
      <c r="V4499" s="505"/>
      <c r="W4499" s="505"/>
      <c r="X4499" s="505"/>
      <c r="Y4499" s="505"/>
    </row>
    <row r="4500" spans="1:25" s="88" customFormat="1" ht="15.75" hidden="1" thickBot="1" x14ac:dyDescent="0.3">
      <c r="A4500" s="258"/>
      <c r="B4500" s="258"/>
      <c r="C4500" s="261"/>
      <c r="D4500" s="258"/>
      <c r="E4500" s="679"/>
      <c r="F4500" s="597" t="s">
        <v>261</v>
      </c>
      <c r="G4500" s="598" t="s">
        <v>262</v>
      </c>
      <c r="H4500" s="559"/>
      <c r="I4500" s="560"/>
      <c r="J4500" s="560">
        <f t="shared" si="150"/>
        <v>0</v>
      </c>
      <c r="K4500" s="505"/>
      <c r="L4500" s="505"/>
      <c r="M4500" s="505"/>
      <c r="N4500" s="505"/>
      <c r="O4500" s="505"/>
      <c r="P4500" s="505"/>
      <c r="Q4500" s="505"/>
      <c r="R4500" s="505"/>
      <c r="S4500" s="505"/>
      <c r="T4500" s="505"/>
      <c r="U4500" s="505"/>
      <c r="V4500" s="505"/>
      <c r="W4500" s="505"/>
      <c r="X4500" s="505"/>
      <c r="Y4500" s="505"/>
    </row>
    <row r="4501" spans="1:25" s="88" customFormat="1" ht="15" customHeight="1" thickBot="1" x14ac:dyDescent="0.3">
      <c r="A4501" s="258"/>
      <c r="B4501" s="258"/>
      <c r="C4501" s="261"/>
      <c r="D4501" s="258"/>
      <c r="E4501" s="679"/>
      <c r="F4501" s="258"/>
      <c r="G4501" s="268" t="s">
        <v>4368</v>
      </c>
      <c r="H4501" s="561">
        <f>SUM(H4485)</f>
        <v>12287000</v>
      </c>
      <c r="I4501" s="562">
        <f>SUM(I4486:I4500)</f>
        <v>0</v>
      </c>
      <c r="J4501" s="562">
        <f>SUM(J4485:J4500)</f>
        <v>12287000</v>
      </c>
      <c r="K4501" s="505"/>
      <c r="L4501" s="505"/>
      <c r="M4501" s="505"/>
      <c r="N4501" s="505"/>
      <c r="O4501" s="505"/>
      <c r="P4501" s="505"/>
      <c r="Q4501" s="505"/>
      <c r="R4501" s="505"/>
      <c r="S4501" s="505"/>
      <c r="T4501" s="505"/>
      <c r="U4501" s="505"/>
      <c r="V4501" s="505"/>
      <c r="W4501" s="505"/>
      <c r="X4501" s="505"/>
      <c r="Y4501" s="505"/>
    </row>
    <row r="4502" spans="1:25" s="88" customFormat="1" ht="28.5" x14ac:dyDescent="0.25">
      <c r="A4502" s="258"/>
      <c r="B4502" s="258"/>
      <c r="C4502" s="261"/>
      <c r="D4502" s="258"/>
      <c r="E4502" s="489"/>
      <c r="F4502" s="500"/>
      <c r="G4502" s="270" t="s">
        <v>4383</v>
      </c>
      <c r="H4502" s="563"/>
      <c r="I4502" s="584"/>
      <c r="J4502" s="564"/>
      <c r="K4502" s="505"/>
      <c r="L4502" s="505"/>
      <c r="M4502" s="505"/>
      <c r="N4502" s="505"/>
      <c r="O4502" s="505"/>
      <c r="P4502" s="505"/>
      <c r="Q4502" s="505"/>
      <c r="R4502" s="505"/>
      <c r="S4502" s="505"/>
      <c r="T4502" s="505"/>
      <c r="U4502" s="505"/>
      <c r="V4502" s="505"/>
      <c r="W4502" s="505"/>
      <c r="X4502" s="505"/>
      <c r="Y4502" s="505"/>
    </row>
    <row r="4503" spans="1:25" s="88" customFormat="1" ht="13.5" customHeight="1" thickBot="1" x14ac:dyDescent="0.3">
      <c r="A4503" s="258"/>
      <c r="B4503" s="258"/>
      <c r="C4503" s="261"/>
      <c r="D4503" s="258"/>
      <c r="E4503" s="693"/>
      <c r="F4503" s="597" t="s">
        <v>234</v>
      </c>
      <c r="G4503" s="729" t="s">
        <v>235</v>
      </c>
      <c r="H4503" s="559">
        <f>SUM(H4424:H4483)</f>
        <v>12287000</v>
      </c>
      <c r="I4503" s="560"/>
      <c r="J4503" s="560">
        <f>SUM(H4503:I4503)</f>
        <v>12287000</v>
      </c>
      <c r="K4503" s="505"/>
      <c r="L4503" s="505"/>
      <c r="M4503" s="505"/>
      <c r="N4503" s="505"/>
      <c r="O4503" s="505"/>
      <c r="P4503" s="505"/>
      <c r="Q4503" s="505"/>
      <c r="R4503" s="505"/>
      <c r="S4503" s="505"/>
      <c r="T4503" s="505"/>
      <c r="U4503" s="505"/>
      <c r="V4503" s="505"/>
      <c r="W4503" s="505"/>
      <c r="X4503" s="505"/>
      <c r="Y4503" s="505"/>
    </row>
    <row r="4504" spans="1:25" s="88" customFormat="1" ht="17.25" hidden="1" customHeight="1" x14ac:dyDescent="0.25">
      <c r="A4504" s="258"/>
      <c r="B4504" s="258"/>
      <c r="C4504" s="261"/>
      <c r="D4504" s="258"/>
      <c r="E4504" s="679"/>
      <c r="F4504" s="597" t="s">
        <v>236</v>
      </c>
      <c r="G4504" s="598" t="s">
        <v>237</v>
      </c>
      <c r="H4504" s="555"/>
      <c r="I4504" s="556"/>
      <c r="J4504" s="560">
        <f t="shared" ref="J4504:J4518" si="151">SUM(H4504:I4504)</f>
        <v>0</v>
      </c>
      <c r="K4504" s="505"/>
      <c r="L4504" s="505"/>
      <c r="M4504" s="505"/>
      <c r="N4504" s="505"/>
      <c r="O4504" s="505"/>
      <c r="P4504" s="505"/>
      <c r="Q4504" s="505"/>
      <c r="R4504" s="505"/>
      <c r="S4504" s="505"/>
      <c r="T4504" s="505"/>
      <c r="U4504" s="505"/>
      <c r="V4504" s="505"/>
      <c r="W4504" s="505"/>
      <c r="X4504" s="505"/>
      <c r="Y4504" s="505"/>
    </row>
    <row r="4505" spans="1:25" s="88" customFormat="1" ht="15.75" hidden="1" thickBot="1" x14ac:dyDescent="0.3">
      <c r="A4505" s="258"/>
      <c r="B4505" s="258"/>
      <c r="C4505" s="261"/>
      <c r="D4505" s="258"/>
      <c r="E4505" s="679"/>
      <c r="F4505" s="597" t="s">
        <v>238</v>
      </c>
      <c r="G4505" s="598" t="s">
        <v>239</v>
      </c>
      <c r="H4505" s="555"/>
      <c r="I4505" s="556"/>
      <c r="J4505" s="560">
        <f t="shared" si="151"/>
        <v>0</v>
      </c>
      <c r="K4505" s="505"/>
      <c r="L4505" s="505"/>
      <c r="M4505" s="505"/>
      <c r="N4505" s="505"/>
      <c r="O4505" s="505"/>
      <c r="P4505" s="505"/>
      <c r="Q4505" s="505"/>
      <c r="R4505" s="505"/>
      <c r="S4505" s="505"/>
      <c r="T4505" s="505"/>
      <c r="U4505" s="505"/>
      <c r="V4505" s="505"/>
      <c r="W4505" s="505"/>
      <c r="X4505" s="505"/>
      <c r="Y4505" s="505"/>
    </row>
    <row r="4506" spans="1:25" s="88" customFormat="1" ht="15.75" hidden="1" thickBot="1" x14ac:dyDescent="0.3">
      <c r="A4506" s="258"/>
      <c r="B4506" s="258"/>
      <c r="C4506" s="261"/>
      <c r="D4506" s="258"/>
      <c r="E4506" s="679"/>
      <c r="F4506" s="597" t="s">
        <v>240</v>
      </c>
      <c r="G4506" s="598" t="s">
        <v>241</v>
      </c>
      <c r="H4506" s="555"/>
      <c r="I4506" s="556"/>
      <c r="J4506" s="560">
        <f t="shared" si="151"/>
        <v>0</v>
      </c>
      <c r="K4506" s="505"/>
      <c r="L4506" s="505"/>
      <c r="M4506" s="505"/>
      <c r="N4506" s="505"/>
      <c r="O4506" s="505"/>
      <c r="P4506" s="505"/>
      <c r="Q4506" s="505"/>
      <c r="R4506" s="505"/>
      <c r="S4506" s="505"/>
      <c r="T4506" s="505"/>
      <c r="U4506" s="505"/>
      <c r="V4506" s="505"/>
      <c r="W4506" s="505"/>
      <c r="X4506" s="505"/>
      <c r="Y4506" s="505"/>
    </row>
    <row r="4507" spans="1:25" s="88" customFormat="1" ht="15.75" hidden="1" thickBot="1" x14ac:dyDescent="0.3">
      <c r="A4507" s="258"/>
      <c r="B4507" s="258"/>
      <c r="C4507" s="261"/>
      <c r="D4507" s="258"/>
      <c r="E4507" s="679"/>
      <c r="F4507" s="597" t="s">
        <v>242</v>
      </c>
      <c r="G4507" s="598" t="s">
        <v>243</v>
      </c>
      <c r="H4507" s="555"/>
      <c r="I4507" s="556"/>
      <c r="J4507" s="560">
        <f t="shared" si="151"/>
        <v>0</v>
      </c>
      <c r="K4507" s="505"/>
      <c r="L4507" s="505"/>
      <c r="M4507" s="505"/>
      <c r="N4507" s="505"/>
      <c r="O4507" s="505"/>
      <c r="P4507" s="505"/>
      <c r="Q4507" s="505"/>
      <c r="R4507" s="505"/>
      <c r="S4507" s="505"/>
      <c r="T4507" s="505"/>
      <c r="U4507" s="505"/>
      <c r="V4507" s="505"/>
      <c r="W4507" s="505"/>
      <c r="X4507" s="505"/>
      <c r="Y4507" s="505"/>
    </row>
    <row r="4508" spans="1:25" s="88" customFormat="1" ht="15.75" hidden="1" thickBot="1" x14ac:dyDescent="0.3">
      <c r="A4508" s="258"/>
      <c r="B4508" s="258"/>
      <c r="C4508" s="261"/>
      <c r="D4508" s="258"/>
      <c r="E4508" s="679"/>
      <c r="F4508" s="597" t="s">
        <v>244</v>
      </c>
      <c r="G4508" s="598" t="s">
        <v>245</v>
      </c>
      <c r="H4508" s="555"/>
      <c r="I4508" s="556"/>
      <c r="J4508" s="560">
        <f t="shared" si="151"/>
        <v>0</v>
      </c>
      <c r="K4508" s="505"/>
      <c r="L4508" s="505"/>
      <c r="M4508" s="505"/>
      <c r="N4508" s="505"/>
      <c r="O4508" s="505"/>
      <c r="P4508" s="505"/>
      <c r="Q4508" s="505"/>
      <c r="R4508" s="505"/>
      <c r="S4508" s="505"/>
      <c r="T4508" s="505"/>
      <c r="U4508" s="505"/>
      <c r="V4508" s="505"/>
      <c r="W4508" s="505"/>
      <c r="X4508" s="505"/>
      <c r="Y4508" s="505"/>
    </row>
    <row r="4509" spans="1:25" s="88" customFormat="1" ht="15.75" hidden="1" thickBot="1" x14ac:dyDescent="0.3">
      <c r="A4509" s="258"/>
      <c r="B4509" s="258"/>
      <c r="C4509" s="261"/>
      <c r="D4509" s="258"/>
      <c r="E4509" s="679"/>
      <c r="F4509" s="597" t="s">
        <v>246</v>
      </c>
      <c r="G4509" s="598" t="s">
        <v>4996</v>
      </c>
      <c r="H4509" s="555"/>
      <c r="I4509" s="556"/>
      <c r="J4509" s="560">
        <f t="shared" si="151"/>
        <v>0</v>
      </c>
      <c r="K4509" s="505"/>
      <c r="L4509" s="505"/>
      <c r="M4509" s="505"/>
      <c r="N4509" s="505"/>
      <c r="O4509" s="505"/>
      <c r="P4509" s="505"/>
      <c r="Q4509" s="505"/>
      <c r="R4509" s="505"/>
      <c r="S4509" s="505"/>
      <c r="T4509" s="505"/>
      <c r="U4509" s="505"/>
      <c r="V4509" s="505"/>
      <c r="W4509" s="505"/>
      <c r="X4509" s="505"/>
      <c r="Y4509" s="505"/>
    </row>
    <row r="4510" spans="1:25" s="88" customFormat="1" ht="15.75" hidden="1" thickBot="1" x14ac:dyDescent="0.3">
      <c r="A4510" s="258"/>
      <c r="B4510" s="258"/>
      <c r="C4510" s="261"/>
      <c r="D4510" s="258"/>
      <c r="E4510" s="679"/>
      <c r="F4510" s="597" t="s">
        <v>247</v>
      </c>
      <c r="G4510" s="598" t="s">
        <v>4995</v>
      </c>
      <c r="H4510" s="555"/>
      <c r="I4510" s="556"/>
      <c r="J4510" s="560">
        <f t="shared" si="151"/>
        <v>0</v>
      </c>
      <c r="K4510" s="505"/>
      <c r="L4510" s="505"/>
      <c r="M4510" s="505"/>
      <c r="N4510" s="505"/>
      <c r="O4510" s="505"/>
      <c r="P4510" s="505"/>
      <c r="Q4510" s="505"/>
      <c r="R4510" s="505"/>
      <c r="S4510" s="505"/>
      <c r="T4510" s="505"/>
      <c r="U4510" s="505"/>
      <c r="V4510" s="505"/>
      <c r="W4510" s="505"/>
      <c r="X4510" s="505"/>
      <c r="Y4510" s="505"/>
    </row>
    <row r="4511" spans="1:25" s="88" customFormat="1" ht="15.75" hidden="1" thickBot="1" x14ac:dyDescent="0.3">
      <c r="A4511" s="258"/>
      <c r="B4511" s="258"/>
      <c r="C4511" s="261"/>
      <c r="D4511" s="258"/>
      <c r="E4511" s="679"/>
      <c r="F4511" s="597" t="s">
        <v>248</v>
      </c>
      <c r="G4511" s="598" t="s">
        <v>57</v>
      </c>
      <c r="H4511" s="555"/>
      <c r="I4511" s="556"/>
      <c r="J4511" s="560">
        <f t="shared" si="151"/>
        <v>0</v>
      </c>
      <c r="K4511" s="505"/>
      <c r="L4511" s="505"/>
      <c r="M4511" s="505"/>
      <c r="N4511" s="505"/>
      <c r="O4511" s="505"/>
      <c r="P4511" s="505"/>
      <c r="Q4511" s="505"/>
      <c r="R4511" s="505"/>
      <c r="S4511" s="505"/>
      <c r="T4511" s="505"/>
      <c r="U4511" s="505"/>
      <c r="V4511" s="505"/>
      <c r="W4511" s="505"/>
      <c r="X4511" s="505"/>
      <c r="Y4511" s="505"/>
    </row>
    <row r="4512" spans="1:25" s="88" customFormat="1" ht="15.75" hidden="1" thickBot="1" x14ac:dyDescent="0.3">
      <c r="A4512" s="258"/>
      <c r="B4512" s="258"/>
      <c r="C4512" s="261"/>
      <c r="D4512" s="258"/>
      <c r="E4512" s="679"/>
      <c r="F4512" s="597" t="s">
        <v>249</v>
      </c>
      <c r="G4512" s="598" t="s">
        <v>250</v>
      </c>
      <c r="H4512" s="555"/>
      <c r="I4512" s="556"/>
      <c r="J4512" s="560">
        <f t="shared" si="151"/>
        <v>0</v>
      </c>
      <c r="K4512" s="505"/>
      <c r="L4512" s="505"/>
      <c r="M4512" s="505"/>
      <c r="N4512" s="505"/>
      <c r="O4512" s="505"/>
      <c r="P4512" s="505"/>
      <c r="Q4512" s="505"/>
      <c r="R4512" s="505"/>
      <c r="S4512" s="505"/>
      <c r="T4512" s="505"/>
      <c r="U4512" s="505"/>
      <c r="V4512" s="505"/>
      <c r="W4512" s="505"/>
      <c r="X4512" s="505"/>
      <c r="Y4512" s="505"/>
    </row>
    <row r="4513" spans="1:25" s="88" customFormat="1" ht="15.75" hidden="1" thickBot="1" x14ac:dyDescent="0.3">
      <c r="A4513" s="258"/>
      <c r="B4513" s="258"/>
      <c r="C4513" s="261"/>
      <c r="D4513" s="258"/>
      <c r="E4513" s="679"/>
      <c r="F4513" s="597" t="s">
        <v>251</v>
      </c>
      <c r="G4513" s="598" t="s">
        <v>252</v>
      </c>
      <c r="H4513" s="555"/>
      <c r="I4513" s="556"/>
      <c r="J4513" s="560">
        <f t="shared" si="151"/>
        <v>0</v>
      </c>
      <c r="K4513" s="505"/>
      <c r="L4513" s="505"/>
      <c r="M4513" s="505"/>
      <c r="N4513" s="505"/>
      <c r="O4513" s="505"/>
      <c r="P4513" s="505"/>
      <c r="Q4513" s="505"/>
      <c r="R4513" s="505"/>
      <c r="S4513" s="505"/>
      <c r="T4513" s="505"/>
      <c r="U4513" s="505"/>
      <c r="V4513" s="505"/>
      <c r="W4513" s="505"/>
      <c r="X4513" s="505"/>
      <c r="Y4513" s="505"/>
    </row>
    <row r="4514" spans="1:25" s="88" customFormat="1" ht="30.75" hidden="1" thickBot="1" x14ac:dyDescent="0.3">
      <c r="A4514" s="258"/>
      <c r="B4514" s="258"/>
      <c r="C4514" s="261"/>
      <c r="D4514" s="258"/>
      <c r="E4514" s="679"/>
      <c r="F4514" s="597" t="s">
        <v>253</v>
      </c>
      <c r="G4514" s="598" t="s">
        <v>254</v>
      </c>
      <c r="H4514" s="555"/>
      <c r="I4514" s="556"/>
      <c r="J4514" s="560">
        <f t="shared" si="151"/>
        <v>0</v>
      </c>
      <c r="K4514" s="505"/>
      <c r="L4514" s="505"/>
      <c r="M4514" s="505"/>
      <c r="N4514" s="505"/>
      <c r="O4514" s="505"/>
      <c r="P4514" s="505"/>
      <c r="Q4514" s="505"/>
      <c r="R4514" s="505"/>
      <c r="S4514" s="505"/>
      <c r="T4514" s="505"/>
      <c r="U4514" s="505"/>
      <c r="V4514" s="505"/>
      <c r="W4514" s="505"/>
      <c r="X4514" s="505"/>
      <c r="Y4514" s="505"/>
    </row>
    <row r="4515" spans="1:25" s="88" customFormat="1" ht="15.75" hidden="1" thickBot="1" x14ac:dyDescent="0.3">
      <c r="A4515" s="258"/>
      <c r="B4515" s="258"/>
      <c r="C4515" s="261"/>
      <c r="D4515" s="258"/>
      <c r="E4515" s="679"/>
      <c r="F4515" s="597" t="s">
        <v>255</v>
      </c>
      <c r="G4515" s="598" t="s">
        <v>256</v>
      </c>
      <c r="H4515" s="555"/>
      <c r="I4515" s="556"/>
      <c r="J4515" s="560">
        <f t="shared" si="151"/>
        <v>0</v>
      </c>
      <c r="K4515" s="505"/>
      <c r="L4515" s="505"/>
      <c r="M4515" s="505"/>
      <c r="N4515" s="505"/>
      <c r="O4515" s="505"/>
      <c r="P4515" s="505"/>
      <c r="Q4515" s="505"/>
      <c r="R4515" s="505"/>
      <c r="S4515" s="505"/>
      <c r="T4515" s="505"/>
      <c r="U4515" s="505"/>
      <c r="V4515" s="505"/>
      <c r="W4515" s="505"/>
      <c r="X4515" s="505"/>
      <c r="Y4515" s="505"/>
    </row>
    <row r="4516" spans="1:25" s="88" customFormat="1" ht="30.75" hidden="1" thickBot="1" x14ac:dyDescent="0.3">
      <c r="A4516" s="258"/>
      <c r="B4516" s="258"/>
      <c r="C4516" s="261"/>
      <c r="D4516" s="258"/>
      <c r="E4516" s="679"/>
      <c r="F4516" s="597" t="s">
        <v>257</v>
      </c>
      <c r="G4516" s="598" t="s">
        <v>258</v>
      </c>
      <c r="H4516" s="555"/>
      <c r="I4516" s="556"/>
      <c r="J4516" s="560">
        <f t="shared" si="151"/>
        <v>0</v>
      </c>
      <c r="K4516" s="505"/>
      <c r="L4516" s="505"/>
      <c r="M4516" s="505"/>
      <c r="N4516" s="505"/>
      <c r="O4516" s="505"/>
      <c r="P4516" s="505"/>
      <c r="Q4516" s="505"/>
      <c r="R4516" s="505"/>
      <c r="S4516" s="505"/>
      <c r="T4516" s="505"/>
      <c r="U4516" s="505"/>
      <c r="V4516" s="505"/>
      <c r="W4516" s="505"/>
      <c r="X4516" s="505"/>
      <c r="Y4516" s="505"/>
    </row>
    <row r="4517" spans="1:25" s="88" customFormat="1" ht="15.75" hidden="1" thickBot="1" x14ac:dyDescent="0.3">
      <c r="A4517" s="258"/>
      <c r="B4517" s="258"/>
      <c r="C4517" s="261"/>
      <c r="D4517" s="258"/>
      <c r="E4517" s="679"/>
      <c r="F4517" s="597" t="s">
        <v>259</v>
      </c>
      <c r="G4517" s="598" t="s">
        <v>260</v>
      </c>
      <c r="H4517" s="555"/>
      <c r="I4517" s="556"/>
      <c r="J4517" s="560">
        <f t="shared" si="151"/>
        <v>0</v>
      </c>
      <c r="K4517" s="505"/>
      <c r="L4517" s="505"/>
      <c r="M4517" s="505"/>
      <c r="N4517" s="505"/>
      <c r="O4517" s="505"/>
      <c r="P4517" s="505"/>
      <c r="Q4517" s="505"/>
      <c r="R4517" s="505"/>
      <c r="S4517" s="505"/>
      <c r="T4517" s="505"/>
      <c r="U4517" s="505"/>
      <c r="V4517" s="505"/>
      <c r="W4517" s="505"/>
      <c r="X4517" s="505"/>
      <c r="Y4517" s="505"/>
    </row>
    <row r="4518" spans="1:25" s="88" customFormat="1" ht="15.75" hidden="1" thickBot="1" x14ac:dyDescent="0.3">
      <c r="A4518" s="258"/>
      <c r="B4518" s="258"/>
      <c r="C4518" s="261"/>
      <c r="D4518" s="258"/>
      <c r="E4518" s="679"/>
      <c r="F4518" s="597" t="s">
        <v>261</v>
      </c>
      <c r="G4518" s="598" t="s">
        <v>262</v>
      </c>
      <c r="H4518" s="559"/>
      <c r="I4518" s="560"/>
      <c r="J4518" s="560">
        <f t="shared" si="151"/>
        <v>0</v>
      </c>
      <c r="K4518" s="505"/>
      <c r="L4518" s="505"/>
      <c r="M4518" s="505"/>
      <c r="N4518" s="505"/>
      <c r="O4518" s="505"/>
      <c r="P4518" s="505"/>
      <c r="Q4518" s="505"/>
      <c r="R4518" s="505"/>
      <c r="S4518" s="505"/>
      <c r="T4518" s="505"/>
      <c r="U4518" s="505"/>
      <c r="V4518" s="505"/>
      <c r="W4518" s="505"/>
      <c r="X4518" s="505"/>
      <c r="Y4518" s="505"/>
    </row>
    <row r="4519" spans="1:25" s="88" customFormat="1" ht="15.75" thickBot="1" x14ac:dyDescent="0.3">
      <c r="A4519" s="258"/>
      <c r="B4519" s="258"/>
      <c r="C4519" s="261"/>
      <c r="D4519" s="258"/>
      <c r="E4519" s="679"/>
      <c r="F4519" s="258"/>
      <c r="G4519" s="268" t="s">
        <v>4384</v>
      </c>
      <c r="H4519" s="561">
        <f>SUM(H4503:H4518)</f>
        <v>12287000</v>
      </c>
      <c r="I4519" s="562">
        <f>SUM(I4504:I4518)</f>
        <v>0</v>
      </c>
      <c r="J4519" s="562">
        <f>SUM(J4503:J4518)</f>
        <v>12287000</v>
      </c>
      <c r="K4519" s="505"/>
      <c r="L4519" s="505"/>
      <c r="M4519" s="505"/>
      <c r="N4519" s="505"/>
      <c r="O4519" s="505"/>
      <c r="P4519" s="505"/>
      <c r="Q4519" s="505"/>
      <c r="R4519" s="505"/>
      <c r="S4519" s="505"/>
      <c r="T4519" s="505"/>
      <c r="U4519" s="505"/>
      <c r="V4519" s="505"/>
      <c r="W4519" s="505"/>
      <c r="X4519" s="505"/>
      <c r="Y4519" s="505"/>
    </row>
    <row r="4520" spans="1:25" s="88" customFormat="1" ht="28.5" x14ac:dyDescent="0.25">
      <c r="A4520" s="258"/>
      <c r="B4520" s="258"/>
      <c r="C4520" s="267" t="s">
        <v>4076</v>
      </c>
      <c r="D4520" s="259"/>
      <c r="E4520" s="679"/>
      <c r="F4520" s="258"/>
      <c r="G4520" s="490" t="s">
        <v>5306</v>
      </c>
      <c r="H4520" s="555"/>
      <c r="I4520" s="556"/>
      <c r="J4520" s="556"/>
      <c r="K4520" s="505"/>
      <c r="L4520" s="505"/>
      <c r="M4520" s="505"/>
      <c r="N4520" s="505"/>
      <c r="O4520" s="505"/>
      <c r="P4520" s="505"/>
      <c r="Q4520" s="505"/>
      <c r="R4520" s="505"/>
      <c r="S4520" s="505"/>
      <c r="T4520" s="505"/>
      <c r="U4520" s="505"/>
      <c r="V4520" s="505"/>
      <c r="W4520" s="505"/>
      <c r="X4520" s="505"/>
      <c r="Y4520" s="505"/>
    </row>
    <row r="4521" spans="1:25" s="88" customFormat="1" ht="12.75" customHeight="1" x14ac:dyDescent="0.25">
      <c r="A4521" s="258"/>
      <c r="B4521" s="258"/>
      <c r="C4521" s="267"/>
      <c r="D4521" s="331">
        <v>912</v>
      </c>
      <c r="E4521" s="869"/>
      <c r="F4521" s="331"/>
      <c r="G4521" s="332" t="s">
        <v>215</v>
      </c>
      <c r="H4521" s="555"/>
      <c r="I4521" s="556"/>
      <c r="J4521" s="556"/>
      <c r="K4521" s="505"/>
      <c r="L4521" s="505"/>
      <c r="M4521" s="505"/>
      <c r="N4521" s="505"/>
      <c r="O4521" s="505"/>
      <c r="P4521" s="505"/>
      <c r="Q4521" s="505"/>
      <c r="R4521" s="505"/>
      <c r="S4521" s="505"/>
      <c r="T4521" s="505"/>
      <c r="U4521" s="505"/>
      <c r="V4521" s="505"/>
      <c r="W4521" s="505"/>
      <c r="X4521" s="505"/>
      <c r="Y4521" s="505"/>
    </row>
    <row r="4522" spans="1:25" s="88" customFormat="1" hidden="1" x14ac:dyDescent="0.25">
      <c r="A4522" s="258"/>
      <c r="B4522" s="258"/>
      <c r="C4522" s="261"/>
      <c r="D4522" s="258"/>
      <c r="E4522" s="679"/>
      <c r="F4522" s="499">
        <v>411</v>
      </c>
      <c r="G4522" s="492" t="s">
        <v>4131</v>
      </c>
      <c r="H4522" s="555"/>
      <c r="I4522" s="556"/>
      <c r="J4522" s="556">
        <f>SUM(H4522:I4522)</f>
        <v>0</v>
      </c>
      <c r="K4522" s="505"/>
      <c r="L4522" s="505"/>
      <c r="M4522" s="505"/>
      <c r="N4522" s="505"/>
      <c r="O4522" s="505"/>
      <c r="P4522" s="505"/>
      <c r="Q4522" s="505"/>
      <c r="R4522" s="505"/>
      <c r="S4522" s="505"/>
      <c r="T4522" s="505"/>
      <c r="U4522" s="505"/>
      <c r="V4522" s="505"/>
      <c r="W4522" s="505"/>
      <c r="X4522" s="505"/>
      <c r="Y4522" s="505"/>
    </row>
    <row r="4523" spans="1:25" s="88" customFormat="1" hidden="1" x14ac:dyDescent="0.25">
      <c r="A4523" s="258"/>
      <c r="B4523" s="258"/>
      <c r="C4523" s="261"/>
      <c r="D4523" s="258"/>
      <c r="E4523" s="679"/>
      <c r="F4523" s="499">
        <v>412</v>
      </c>
      <c r="G4523" s="488" t="s">
        <v>3766</v>
      </c>
      <c r="H4523" s="555"/>
      <c r="I4523" s="556"/>
      <c r="J4523" s="556">
        <f t="shared" ref="J4523:J4581" si="152">SUM(H4523:I4523)</f>
        <v>0</v>
      </c>
      <c r="K4523" s="505"/>
      <c r="L4523" s="505"/>
      <c r="M4523" s="505"/>
      <c r="N4523" s="505"/>
      <c r="O4523" s="505"/>
      <c r="P4523" s="505"/>
      <c r="Q4523" s="505"/>
      <c r="R4523" s="505"/>
      <c r="S4523" s="505"/>
      <c r="T4523" s="505"/>
      <c r="U4523" s="505"/>
      <c r="V4523" s="505"/>
      <c r="W4523" s="505"/>
      <c r="X4523" s="505"/>
      <c r="Y4523" s="505"/>
    </row>
    <row r="4524" spans="1:25" s="88" customFormat="1" hidden="1" x14ac:dyDescent="0.25">
      <c r="A4524" s="258"/>
      <c r="B4524" s="258"/>
      <c r="C4524" s="261"/>
      <c r="D4524" s="258"/>
      <c r="E4524" s="679"/>
      <c r="F4524" s="499">
        <v>413</v>
      </c>
      <c r="G4524" s="492" t="s">
        <v>4132</v>
      </c>
      <c r="H4524" s="555"/>
      <c r="I4524" s="556"/>
      <c r="J4524" s="556">
        <f t="shared" si="152"/>
        <v>0</v>
      </c>
      <c r="K4524" s="505"/>
      <c r="L4524" s="505"/>
      <c r="M4524" s="505"/>
      <c r="N4524" s="505"/>
      <c r="O4524" s="505"/>
      <c r="P4524" s="505"/>
      <c r="Q4524" s="505"/>
      <c r="R4524" s="505"/>
      <c r="S4524" s="505"/>
      <c r="T4524" s="505"/>
      <c r="U4524" s="505"/>
      <c r="V4524" s="505"/>
      <c r="W4524" s="505"/>
      <c r="X4524" s="505"/>
      <c r="Y4524" s="505"/>
    </row>
    <row r="4525" spans="1:25" s="88" customFormat="1" hidden="1" x14ac:dyDescent="0.25">
      <c r="A4525" s="258"/>
      <c r="B4525" s="258"/>
      <c r="C4525" s="261"/>
      <c r="D4525" s="258"/>
      <c r="E4525" s="679"/>
      <c r="F4525" s="499">
        <v>414</v>
      </c>
      <c r="G4525" s="492" t="s">
        <v>3769</v>
      </c>
      <c r="H4525" s="555"/>
      <c r="I4525" s="556"/>
      <c r="J4525" s="556">
        <f t="shared" si="152"/>
        <v>0</v>
      </c>
      <c r="K4525" s="505"/>
      <c r="L4525" s="505"/>
      <c r="M4525" s="505"/>
      <c r="N4525" s="505"/>
      <c r="O4525" s="505"/>
      <c r="P4525" s="505"/>
      <c r="Q4525" s="505"/>
      <c r="R4525" s="505"/>
      <c r="S4525" s="505"/>
      <c r="T4525" s="505"/>
      <c r="U4525" s="505"/>
      <c r="V4525" s="505"/>
      <c r="W4525" s="505"/>
      <c r="X4525" s="505"/>
      <c r="Y4525" s="505"/>
    </row>
    <row r="4526" spans="1:25" s="88" customFormat="1" hidden="1" x14ac:dyDescent="0.25">
      <c r="A4526" s="258"/>
      <c r="B4526" s="258"/>
      <c r="C4526" s="261"/>
      <c r="D4526" s="258"/>
      <c r="E4526" s="679"/>
      <c r="F4526" s="499">
        <v>415</v>
      </c>
      <c r="G4526" s="492" t="s">
        <v>4141</v>
      </c>
      <c r="H4526" s="555"/>
      <c r="I4526" s="556"/>
      <c r="J4526" s="556">
        <f t="shared" si="152"/>
        <v>0</v>
      </c>
      <c r="K4526" s="505"/>
      <c r="L4526" s="505"/>
      <c r="M4526" s="505"/>
      <c r="N4526" s="505"/>
      <c r="O4526" s="505"/>
      <c r="P4526" s="505"/>
      <c r="Q4526" s="505"/>
      <c r="R4526" s="505"/>
      <c r="S4526" s="505"/>
      <c r="T4526" s="505"/>
      <c r="U4526" s="505"/>
      <c r="V4526" s="505"/>
      <c r="W4526" s="505"/>
      <c r="X4526" s="505"/>
      <c r="Y4526" s="505"/>
    </row>
    <row r="4527" spans="1:25" s="88" customFormat="1" hidden="1" x14ac:dyDescent="0.25">
      <c r="A4527" s="258"/>
      <c r="B4527" s="258"/>
      <c r="C4527" s="261"/>
      <c r="D4527" s="258"/>
      <c r="E4527" s="679"/>
      <c r="F4527" s="499">
        <v>416</v>
      </c>
      <c r="G4527" s="492" t="s">
        <v>4142</v>
      </c>
      <c r="H4527" s="555"/>
      <c r="I4527" s="556"/>
      <c r="J4527" s="556">
        <f t="shared" si="152"/>
        <v>0</v>
      </c>
      <c r="K4527" s="505"/>
      <c r="L4527" s="505"/>
      <c r="M4527" s="505"/>
      <c r="N4527" s="505"/>
      <c r="O4527" s="505"/>
      <c r="P4527" s="505"/>
      <c r="Q4527" s="505"/>
      <c r="R4527" s="505"/>
      <c r="S4527" s="505"/>
      <c r="T4527" s="505"/>
      <c r="U4527" s="505"/>
      <c r="V4527" s="505"/>
      <c r="W4527" s="505"/>
      <c r="X4527" s="505"/>
      <c r="Y4527" s="505"/>
    </row>
    <row r="4528" spans="1:25" s="88" customFormat="1" hidden="1" x14ac:dyDescent="0.25">
      <c r="A4528" s="258"/>
      <c r="B4528" s="258"/>
      <c r="C4528" s="261"/>
      <c r="D4528" s="258"/>
      <c r="E4528" s="679"/>
      <c r="F4528" s="499">
        <v>417</v>
      </c>
      <c r="G4528" s="492" t="s">
        <v>4143</v>
      </c>
      <c r="H4528" s="555"/>
      <c r="I4528" s="556"/>
      <c r="J4528" s="556">
        <f t="shared" si="152"/>
        <v>0</v>
      </c>
      <c r="K4528" s="505"/>
      <c r="L4528" s="505"/>
      <c r="M4528" s="505"/>
      <c r="N4528" s="505"/>
      <c r="O4528" s="505"/>
      <c r="P4528" s="505"/>
      <c r="Q4528" s="505"/>
      <c r="R4528" s="505"/>
      <c r="S4528" s="505"/>
      <c r="T4528" s="505"/>
      <c r="U4528" s="505"/>
      <c r="V4528" s="505"/>
      <c r="W4528" s="505"/>
      <c r="X4528" s="505"/>
      <c r="Y4528" s="505"/>
    </row>
    <row r="4529" spans="1:25" s="88" customFormat="1" hidden="1" x14ac:dyDescent="0.25">
      <c r="A4529" s="258"/>
      <c r="B4529" s="258"/>
      <c r="C4529" s="261"/>
      <c r="D4529" s="258"/>
      <c r="E4529" s="679"/>
      <c r="F4529" s="499">
        <v>418</v>
      </c>
      <c r="G4529" s="492" t="s">
        <v>3775</v>
      </c>
      <c r="H4529" s="555"/>
      <c r="I4529" s="556"/>
      <c r="J4529" s="556">
        <f t="shared" si="152"/>
        <v>0</v>
      </c>
      <c r="K4529" s="505"/>
      <c r="L4529" s="505"/>
      <c r="M4529" s="505"/>
      <c r="N4529" s="505"/>
      <c r="O4529" s="505"/>
      <c r="P4529" s="505"/>
      <c r="Q4529" s="505"/>
      <c r="R4529" s="505"/>
      <c r="S4529" s="505"/>
      <c r="T4529" s="505"/>
      <c r="U4529" s="505"/>
      <c r="V4529" s="505"/>
      <c r="W4529" s="505"/>
      <c r="X4529" s="505"/>
      <c r="Y4529" s="505"/>
    </row>
    <row r="4530" spans="1:25" s="88" customFormat="1" hidden="1" x14ac:dyDescent="0.25">
      <c r="A4530" s="258"/>
      <c r="B4530" s="258"/>
      <c r="C4530" s="261"/>
      <c r="D4530" s="258"/>
      <c r="E4530" s="679"/>
      <c r="F4530" s="499">
        <v>421</v>
      </c>
      <c r="G4530" s="492" t="s">
        <v>3779</v>
      </c>
      <c r="H4530" s="555"/>
      <c r="I4530" s="556"/>
      <c r="J4530" s="556">
        <f t="shared" si="152"/>
        <v>0</v>
      </c>
      <c r="K4530" s="505"/>
      <c r="L4530" s="505"/>
      <c r="M4530" s="505"/>
      <c r="N4530" s="505"/>
      <c r="O4530" s="505"/>
      <c r="P4530" s="505"/>
      <c r="Q4530" s="505"/>
      <c r="R4530" s="505"/>
      <c r="S4530" s="505"/>
      <c r="T4530" s="505"/>
      <c r="U4530" s="505"/>
      <c r="V4530" s="505"/>
      <c r="W4530" s="505"/>
      <c r="X4530" s="505"/>
      <c r="Y4530" s="505"/>
    </row>
    <row r="4531" spans="1:25" s="88" customFormat="1" hidden="1" x14ac:dyDescent="0.25">
      <c r="A4531" s="258"/>
      <c r="B4531" s="258"/>
      <c r="C4531" s="261"/>
      <c r="D4531" s="258"/>
      <c r="E4531" s="679"/>
      <c r="F4531" s="499">
        <v>422</v>
      </c>
      <c r="G4531" s="492" t="s">
        <v>3780</v>
      </c>
      <c r="H4531" s="555"/>
      <c r="I4531" s="556"/>
      <c r="J4531" s="556">
        <f t="shared" si="152"/>
        <v>0</v>
      </c>
      <c r="K4531" s="505"/>
      <c r="L4531" s="505"/>
      <c r="M4531" s="505"/>
      <c r="N4531" s="505"/>
      <c r="O4531" s="505"/>
      <c r="P4531" s="505"/>
      <c r="Q4531" s="505"/>
      <c r="R4531" s="505"/>
      <c r="S4531" s="505"/>
      <c r="T4531" s="505"/>
      <c r="U4531" s="505"/>
      <c r="V4531" s="505"/>
      <c r="W4531" s="505"/>
      <c r="X4531" s="505"/>
      <c r="Y4531" s="505"/>
    </row>
    <row r="4532" spans="1:25" s="88" customFormat="1" hidden="1" x14ac:dyDescent="0.25">
      <c r="A4532" s="258"/>
      <c r="B4532" s="258"/>
      <c r="C4532" s="261"/>
      <c r="D4532" s="258"/>
      <c r="E4532" s="679"/>
      <c r="F4532" s="499">
        <v>423</v>
      </c>
      <c r="G4532" s="492" t="s">
        <v>3781</v>
      </c>
      <c r="H4532" s="555"/>
      <c r="I4532" s="556"/>
      <c r="J4532" s="556">
        <f t="shared" si="152"/>
        <v>0</v>
      </c>
      <c r="K4532" s="505"/>
      <c r="L4532" s="505"/>
      <c r="M4532" s="505"/>
      <c r="N4532" s="505"/>
      <c r="O4532" s="505"/>
      <c r="P4532" s="505"/>
      <c r="Q4532" s="505"/>
      <c r="R4532" s="505"/>
      <c r="S4532" s="505"/>
      <c r="T4532" s="505"/>
      <c r="U4532" s="505"/>
      <c r="V4532" s="505"/>
      <c r="W4532" s="505"/>
      <c r="X4532" s="505"/>
      <c r="Y4532" s="505"/>
    </row>
    <row r="4533" spans="1:25" s="88" customFormat="1" hidden="1" x14ac:dyDescent="0.25">
      <c r="A4533" s="258"/>
      <c r="B4533" s="258"/>
      <c r="C4533" s="261"/>
      <c r="D4533" s="258"/>
      <c r="E4533" s="679"/>
      <c r="F4533" s="499">
        <v>424</v>
      </c>
      <c r="G4533" s="492" t="s">
        <v>3783</v>
      </c>
      <c r="H4533" s="555"/>
      <c r="I4533" s="556"/>
      <c r="J4533" s="556">
        <f t="shared" si="152"/>
        <v>0</v>
      </c>
      <c r="K4533" s="505"/>
      <c r="L4533" s="505"/>
      <c r="M4533" s="505"/>
      <c r="N4533" s="505"/>
      <c r="O4533" s="505"/>
      <c r="P4533" s="505"/>
      <c r="Q4533" s="505"/>
      <c r="R4533" s="505"/>
      <c r="S4533" s="505"/>
      <c r="T4533" s="505"/>
      <c r="U4533" s="505"/>
      <c r="V4533" s="505"/>
      <c r="W4533" s="505"/>
      <c r="X4533" s="505"/>
      <c r="Y4533" s="505"/>
    </row>
    <row r="4534" spans="1:25" s="88" customFormat="1" hidden="1" x14ac:dyDescent="0.25">
      <c r="A4534" s="258"/>
      <c r="B4534" s="258"/>
      <c r="C4534" s="261"/>
      <c r="D4534" s="258"/>
      <c r="E4534" s="679"/>
      <c r="F4534" s="499">
        <v>425</v>
      </c>
      <c r="G4534" s="492" t="s">
        <v>4144</v>
      </c>
      <c r="H4534" s="555"/>
      <c r="I4534" s="556"/>
      <c r="J4534" s="556">
        <f t="shared" si="152"/>
        <v>0</v>
      </c>
      <c r="K4534" s="505"/>
      <c r="L4534" s="505"/>
      <c r="M4534" s="505"/>
      <c r="N4534" s="505"/>
      <c r="O4534" s="505"/>
      <c r="P4534" s="505"/>
      <c r="Q4534" s="505"/>
      <c r="R4534" s="505"/>
      <c r="S4534" s="505"/>
      <c r="T4534" s="505"/>
      <c r="U4534" s="505"/>
      <c r="V4534" s="505"/>
      <c r="W4534" s="505"/>
      <c r="X4534" s="505"/>
      <c r="Y4534" s="505"/>
    </row>
    <row r="4535" spans="1:25" s="88" customFormat="1" hidden="1" x14ac:dyDescent="0.25">
      <c r="A4535" s="258"/>
      <c r="B4535" s="258"/>
      <c r="C4535" s="261"/>
      <c r="D4535" s="258"/>
      <c r="E4535" s="679"/>
      <c r="F4535" s="499">
        <v>426</v>
      </c>
      <c r="G4535" s="492" t="s">
        <v>3787</v>
      </c>
      <c r="H4535" s="555"/>
      <c r="I4535" s="556"/>
      <c r="J4535" s="556">
        <f t="shared" si="152"/>
        <v>0</v>
      </c>
      <c r="K4535" s="505"/>
      <c r="L4535" s="505"/>
      <c r="M4535" s="505"/>
      <c r="N4535" s="505"/>
      <c r="O4535" s="505"/>
      <c r="P4535" s="505"/>
      <c r="Q4535" s="505"/>
      <c r="R4535" s="505"/>
      <c r="S4535" s="505"/>
      <c r="T4535" s="505"/>
      <c r="U4535" s="505"/>
      <c r="V4535" s="505"/>
      <c r="W4535" s="505"/>
      <c r="X4535" s="505"/>
      <c r="Y4535" s="505"/>
    </row>
    <row r="4536" spans="1:25" s="88" customFormat="1" hidden="1" x14ac:dyDescent="0.25">
      <c r="A4536" s="258"/>
      <c r="B4536" s="258"/>
      <c r="C4536" s="261"/>
      <c r="D4536" s="258"/>
      <c r="E4536" s="679"/>
      <c r="F4536" s="499">
        <v>431</v>
      </c>
      <c r="G4536" s="492" t="s">
        <v>4145</v>
      </c>
      <c r="H4536" s="555"/>
      <c r="I4536" s="556"/>
      <c r="J4536" s="556">
        <f t="shared" si="152"/>
        <v>0</v>
      </c>
      <c r="K4536" s="505"/>
      <c r="L4536" s="505"/>
      <c r="M4536" s="505"/>
      <c r="N4536" s="505"/>
      <c r="O4536" s="505"/>
      <c r="P4536" s="505"/>
      <c r="Q4536" s="505"/>
      <c r="R4536" s="505"/>
      <c r="S4536" s="505"/>
      <c r="T4536" s="505"/>
      <c r="U4536" s="505"/>
      <c r="V4536" s="505"/>
      <c r="W4536" s="505"/>
      <c r="X4536" s="505"/>
      <c r="Y4536" s="505"/>
    </row>
    <row r="4537" spans="1:25" s="88" customFormat="1" hidden="1" x14ac:dyDescent="0.25">
      <c r="A4537" s="258"/>
      <c r="B4537" s="258"/>
      <c r="C4537" s="261"/>
      <c r="D4537" s="258"/>
      <c r="E4537" s="679"/>
      <c r="F4537" s="499">
        <v>432</v>
      </c>
      <c r="G4537" s="492" t="s">
        <v>4146</v>
      </c>
      <c r="H4537" s="555"/>
      <c r="I4537" s="556"/>
      <c r="J4537" s="556">
        <f t="shared" si="152"/>
        <v>0</v>
      </c>
      <c r="K4537" s="505"/>
      <c r="L4537" s="505"/>
      <c r="M4537" s="505"/>
      <c r="N4537" s="505"/>
      <c r="O4537" s="505"/>
      <c r="P4537" s="505"/>
      <c r="Q4537" s="505"/>
      <c r="R4537" s="505"/>
      <c r="S4537" s="505"/>
      <c r="T4537" s="505"/>
      <c r="U4537" s="505"/>
      <c r="V4537" s="505"/>
      <c r="W4537" s="505"/>
      <c r="X4537" s="505"/>
      <c r="Y4537" s="505"/>
    </row>
    <row r="4538" spans="1:25" s="88" customFormat="1" hidden="1" x14ac:dyDescent="0.25">
      <c r="A4538" s="258"/>
      <c r="B4538" s="258"/>
      <c r="C4538" s="261"/>
      <c r="D4538" s="258"/>
      <c r="E4538" s="679"/>
      <c r="F4538" s="499">
        <v>433</v>
      </c>
      <c r="G4538" s="492" t="s">
        <v>4147</v>
      </c>
      <c r="H4538" s="555"/>
      <c r="I4538" s="556"/>
      <c r="J4538" s="556">
        <f t="shared" si="152"/>
        <v>0</v>
      </c>
      <c r="K4538" s="505"/>
      <c r="L4538" s="505"/>
      <c r="M4538" s="505"/>
      <c r="N4538" s="505"/>
      <c r="O4538" s="505"/>
      <c r="P4538" s="505"/>
      <c r="Q4538" s="505"/>
      <c r="R4538" s="505"/>
      <c r="S4538" s="505"/>
      <c r="T4538" s="505"/>
      <c r="U4538" s="505"/>
      <c r="V4538" s="505"/>
      <c r="W4538" s="505"/>
      <c r="X4538" s="505"/>
      <c r="Y4538" s="505"/>
    </row>
    <row r="4539" spans="1:25" s="88" customFormat="1" hidden="1" x14ac:dyDescent="0.25">
      <c r="A4539" s="258"/>
      <c r="B4539" s="258"/>
      <c r="C4539" s="261"/>
      <c r="D4539" s="258"/>
      <c r="E4539" s="679"/>
      <c r="F4539" s="499">
        <v>434</v>
      </c>
      <c r="G4539" s="492" t="s">
        <v>4148</v>
      </c>
      <c r="H4539" s="555"/>
      <c r="I4539" s="556"/>
      <c r="J4539" s="556">
        <f t="shared" si="152"/>
        <v>0</v>
      </c>
      <c r="K4539" s="505"/>
      <c r="L4539" s="505"/>
      <c r="M4539" s="505"/>
      <c r="N4539" s="505"/>
      <c r="O4539" s="505"/>
      <c r="P4539" s="505"/>
      <c r="Q4539" s="505"/>
      <c r="R4539" s="505"/>
      <c r="S4539" s="505"/>
      <c r="T4539" s="505"/>
      <c r="U4539" s="505"/>
      <c r="V4539" s="505"/>
      <c r="W4539" s="505"/>
      <c r="X4539" s="505"/>
      <c r="Y4539" s="505"/>
    </row>
    <row r="4540" spans="1:25" s="88" customFormat="1" hidden="1" x14ac:dyDescent="0.25">
      <c r="A4540" s="258"/>
      <c r="B4540" s="258"/>
      <c r="C4540" s="261"/>
      <c r="D4540" s="258"/>
      <c r="E4540" s="679"/>
      <c r="F4540" s="499">
        <v>435</v>
      </c>
      <c r="G4540" s="492" t="s">
        <v>3794</v>
      </c>
      <c r="H4540" s="555"/>
      <c r="I4540" s="556"/>
      <c r="J4540" s="556">
        <f t="shared" si="152"/>
        <v>0</v>
      </c>
      <c r="K4540" s="505"/>
      <c r="L4540" s="505"/>
      <c r="M4540" s="505"/>
      <c r="N4540" s="505"/>
      <c r="O4540" s="505"/>
      <c r="P4540" s="505"/>
      <c r="Q4540" s="505"/>
      <c r="R4540" s="505"/>
      <c r="S4540" s="505"/>
      <c r="T4540" s="505"/>
      <c r="U4540" s="505"/>
      <c r="V4540" s="505"/>
      <c r="W4540" s="505"/>
      <c r="X4540" s="505"/>
      <c r="Y4540" s="505"/>
    </row>
    <row r="4541" spans="1:25" s="88" customFormat="1" hidden="1" x14ac:dyDescent="0.25">
      <c r="A4541" s="258"/>
      <c r="B4541" s="258"/>
      <c r="C4541" s="261"/>
      <c r="D4541" s="258"/>
      <c r="E4541" s="679"/>
      <c r="F4541" s="499">
        <v>441</v>
      </c>
      <c r="G4541" s="492" t="s">
        <v>4149</v>
      </c>
      <c r="H4541" s="555"/>
      <c r="I4541" s="556"/>
      <c r="J4541" s="556">
        <f t="shared" si="152"/>
        <v>0</v>
      </c>
      <c r="K4541" s="505"/>
      <c r="L4541" s="505"/>
      <c r="M4541" s="505"/>
      <c r="N4541" s="505"/>
      <c r="O4541" s="505"/>
      <c r="P4541" s="505"/>
      <c r="Q4541" s="505"/>
      <c r="R4541" s="505"/>
      <c r="S4541" s="505"/>
      <c r="T4541" s="505"/>
      <c r="U4541" s="505"/>
      <c r="V4541" s="505"/>
      <c r="W4541" s="505"/>
      <c r="X4541" s="505"/>
      <c r="Y4541" s="505"/>
    </row>
    <row r="4542" spans="1:25" s="88" customFormat="1" hidden="1" x14ac:dyDescent="0.25">
      <c r="A4542" s="258"/>
      <c r="B4542" s="258"/>
      <c r="C4542" s="261"/>
      <c r="D4542" s="258"/>
      <c r="E4542" s="679"/>
      <c r="F4542" s="499">
        <v>442</v>
      </c>
      <c r="G4542" s="492" t="s">
        <v>4150</v>
      </c>
      <c r="H4542" s="555"/>
      <c r="I4542" s="556"/>
      <c r="J4542" s="556">
        <f t="shared" si="152"/>
        <v>0</v>
      </c>
      <c r="K4542" s="505"/>
      <c r="L4542" s="505"/>
      <c r="M4542" s="505"/>
      <c r="N4542" s="505"/>
      <c r="O4542" s="505"/>
      <c r="P4542" s="505"/>
      <c r="Q4542" s="505"/>
      <c r="R4542" s="505"/>
      <c r="S4542" s="505"/>
      <c r="T4542" s="505"/>
      <c r="U4542" s="505"/>
      <c r="V4542" s="505"/>
      <c r="W4542" s="505"/>
      <c r="X4542" s="505"/>
      <c r="Y4542" s="505"/>
    </row>
    <row r="4543" spans="1:25" s="88" customFormat="1" hidden="1" x14ac:dyDescent="0.25">
      <c r="A4543" s="258"/>
      <c r="B4543" s="258"/>
      <c r="C4543" s="261"/>
      <c r="D4543" s="258"/>
      <c r="E4543" s="679"/>
      <c r="F4543" s="499">
        <v>443</v>
      </c>
      <c r="G4543" s="492" t="s">
        <v>3799</v>
      </c>
      <c r="H4543" s="555"/>
      <c r="I4543" s="556"/>
      <c r="J4543" s="556">
        <f t="shared" si="152"/>
        <v>0</v>
      </c>
      <c r="K4543" s="505"/>
      <c r="L4543" s="505"/>
      <c r="M4543" s="505"/>
      <c r="N4543" s="505"/>
      <c r="O4543" s="505"/>
      <c r="P4543" s="505"/>
      <c r="Q4543" s="505"/>
      <c r="R4543" s="505"/>
      <c r="S4543" s="505"/>
      <c r="T4543" s="505"/>
      <c r="U4543" s="505"/>
      <c r="V4543" s="505"/>
      <c r="W4543" s="505"/>
      <c r="X4543" s="505"/>
      <c r="Y4543" s="505"/>
    </row>
    <row r="4544" spans="1:25" s="88" customFormat="1" hidden="1" x14ac:dyDescent="0.25">
      <c r="A4544" s="258"/>
      <c r="B4544" s="258"/>
      <c r="C4544" s="261"/>
      <c r="D4544" s="258"/>
      <c r="E4544" s="679"/>
      <c r="F4544" s="499">
        <v>444</v>
      </c>
      <c r="G4544" s="492" t="s">
        <v>3800</v>
      </c>
      <c r="H4544" s="555"/>
      <c r="I4544" s="556"/>
      <c r="J4544" s="556">
        <f t="shared" si="152"/>
        <v>0</v>
      </c>
      <c r="K4544" s="505"/>
      <c r="L4544" s="505"/>
      <c r="M4544" s="505"/>
      <c r="N4544" s="505"/>
      <c r="O4544" s="505"/>
      <c r="P4544" s="505"/>
      <c r="Q4544" s="505"/>
      <c r="R4544" s="505"/>
      <c r="S4544" s="505"/>
      <c r="T4544" s="505"/>
      <c r="U4544" s="505"/>
      <c r="V4544" s="505"/>
      <c r="W4544" s="505"/>
      <c r="X4544" s="505"/>
      <c r="Y4544" s="505"/>
    </row>
    <row r="4545" spans="1:25" s="88" customFormat="1" ht="30" hidden="1" x14ac:dyDescent="0.25">
      <c r="A4545" s="258"/>
      <c r="B4545" s="258"/>
      <c r="C4545" s="261"/>
      <c r="D4545" s="258"/>
      <c r="E4545" s="679"/>
      <c r="F4545" s="499">
        <v>4511</v>
      </c>
      <c r="G4545" s="771" t="s">
        <v>1690</v>
      </c>
      <c r="H4545" s="555"/>
      <c r="I4545" s="556"/>
      <c r="J4545" s="556">
        <f t="shared" si="152"/>
        <v>0</v>
      </c>
      <c r="K4545" s="505"/>
      <c r="L4545" s="505"/>
      <c r="M4545" s="505"/>
      <c r="N4545" s="505"/>
      <c r="O4545" s="505"/>
      <c r="P4545" s="505"/>
      <c r="Q4545" s="505"/>
      <c r="R4545" s="505"/>
      <c r="S4545" s="505"/>
      <c r="T4545" s="505"/>
      <c r="U4545" s="505"/>
      <c r="V4545" s="505"/>
      <c r="W4545" s="505"/>
      <c r="X4545" s="505"/>
      <c r="Y4545" s="505"/>
    </row>
    <row r="4546" spans="1:25" s="88" customFormat="1" ht="30" hidden="1" x14ac:dyDescent="0.25">
      <c r="A4546" s="258"/>
      <c r="B4546" s="258"/>
      <c r="C4546" s="261"/>
      <c r="D4546" s="258"/>
      <c r="E4546" s="679"/>
      <c r="F4546" s="499">
        <v>4512</v>
      </c>
      <c r="G4546" s="771" t="s">
        <v>1699</v>
      </c>
      <c r="H4546" s="555"/>
      <c r="I4546" s="556"/>
      <c r="J4546" s="556">
        <f t="shared" si="152"/>
        <v>0</v>
      </c>
      <c r="K4546" s="505"/>
      <c r="L4546" s="505"/>
      <c r="M4546" s="505"/>
      <c r="N4546" s="505"/>
      <c r="O4546" s="505"/>
      <c r="P4546" s="505"/>
      <c r="Q4546" s="505"/>
      <c r="R4546" s="505"/>
      <c r="S4546" s="505"/>
      <c r="T4546" s="505"/>
      <c r="U4546" s="505"/>
      <c r="V4546" s="505"/>
      <c r="W4546" s="505"/>
      <c r="X4546" s="505"/>
      <c r="Y4546" s="505"/>
    </row>
    <row r="4547" spans="1:25" s="88" customFormat="1" hidden="1" x14ac:dyDescent="0.25">
      <c r="A4547" s="258"/>
      <c r="B4547" s="258"/>
      <c r="C4547" s="261"/>
      <c r="D4547" s="258"/>
      <c r="E4547" s="679"/>
      <c r="F4547" s="499">
        <v>452</v>
      </c>
      <c r="G4547" s="492" t="s">
        <v>4151</v>
      </c>
      <c r="H4547" s="555"/>
      <c r="I4547" s="556"/>
      <c r="J4547" s="556">
        <f t="shared" si="152"/>
        <v>0</v>
      </c>
      <c r="K4547" s="505"/>
      <c r="L4547" s="505"/>
      <c r="M4547" s="505"/>
      <c r="N4547" s="505"/>
      <c r="O4547" s="505"/>
      <c r="P4547" s="505"/>
      <c r="Q4547" s="505"/>
      <c r="R4547" s="505"/>
      <c r="S4547" s="505"/>
      <c r="T4547" s="505"/>
      <c r="U4547" s="505"/>
      <c r="V4547" s="505"/>
      <c r="W4547" s="505"/>
      <c r="X4547" s="505"/>
      <c r="Y4547" s="505"/>
    </row>
    <row r="4548" spans="1:25" s="88" customFormat="1" hidden="1" x14ac:dyDescent="0.25">
      <c r="A4548" s="258"/>
      <c r="B4548" s="258"/>
      <c r="C4548" s="261"/>
      <c r="D4548" s="258"/>
      <c r="E4548" s="679"/>
      <c r="F4548" s="499">
        <v>453</v>
      </c>
      <c r="G4548" s="492" t="s">
        <v>4152</v>
      </c>
      <c r="H4548" s="555"/>
      <c r="I4548" s="556"/>
      <c r="J4548" s="556">
        <f t="shared" si="152"/>
        <v>0</v>
      </c>
      <c r="K4548" s="505"/>
      <c r="L4548" s="505"/>
      <c r="M4548" s="505"/>
      <c r="N4548" s="505"/>
      <c r="O4548" s="505"/>
      <c r="P4548" s="505"/>
      <c r="Q4548" s="505"/>
      <c r="R4548" s="505"/>
      <c r="S4548" s="505"/>
      <c r="T4548" s="505"/>
      <c r="U4548" s="505"/>
      <c r="V4548" s="505"/>
      <c r="W4548" s="505"/>
      <c r="X4548" s="505"/>
      <c r="Y4548" s="505"/>
    </row>
    <row r="4549" spans="1:25" s="88" customFormat="1" hidden="1" x14ac:dyDescent="0.25">
      <c r="A4549" s="258"/>
      <c r="B4549" s="258"/>
      <c r="C4549" s="261"/>
      <c r="D4549" s="258"/>
      <c r="E4549" s="679"/>
      <c r="F4549" s="499">
        <v>454</v>
      </c>
      <c r="G4549" s="492" t="s">
        <v>3805</v>
      </c>
      <c r="H4549" s="555"/>
      <c r="I4549" s="556"/>
      <c r="J4549" s="556">
        <f t="shared" si="152"/>
        <v>0</v>
      </c>
      <c r="K4549" s="505"/>
      <c r="L4549" s="505"/>
      <c r="M4549" s="505"/>
      <c r="N4549" s="505"/>
      <c r="O4549" s="505"/>
      <c r="P4549" s="505"/>
      <c r="Q4549" s="505"/>
      <c r="R4549" s="505"/>
      <c r="S4549" s="505"/>
      <c r="T4549" s="505"/>
      <c r="U4549" s="505"/>
      <c r="V4549" s="505"/>
      <c r="W4549" s="505"/>
      <c r="X4549" s="505"/>
      <c r="Y4549" s="505"/>
    </row>
    <row r="4550" spans="1:25" s="88" customFormat="1" hidden="1" x14ac:dyDescent="0.25">
      <c r="A4550" s="258"/>
      <c r="B4550" s="258"/>
      <c r="C4550" s="261"/>
      <c r="D4550" s="258"/>
      <c r="E4550" s="679"/>
      <c r="F4550" s="499">
        <v>461</v>
      </c>
      <c r="G4550" s="492" t="s">
        <v>4133</v>
      </c>
      <c r="H4550" s="555"/>
      <c r="I4550" s="556"/>
      <c r="J4550" s="556">
        <f t="shared" si="152"/>
        <v>0</v>
      </c>
      <c r="K4550" s="505"/>
      <c r="L4550" s="505"/>
      <c r="M4550" s="505"/>
      <c r="N4550" s="505"/>
      <c r="O4550" s="505"/>
      <c r="P4550" s="505"/>
      <c r="Q4550" s="505"/>
      <c r="R4550" s="505"/>
      <c r="S4550" s="505"/>
      <c r="T4550" s="505"/>
      <c r="U4550" s="505"/>
      <c r="V4550" s="505"/>
      <c r="W4550" s="505"/>
      <c r="X4550" s="505"/>
      <c r="Y4550" s="505"/>
    </row>
    <row r="4551" spans="1:25" s="88" customFormat="1" hidden="1" x14ac:dyDescent="0.25">
      <c r="A4551" s="258"/>
      <c r="B4551" s="258"/>
      <c r="C4551" s="261"/>
      <c r="D4551" s="258"/>
      <c r="E4551" s="679"/>
      <c r="F4551" s="499">
        <v>462</v>
      </c>
      <c r="G4551" s="492" t="s">
        <v>3808</v>
      </c>
      <c r="H4551" s="555"/>
      <c r="I4551" s="556"/>
      <c r="J4551" s="556">
        <f t="shared" si="152"/>
        <v>0</v>
      </c>
      <c r="K4551" s="505"/>
      <c r="L4551" s="505"/>
      <c r="M4551" s="505"/>
      <c r="N4551" s="505"/>
      <c r="O4551" s="505"/>
      <c r="P4551" s="505"/>
      <c r="Q4551" s="505"/>
      <c r="R4551" s="505"/>
      <c r="S4551" s="505"/>
      <c r="T4551" s="505"/>
      <c r="U4551" s="505"/>
      <c r="V4551" s="505"/>
      <c r="W4551" s="505"/>
      <c r="X4551" s="505"/>
      <c r="Y4551" s="505"/>
    </row>
    <row r="4552" spans="1:25" s="88" customFormat="1" x14ac:dyDescent="0.25">
      <c r="A4552" s="258"/>
      <c r="B4552" s="258"/>
      <c r="C4552" s="261"/>
      <c r="D4552" s="258"/>
      <c r="E4552" s="679">
        <v>130</v>
      </c>
      <c r="F4552" s="499">
        <v>4631</v>
      </c>
      <c r="G4552" s="492" t="s">
        <v>3809</v>
      </c>
      <c r="H4552" s="555">
        <v>8075000</v>
      </c>
      <c r="I4552" s="556"/>
      <c r="J4552" s="556">
        <f t="shared" si="152"/>
        <v>8075000</v>
      </c>
      <c r="K4552" s="505"/>
      <c r="L4552" s="505"/>
      <c r="M4552" s="505"/>
      <c r="N4552" s="505"/>
      <c r="O4552" s="505"/>
      <c r="P4552" s="505"/>
      <c r="Q4552" s="505"/>
      <c r="R4552" s="505"/>
      <c r="S4552" s="505"/>
      <c r="T4552" s="505"/>
      <c r="U4552" s="505"/>
      <c r="V4552" s="505"/>
      <c r="W4552" s="505"/>
      <c r="X4552" s="505"/>
      <c r="Y4552" s="505"/>
    </row>
    <row r="4553" spans="1:25" s="88" customFormat="1" ht="15.75" thickBot="1" x14ac:dyDescent="0.3">
      <c r="A4553" s="258"/>
      <c r="B4553" s="258"/>
      <c r="C4553" s="261"/>
      <c r="D4553" s="258"/>
      <c r="E4553" s="679">
        <v>131</v>
      </c>
      <c r="F4553" s="499">
        <v>4632</v>
      </c>
      <c r="G4553" s="492" t="s">
        <v>3810</v>
      </c>
      <c r="H4553" s="555">
        <v>1710000</v>
      </c>
      <c r="I4553" s="556"/>
      <c r="J4553" s="556">
        <f t="shared" si="152"/>
        <v>1710000</v>
      </c>
      <c r="K4553" s="505"/>
      <c r="L4553" s="505"/>
      <c r="M4553" s="505"/>
      <c r="N4553" s="505"/>
      <c r="O4553" s="505"/>
      <c r="P4553" s="505"/>
      <c r="Q4553" s="505"/>
      <c r="R4553" s="505"/>
      <c r="S4553" s="505"/>
      <c r="T4553" s="505"/>
      <c r="U4553" s="505"/>
      <c r="V4553" s="505"/>
      <c r="W4553" s="505"/>
      <c r="X4553" s="505"/>
      <c r="Y4553" s="505"/>
    </row>
    <row r="4554" spans="1:25" s="88" customFormat="1" hidden="1" x14ac:dyDescent="0.25">
      <c r="A4554" s="258"/>
      <c r="B4554" s="258"/>
      <c r="C4554" s="261"/>
      <c r="D4554" s="258"/>
      <c r="E4554" s="679"/>
      <c r="F4554" s="499">
        <v>464</v>
      </c>
      <c r="G4554" s="492" t="s">
        <v>3811</v>
      </c>
      <c r="H4554" s="555"/>
      <c r="I4554" s="556"/>
      <c r="J4554" s="556">
        <f t="shared" si="152"/>
        <v>0</v>
      </c>
      <c r="K4554" s="505"/>
      <c r="L4554" s="505"/>
      <c r="M4554" s="505"/>
      <c r="N4554" s="505"/>
      <c r="O4554" s="505"/>
      <c r="P4554" s="505"/>
      <c r="Q4554" s="505"/>
      <c r="R4554" s="505"/>
      <c r="S4554" s="505"/>
      <c r="T4554" s="505"/>
      <c r="U4554" s="505"/>
      <c r="V4554" s="505"/>
      <c r="W4554" s="505"/>
      <c r="X4554" s="505"/>
      <c r="Y4554" s="505"/>
    </row>
    <row r="4555" spans="1:25" s="88" customFormat="1" hidden="1" x14ac:dyDescent="0.25">
      <c r="A4555" s="258"/>
      <c r="B4555" s="258"/>
      <c r="C4555" s="261"/>
      <c r="D4555" s="258"/>
      <c r="E4555" s="679"/>
      <c r="F4555" s="499">
        <v>465</v>
      </c>
      <c r="G4555" s="492" t="s">
        <v>4134</v>
      </c>
      <c r="H4555" s="555"/>
      <c r="I4555" s="556"/>
      <c r="J4555" s="556">
        <f t="shared" si="152"/>
        <v>0</v>
      </c>
      <c r="K4555" s="505"/>
      <c r="L4555" s="505"/>
      <c r="M4555" s="505"/>
      <c r="N4555" s="505"/>
      <c r="O4555" s="505"/>
      <c r="P4555" s="505"/>
      <c r="Q4555" s="505"/>
      <c r="R4555" s="505"/>
      <c r="S4555" s="505"/>
      <c r="T4555" s="505"/>
      <c r="U4555" s="505"/>
      <c r="V4555" s="505"/>
      <c r="W4555" s="505"/>
      <c r="X4555" s="505"/>
      <c r="Y4555" s="505"/>
    </row>
    <row r="4556" spans="1:25" s="88" customFormat="1" hidden="1" x14ac:dyDescent="0.25">
      <c r="A4556" s="258"/>
      <c r="B4556" s="258"/>
      <c r="C4556" s="261"/>
      <c r="D4556" s="258"/>
      <c r="E4556" s="679"/>
      <c r="F4556" s="499">
        <v>472</v>
      </c>
      <c r="G4556" s="492" t="s">
        <v>3815</v>
      </c>
      <c r="H4556" s="555"/>
      <c r="I4556" s="556"/>
      <c r="J4556" s="556">
        <f t="shared" si="152"/>
        <v>0</v>
      </c>
      <c r="K4556" s="505"/>
      <c r="L4556" s="505"/>
      <c r="M4556" s="505"/>
      <c r="N4556" s="505"/>
      <c r="O4556" s="505"/>
      <c r="P4556" s="505"/>
      <c r="Q4556" s="505"/>
      <c r="R4556" s="505"/>
      <c r="S4556" s="505"/>
      <c r="T4556" s="505"/>
      <c r="U4556" s="505"/>
      <c r="V4556" s="505"/>
      <c r="W4556" s="505"/>
      <c r="X4556" s="505"/>
      <c r="Y4556" s="505"/>
    </row>
    <row r="4557" spans="1:25" s="88" customFormat="1" hidden="1" x14ac:dyDescent="0.25">
      <c r="A4557" s="258"/>
      <c r="B4557" s="258"/>
      <c r="C4557" s="261"/>
      <c r="D4557" s="258"/>
      <c r="E4557" s="679"/>
      <c r="F4557" s="499">
        <v>481</v>
      </c>
      <c r="G4557" s="492" t="s">
        <v>4153</v>
      </c>
      <c r="H4557" s="555"/>
      <c r="I4557" s="556"/>
      <c r="J4557" s="556">
        <f t="shared" si="152"/>
        <v>0</v>
      </c>
      <c r="K4557" s="505"/>
      <c r="L4557" s="505"/>
      <c r="M4557" s="505"/>
      <c r="N4557" s="505"/>
      <c r="O4557" s="505"/>
      <c r="P4557" s="505"/>
      <c r="Q4557" s="505"/>
      <c r="R4557" s="505"/>
      <c r="S4557" s="505"/>
      <c r="T4557" s="505"/>
      <c r="U4557" s="505"/>
      <c r="V4557" s="505"/>
      <c r="W4557" s="505"/>
      <c r="X4557" s="505"/>
      <c r="Y4557" s="505"/>
    </row>
    <row r="4558" spans="1:25" s="88" customFormat="1" hidden="1" x14ac:dyDescent="0.25">
      <c r="A4558" s="258"/>
      <c r="B4558" s="258"/>
      <c r="C4558" s="261"/>
      <c r="D4558" s="258"/>
      <c r="E4558" s="679"/>
      <c r="F4558" s="499">
        <v>482</v>
      </c>
      <c r="G4558" s="492" t="s">
        <v>4154</v>
      </c>
      <c r="H4558" s="555"/>
      <c r="I4558" s="556"/>
      <c r="J4558" s="556">
        <f t="shared" si="152"/>
        <v>0</v>
      </c>
      <c r="K4558" s="505"/>
      <c r="L4558" s="505"/>
      <c r="M4558" s="505"/>
      <c r="N4558" s="505"/>
      <c r="O4558" s="505"/>
      <c r="P4558" s="505"/>
      <c r="Q4558" s="505"/>
      <c r="R4558" s="505"/>
      <c r="S4558" s="505"/>
      <c r="T4558" s="505"/>
      <c r="U4558" s="505"/>
      <c r="V4558" s="505"/>
      <c r="W4558" s="505"/>
      <c r="X4558" s="505"/>
      <c r="Y4558" s="505"/>
    </row>
    <row r="4559" spans="1:25" s="88" customFormat="1" hidden="1" x14ac:dyDescent="0.25">
      <c r="A4559" s="258"/>
      <c r="B4559" s="258"/>
      <c r="C4559" s="261"/>
      <c r="D4559" s="258"/>
      <c r="E4559" s="679"/>
      <c r="F4559" s="499">
        <v>483</v>
      </c>
      <c r="G4559" s="496" t="s">
        <v>4155</v>
      </c>
      <c r="H4559" s="555"/>
      <c r="I4559" s="556"/>
      <c r="J4559" s="556">
        <f t="shared" si="152"/>
        <v>0</v>
      </c>
      <c r="K4559" s="505"/>
      <c r="L4559" s="505"/>
      <c r="M4559" s="505"/>
      <c r="N4559" s="505"/>
      <c r="O4559" s="505"/>
      <c r="P4559" s="505"/>
      <c r="Q4559" s="505"/>
      <c r="R4559" s="505"/>
      <c r="S4559" s="505"/>
      <c r="T4559" s="505"/>
      <c r="U4559" s="505"/>
      <c r="V4559" s="505"/>
      <c r="W4559" s="505"/>
      <c r="X4559" s="505"/>
      <c r="Y4559" s="505"/>
    </row>
    <row r="4560" spans="1:25" s="88" customFormat="1" ht="30" hidden="1" x14ac:dyDescent="0.25">
      <c r="A4560" s="258"/>
      <c r="B4560" s="258"/>
      <c r="C4560" s="261"/>
      <c r="D4560" s="258"/>
      <c r="E4560" s="679"/>
      <c r="F4560" s="499">
        <v>484</v>
      </c>
      <c r="G4560" s="492" t="s">
        <v>4156</v>
      </c>
      <c r="H4560" s="555"/>
      <c r="I4560" s="556"/>
      <c r="J4560" s="556">
        <f t="shared" si="152"/>
        <v>0</v>
      </c>
      <c r="K4560" s="505"/>
      <c r="L4560" s="505"/>
      <c r="M4560" s="505"/>
      <c r="N4560" s="505"/>
      <c r="O4560" s="505"/>
      <c r="P4560" s="505"/>
      <c r="Q4560" s="505"/>
      <c r="R4560" s="505"/>
      <c r="S4560" s="505"/>
      <c r="T4560" s="505"/>
      <c r="U4560" s="505"/>
      <c r="V4560" s="505"/>
      <c r="W4560" s="505"/>
      <c r="X4560" s="505"/>
      <c r="Y4560" s="505"/>
    </row>
    <row r="4561" spans="1:25" s="88" customFormat="1" ht="30" hidden="1" x14ac:dyDescent="0.25">
      <c r="A4561" s="258"/>
      <c r="B4561" s="258"/>
      <c r="C4561" s="261"/>
      <c r="D4561" s="258"/>
      <c r="E4561" s="679"/>
      <c r="F4561" s="499">
        <v>485</v>
      </c>
      <c r="G4561" s="492" t="s">
        <v>4157</v>
      </c>
      <c r="H4561" s="555"/>
      <c r="I4561" s="556"/>
      <c r="J4561" s="556">
        <f t="shared" si="152"/>
        <v>0</v>
      </c>
      <c r="K4561" s="505"/>
      <c r="L4561" s="505"/>
      <c r="M4561" s="505"/>
      <c r="N4561" s="505"/>
      <c r="O4561" s="505"/>
      <c r="P4561" s="505"/>
      <c r="Q4561" s="505"/>
      <c r="R4561" s="505"/>
      <c r="S4561" s="505"/>
      <c r="T4561" s="505"/>
      <c r="U4561" s="505"/>
      <c r="V4561" s="505"/>
      <c r="W4561" s="505"/>
      <c r="X4561" s="505"/>
      <c r="Y4561" s="505"/>
    </row>
    <row r="4562" spans="1:25" s="88" customFormat="1" ht="30" hidden="1" x14ac:dyDescent="0.25">
      <c r="A4562" s="258"/>
      <c r="B4562" s="258"/>
      <c r="C4562" s="261"/>
      <c r="D4562" s="258"/>
      <c r="E4562" s="679"/>
      <c r="F4562" s="499">
        <v>489</v>
      </c>
      <c r="G4562" s="492" t="s">
        <v>3823</v>
      </c>
      <c r="H4562" s="555"/>
      <c r="I4562" s="556"/>
      <c r="J4562" s="556">
        <f t="shared" si="152"/>
        <v>0</v>
      </c>
      <c r="K4562" s="505"/>
      <c r="L4562" s="505"/>
      <c r="M4562" s="505"/>
      <c r="N4562" s="505"/>
      <c r="O4562" s="505"/>
      <c r="P4562" s="505"/>
      <c r="Q4562" s="505"/>
      <c r="R4562" s="505"/>
      <c r="S4562" s="505"/>
      <c r="T4562" s="505"/>
      <c r="U4562" s="505"/>
      <c r="V4562" s="505"/>
      <c r="W4562" s="505"/>
      <c r="X4562" s="505"/>
      <c r="Y4562" s="505"/>
    </row>
    <row r="4563" spans="1:25" s="88" customFormat="1" hidden="1" x14ac:dyDescent="0.25">
      <c r="A4563" s="258"/>
      <c r="B4563" s="258"/>
      <c r="C4563" s="261"/>
      <c r="D4563" s="258"/>
      <c r="E4563" s="679"/>
      <c r="F4563" s="499">
        <v>494</v>
      </c>
      <c r="G4563" s="492" t="s">
        <v>4135</v>
      </c>
      <c r="H4563" s="555"/>
      <c r="I4563" s="556"/>
      <c r="J4563" s="556">
        <f t="shared" si="152"/>
        <v>0</v>
      </c>
      <c r="K4563" s="505"/>
      <c r="L4563" s="505"/>
      <c r="M4563" s="505"/>
      <c r="N4563" s="505"/>
      <c r="O4563" s="505"/>
      <c r="P4563" s="505"/>
      <c r="Q4563" s="505"/>
      <c r="R4563" s="505"/>
      <c r="S4563" s="505"/>
      <c r="T4563" s="505"/>
      <c r="U4563" s="505"/>
      <c r="V4563" s="505"/>
      <c r="W4563" s="505"/>
      <c r="X4563" s="505"/>
      <c r="Y4563" s="505"/>
    </row>
    <row r="4564" spans="1:25" s="88" customFormat="1" ht="30" hidden="1" x14ac:dyDescent="0.25">
      <c r="A4564" s="258"/>
      <c r="B4564" s="258"/>
      <c r="C4564" s="261"/>
      <c r="D4564" s="258"/>
      <c r="E4564" s="679"/>
      <c r="F4564" s="499">
        <v>495</v>
      </c>
      <c r="G4564" s="492" t="s">
        <v>4136</v>
      </c>
      <c r="H4564" s="555"/>
      <c r="I4564" s="556"/>
      <c r="J4564" s="556">
        <f t="shared" si="152"/>
        <v>0</v>
      </c>
      <c r="K4564" s="505"/>
      <c r="L4564" s="505"/>
      <c r="M4564" s="505"/>
      <c r="N4564" s="505"/>
      <c r="O4564" s="505"/>
      <c r="P4564" s="505"/>
      <c r="Q4564" s="505"/>
      <c r="R4564" s="505"/>
      <c r="S4564" s="505"/>
      <c r="T4564" s="505"/>
      <c r="U4564" s="505"/>
      <c r="V4564" s="505"/>
      <c r="W4564" s="505"/>
      <c r="X4564" s="505"/>
      <c r="Y4564" s="505"/>
    </row>
    <row r="4565" spans="1:25" s="88" customFormat="1" ht="30" hidden="1" x14ac:dyDescent="0.25">
      <c r="A4565" s="258"/>
      <c r="B4565" s="258"/>
      <c r="C4565" s="261"/>
      <c r="D4565" s="258"/>
      <c r="E4565" s="679"/>
      <c r="F4565" s="499">
        <v>496</v>
      </c>
      <c r="G4565" s="492" t="s">
        <v>4137</v>
      </c>
      <c r="H4565" s="555"/>
      <c r="I4565" s="556"/>
      <c r="J4565" s="556">
        <f t="shared" si="152"/>
        <v>0</v>
      </c>
      <c r="K4565" s="505"/>
      <c r="L4565" s="505"/>
      <c r="M4565" s="505"/>
      <c r="N4565" s="505"/>
      <c r="O4565" s="505"/>
      <c r="P4565" s="505"/>
      <c r="Q4565" s="505"/>
      <c r="R4565" s="505"/>
      <c r="S4565" s="505"/>
      <c r="T4565" s="505"/>
      <c r="U4565" s="505"/>
      <c r="V4565" s="505"/>
      <c r="W4565" s="505"/>
      <c r="X4565" s="505"/>
      <c r="Y4565" s="505"/>
    </row>
    <row r="4566" spans="1:25" s="88" customFormat="1" ht="30" hidden="1" x14ac:dyDescent="0.25">
      <c r="A4566" s="258"/>
      <c r="B4566" s="258"/>
      <c r="C4566" s="261"/>
      <c r="D4566" s="258"/>
      <c r="E4566" s="679"/>
      <c r="F4566" s="499">
        <v>499</v>
      </c>
      <c r="G4566" s="492" t="s">
        <v>4138</v>
      </c>
      <c r="H4566" s="555"/>
      <c r="I4566" s="556"/>
      <c r="J4566" s="556">
        <f t="shared" si="152"/>
        <v>0</v>
      </c>
      <c r="K4566" s="505"/>
      <c r="L4566" s="505"/>
      <c r="M4566" s="505"/>
      <c r="N4566" s="505"/>
      <c r="O4566" s="505"/>
      <c r="P4566" s="505"/>
      <c r="Q4566" s="505"/>
      <c r="R4566" s="505"/>
      <c r="S4566" s="505"/>
      <c r="T4566" s="505"/>
      <c r="U4566" s="505"/>
      <c r="V4566" s="505"/>
      <c r="W4566" s="505"/>
      <c r="X4566" s="505"/>
      <c r="Y4566" s="505"/>
    </row>
    <row r="4567" spans="1:25" s="88" customFormat="1" hidden="1" x14ac:dyDescent="0.25">
      <c r="A4567" s="258"/>
      <c r="B4567" s="258"/>
      <c r="C4567" s="261"/>
      <c r="D4567" s="258"/>
      <c r="E4567" s="679"/>
      <c r="F4567" s="499">
        <v>511</v>
      </c>
      <c r="G4567" s="496" t="s">
        <v>4158</v>
      </c>
      <c r="H4567" s="555"/>
      <c r="I4567" s="556"/>
      <c r="J4567" s="556">
        <f t="shared" si="152"/>
        <v>0</v>
      </c>
      <c r="K4567" s="505"/>
      <c r="L4567" s="505"/>
      <c r="M4567" s="505"/>
      <c r="N4567" s="505"/>
      <c r="O4567" s="505"/>
      <c r="P4567" s="505"/>
      <c r="Q4567" s="505"/>
      <c r="R4567" s="505"/>
      <c r="S4567" s="505"/>
      <c r="T4567" s="505"/>
      <c r="U4567" s="505"/>
      <c r="V4567" s="505"/>
      <c r="W4567" s="505"/>
      <c r="X4567" s="505"/>
      <c r="Y4567" s="505"/>
    </row>
    <row r="4568" spans="1:25" s="88" customFormat="1" hidden="1" x14ac:dyDescent="0.25">
      <c r="A4568" s="258"/>
      <c r="B4568" s="258"/>
      <c r="C4568" s="261"/>
      <c r="D4568" s="258"/>
      <c r="E4568" s="679"/>
      <c r="F4568" s="499">
        <v>512</v>
      </c>
      <c r="G4568" s="496" t="s">
        <v>4159</v>
      </c>
      <c r="H4568" s="555"/>
      <c r="I4568" s="556"/>
      <c r="J4568" s="556">
        <f t="shared" si="152"/>
        <v>0</v>
      </c>
      <c r="K4568" s="505"/>
      <c r="L4568" s="505"/>
      <c r="M4568" s="505"/>
      <c r="N4568" s="505"/>
      <c r="O4568" s="505"/>
      <c r="P4568" s="505"/>
      <c r="Q4568" s="505"/>
      <c r="R4568" s="505"/>
      <c r="S4568" s="505"/>
      <c r="T4568" s="505"/>
      <c r="U4568" s="505"/>
      <c r="V4568" s="505"/>
      <c r="W4568" s="505"/>
      <c r="X4568" s="505"/>
      <c r="Y4568" s="505"/>
    </row>
    <row r="4569" spans="1:25" s="88" customFormat="1" hidden="1" x14ac:dyDescent="0.25">
      <c r="A4569" s="258"/>
      <c r="B4569" s="258"/>
      <c r="C4569" s="261"/>
      <c r="D4569" s="258"/>
      <c r="E4569" s="679"/>
      <c r="F4569" s="499">
        <v>513</v>
      </c>
      <c r="G4569" s="496" t="s">
        <v>4160</v>
      </c>
      <c r="H4569" s="555"/>
      <c r="I4569" s="556"/>
      <c r="J4569" s="556">
        <f t="shared" si="152"/>
        <v>0</v>
      </c>
      <c r="K4569" s="505"/>
      <c r="L4569" s="505"/>
      <c r="M4569" s="505"/>
      <c r="N4569" s="505"/>
      <c r="O4569" s="505"/>
      <c r="P4569" s="505"/>
      <c r="Q4569" s="505"/>
      <c r="R4569" s="505"/>
      <c r="S4569" s="505"/>
      <c r="T4569" s="505"/>
      <c r="U4569" s="505"/>
      <c r="V4569" s="505"/>
      <c r="W4569" s="505"/>
      <c r="X4569" s="505"/>
      <c r="Y4569" s="505"/>
    </row>
    <row r="4570" spans="1:25" s="88" customFormat="1" hidden="1" x14ac:dyDescent="0.25">
      <c r="A4570" s="258"/>
      <c r="B4570" s="258"/>
      <c r="C4570" s="261"/>
      <c r="D4570" s="258"/>
      <c r="E4570" s="679"/>
      <c r="F4570" s="499">
        <v>514</v>
      </c>
      <c r="G4570" s="492" t="s">
        <v>4161</v>
      </c>
      <c r="H4570" s="555"/>
      <c r="I4570" s="556"/>
      <c r="J4570" s="556">
        <f t="shared" si="152"/>
        <v>0</v>
      </c>
      <c r="K4570" s="505"/>
      <c r="L4570" s="505"/>
      <c r="M4570" s="505"/>
      <c r="N4570" s="505"/>
      <c r="O4570" s="505"/>
      <c r="P4570" s="505"/>
      <c r="Q4570" s="505"/>
      <c r="R4570" s="505"/>
      <c r="S4570" s="505"/>
      <c r="T4570" s="505"/>
      <c r="U4570" s="505"/>
      <c r="V4570" s="505"/>
      <c r="W4570" s="505"/>
      <c r="X4570" s="505"/>
      <c r="Y4570" s="505"/>
    </row>
    <row r="4571" spans="1:25" s="88" customFormat="1" hidden="1" x14ac:dyDescent="0.25">
      <c r="A4571" s="258"/>
      <c r="B4571" s="258"/>
      <c r="C4571" s="261"/>
      <c r="D4571" s="258"/>
      <c r="E4571" s="679"/>
      <c r="F4571" s="499">
        <v>515</v>
      </c>
      <c r="G4571" s="492" t="s">
        <v>3834</v>
      </c>
      <c r="H4571" s="555"/>
      <c r="I4571" s="556"/>
      <c r="J4571" s="556">
        <f t="shared" si="152"/>
        <v>0</v>
      </c>
      <c r="K4571" s="505"/>
      <c r="L4571" s="505"/>
      <c r="M4571" s="505"/>
      <c r="N4571" s="505"/>
      <c r="O4571" s="505"/>
      <c r="P4571" s="505"/>
      <c r="Q4571" s="505"/>
      <c r="R4571" s="505"/>
      <c r="S4571" s="505"/>
      <c r="T4571" s="505"/>
      <c r="U4571" s="505"/>
      <c r="V4571" s="505"/>
      <c r="W4571" s="505"/>
      <c r="X4571" s="505"/>
      <c r="Y4571" s="505"/>
    </row>
    <row r="4572" spans="1:25" s="88" customFormat="1" hidden="1" x14ac:dyDescent="0.25">
      <c r="A4572" s="258"/>
      <c r="B4572" s="258"/>
      <c r="C4572" s="261"/>
      <c r="D4572" s="258"/>
      <c r="E4572" s="679"/>
      <c r="F4572" s="499">
        <v>521</v>
      </c>
      <c r="G4572" s="492" t="s">
        <v>4162</v>
      </c>
      <c r="H4572" s="555"/>
      <c r="I4572" s="556"/>
      <c r="J4572" s="556">
        <f t="shared" si="152"/>
        <v>0</v>
      </c>
      <c r="K4572" s="505"/>
      <c r="L4572" s="505"/>
      <c r="M4572" s="505"/>
      <c r="N4572" s="505"/>
      <c r="O4572" s="505"/>
      <c r="P4572" s="505"/>
      <c r="Q4572" s="505"/>
      <c r="R4572" s="505"/>
      <c r="S4572" s="505"/>
      <c r="T4572" s="505"/>
      <c r="U4572" s="505"/>
      <c r="V4572" s="505"/>
      <c r="W4572" s="505"/>
      <c r="X4572" s="505"/>
      <c r="Y4572" s="505"/>
    </row>
    <row r="4573" spans="1:25" s="88" customFormat="1" hidden="1" x14ac:dyDescent="0.25">
      <c r="A4573" s="258"/>
      <c r="B4573" s="258"/>
      <c r="C4573" s="261"/>
      <c r="D4573" s="258"/>
      <c r="E4573" s="679"/>
      <c r="F4573" s="499">
        <v>522</v>
      </c>
      <c r="G4573" s="492" t="s">
        <v>4163</v>
      </c>
      <c r="H4573" s="555"/>
      <c r="I4573" s="556"/>
      <c r="J4573" s="556">
        <f t="shared" si="152"/>
        <v>0</v>
      </c>
      <c r="K4573" s="505"/>
      <c r="L4573" s="505"/>
      <c r="M4573" s="505"/>
      <c r="N4573" s="505"/>
      <c r="O4573" s="505"/>
      <c r="P4573" s="505"/>
      <c r="Q4573" s="505"/>
      <c r="R4573" s="505"/>
      <c r="S4573" s="505"/>
      <c r="T4573" s="505"/>
      <c r="U4573" s="505"/>
      <c r="V4573" s="505"/>
      <c r="W4573" s="505"/>
      <c r="X4573" s="505"/>
      <c r="Y4573" s="505"/>
    </row>
    <row r="4574" spans="1:25" s="88" customFormat="1" hidden="1" x14ac:dyDescent="0.25">
      <c r="A4574" s="258"/>
      <c r="B4574" s="258"/>
      <c r="C4574" s="261"/>
      <c r="D4574" s="258"/>
      <c r="E4574" s="679"/>
      <c r="F4574" s="499">
        <v>523</v>
      </c>
      <c r="G4574" s="492" t="s">
        <v>3839</v>
      </c>
      <c r="H4574" s="555"/>
      <c r="I4574" s="556"/>
      <c r="J4574" s="556">
        <f t="shared" si="152"/>
        <v>0</v>
      </c>
      <c r="K4574" s="505"/>
      <c r="L4574" s="505"/>
      <c r="M4574" s="505"/>
      <c r="N4574" s="505"/>
      <c r="O4574" s="505"/>
      <c r="P4574" s="505"/>
      <c r="Q4574" s="505"/>
      <c r="R4574" s="505"/>
      <c r="S4574" s="505"/>
      <c r="T4574" s="505"/>
      <c r="U4574" s="505"/>
      <c r="V4574" s="505"/>
      <c r="W4574" s="505"/>
      <c r="X4574" s="505"/>
      <c r="Y4574" s="505"/>
    </row>
    <row r="4575" spans="1:25" s="88" customFormat="1" hidden="1" x14ac:dyDescent="0.25">
      <c r="A4575" s="258"/>
      <c r="B4575" s="258"/>
      <c r="C4575" s="261"/>
      <c r="D4575" s="258"/>
      <c r="E4575" s="679"/>
      <c r="F4575" s="499">
        <v>531</v>
      </c>
      <c r="G4575" s="488" t="s">
        <v>4139</v>
      </c>
      <c r="H4575" s="555"/>
      <c r="I4575" s="556"/>
      <c r="J4575" s="556">
        <f t="shared" si="152"/>
        <v>0</v>
      </c>
      <c r="K4575" s="505"/>
      <c r="L4575" s="505"/>
      <c r="M4575" s="505"/>
      <c r="N4575" s="505"/>
      <c r="O4575" s="505"/>
      <c r="P4575" s="505"/>
      <c r="Q4575" s="505"/>
      <c r="R4575" s="505"/>
      <c r="S4575" s="505"/>
      <c r="T4575" s="505"/>
      <c r="U4575" s="505"/>
      <c r="V4575" s="505"/>
      <c r="W4575" s="505"/>
      <c r="X4575" s="505"/>
      <c r="Y4575" s="505"/>
    </row>
    <row r="4576" spans="1:25" s="88" customFormat="1" hidden="1" x14ac:dyDescent="0.25">
      <c r="A4576" s="258"/>
      <c r="B4576" s="258"/>
      <c r="C4576" s="261"/>
      <c r="D4576" s="258"/>
      <c r="E4576" s="679"/>
      <c r="F4576" s="499">
        <v>541</v>
      </c>
      <c r="G4576" s="492" t="s">
        <v>4164</v>
      </c>
      <c r="H4576" s="555"/>
      <c r="I4576" s="556"/>
      <c r="J4576" s="556">
        <f t="shared" si="152"/>
        <v>0</v>
      </c>
      <c r="K4576" s="505"/>
      <c r="L4576" s="505"/>
      <c r="M4576" s="505"/>
      <c r="N4576" s="505"/>
      <c r="O4576" s="505"/>
      <c r="P4576" s="505"/>
      <c r="Q4576" s="505"/>
      <c r="R4576" s="505"/>
      <c r="S4576" s="505"/>
      <c r="T4576" s="505"/>
      <c r="U4576" s="505"/>
      <c r="V4576" s="505"/>
      <c r="W4576" s="505"/>
      <c r="X4576" s="505"/>
      <c r="Y4576" s="505"/>
    </row>
    <row r="4577" spans="1:25" s="88" customFormat="1" hidden="1" x14ac:dyDescent="0.25">
      <c r="A4577" s="258"/>
      <c r="B4577" s="258"/>
      <c r="C4577" s="261"/>
      <c r="D4577" s="258"/>
      <c r="E4577" s="679"/>
      <c r="F4577" s="499">
        <v>542</v>
      </c>
      <c r="G4577" s="492" t="s">
        <v>4165</v>
      </c>
      <c r="H4577" s="555"/>
      <c r="I4577" s="556"/>
      <c r="J4577" s="556">
        <f t="shared" si="152"/>
        <v>0</v>
      </c>
      <c r="K4577" s="505"/>
      <c r="L4577" s="505"/>
      <c r="M4577" s="505"/>
      <c r="N4577" s="505"/>
      <c r="O4577" s="505"/>
      <c r="P4577" s="505"/>
      <c r="Q4577" s="505"/>
      <c r="R4577" s="505"/>
      <c r="S4577" s="505"/>
      <c r="T4577" s="505"/>
      <c r="U4577" s="505"/>
      <c r="V4577" s="505"/>
      <c r="W4577" s="505"/>
      <c r="X4577" s="505"/>
      <c r="Y4577" s="505"/>
    </row>
    <row r="4578" spans="1:25" s="88" customFormat="1" hidden="1" x14ac:dyDescent="0.25">
      <c r="A4578" s="258"/>
      <c r="B4578" s="258"/>
      <c r="C4578" s="261"/>
      <c r="D4578" s="258"/>
      <c r="E4578" s="679"/>
      <c r="F4578" s="499">
        <v>543</v>
      </c>
      <c r="G4578" s="492" t="s">
        <v>3844</v>
      </c>
      <c r="H4578" s="555"/>
      <c r="I4578" s="556"/>
      <c r="J4578" s="556">
        <f t="shared" si="152"/>
        <v>0</v>
      </c>
      <c r="K4578" s="505"/>
      <c r="L4578" s="505"/>
      <c r="M4578" s="505"/>
      <c r="N4578" s="505"/>
      <c r="O4578" s="505"/>
      <c r="P4578" s="505"/>
      <c r="Q4578" s="505"/>
      <c r="R4578" s="505"/>
      <c r="S4578" s="505"/>
      <c r="T4578" s="505"/>
      <c r="U4578" s="505"/>
      <c r="V4578" s="505"/>
      <c r="W4578" s="505"/>
      <c r="X4578" s="505"/>
      <c r="Y4578" s="505"/>
    </row>
    <row r="4579" spans="1:25" s="88" customFormat="1" ht="30" hidden="1" x14ac:dyDescent="0.25">
      <c r="A4579" s="258"/>
      <c r="B4579" s="258"/>
      <c r="C4579" s="261"/>
      <c r="D4579" s="258"/>
      <c r="E4579" s="679"/>
      <c r="F4579" s="499">
        <v>551</v>
      </c>
      <c r="G4579" s="492" t="s">
        <v>4140</v>
      </c>
      <c r="H4579" s="555"/>
      <c r="I4579" s="556"/>
      <c r="J4579" s="556">
        <f t="shared" si="152"/>
        <v>0</v>
      </c>
      <c r="K4579" s="505"/>
      <c r="L4579" s="505"/>
      <c r="M4579" s="505"/>
      <c r="N4579" s="505"/>
      <c r="O4579" s="505"/>
      <c r="P4579" s="505"/>
      <c r="Q4579" s="505"/>
      <c r="R4579" s="505"/>
      <c r="S4579" s="505"/>
      <c r="T4579" s="505"/>
      <c r="U4579" s="505"/>
      <c r="V4579" s="505"/>
      <c r="W4579" s="505"/>
      <c r="X4579" s="505"/>
      <c r="Y4579" s="505"/>
    </row>
    <row r="4580" spans="1:25" s="88" customFormat="1" hidden="1" x14ac:dyDescent="0.25">
      <c r="A4580" s="258"/>
      <c r="B4580" s="258"/>
      <c r="C4580" s="261"/>
      <c r="D4580" s="258"/>
      <c r="E4580" s="679"/>
      <c r="F4580" s="500">
        <v>611</v>
      </c>
      <c r="G4580" s="498" t="s">
        <v>3850</v>
      </c>
      <c r="H4580" s="555"/>
      <c r="I4580" s="556"/>
      <c r="J4580" s="556">
        <f t="shared" si="152"/>
        <v>0</v>
      </c>
      <c r="K4580" s="505"/>
      <c r="L4580" s="505"/>
      <c r="M4580" s="505"/>
      <c r="N4580" s="505"/>
      <c r="O4580" s="505"/>
      <c r="P4580" s="505"/>
      <c r="Q4580" s="505"/>
      <c r="R4580" s="505"/>
      <c r="S4580" s="505"/>
      <c r="T4580" s="505"/>
      <c r="U4580" s="505"/>
      <c r="V4580" s="505"/>
      <c r="W4580" s="505"/>
      <c r="X4580" s="505"/>
      <c r="Y4580" s="505"/>
    </row>
    <row r="4581" spans="1:25" s="88" customFormat="1" hidden="1" x14ac:dyDescent="0.25">
      <c r="A4581" s="258"/>
      <c r="B4581" s="258"/>
      <c r="C4581" s="261"/>
      <c r="D4581" s="258"/>
      <c r="E4581" s="679"/>
      <c r="F4581" s="500">
        <v>620</v>
      </c>
      <c r="G4581" s="498" t="s">
        <v>88</v>
      </c>
      <c r="H4581" s="555"/>
      <c r="I4581" s="556"/>
      <c r="J4581" s="556">
        <f t="shared" si="152"/>
        <v>0</v>
      </c>
      <c r="K4581" s="505"/>
      <c r="L4581" s="505"/>
      <c r="M4581" s="505"/>
      <c r="N4581" s="505"/>
      <c r="O4581" s="505"/>
      <c r="P4581" s="505"/>
      <c r="Q4581" s="505"/>
      <c r="R4581" s="505"/>
      <c r="S4581" s="505"/>
      <c r="T4581" s="505"/>
      <c r="U4581" s="505"/>
      <c r="V4581" s="505"/>
      <c r="W4581" s="505"/>
      <c r="X4581" s="505"/>
      <c r="Y4581" s="505"/>
    </row>
    <row r="4582" spans="1:25" s="88" customFormat="1" x14ac:dyDescent="0.25">
      <c r="A4582" s="258"/>
      <c r="B4582" s="258"/>
      <c r="C4582" s="261"/>
      <c r="D4582" s="258"/>
      <c r="E4582" s="489"/>
      <c r="F4582" s="500"/>
      <c r="G4582" s="343" t="s">
        <v>4367</v>
      </c>
      <c r="H4582" s="557"/>
      <c r="I4582" s="583"/>
      <c r="J4582" s="558"/>
      <c r="K4582" s="505"/>
      <c r="L4582" s="505"/>
      <c r="M4582" s="505"/>
      <c r="N4582" s="505"/>
      <c r="O4582" s="505"/>
      <c r="P4582" s="505"/>
      <c r="Q4582" s="505"/>
      <c r="R4582" s="505"/>
      <c r="S4582" s="505"/>
      <c r="T4582" s="505"/>
      <c r="U4582" s="505"/>
      <c r="V4582" s="505"/>
      <c r="W4582" s="505"/>
      <c r="X4582" s="505"/>
      <c r="Y4582" s="505"/>
    </row>
    <row r="4583" spans="1:25" s="88" customFormat="1" ht="15" customHeight="1" thickBot="1" x14ac:dyDescent="0.3">
      <c r="A4583" s="258"/>
      <c r="B4583" s="258"/>
      <c r="C4583" s="261"/>
      <c r="D4583" s="258"/>
      <c r="E4583" s="693"/>
      <c r="F4583" s="597" t="s">
        <v>234</v>
      </c>
      <c r="G4583" s="598" t="s">
        <v>235</v>
      </c>
      <c r="H4583" s="559">
        <f>SUM(H4552:H4553)</f>
        <v>9785000</v>
      </c>
      <c r="I4583" s="560"/>
      <c r="J4583" s="560">
        <f t="shared" ref="J4583:J4598" si="153">SUM(H4583:I4583)</f>
        <v>9785000</v>
      </c>
      <c r="K4583" s="505"/>
      <c r="L4583" s="505"/>
      <c r="M4583" s="505"/>
      <c r="N4583" s="505"/>
      <c r="O4583" s="505"/>
      <c r="P4583" s="505"/>
      <c r="Q4583" s="505"/>
      <c r="R4583" s="505"/>
      <c r="S4583" s="505"/>
      <c r="T4583" s="505"/>
      <c r="U4583" s="505"/>
      <c r="V4583" s="505"/>
      <c r="W4583" s="505"/>
      <c r="X4583" s="505"/>
      <c r="Y4583" s="505"/>
    </row>
    <row r="4584" spans="1:25" s="88" customFormat="1" ht="15.75" hidden="1" thickBot="1" x14ac:dyDescent="0.3">
      <c r="A4584" s="258"/>
      <c r="B4584" s="258"/>
      <c r="C4584" s="261"/>
      <c r="D4584" s="258"/>
      <c r="E4584" s="679"/>
      <c r="F4584" s="597" t="s">
        <v>236</v>
      </c>
      <c r="G4584" s="598" t="s">
        <v>237</v>
      </c>
      <c r="H4584" s="555"/>
      <c r="I4584" s="556"/>
      <c r="J4584" s="560">
        <f t="shared" si="153"/>
        <v>0</v>
      </c>
      <c r="K4584" s="505"/>
      <c r="L4584" s="505"/>
      <c r="M4584" s="505"/>
      <c r="N4584" s="505"/>
      <c r="O4584" s="505"/>
      <c r="P4584" s="505"/>
      <c r="Q4584" s="505"/>
      <c r="R4584" s="505"/>
      <c r="S4584" s="505"/>
      <c r="T4584" s="505"/>
      <c r="U4584" s="505"/>
      <c r="V4584" s="505"/>
      <c r="W4584" s="505"/>
      <c r="X4584" s="505"/>
      <c r="Y4584" s="505"/>
    </row>
    <row r="4585" spans="1:25" s="88" customFormat="1" ht="15.75" hidden="1" thickBot="1" x14ac:dyDescent="0.3">
      <c r="A4585" s="258"/>
      <c r="B4585" s="258"/>
      <c r="C4585" s="261"/>
      <c r="D4585" s="258"/>
      <c r="E4585" s="679"/>
      <c r="F4585" s="597" t="s">
        <v>238</v>
      </c>
      <c r="G4585" s="598" t="s">
        <v>239</v>
      </c>
      <c r="H4585" s="555"/>
      <c r="I4585" s="556"/>
      <c r="J4585" s="560">
        <f t="shared" si="153"/>
        <v>0</v>
      </c>
      <c r="K4585" s="505"/>
      <c r="L4585" s="505"/>
      <c r="M4585" s="505"/>
      <c r="N4585" s="505"/>
      <c r="O4585" s="505"/>
      <c r="P4585" s="505"/>
      <c r="Q4585" s="505"/>
      <c r="R4585" s="505"/>
      <c r="S4585" s="505"/>
      <c r="T4585" s="505"/>
      <c r="U4585" s="505"/>
      <c r="V4585" s="505"/>
      <c r="W4585" s="505"/>
      <c r="X4585" s="505"/>
      <c r="Y4585" s="505"/>
    </row>
    <row r="4586" spans="1:25" s="88" customFormat="1" ht="15.75" hidden="1" thickBot="1" x14ac:dyDescent="0.3">
      <c r="A4586" s="258"/>
      <c r="B4586" s="258"/>
      <c r="C4586" s="261"/>
      <c r="D4586" s="258"/>
      <c r="E4586" s="679"/>
      <c r="F4586" s="597" t="s">
        <v>240</v>
      </c>
      <c r="G4586" s="598" t="s">
        <v>241</v>
      </c>
      <c r="H4586" s="555"/>
      <c r="I4586" s="556"/>
      <c r="J4586" s="560">
        <f t="shared" si="153"/>
        <v>0</v>
      </c>
      <c r="K4586" s="505"/>
      <c r="L4586" s="505"/>
      <c r="M4586" s="505"/>
      <c r="N4586" s="505"/>
      <c r="O4586" s="505"/>
      <c r="P4586" s="505"/>
      <c r="Q4586" s="505"/>
      <c r="R4586" s="505"/>
      <c r="S4586" s="505"/>
      <c r="T4586" s="505"/>
      <c r="U4586" s="505"/>
      <c r="V4586" s="505"/>
      <c r="W4586" s="505"/>
      <c r="X4586" s="505"/>
      <c r="Y4586" s="505"/>
    </row>
    <row r="4587" spans="1:25" s="88" customFormat="1" ht="15.75" hidden="1" thickBot="1" x14ac:dyDescent="0.3">
      <c r="A4587" s="258"/>
      <c r="B4587" s="258"/>
      <c r="C4587" s="261"/>
      <c r="D4587" s="258"/>
      <c r="E4587" s="679"/>
      <c r="F4587" s="597" t="s">
        <v>242</v>
      </c>
      <c r="G4587" s="598" t="s">
        <v>243</v>
      </c>
      <c r="H4587" s="555"/>
      <c r="I4587" s="556"/>
      <c r="J4587" s="560">
        <f t="shared" si="153"/>
        <v>0</v>
      </c>
      <c r="K4587" s="505"/>
      <c r="L4587" s="505"/>
      <c r="M4587" s="505"/>
      <c r="N4587" s="505"/>
      <c r="O4587" s="505"/>
      <c r="P4587" s="505"/>
      <c r="Q4587" s="505"/>
      <c r="R4587" s="505"/>
      <c r="S4587" s="505"/>
      <c r="T4587" s="505"/>
      <c r="U4587" s="505"/>
      <c r="V4587" s="505"/>
      <c r="W4587" s="505"/>
      <c r="X4587" s="505"/>
      <c r="Y4587" s="505"/>
    </row>
    <row r="4588" spans="1:25" s="88" customFormat="1" ht="15.75" hidden="1" thickBot="1" x14ac:dyDescent="0.3">
      <c r="A4588" s="258"/>
      <c r="B4588" s="258"/>
      <c r="C4588" s="261"/>
      <c r="D4588" s="258"/>
      <c r="E4588" s="679"/>
      <c r="F4588" s="597" t="s">
        <v>244</v>
      </c>
      <c r="G4588" s="598" t="s">
        <v>245</v>
      </c>
      <c r="H4588" s="555"/>
      <c r="I4588" s="556"/>
      <c r="J4588" s="560">
        <f t="shared" si="153"/>
        <v>0</v>
      </c>
      <c r="K4588" s="505"/>
      <c r="L4588" s="505"/>
      <c r="M4588" s="505"/>
      <c r="N4588" s="505"/>
      <c r="O4588" s="505"/>
      <c r="P4588" s="505"/>
      <c r="Q4588" s="505"/>
      <c r="R4588" s="505"/>
      <c r="S4588" s="505"/>
      <c r="T4588" s="505"/>
      <c r="U4588" s="505"/>
      <c r="V4588" s="505"/>
      <c r="W4588" s="505"/>
      <c r="X4588" s="505"/>
      <c r="Y4588" s="505"/>
    </row>
    <row r="4589" spans="1:25" s="88" customFormat="1" ht="15.75" hidden="1" thickBot="1" x14ac:dyDescent="0.3">
      <c r="A4589" s="258"/>
      <c r="B4589" s="258"/>
      <c r="C4589" s="261"/>
      <c r="D4589" s="258"/>
      <c r="E4589" s="679"/>
      <c r="F4589" s="597" t="s">
        <v>246</v>
      </c>
      <c r="G4589" s="598" t="s">
        <v>4996</v>
      </c>
      <c r="H4589" s="555"/>
      <c r="I4589" s="556"/>
      <c r="J4589" s="560">
        <f t="shared" si="153"/>
        <v>0</v>
      </c>
      <c r="K4589" s="505"/>
      <c r="L4589" s="505"/>
      <c r="M4589" s="505"/>
      <c r="N4589" s="505"/>
      <c r="O4589" s="505"/>
      <c r="P4589" s="505"/>
      <c r="Q4589" s="505"/>
      <c r="R4589" s="505"/>
      <c r="S4589" s="505"/>
      <c r="T4589" s="505"/>
      <c r="U4589" s="505"/>
      <c r="V4589" s="505"/>
      <c r="W4589" s="505"/>
      <c r="X4589" s="505"/>
      <c r="Y4589" s="505"/>
    </row>
    <row r="4590" spans="1:25" s="88" customFormat="1" ht="15.75" hidden="1" thickBot="1" x14ac:dyDescent="0.3">
      <c r="A4590" s="258"/>
      <c r="B4590" s="258"/>
      <c r="C4590" s="261"/>
      <c r="D4590" s="258"/>
      <c r="E4590" s="679"/>
      <c r="F4590" s="597" t="s">
        <v>247</v>
      </c>
      <c r="G4590" s="598" t="s">
        <v>4995</v>
      </c>
      <c r="H4590" s="555"/>
      <c r="I4590" s="556"/>
      <c r="J4590" s="560">
        <f t="shared" si="153"/>
        <v>0</v>
      </c>
      <c r="K4590" s="505"/>
      <c r="L4590" s="505"/>
      <c r="M4590" s="505"/>
      <c r="N4590" s="505"/>
      <c r="O4590" s="505"/>
      <c r="P4590" s="505"/>
      <c r="Q4590" s="505"/>
      <c r="R4590" s="505"/>
      <c r="S4590" s="505"/>
      <c r="T4590" s="505"/>
      <c r="U4590" s="505"/>
      <c r="V4590" s="505"/>
      <c r="W4590" s="505"/>
      <c r="X4590" s="505"/>
      <c r="Y4590" s="505"/>
    </row>
    <row r="4591" spans="1:25" s="88" customFormat="1" ht="15.75" hidden="1" thickBot="1" x14ac:dyDescent="0.3">
      <c r="A4591" s="258"/>
      <c r="B4591" s="258"/>
      <c r="C4591" s="261"/>
      <c r="D4591" s="258"/>
      <c r="E4591" s="679"/>
      <c r="F4591" s="597" t="s">
        <v>248</v>
      </c>
      <c r="G4591" s="598" t="s">
        <v>57</v>
      </c>
      <c r="H4591" s="555"/>
      <c r="I4591" s="556"/>
      <c r="J4591" s="560">
        <f t="shared" si="153"/>
        <v>0</v>
      </c>
      <c r="K4591" s="505"/>
      <c r="L4591" s="505"/>
      <c r="M4591" s="505"/>
      <c r="N4591" s="505"/>
      <c r="O4591" s="505"/>
      <c r="P4591" s="505"/>
      <c r="Q4591" s="505"/>
      <c r="R4591" s="505"/>
      <c r="S4591" s="505"/>
      <c r="T4591" s="505"/>
      <c r="U4591" s="505"/>
      <c r="V4591" s="505"/>
      <c r="W4591" s="505"/>
      <c r="X4591" s="505"/>
      <c r="Y4591" s="505"/>
    </row>
    <row r="4592" spans="1:25" s="88" customFormat="1" ht="15.75" hidden="1" thickBot="1" x14ac:dyDescent="0.3">
      <c r="A4592" s="258"/>
      <c r="B4592" s="258"/>
      <c r="C4592" s="261"/>
      <c r="D4592" s="258"/>
      <c r="E4592" s="679"/>
      <c r="F4592" s="597" t="s">
        <v>249</v>
      </c>
      <c r="G4592" s="598" t="s">
        <v>250</v>
      </c>
      <c r="H4592" s="555"/>
      <c r="I4592" s="556"/>
      <c r="J4592" s="560">
        <f t="shared" si="153"/>
        <v>0</v>
      </c>
      <c r="K4592" s="505"/>
      <c r="L4592" s="505"/>
      <c r="M4592" s="505"/>
      <c r="N4592" s="505"/>
      <c r="O4592" s="505"/>
      <c r="P4592" s="505"/>
      <c r="Q4592" s="505"/>
      <c r="R4592" s="505"/>
      <c r="S4592" s="505"/>
      <c r="T4592" s="505"/>
      <c r="U4592" s="505"/>
      <c r="V4592" s="505"/>
      <c r="W4592" s="505"/>
      <c r="X4592" s="505"/>
      <c r="Y4592" s="505"/>
    </row>
    <row r="4593" spans="1:25" s="88" customFormat="1" ht="15.75" hidden="1" thickBot="1" x14ac:dyDescent="0.3">
      <c r="A4593" s="258"/>
      <c r="B4593" s="258"/>
      <c r="C4593" s="261"/>
      <c r="D4593" s="258"/>
      <c r="E4593" s="679"/>
      <c r="F4593" s="597" t="s">
        <v>251</v>
      </c>
      <c r="G4593" s="598" t="s">
        <v>252</v>
      </c>
      <c r="H4593" s="555"/>
      <c r="I4593" s="556"/>
      <c r="J4593" s="560">
        <f t="shared" si="153"/>
        <v>0</v>
      </c>
      <c r="K4593" s="505"/>
      <c r="L4593" s="505"/>
      <c r="M4593" s="505"/>
      <c r="N4593" s="505"/>
      <c r="O4593" s="505"/>
      <c r="P4593" s="505"/>
      <c r="Q4593" s="505"/>
      <c r="R4593" s="505"/>
      <c r="S4593" s="505"/>
      <c r="T4593" s="505"/>
      <c r="U4593" s="505"/>
      <c r="V4593" s="505"/>
      <c r="W4593" s="505"/>
      <c r="X4593" s="505"/>
      <c r="Y4593" s="505"/>
    </row>
    <row r="4594" spans="1:25" s="88" customFormat="1" ht="30.75" hidden="1" thickBot="1" x14ac:dyDescent="0.3">
      <c r="A4594" s="258"/>
      <c r="B4594" s="258"/>
      <c r="C4594" s="261"/>
      <c r="D4594" s="258"/>
      <c r="E4594" s="679"/>
      <c r="F4594" s="597" t="s">
        <v>253</v>
      </c>
      <c r="G4594" s="598" t="s">
        <v>254</v>
      </c>
      <c r="H4594" s="555"/>
      <c r="I4594" s="556"/>
      <c r="J4594" s="560">
        <f t="shared" si="153"/>
        <v>0</v>
      </c>
      <c r="K4594" s="505"/>
      <c r="L4594" s="505"/>
      <c r="M4594" s="505"/>
      <c r="N4594" s="505"/>
      <c r="O4594" s="505"/>
      <c r="P4594" s="505"/>
      <c r="Q4594" s="505"/>
      <c r="R4594" s="505"/>
      <c r="S4594" s="505"/>
      <c r="T4594" s="505"/>
      <c r="U4594" s="505"/>
      <c r="V4594" s="505"/>
      <c r="W4594" s="505"/>
      <c r="X4594" s="505"/>
      <c r="Y4594" s="505"/>
    </row>
    <row r="4595" spans="1:25" s="88" customFormat="1" ht="15.75" hidden="1" thickBot="1" x14ac:dyDescent="0.3">
      <c r="A4595" s="258"/>
      <c r="B4595" s="258"/>
      <c r="C4595" s="261"/>
      <c r="D4595" s="258"/>
      <c r="E4595" s="679"/>
      <c r="F4595" s="597" t="s">
        <v>255</v>
      </c>
      <c r="G4595" s="598" t="s">
        <v>256</v>
      </c>
      <c r="H4595" s="555"/>
      <c r="I4595" s="556"/>
      <c r="J4595" s="560">
        <f t="shared" si="153"/>
        <v>0</v>
      </c>
      <c r="K4595" s="505"/>
      <c r="L4595" s="505"/>
      <c r="M4595" s="505"/>
      <c r="N4595" s="505"/>
      <c r="O4595" s="505"/>
      <c r="P4595" s="505"/>
      <c r="Q4595" s="505"/>
      <c r="R4595" s="505"/>
      <c r="S4595" s="505"/>
      <c r="T4595" s="505"/>
      <c r="U4595" s="505"/>
      <c r="V4595" s="505"/>
      <c r="W4595" s="505"/>
      <c r="X4595" s="505"/>
      <c r="Y4595" s="505"/>
    </row>
    <row r="4596" spans="1:25" s="88" customFormat="1" ht="30.75" hidden="1" thickBot="1" x14ac:dyDescent="0.3">
      <c r="A4596" s="258"/>
      <c r="B4596" s="258"/>
      <c r="C4596" s="261"/>
      <c r="D4596" s="258"/>
      <c r="E4596" s="679"/>
      <c r="F4596" s="597" t="s">
        <v>257</v>
      </c>
      <c r="G4596" s="598" t="s">
        <v>258</v>
      </c>
      <c r="H4596" s="555"/>
      <c r="I4596" s="556"/>
      <c r="J4596" s="560">
        <f t="shared" si="153"/>
        <v>0</v>
      </c>
      <c r="K4596" s="505"/>
      <c r="L4596" s="505"/>
      <c r="M4596" s="505"/>
      <c r="N4596" s="505"/>
      <c r="O4596" s="505"/>
      <c r="P4596" s="505"/>
      <c r="Q4596" s="505"/>
      <c r="R4596" s="505"/>
      <c r="S4596" s="505"/>
      <c r="T4596" s="505"/>
      <c r="U4596" s="505"/>
      <c r="V4596" s="505"/>
      <c r="W4596" s="505"/>
      <c r="X4596" s="505"/>
      <c r="Y4596" s="505"/>
    </row>
    <row r="4597" spans="1:25" s="88" customFormat="1" ht="15.75" hidden="1" thickBot="1" x14ac:dyDescent="0.3">
      <c r="A4597" s="258"/>
      <c r="B4597" s="258"/>
      <c r="C4597" s="261"/>
      <c r="D4597" s="258"/>
      <c r="E4597" s="679"/>
      <c r="F4597" s="597" t="s">
        <v>259</v>
      </c>
      <c r="G4597" s="598" t="s">
        <v>260</v>
      </c>
      <c r="H4597" s="555"/>
      <c r="I4597" s="556"/>
      <c r="J4597" s="560">
        <f t="shared" si="153"/>
        <v>0</v>
      </c>
      <c r="K4597" s="505"/>
      <c r="L4597" s="505"/>
      <c r="M4597" s="505"/>
      <c r="N4597" s="505"/>
      <c r="O4597" s="505"/>
      <c r="P4597" s="505"/>
      <c r="Q4597" s="505"/>
      <c r="R4597" s="505"/>
      <c r="S4597" s="505"/>
      <c r="T4597" s="505"/>
      <c r="U4597" s="505"/>
      <c r="V4597" s="505"/>
      <c r="W4597" s="505"/>
      <c r="X4597" s="505"/>
      <c r="Y4597" s="505"/>
    </row>
    <row r="4598" spans="1:25" s="88" customFormat="1" ht="15.75" hidden="1" thickBot="1" x14ac:dyDescent="0.3">
      <c r="A4598" s="258"/>
      <c r="B4598" s="258"/>
      <c r="C4598" s="261"/>
      <c r="D4598" s="258"/>
      <c r="E4598" s="679"/>
      <c r="F4598" s="597" t="s">
        <v>261</v>
      </c>
      <c r="G4598" s="598" t="s">
        <v>262</v>
      </c>
      <c r="H4598" s="559"/>
      <c r="I4598" s="560"/>
      <c r="J4598" s="560">
        <f t="shared" si="153"/>
        <v>0</v>
      </c>
      <c r="K4598" s="505"/>
      <c r="L4598" s="505"/>
      <c r="M4598" s="505"/>
      <c r="N4598" s="505"/>
      <c r="O4598" s="505"/>
      <c r="P4598" s="505"/>
      <c r="Q4598" s="505"/>
      <c r="R4598" s="505"/>
      <c r="S4598" s="505"/>
      <c r="T4598" s="505"/>
      <c r="U4598" s="505"/>
      <c r="V4598" s="505"/>
      <c r="W4598" s="505"/>
      <c r="X4598" s="505"/>
      <c r="Y4598" s="505"/>
    </row>
    <row r="4599" spans="1:25" s="88" customFormat="1" ht="15" customHeight="1" thickBot="1" x14ac:dyDescent="0.3">
      <c r="A4599" s="258"/>
      <c r="B4599" s="258"/>
      <c r="C4599" s="261"/>
      <c r="D4599" s="258"/>
      <c r="E4599" s="679"/>
      <c r="F4599" s="258"/>
      <c r="G4599" s="268" t="s">
        <v>4368</v>
      </c>
      <c r="H4599" s="561">
        <f>SUM(H4583)</f>
        <v>9785000</v>
      </c>
      <c r="I4599" s="562">
        <f>SUM(I4584:I4598)</f>
        <v>0</v>
      </c>
      <c r="J4599" s="562">
        <f>SUM(J4583:J4598)</f>
        <v>9785000</v>
      </c>
      <c r="K4599" s="505"/>
      <c r="L4599" s="505"/>
      <c r="M4599" s="505"/>
      <c r="N4599" s="505"/>
      <c r="O4599" s="505"/>
      <c r="P4599" s="505"/>
      <c r="Q4599" s="505"/>
      <c r="R4599" s="505"/>
      <c r="S4599" s="505"/>
      <c r="T4599" s="505"/>
      <c r="U4599" s="505"/>
      <c r="V4599" s="505"/>
      <c r="W4599" s="505"/>
      <c r="X4599" s="505"/>
      <c r="Y4599" s="505"/>
    </row>
    <row r="4600" spans="1:25" s="88" customFormat="1" ht="28.5" x14ac:dyDescent="0.25">
      <c r="A4600" s="258"/>
      <c r="B4600" s="258"/>
      <c r="C4600" s="261"/>
      <c r="D4600" s="258"/>
      <c r="E4600" s="489"/>
      <c r="F4600" s="500"/>
      <c r="G4600" s="270" t="s">
        <v>4383</v>
      </c>
      <c r="H4600" s="563"/>
      <c r="I4600" s="584"/>
      <c r="J4600" s="564"/>
      <c r="K4600" s="505"/>
      <c r="L4600" s="505"/>
      <c r="M4600" s="505"/>
      <c r="N4600" s="505"/>
      <c r="O4600" s="505"/>
      <c r="P4600" s="505"/>
      <c r="Q4600" s="505"/>
      <c r="R4600" s="505"/>
      <c r="S4600" s="505"/>
      <c r="T4600" s="505"/>
      <c r="U4600" s="505"/>
      <c r="V4600" s="505"/>
      <c r="W4600" s="505"/>
      <c r="X4600" s="505"/>
      <c r="Y4600" s="505"/>
    </row>
    <row r="4601" spans="1:25" s="88" customFormat="1" ht="13.5" customHeight="1" thickBot="1" x14ac:dyDescent="0.3">
      <c r="A4601" s="258"/>
      <c r="B4601" s="258"/>
      <c r="C4601" s="261"/>
      <c r="D4601" s="258"/>
      <c r="E4601" s="693"/>
      <c r="F4601" s="597" t="s">
        <v>234</v>
      </c>
      <c r="G4601" s="729" t="s">
        <v>235</v>
      </c>
      <c r="H4601" s="559">
        <f>SUM(H4522:H4581)</f>
        <v>9785000</v>
      </c>
      <c r="I4601" s="560"/>
      <c r="J4601" s="560">
        <f>SUM(H4601:I4601)</f>
        <v>9785000</v>
      </c>
      <c r="K4601" s="505"/>
      <c r="L4601" s="505"/>
      <c r="M4601" s="505"/>
      <c r="N4601" s="505"/>
      <c r="O4601" s="505"/>
      <c r="P4601" s="505"/>
      <c r="Q4601" s="505"/>
      <c r="R4601" s="505"/>
      <c r="S4601" s="505"/>
      <c r="T4601" s="505"/>
      <c r="U4601" s="505"/>
      <c r="V4601" s="505"/>
      <c r="W4601" s="505"/>
      <c r="X4601" s="505"/>
      <c r="Y4601" s="505"/>
    </row>
    <row r="4602" spans="1:25" s="88" customFormat="1" ht="17.25" hidden="1" customHeight="1" x14ac:dyDescent="0.25">
      <c r="A4602" s="258"/>
      <c r="B4602" s="258"/>
      <c r="C4602" s="261"/>
      <c r="D4602" s="258"/>
      <c r="E4602" s="679"/>
      <c r="F4602" s="597" t="s">
        <v>236</v>
      </c>
      <c r="G4602" s="598" t="s">
        <v>237</v>
      </c>
      <c r="H4602" s="555"/>
      <c r="I4602" s="556"/>
      <c r="J4602" s="560">
        <f t="shared" ref="J4602:J4616" si="154">SUM(H4602:I4602)</f>
        <v>0</v>
      </c>
      <c r="K4602" s="505"/>
      <c r="L4602" s="505"/>
      <c r="M4602" s="505"/>
      <c r="N4602" s="505"/>
      <c r="O4602" s="505"/>
      <c r="P4602" s="505"/>
      <c r="Q4602" s="505"/>
      <c r="R4602" s="505"/>
      <c r="S4602" s="505"/>
      <c r="T4602" s="505"/>
      <c r="U4602" s="505"/>
      <c r="V4602" s="505"/>
      <c r="W4602" s="505"/>
      <c r="X4602" s="505"/>
      <c r="Y4602" s="505"/>
    </row>
    <row r="4603" spans="1:25" s="88" customFormat="1" ht="15.75" hidden="1" thickBot="1" x14ac:dyDescent="0.3">
      <c r="A4603" s="258"/>
      <c r="B4603" s="258"/>
      <c r="C4603" s="261"/>
      <c r="D4603" s="258"/>
      <c r="E4603" s="679"/>
      <c r="F4603" s="597" t="s">
        <v>238</v>
      </c>
      <c r="G4603" s="598" t="s">
        <v>239</v>
      </c>
      <c r="H4603" s="555"/>
      <c r="I4603" s="556"/>
      <c r="J4603" s="560">
        <f t="shared" si="154"/>
        <v>0</v>
      </c>
      <c r="K4603" s="505"/>
      <c r="L4603" s="505"/>
      <c r="M4603" s="505"/>
      <c r="N4603" s="505"/>
      <c r="O4603" s="505"/>
      <c r="P4603" s="505"/>
      <c r="Q4603" s="505"/>
      <c r="R4603" s="505"/>
      <c r="S4603" s="505"/>
      <c r="T4603" s="505"/>
      <c r="U4603" s="505"/>
      <c r="V4603" s="505"/>
      <c r="W4603" s="505"/>
      <c r="X4603" s="505"/>
      <c r="Y4603" s="505"/>
    </row>
    <row r="4604" spans="1:25" s="88" customFormat="1" ht="15.75" hidden="1" thickBot="1" x14ac:dyDescent="0.3">
      <c r="A4604" s="258"/>
      <c r="B4604" s="258"/>
      <c r="C4604" s="261"/>
      <c r="D4604" s="258"/>
      <c r="E4604" s="679"/>
      <c r="F4604" s="597" t="s">
        <v>240</v>
      </c>
      <c r="G4604" s="598" t="s">
        <v>241</v>
      </c>
      <c r="H4604" s="555"/>
      <c r="I4604" s="556"/>
      <c r="J4604" s="560">
        <f t="shared" si="154"/>
        <v>0</v>
      </c>
      <c r="K4604" s="505"/>
      <c r="L4604" s="505"/>
      <c r="M4604" s="505"/>
      <c r="N4604" s="505"/>
      <c r="O4604" s="505"/>
      <c r="P4604" s="505"/>
      <c r="Q4604" s="505"/>
      <c r="R4604" s="505"/>
      <c r="S4604" s="505"/>
      <c r="T4604" s="505"/>
      <c r="U4604" s="505"/>
      <c r="V4604" s="505"/>
      <c r="W4604" s="505"/>
      <c r="X4604" s="505"/>
      <c r="Y4604" s="505"/>
    </row>
    <row r="4605" spans="1:25" s="88" customFormat="1" ht="15.75" hidden="1" thickBot="1" x14ac:dyDescent="0.3">
      <c r="A4605" s="258"/>
      <c r="B4605" s="258"/>
      <c r="C4605" s="261"/>
      <c r="D4605" s="258"/>
      <c r="E4605" s="679"/>
      <c r="F4605" s="597" t="s">
        <v>242</v>
      </c>
      <c r="G4605" s="598" t="s">
        <v>243</v>
      </c>
      <c r="H4605" s="555"/>
      <c r="I4605" s="556"/>
      <c r="J4605" s="560">
        <f t="shared" si="154"/>
        <v>0</v>
      </c>
      <c r="K4605" s="505"/>
      <c r="L4605" s="505"/>
      <c r="M4605" s="505"/>
      <c r="N4605" s="505"/>
      <c r="O4605" s="505"/>
      <c r="P4605" s="505"/>
      <c r="Q4605" s="505"/>
      <c r="R4605" s="505"/>
      <c r="S4605" s="505"/>
      <c r="T4605" s="505"/>
      <c r="U4605" s="505"/>
      <c r="V4605" s="505"/>
      <c r="W4605" s="505"/>
      <c r="X4605" s="505"/>
      <c r="Y4605" s="505"/>
    </row>
    <row r="4606" spans="1:25" s="88" customFormat="1" ht="15.75" hidden="1" thickBot="1" x14ac:dyDescent="0.3">
      <c r="A4606" s="258"/>
      <c r="B4606" s="258"/>
      <c r="C4606" s="261"/>
      <c r="D4606" s="258"/>
      <c r="E4606" s="679"/>
      <c r="F4606" s="597" t="s">
        <v>244</v>
      </c>
      <c r="G4606" s="598" t="s">
        <v>245</v>
      </c>
      <c r="H4606" s="555"/>
      <c r="I4606" s="556"/>
      <c r="J4606" s="560">
        <f t="shared" si="154"/>
        <v>0</v>
      </c>
      <c r="K4606" s="505"/>
      <c r="L4606" s="505"/>
      <c r="M4606" s="505"/>
      <c r="N4606" s="505"/>
      <c r="O4606" s="505"/>
      <c r="P4606" s="505"/>
      <c r="Q4606" s="505"/>
      <c r="R4606" s="505"/>
      <c r="S4606" s="505"/>
      <c r="T4606" s="505"/>
      <c r="U4606" s="505"/>
      <c r="V4606" s="505"/>
      <c r="W4606" s="505"/>
      <c r="X4606" s="505"/>
      <c r="Y4606" s="505"/>
    </row>
    <row r="4607" spans="1:25" s="88" customFormat="1" ht="15.75" hidden="1" thickBot="1" x14ac:dyDescent="0.3">
      <c r="A4607" s="258"/>
      <c r="B4607" s="258"/>
      <c r="C4607" s="261"/>
      <c r="D4607" s="258"/>
      <c r="E4607" s="679"/>
      <c r="F4607" s="597" t="s">
        <v>246</v>
      </c>
      <c r="G4607" s="598" t="s">
        <v>4996</v>
      </c>
      <c r="H4607" s="555"/>
      <c r="I4607" s="556"/>
      <c r="J4607" s="560">
        <f t="shared" si="154"/>
        <v>0</v>
      </c>
      <c r="K4607" s="505"/>
      <c r="L4607" s="505"/>
      <c r="M4607" s="505"/>
      <c r="N4607" s="505"/>
      <c r="O4607" s="505"/>
      <c r="P4607" s="505"/>
      <c r="Q4607" s="505"/>
      <c r="R4607" s="505"/>
      <c r="S4607" s="505"/>
      <c r="T4607" s="505"/>
      <c r="U4607" s="505"/>
      <c r="V4607" s="505"/>
      <c r="W4607" s="505"/>
      <c r="X4607" s="505"/>
      <c r="Y4607" s="505"/>
    </row>
    <row r="4608" spans="1:25" s="88" customFormat="1" ht="15.75" hidden="1" thickBot="1" x14ac:dyDescent="0.3">
      <c r="A4608" s="258"/>
      <c r="B4608" s="258"/>
      <c r="C4608" s="261"/>
      <c r="D4608" s="258"/>
      <c r="E4608" s="679"/>
      <c r="F4608" s="597" t="s">
        <v>247</v>
      </c>
      <c r="G4608" s="598" t="s">
        <v>4995</v>
      </c>
      <c r="H4608" s="555"/>
      <c r="I4608" s="556"/>
      <c r="J4608" s="560">
        <f t="shared" si="154"/>
        <v>0</v>
      </c>
      <c r="K4608" s="505"/>
      <c r="L4608" s="505"/>
      <c r="M4608" s="505"/>
      <c r="N4608" s="505"/>
      <c r="O4608" s="505"/>
      <c r="P4608" s="505"/>
      <c r="Q4608" s="505"/>
      <c r="R4608" s="505"/>
      <c r="S4608" s="505"/>
      <c r="T4608" s="505"/>
      <c r="U4608" s="505"/>
      <c r="V4608" s="505"/>
      <c r="W4608" s="505"/>
      <c r="X4608" s="505"/>
      <c r="Y4608" s="505"/>
    </row>
    <row r="4609" spans="1:25" s="88" customFormat="1" ht="15.75" hidden="1" thickBot="1" x14ac:dyDescent="0.3">
      <c r="A4609" s="258"/>
      <c r="B4609" s="258"/>
      <c r="C4609" s="261"/>
      <c r="D4609" s="258"/>
      <c r="E4609" s="679"/>
      <c r="F4609" s="597" t="s">
        <v>248</v>
      </c>
      <c r="G4609" s="598" t="s">
        <v>57</v>
      </c>
      <c r="H4609" s="555"/>
      <c r="I4609" s="556"/>
      <c r="J4609" s="560">
        <f t="shared" si="154"/>
        <v>0</v>
      </c>
      <c r="K4609" s="505"/>
      <c r="L4609" s="505"/>
      <c r="M4609" s="505"/>
      <c r="N4609" s="505"/>
      <c r="O4609" s="505"/>
      <c r="P4609" s="505"/>
      <c r="Q4609" s="505"/>
      <c r="R4609" s="505"/>
      <c r="S4609" s="505"/>
      <c r="T4609" s="505"/>
      <c r="U4609" s="505"/>
      <c r="V4609" s="505"/>
      <c r="W4609" s="505"/>
      <c r="X4609" s="505"/>
      <c r="Y4609" s="505"/>
    </row>
    <row r="4610" spans="1:25" s="88" customFormat="1" ht="15.75" hidden="1" thickBot="1" x14ac:dyDescent="0.3">
      <c r="A4610" s="258"/>
      <c r="B4610" s="258"/>
      <c r="C4610" s="261"/>
      <c r="D4610" s="258"/>
      <c r="E4610" s="679"/>
      <c r="F4610" s="597" t="s">
        <v>249</v>
      </c>
      <c r="G4610" s="598" t="s">
        <v>250</v>
      </c>
      <c r="H4610" s="555"/>
      <c r="I4610" s="556"/>
      <c r="J4610" s="560">
        <f t="shared" si="154"/>
        <v>0</v>
      </c>
      <c r="K4610" s="505"/>
      <c r="L4610" s="505"/>
      <c r="M4610" s="505"/>
      <c r="N4610" s="505"/>
      <c r="O4610" s="505"/>
      <c r="P4610" s="505"/>
      <c r="Q4610" s="505"/>
      <c r="R4610" s="505"/>
      <c r="S4610" s="505"/>
      <c r="T4610" s="505"/>
      <c r="U4610" s="505"/>
      <c r="V4610" s="505"/>
      <c r="W4610" s="505"/>
      <c r="X4610" s="505"/>
      <c r="Y4610" s="505"/>
    </row>
    <row r="4611" spans="1:25" s="88" customFormat="1" ht="15.75" hidden="1" thickBot="1" x14ac:dyDescent="0.3">
      <c r="A4611" s="258"/>
      <c r="B4611" s="258"/>
      <c r="C4611" s="261"/>
      <c r="D4611" s="258"/>
      <c r="E4611" s="679"/>
      <c r="F4611" s="597" t="s">
        <v>251</v>
      </c>
      <c r="G4611" s="598" t="s">
        <v>252</v>
      </c>
      <c r="H4611" s="555"/>
      <c r="I4611" s="556"/>
      <c r="J4611" s="560">
        <f t="shared" si="154"/>
        <v>0</v>
      </c>
      <c r="K4611" s="505"/>
      <c r="L4611" s="505"/>
      <c r="M4611" s="505"/>
      <c r="N4611" s="505"/>
      <c r="O4611" s="505"/>
      <c r="P4611" s="505"/>
      <c r="Q4611" s="505"/>
      <c r="R4611" s="505"/>
      <c r="S4611" s="505"/>
      <c r="T4611" s="505"/>
      <c r="U4611" s="505"/>
      <c r="V4611" s="505"/>
      <c r="W4611" s="505"/>
      <c r="X4611" s="505"/>
      <c r="Y4611" s="505"/>
    </row>
    <row r="4612" spans="1:25" s="88" customFormat="1" ht="30.75" hidden="1" thickBot="1" x14ac:dyDescent="0.3">
      <c r="A4612" s="258"/>
      <c r="B4612" s="258"/>
      <c r="C4612" s="261"/>
      <c r="D4612" s="258"/>
      <c r="E4612" s="679"/>
      <c r="F4612" s="597" t="s">
        <v>253</v>
      </c>
      <c r="G4612" s="598" t="s">
        <v>254</v>
      </c>
      <c r="H4612" s="555"/>
      <c r="I4612" s="556"/>
      <c r="J4612" s="560">
        <f t="shared" si="154"/>
        <v>0</v>
      </c>
      <c r="K4612" s="505"/>
      <c r="L4612" s="505"/>
      <c r="M4612" s="505"/>
      <c r="N4612" s="505"/>
      <c r="O4612" s="505"/>
      <c r="P4612" s="505"/>
      <c r="Q4612" s="505"/>
      <c r="R4612" s="505"/>
      <c r="S4612" s="505"/>
      <c r="T4612" s="505"/>
      <c r="U4612" s="505"/>
      <c r="V4612" s="505"/>
      <c r="W4612" s="505"/>
      <c r="X4612" s="505"/>
      <c r="Y4612" s="505"/>
    </row>
    <row r="4613" spans="1:25" s="88" customFormat="1" ht="15.75" hidden="1" thickBot="1" x14ac:dyDescent="0.3">
      <c r="A4613" s="258"/>
      <c r="B4613" s="258"/>
      <c r="C4613" s="261"/>
      <c r="D4613" s="258"/>
      <c r="E4613" s="679"/>
      <c r="F4613" s="597" t="s">
        <v>255</v>
      </c>
      <c r="G4613" s="598" t="s">
        <v>256</v>
      </c>
      <c r="H4613" s="555"/>
      <c r="I4613" s="556"/>
      <c r="J4613" s="560">
        <f t="shared" si="154"/>
        <v>0</v>
      </c>
      <c r="K4613" s="505"/>
      <c r="L4613" s="505"/>
      <c r="M4613" s="505"/>
      <c r="N4613" s="505"/>
      <c r="O4613" s="505"/>
      <c r="P4613" s="505"/>
      <c r="Q4613" s="505"/>
      <c r="R4613" s="505"/>
      <c r="S4613" s="505"/>
      <c r="T4613" s="505"/>
      <c r="U4613" s="505"/>
      <c r="V4613" s="505"/>
      <c r="W4613" s="505"/>
      <c r="X4613" s="505"/>
      <c r="Y4613" s="505"/>
    </row>
    <row r="4614" spans="1:25" s="88" customFormat="1" ht="30.75" hidden="1" thickBot="1" x14ac:dyDescent="0.3">
      <c r="A4614" s="258"/>
      <c r="B4614" s="258"/>
      <c r="C4614" s="261"/>
      <c r="D4614" s="258"/>
      <c r="E4614" s="679"/>
      <c r="F4614" s="597" t="s">
        <v>257</v>
      </c>
      <c r="G4614" s="598" t="s">
        <v>258</v>
      </c>
      <c r="H4614" s="555"/>
      <c r="I4614" s="556"/>
      <c r="J4614" s="560">
        <f t="shared" si="154"/>
        <v>0</v>
      </c>
      <c r="K4614" s="505"/>
      <c r="L4614" s="505"/>
      <c r="M4614" s="505"/>
      <c r="N4614" s="505"/>
      <c r="O4614" s="505"/>
      <c r="P4614" s="505"/>
      <c r="Q4614" s="505"/>
      <c r="R4614" s="505"/>
      <c r="S4614" s="505"/>
      <c r="T4614" s="505"/>
      <c r="U4614" s="505"/>
      <c r="V4614" s="505"/>
      <c r="W4614" s="505"/>
      <c r="X4614" s="505"/>
      <c r="Y4614" s="505"/>
    </row>
    <row r="4615" spans="1:25" s="88" customFormat="1" ht="15.75" hidden="1" thickBot="1" x14ac:dyDescent="0.3">
      <c r="A4615" s="258"/>
      <c r="B4615" s="258"/>
      <c r="C4615" s="261"/>
      <c r="D4615" s="258"/>
      <c r="E4615" s="679"/>
      <c r="F4615" s="597" t="s">
        <v>259</v>
      </c>
      <c r="G4615" s="598" t="s">
        <v>260</v>
      </c>
      <c r="H4615" s="555"/>
      <c r="I4615" s="556"/>
      <c r="J4615" s="560">
        <f t="shared" si="154"/>
        <v>0</v>
      </c>
      <c r="K4615" s="505"/>
      <c r="L4615" s="505"/>
      <c r="M4615" s="505"/>
      <c r="N4615" s="505"/>
      <c r="O4615" s="505"/>
      <c r="P4615" s="505"/>
      <c r="Q4615" s="505"/>
      <c r="R4615" s="505"/>
      <c r="S4615" s="505"/>
      <c r="T4615" s="505"/>
      <c r="U4615" s="505"/>
      <c r="V4615" s="505"/>
      <c r="W4615" s="505"/>
      <c r="X4615" s="505"/>
      <c r="Y4615" s="505"/>
    </row>
    <row r="4616" spans="1:25" s="88" customFormat="1" ht="15.75" hidden="1" thickBot="1" x14ac:dyDescent="0.3">
      <c r="A4616" s="258"/>
      <c r="B4616" s="258"/>
      <c r="C4616" s="261"/>
      <c r="D4616" s="258"/>
      <c r="E4616" s="679"/>
      <c r="F4616" s="597" t="s">
        <v>261</v>
      </c>
      <c r="G4616" s="598" t="s">
        <v>262</v>
      </c>
      <c r="H4616" s="559"/>
      <c r="I4616" s="560"/>
      <c r="J4616" s="560">
        <f t="shared" si="154"/>
        <v>0</v>
      </c>
      <c r="K4616" s="505"/>
      <c r="L4616" s="505"/>
      <c r="M4616" s="505"/>
      <c r="N4616" s="505"/>
      <c r="O4616" s="505"/>
      <c r="P4616" s="505"/>
      <c r="Q4616" s="505"/>
      <c r="R4616" s="505"/>
      <c r="S4616" s="505"/>
      <c r="T4616" s="505"/>
      <c r="U4616" s="505"/>
      <c r="V4616" s="505"/>
      <c r="W4616" s="505"/>
      <c r="X4616" s="505"/>
      <c r="Y4616" s="505"/>
    </row>
    <row r="4617" spans="1:25" s="88" customFormat="1" ht="15.75" thickBot="1" x14ac:dyDescent="0.3">
      <c r="A4617" s="258"/>
      <c r="B4617" s="258"/>
      <c r="C4617" s="261"/>
      <c r="D4617" s="258"/>
      <c r="E4617" s="679"/>
      <c r="F4617" s="258"/>
      <c r="G4617" s="268" t="s">
        <v>4384</v>
      </c>
      <c r="H4617" s="561">
        <f>SUM(H4601:H4616)</f>
        <v>9785000</v>
      </c>
      <c r="I4617" s="562">
        <f>SUM(I4602:I4616)</f>
        <v>0</v>
      </c>
      <c r="J4617" s="562">
        <f>SUM(J4601:J4616)</f>
        <v>9785000</v>
      </c>
      <c r="K4617" s="505"/>
      <c r="L4617" s="505"/>
      <c r="M4617" s="505"/>
      <c r="N4617" s="505"/>
      <c r="O4617" s="505"/>
      <c r="P4617" s="505"/>
      <c r="Q4617" s="505"/>
      <c r="R4617" s="505"/>
      <c r="S4617" s="505"/>
      <c r="T4617" s="505"/>
      <c r="U4617" s="505"/>
      <c r="V4617" s="505"/>
      <c r="W4617" s="505"/>
      <c r="X4617" s="505"/>
      <c r="Y4617" s="505"/>
    </row>
    <row r="4618" spans="1:25" s="88" customFormat="1" ht="28.5" x14ac:dyDescent="0.25">
      <c r="A4618" s="258"/>
      <c r="B4618" s="258"/>
      <c r="C4618" s="267" t="s">
        <v>4076</v>
      </c>
      <c r="D4618" s="259"/>
      <c r="E4618" s="679"/>
      <c r="F4618" s="258"/>
      <c r="G4618" s="490" t="s">
        <v>5369</v>
      </c>
      <c r="H4618" s="555"/>
      <c r="I4618" s="556"/>
      <c r="J4618" s="556"/>
      <c r="K4618" s="505"/>
      <c r="L4618" s="505"/>
      <c r="M4618" s="505"/>
      <c r="N4618" s="505"/>
      <c r="O4618" s="505"/>
      <c r="P4618" s="505"/>
      <c r="Q4618" s="505"/>
      <c r="R4618" s="505"/>
      <c r="S4618" s="505"/>
      <c r="T4618" s="505"/>
      <c r="U4618" s="505"/>
      <c r="V4618" s="505"/>
      <c r="W4618" s="505"/>
      <c r="X4618" s="505"/>
      <c r="Y4618" s="505"/>
    </row>
    <row r="4619" spans="1:25" s="88" customFormat="1" ht="12.75" customHeight="1" x14ac:dyDescent="0.25">
      <c r="A4619" s="258"/>
      <c r="B4619" s="258"/>
      <c r="C4619" s="267"/>
      <c r="D4619" s="331">
        <v>912</v>
      </c>
      <c r="E4619" s="869"/>
      <c r="F4619" s="331"/>
      <c r="G4619" s="332" t="s">
        <v>215</v>
      </c>
      <c r="H4619" s="555"/>
      <c r="I4619" s="556"/>
      <c r="J4619" s="556"/>
      <c r="K4619" s="505"/>
      <c r="L4619" s="505"/>
      <c r="M4619" s="505"/>
      <c r="N4619" s="505"/>
      <c r="O4619" s="505"/>
      <c r="P4619" s="505"/>
      <c r="Q4619" s="505"/>
      <c r="R4619" s="505"/>
      <c r="S4619" s="505"/>
      <c r="T4619" s="505"/>
      <c r="U4619" s="505"/>
      <c r="V4619" s="505"/>
      <c r="W4619" s="505"/>
      <c r="X4619" s="505"/>
      <c r="Y4619" s="505"/>
    </row>
    <row r="4620" spans="1:25" s="88" customFormat="1" hidden="1" x14ac:dyDescent="0.25">
      <c r="A4620" s="258"/>
      <c r="B4620" s="258"/>
      <c r="C4620" s="261"/>
      <c r="D4620" s="258"/>
      <c r="E4620" s="679"/>
      <c r="F4620" s="499">
        <v>411</v>
      </c>
      <c r="G4620" s="492" t="s">
        <v>4131</v>
      </c>
      <c r="H4620" s="555"/>
      <c r="I4620" s="556"/>
      <c r="J4620" s="556">
        <f>SUM(H4620:I4620)</f>
        <v>0</v>
      </c>
      <c r="K4620" s="505"/>
      <c r="L4620" s="505"/>
      <c r="M4620" s="505"/>
      <c r="N4620" s="505"/>
      <c r="O4620" s="505"/>
      <c r="P4620" s="505"/>
      <c r="Q4620" s="505"/>
      <c r="R4620" s="505"/>
      <c r="S4620" s="505"/>
      <c r="T4620" s="505"/>
      <c r="U4620" s="505"/>
      <c r="V4620" s="505"/>
      <c r="W4620" s="505"/>
      <c r="X4620" s="505"/>
      <c r="Y4620" s="505"/>
    </row>
    <row r="4621" spans="1:25" s="88" customFormat="1" hidden="1" x14ac:dyDescent="0.25">
      <c r="A4621" s="258"/>
      <c r="B4621" s="258"/>
      <c r="C4621" s="261"/>
      <c r="D4621" s="258"/>
      <c r="E4621" s="679"/>
      <c r="F4621" s="499">
        <v>412</v>
      </c>
      <c r="G4621" s="488" t="s">
        <v>3766</v>
      </c>
      <c r="H4621" s="555"/>
      <c r="I4621" s="556"/>
      <c r="J4621" s="556">
        <f t="shared" ref="J4621:J4679" si="155">SUM(H4621:I4621)</f>
        <v>0</v>
      </c>
      <c r="K4621" s="505"/>
      <c r="L4621" s="505"/>
      <c r="M4621" s="505"/>
      <c r="N4621" s="505"/>
      <c r="O4621" s="505"/>
      <c r="P4621" s="505"/>
      <c r="Q4621" s="505"/>
      <c r="R4621" s="505"/>
      <c r="S4621" s="505"/>
      <c r="T4621" s="505"/>
      <c r="U4621" s="505"/>
      <c r="V4621" s="505"/>
      <c r="W4621" s="505"/>
      <c r="X4621" s="505"/>
      <c r="Y4621" s="505"/>
    </row>
    <row r="4622" spans="1:25" s="88" customFormat="1" hidden="1" x14ac:dyDescent="0.25">
      <c r="A4622" s="258"/>
      <c r="B4622" s="258"/>
      <c r="C4622" s="261"/>
      <c r="D4622" s="258"/>
      <c r="E4622" s="679"/>
      <c r="F4622" s="499">
        <v>413</v>
      </c>
      <c r="G4622" s="492" t="s">
        <v>4132</v>
      </c>
      <c r="H4622" s="555"/>
      <c r="I4622" s="556"/>
      <c r="J4622" s="556">
        <f t="shared" si="155"/>
        <v>0</v>
      </c>
      <c r="K4622" s="505"/>
      <c r="L4622" s="505"/>
      <c r="M4622" s="505"/>
      <c r="N4622" s="505"/>
      <c r="O4622" s="505"/>
      <c r="P4622" s="505"/>
      <c r="Q4622" s="505"/>
      <c r="R4622" s="505"/>
      <c r="S4622" s="505"/>
      <c r="T4622" s="505"/>
      <c r="U4622" s="505"/>
      <c r="V4622" s="505"/>
      <c r="W4622" s="505"/>
      <c r="X4622" s="505"/>
      <c r="Y4622" s="505"/>
    </row>
    <row r="4623" spans="1:25" s="88" customFormat="1" hidden="1" x14ac:dyDescent="0.25">
      <c r="A4623" s="258"/>
      <c r="B4623" s="258"/>
      <c r="C4623" s="261"/>
      <c r="D4623" s="258"/>
      <c r="E4623" s="679"/>
      <c r="F4623" s="499">
        <v>414</v>
      </c>
      <c r="G4623" s="492" t="s">
        <v>3769</v>
      </c>
      <c r="H4623" s="555"/>
      <c r="I4623" s="556"/>
      <c r="J4623" s="556">
        <f t="shared" si="155"/>
        <v>0</v>
      </c>
      <c r="K4623" s="505"/>
      <c r="L4623" s="505"/>
      <c r="M4623" s="505"/>
      <c r="N4623" s="505"/>
      <c r="O4623" s="505"/>
      <c r="P4623" s="505"/>
      <c r="Q4623" s="505"/>
      <c r="R4623" s="505"/>
      <c r="S4623" s="505"/>
      <c r="T4623" s="505"/>
      <c r="U4623" s="505"/>
      <c r="V4623" s="505"/>
      <c r="W4623" s="505"/>
      <c r="X4623" s="505"/>
      <c r="Y4623" s="505"/>
    </row>
    <row r="4624" spans="1:25" s="88" customFormat="1" hidden="1" x14ac:dyDescent="0.25">
      <c r="A4624" s="258"/>
      <c r="B4624" s="258"/>
      <c r="C4624" s="261"/>
      <c r="D4624" s="258"/>
      <c r="E4624" s="679"/>
      <c r="F4624" s="499">
        <v>415</v>
      </c>
      <c r="G4624" s="492" t="s">
        <v>4141</v>
      </c>
      <c r="H4624" s="555"/>
      <c r="I4624" s="556"/>
      <c r="J4624" s="556">
        <f t="shared" si="155"/>
        <v>0</v>
      </c>
      <c r="K4624" s="505"/>
      <c r="L4624" s="505"/>
      <c r="M4624" s="505"/>
      <c r="N4624" s="505"/>
      <c r="O4624" s="505"/>
      <c r="P4624" s="505"/>
      <c r="Q4624" s="505"/>
      <c r="R4624" s="505"/>
      <c r="S4624" s="505"/>
      <c r="T4624" s="505"/>
      <c r="U4624" s="505"/>
      <c r="V4624" s="505"/>
      <c r="W4624" s="505"/>
      <c r="X4624" s="505"/>
      <c r="Y4624" s="505"/>
    </row>
    <row r="4625" spans="1:25" s="88" customFormat="1" hidden="1" x14ac:dyDescent="0.25">
      <c r="A4625" s="258"/>
      <c r="B4625" s="258"/>
      <c r="C4625" s="261"/>
      <c r="D4625" s="258"/>
      <c r="E4625" s="679"/>
      <c r="F4625" s="499">
        <v>416</v>
      </c>
      <c r="G4625" s="492" t="s">
        <v>4142</v>
      </c>
      <c r="H4625" s="555"/>
      <c r="I4625" s="556"/>
      <c r="J4625" s="556">
        <f t="shared" si="155"/>
        <v>0</v>
      </c>
      <c r="K4625" s="505"/>
      <c r="L4625" s="505"/>
      <c r="M4625" s="505"/>
      <c r="N4625" s="505"/>
      <c r="O4625" s="505"/>
      <c r="P4625" s="505"/>
      <c r="Q4625" s="505"/>
      <c r="R4625" s="505"/>
      <c r="S4625" s="505"/>
      <c r="T4625" s="505"/>
      <c r="U4625" s="505"/>
      <c r="V4625" s="505"/>
      <c r="W4625" s="505"/>
      <c r="X4625" s="505"/>
      <c r="Y4625" s="505"/>
    </row>
    <row r="4626" spans="1:25" s="88" customFormat="1" hidden="1" x14ac:dyDescent="0.25">
      <c r="A4626" s="258"/>
      <c r="B4626" s="258"/>
      <c r="C4626" s="261"/>
      <c r="D4626" s="258"/>
      <c r="E4626" s="679"/>
      <c r="F4626" s="499">
        <v>417</v>
      </c>
      <c r="G4626" s="492" t="s">
        <v>4143</v>
      </c>
      <c r="H4626" s="555"/>
      <c r="I4626" s="556"/>
      <c r="J4626" s="556">
        <f t="shared" si="155"/>
        <v>0</v>
      </c>
      <c r="K4626" s="505"/>
      <c r="L4626" s="505"/>
      <c r="M4626" s="505"/>
      <c r="N4626" s="505"/>
      <c r="O4626" s="505"/>
      <c r="P4626" s="505"/>
      <c r="Q4626" s="505"/>
      <c r="R4626" s="505"/>
      <c r="S4626" s="505"/>
      <c r="T4626" s="505"/>
      <c r="U4626" s="505"/>
      <c r="V4626" s="505"/>
      <c r="W4626" s="505"/>
      <c r="X4626" s="505"/>
      <c r="Y4626" s="505"/>
    </row>
    <row r="4627" spans="1:25" s="88" customFormat="1" hidden="1" x14ac:dyDescent="0.25">
      <c r="A4627" s="258"/>
      <c r="B4627" s="258"/>
      <c r="C4627" s="261"/>
      <c r="D4627" s="258"/>
      <c r="E4627" s="679"/>
      <c r="F4627" s="499">
        <v>418</v>
      </c>
      <c r="G4627" s="492" t="s">
        <v>3775</v>
      </c>
      <c r="H4627" s="555"/>
      <c r="I4627" s="556"/>
      <c r="J4627" s="556">
        <f t="shared" si="155"/>
        <v>0</v>
      </c>
      <c r="K4627" s="505"/>
      <c r="L4627" s="505"/>
      <c r="M4627" s="505"/>
      <c r="N4627" s="505"/>
      <c r="O4627" s="505"/>
      <c r="P4627" s="505"/>
      <c r="Q4627" s="505"/>
      <c r="R4627" s="505"/>
      <c r="S4627" s="505"/>
      <c r="T4627" s="505"/>
      <c r="U4627" s="505"/>
      <c r="V4627" s="505"/>
      <c r="W4627" s="505"/>
      <c r="X4627" s="505"/>
      <c r="Y4627" s="505"/>
    </row>
    <row r="4628" spans="1:25" s="88" customFormat="1" hidden="1" x14ac:dyDescent="0.25">
      <c r="A4628" s="258"/>
      <c r="B4628" s="258"/>
      <c r="C4628" s="261"/>
      <c r="D4628" s="258"/>
      <c r="E4628" s="679"/>
      <c r="F4628" s="499">
        <v>421</v>
      </c>
      <c r="G4628" s="492" t="s">
        <v>3779</v>
      </c>
      <c r="H4628" s="555"/>
      <c r="I4628" s="556"/>
      <c r="J4628" s="556">
        <f t="shared" si="155"/>
        <v>0</v>
      </c>
      <c r="K4628" s="505"/>
      <c r="L4628" s="505"/>
      <c r="M4628" s="505"/>
      <c r="N4628" s="505"/>
      <c r="O4628" s="505"/>
      <c r="P4628" s="505"/>
      <c r="Q4628" s="505"/>
      <c r="R4628" s="505"/>
      <c r="S4628" s="505"/>
      <c r="T4628" s="505"/>
      <c r="U4628" s="505"/>
      <c r="V4628" s="505"/>
      <c r="W4628" s="505"/>
      <c r="X4628" s="505"/>
      <c r="Y4628" s="505"/>
    </row>
    <row r="4629" spans="1:25" s="88" customFormat="1" hidden="1" x14ac:dyDescent="0.25">
      <c r="A4629" s="258"/>
      <c r="B4629" s="258"/>
      <c r="C4629" s="261"/>
      <c r="D4629" s="258"/>
      <c r="E4629" s="679"/>
      <c r="F4629" s="499">
        <v>422</v>
      </c>
      <c r="G4629" s="492" t="s">
        <v>3780</v>
      </c>
      <c r="H4629" s="555"/>
      <c r="I4629" s="556"/>
      <c r="J4629" s="556">
        <f t="shared" si="155"/>
        <v>0</v>
      </c>
      <c r="K4629" s="505"/>
      <c r="L4629" s="505"/>
      <c r="M4629" s="505"/>
      <c r="N4629" s="505"/>
      <c r="O4629" s="505"/>
      <c r="P4629" s="505"/>
      <c r="Q4629" s="505"/>
      <c r="R4629" s="505"/>
      <c r="S4629" s="505"/>
      <c r="T4629" s="505"/>
      <c r="U4629" s="505"/>
      <c r="V4629" s="505"/>
      <c r="W4629" s="505"/>
      <c r="X4629" s="505"/>
      <c r="Y4629" s="505"/>
    </row>
    <row r="4630" spans="1:25" s="88" customFormat="1" hidden="1" x14ac:dyDescent="0.25">
      <c r="A4630" s="258"/>
      <c r="B4630" s="258"/>
      <c r="C4630" s="261"/>
      <c r="D4630" s="258"/>
      <c r="E4630" s="679"/>
      <c r="F4630" s="499">
        <v>423</v>
      </c>
      <c r="G4630" s="492" t="s">
        <v>3781</v>
      </c>
      <c r="H4630" s="555"/>
      <c r="I4630" s="556"/>
      <c r="J4630" s="556">
        <f t="shared" si="155"/>
        <v>0</v>
      </c>
      <c r="K4630" s="505"/>
      <c r="L4630" s="505"/>
      <c r="M4630" s="505"/>
      <c r="N4630" s="505"/>
      <c r="O4630" s="505"/>
      <c r="P4630" s="505"/>
      <c r="Q4630" s="505"/>
      <c r="R4630" s="505"/>
      <c r="S4630" s="505"/>
      <c r="T4630" s="505"/>
      <c r="U4630" s="505"/>
      <c r="V4630" s="505"/>
      <c r="W4630" s="505"/>
      <c r="X4630" s="505"/>
      <c r="Y4630" s="505"/>
    </row>
    <row r="4631" spans="1:25" s="88" customFormat="1" hidden="1" x14ac:dyDescent="0.25">
      <c r="A4631" s="258"/>
      <c r="B4631" s="258"/>
      <c r="C4631" s="261"/>
      <c r="D4631" s="258"/>
      <c r="E4631" s="679"/>
      <c r="F4631" s="499">
        <v>424</v>
      </c>
      <c r="G4631" s="492" t="s">
        <v>3783</v>
      </c>
      <c r="H4631" s="555"/>
      <c r="I4631" s="556"/>
      <c r="J4631" s="556">
        <f t="shared" si="155"/>
        <v>0</v>
      </c>
      <c r="K4631" s="505"/>
      <c r="L4631" s="505"/>
      <c r="M4631" s="505"/>
      <c r="N4631" s="505"/>
      <c r="O4631" s="505"/>
      <c r="P4631" s="505"/>
      <c r="Q4631" s="505"/>
      <c r="R4631" s="505"/>
      <c r="S4631" s="505"/>
      <c r="T4631" s="505"/>
      <c r="U4631" s="505"/>
      <c r="V4631" s="505"/>
      <c r="W4631" s="505"/>
      <c r="X4631" s="505"/>
      <c r="Y4631" s="505"/>
    </row>
    <row r="4632" spans="1:25" s="88" customFormat="1" hidden="1" x14ac:dyDescent="0.25">
      <c r="A4632" s="258"/>
      <c r="B4632" s="258"/>
      <c r="C4632" s="261"/>
      <c r="D4632" s="258"/>
      <c r="E4632" s="679"/>
      <c r="F4632" s="499">
        <v>425</v>
      </c>
      <c r="G4632" s="492" t="s">
        <v>4144</v>
      </c>
      <c r="H4632" s="555"/>
      <c r="I4632" s="556"/>
      <c r="J4632" s="556">
        <f t="shared" si="155"/>
        <v>0</v>
      </c>
      <c r="K4632" s="505"/>
      <c r="L4632" s="505"/>
      <c r="M4632" s="505"/>
      <c r="N4632" s="505"/>
      <c r="O4632" s="505"/>
      <c r="P4632" s="505"/>
      <c r="Q4632" s="505"/>
      <c r="R4632" s="505"/>
      <c r="S4632" s="505"/>
      <c r="T4632" s="505"/>
      <c r="U4632" s="505"/>
      <c r="V4632" s="505"/>
      <c r="W4632" s="505"/>
      <c r="X4632" s="505"/>
      <c r="Y4632" s="505"/>
    </row>
    <row r="4633" spans="1:25" s="88" customFormat="1" hidden="1" x14ac:dyDescent="0.25">
      <c r="A4633" s="258"/>
      <c r="B4633" s="258"/>
      <c r="C4633" s="261"/>
      <c r="D4633" s="258"/>
      <c r="E4633" s="679"/>
      <c r="F4633" s="499">
        <v>426</v>
      </c>
      <c r="G4633" s="492" t="s">
        <v>3787</v>
      </c>
      <c r="H4633" s="555"/>
      <c r="I4633" s="556"/>
      <c r="J4633" s="556">
        <f t="shared" si="155"/>
        <v>0</v>
      </c>
      <c r="K4633" s="505"/>
      <c r="L4633" s="505"/>
      <c r="M4633" s="505"/>
      <c r="N4633" s="505"/>
      <c r="O4633" s="505"/>
      <c r="P4633" s="505"/>
      <c r="Q4633" s="505"/>
      <c r="R4633" s="505"/>
      <c r="S4633" s="505"/>
      <c r="T4633" s="505"/>
      <c r="U4633" s="505"/>
      <c r="V4633" s="505"/>
      <c r="W4633" s="505"/>
      <c r="X4633" s="505"/>
      <c r="Y4633" s="505"/>
    </row>
    <row r="4634" spans="1:25" s="88" customFormat="1" hidden="1" x14ac:dyDescent="0.25">
      <c r="A4634" s="258"/>
      <c r="B4634" s="258"/>
      <c r="C4634" s="261"/>
      <c r="D4634" s="258"/>
      <c r="E4634" s="679"/>
      <c r="F4634" s="499">
        <v>431</v>
      </c>
      <c r="G4634" s="492" t="s">
        <v>4145</v>
      </c>
      <c r="H4634" s="555"/>
      <c r="I4634" s="556"/>
      <c r="J4634" s="556">
        <f t="shared" si="155"/>
        <v>0</v>
      </c>
      <c r="K4634" s="505"/>
      <c r="L4634" s="505"/>
      <c r="M4634" s="505"/>
      <c r="N4634" s="505"/>
      <c r="O4634" s="505"/>
      <c r="P4634" s="505"/>
      <c r="Q4634" s="505"/>
      <c r="R4634" s="505"/>
      <c r="S4634" s="505"/>
      <c r="T4634" s="505"/>
      <c r="U4634" s="505"/>
      <c r="V4634" s="505"/>
      <c r="W4634" s="505"/>
      <c r="X4634" s="505"/>
      <c r="Y4634" s="505"/>
    </row>
    <row r="4635" spans="1:25" s="88" customFormat="1" hidden="1" x14ac:dyDescent="0.25">
      <c r="A4635" s="258"/>
      <c r="B4635" s="258"/>
      <c r="C4635" s="261"/>
      <c r="D4635" s="258"/>
      <c r="E4635" s="679"/>
      <c r="F4635" s="499">
        <v>432</v>
      </c>
      <c r="G4635" s="492" t="s">
        <v>4146</v>
      </c>
      <c r="H4635" s="555"/>
      <c r="I4635" s="556"/>
      <c r="J4635" s="556">
        <f t="shared" si="155"/>
        <v>0</v>
      </c>
      <c r="K4635" s="505"/>
      <c r="L4635" s="505"/>
      <c r="M4635" s="505"/>
      <c r="N4635" s="505"/>
      <c r="O4635" s="505"/>
      <c r="P4635" s="505"/>
      <c r="Q4635" s="505"/>
      <c r="R4635" s="505"/>
      <c r="S4635" s="505"/>
      <c r="T4635" s="505"/>
      <c r="U4635" s="505"/>
      <c r="V4635" s="505"/>
      <c r="W4635" s="505"/>
      <c r="X4635" s="505"/>
      <c r="Y4635" s="505"/>
    </row>
    <row r="4636" spans="1:25" s="88" customFormat="1" hidden="1" x14ac:dyDescent="0.25">
      <c r="A4636" s="258"/>
      <c r="B4636" s="258"/>
      <c r="C4636" s="261"/>
      <c r="D4636" s="258"/>
      <c r="E4636" s="679"/>
      <c r="F4636" s="499">
        <v>433</v>
      </c>
      <c r="G4636" s="492" t="s">
        <v>4147</v>
      </c>
      <c r="H4636" s="555"/>
      <c r="I4636" s="556"/>
      <c r="J4636" s="556">
        <f t="shared" si="155"/>
        <v>0</v>
      </c>
      <c r="K4636" s="505"/>
      <c r="L4636" s="505"/>
      <c r="M4636" s="505"/>
      <c r="N4636" s="505"/>
      <c r="O4636" s="505"/>
      <c r="P4636" s="505"/>
      <c r="Q4636" s="505"/>
      <c r="R4636" s="505"/>
      <c r="S4636" s="505"/>
      <c r="T4636" s="505"/>
      <c r="U4636" s="505"/>
      <c r="V4636" s="505"/>
      <c r="W4636" s="505"/>
      <c r="X4636" s="505"/>
      <c r="Y4636" s="505"/>
    </row>
    <row r="4637" spans="1:25" s="88" customFormat="1" hidden="1" x14ac:dyDescent="0.25">
      <c r="A4637" s="258"/>
      <c r="B4637" s="258"/>
      <c r="C4637" s="261"/>
      <c r="D4637" s="258"/>
      <c r="E4637" s="679"/>
      <c r="F4637" s="499">
        <v>434</v>
      </c>
      <c r="G4637" s="492" t="s">
        <v>4148</v>
      </c>
      <c r="H4637" s="555"/>
      <c r="I4637" s="556"/>
      <c r="J4637" s="556">
        <f t="shared" si="155"/>
        <v>0</v>
      </c>
      <c r="K4637" s="505"/>
      <c r="L4637" s="505"/>
      <c r="M4637" s="505"/>
      <c r="N4637" s="505"/>
      <c r="O4637" s="505"/>
      <c r="P4637" s="505"/>
      <c r="Q4637" s="505"/>
      <c r="R4637" s="505"/>
      <c r="S4637" s="505"/>
      <c r="T4637" s="505"/>
      <c r="U4637" s="505"/>
      <c r="V4637" s="505"/>
      <c r="W4637" s="505"/>
      <c r="X4637" s="505"/>
      <c r="Y4637" s="505"/>
    </row>
    <row r="4638" spans="1:25" s="88" customFormat="1" hidden="1" x14ac:dyDescent="0.25">
      <c r="A4638" s="258"/>
      <c r="B4638" s="258"/>
      <c r="C4638" s="261"/>
      <c r="D4638" s="258"/>
      <c r="E4638" s="679"/>
      <c r="F4638" s="499">
        <v>435</v>
      </c>
      <c r="G4638" s="492" t="s">
        <v>3794</v>
      </c>
      <c r="H4638" s="555"/>
      <c r="I4638" s="556"/>
      <c r="J4638" s="556">
        <f t="shared" si="155"/>
        <v>0</v>
      </c>
      <c r="K4638" s="505"/>
      <c r="L4638" s="505"/>
      <c r="M4638" s="505"/>
      <c r="N4638" s="505"/>
      <c r="O4638" s="505"/>
      <c r="P4638" s="505"/>
      <c r="Q4638" s="505"/>
      <c r="R4638" s="505"/>
      <c r="S4638" s="505"/>
      <c r="T4638" s="505"/>
      <c r="U4638" s="505"/>
      <c r="V4638" s="505"/>
      <c r="W4638" s="505"/>
      <c r="X4638" s="505"/>
      <c r="Y4638" s="505"/>
    </row>
    <row r="4639" spans="1:25" s="88" customFormat="1" hidden="1" x14ac:dyDescent="0.25">
      <c r="A4639" s="258"/>
      <c r="B4639" s="258"/>
      <c r="C4639" s="261"/>
      <c r="D4639" s="258"/>
      <c r="E4639" s="679"/>
      <c r="F4639" s="499">
        <v>441</v>
      </c>
      <c r="G4639" s="492" t="s">
        <v>4149</v>
      </c>
      <c r="H4639" s="555"/>
      <c r="I4639" s="556"/>
      <c r="J4639" s="556">
        <f t="shared" si="155"/>
        <v>0</v>
      </c>
      <c r="K4639" s="505"/>
      <c r="L4639" s="505"/>
      <c r="M4639" s="505"/>
      <c r="N4639" s="505"/>
      <c r="O4639" s="505"/>
      <c r="P4639" s="505"/>
      <c r="Q4639" s="505"/>
      <c r="R4639" s="505"/>
      <c r="S4639" s="505"/>
      <c r="T4639" s="505"/>
      <c r="U4639" s="505"/>
      <c r="V4639" s="505"/>
      <c r="W4639" s="505"/>
      <c r="X4639" s="505"/>
      <c r="Y4639" s="505"/>
    </row>
    <row r="4640" spans="1:25" s="88" customFormat="1" hidden="1" x14ac:dyDescent="0.25">
      <c r="A4640" s="258"/>
      <c r="B4640" s="258"/>
      <c r="C4640" s="261"/>
      <c r="D4640" s="258"/>
      <c r="E4640" s="679"/>
      <c r="F4640" s="499">
        <v>442</v>
      </c>
      <c r="G4640" s="492" t="s">
        <v>4150</v>
      </c>
      <c r="H4640" s="555"/>
      <c r="I4640" s="556"/>
      <c r="J4640" s="556">
        <f t="shared" si="155"/>
        <v>0</v>
      </c>
      <c r="K4640" s="505"/>
      <c r="L4640" s="505"/>
      <c r="M4640" s="505"/>
      <c r="N4640" s="505"/>
      <c r="O4640" s="505"/>
      <c r="P4640" s="505"/>
      <c r="Q4640" s="505"/>
      <c r="R4640" s="505"/>
      <c r="S4640" s="505"/>
      <c r="T4640" s="505"/>
      <c r="U4640" s="505"/>
      <c r="V4640" s="505"/>
      <c r="W4640" s="505"/>
      <c r="X4640" s="505"/>
      <c r="Y4640" s="505"/>
    </row>
    <row r="4641" spans="1:25" s="88" customFormat="1" hidden="1" x14ac:dyDescent="0.25">
      <c r="A4641" s="258"/>
      <c r="B4641" s="258"/>
      <c r="C4641" s="261"/>
      <c r="D4641" s="258"/>
      <c r="E4641" s="679"/>
      <c r="F4641" s="499">
        <v>443</v>
      </c>
      <c r="G4641" s="492" t="s">
        <v>3799</v>
      </c>
      <c r="H4641" s="555"/>
      <c r="I4641" s="556"/>
      <c r="J4641" s="556">
        <f t="shared" si="155"/>
        <v>0</v>
      </c>
      <c r="K4641" s="505"/>
      <c r="L4641" s="505"/>
      <c r="M4641" s="505"/>
      <c r="N4641" s="505"/>
      <c r="O4641" s="505"/>
      <c r="P4641" s="505"/>
      <c r="Q4641" s="505"/>
      <c r="R4641" s="505"/>
      <c r="S4641" s="505"/>
      <c r="T4641" s="505"/>
      <c r="U4641" s="505"/>
      <c r="V4641" s="505"/>
      <c r="W4641" s="505"/>
      <c r="X4641" s="505"/>
      <c r="Y4641" s="505"/>
    </row>
    <row r="4642" spans="1:25" s="88" customFormat="1" hidden="1" x14ac:dyDescent="0.25">
      <c r="A4642" s="258"/>
      <c r="B4642" s="258"/>
      <c r="C4642" s="261"/>
      <c r="D4642" s="258"/>
      <c r="E4642" s="679"/>
      <c r="F4642" s="499">
        <v>444</v>
      </c>
      <c r="G4642" s="492" t="s">
        <v>3800</v>
      </c>
      <c r="H4642" s="555"/>
      <c r="I4642" s="556"/>
      <c r="J4642" s="556">
        <f t="shared" si="155"/>
        <v>0</v>
      </c>
      <c r="K4642" s="505"/>
      <c r="L4642" s="505"/>
      <c r="M4642" s="505"/>
      <c r="N4642" s="505"/>
      <c r="O4642" s="505"/>
      <c r="P4642" s="505"/>
      <c r="Q4642" s="505"/>
      <c r="R4642" s="505"/>
      <c r="S4642" s="505"/>
      <c r="T4642" s="505"/>
      <c r="U4642" s="505"/>
      <c r="V4642" s="505"/>
      <c r="W4642" s="505"/>
      <c r="X4642" s="505"/>
      <c r="Y4642" s="505"/>
    </row>
    <row r="4643" spans="1:25" s="88" customFormat="1" ht="30" hidden="1" x14ac:dyDescent="0.25">
      <c r="A4643" s="258"/>
      <c r="B4643" s="258"/>
      <c r="C4643" s="261"/>
      <c r="D4643" s="258"/>
      <c r="E4643" s="679"/>
      <c r="F4643" s="499">
        <v>4511</v>
      </c>
      <c r="G4643" s="771" t="s">
        <v>1690</v>
      </c>
      <c r="H4643" s="555"/>
      <c r="I4643" s="556"/>
      <c r="J4643" s="556">
        <f t="shared" si="155"/>
        <v>0</v>
      </c>
      <c r="K4643" s="505"/>
      <c r="L4643" s="505"/>
      <c r="M4643" s="505"/>
      <c r="N4643" s="505"/>
      <c r="O4643" s="505"/>
      <c r="P4643" s="505"/>
      <c r="Q4643" s="505"/>
      <c r="R4643" s="505"/>
      <c r="S4643" s="505"/>
      <c r="T4643" s="505"/>
      <c r="U4643" s="505"/>
      <c r="V4643" s="505"/>
      <c r="W4643" s="505"/>
      <c r="X4643" s="505"/>
      <c r="Y4643" s="505"/>
    </row>
    <row r="4644" spans="1:25" s="88" customFormat="1" ht="30" hidden="1" x14ac:dyDescent="0.25">
      <c r="A4644" s="258"/>
      <c r="B4644" s="258"/>
      <c r="C4644" s="261"/>
      <c r="D4644" s="258"/>
      <c r="E4644" s="679"/>
      <c r="F4644" s="499">
        <v>4512</v>
      </c>
      <c r="G4644" s="771" t="s">
        <v>1699</v>
      </c>
      <c r="H4644" s="555"/>
      <c r="I4644" s="556"/>
      <c r="J4644" s="556">
        <f t="shared" si="155"/>
        <v>0</v>
      </c>
      <c r="K4644" s="505"/>
      <c r="L4644" s="505"/>
      <c r="M4644" s="505"/>
      <c r="N4644" s="505"/>
      <c r="O4644" s="505"/>
      <c r="P4644" s="505"/>
      <c r="Q4644" s="505"/>
      <c r="R4644" s="505"/>
      <c r="S4644" s="505"/>
      <c r="T4644" s="505"/>
      <c r="U4644" s="505"/>
      <c r="V4644" s="505"/>
      <c r="W4644" s="505"/>
      <c r="X4644" s="505"/>
      <c r="Y4644" s="505"/>
    </row>
    <row r="4645" spans="1:25" s="88" customFormat="1" hidden="1" x14ac:dyDescent="0.25">
      <c r="A4645" s="258"/>
      <c r="B4645" s="258"/>
      <c r="C4645" s="261"/>
      <c r="D4645" s="258"/>
      <c r="E4645" s="679"/>
      <c r="F4645" s="499">
        <v>452</v>
      </c>
      <c r="G4645" s="492" t="s">
        <v>4151</v>
      </c>
      <c r="H4645" s="555"/>
      <c r="I4645" s="556"/>
      <c r="J4645" s="556">
        <f t="shared" si="155"/>
        <v>0</v>
      </c>
      <c r="K4645" s="505"/>
      <c r="L4645" s="505"/>
      <c r="M4645" s="505"/>
      <c r="N4645" s="505"/>
      <c r="O4645" s="505"/>
      <c r="P4645" s="505"/>
      <c r="Q4645" s="505"/>
      <c r="R4645" s="505"/>
      <c r="S4645" s="505"/>
      <c r="T4645" s="505"/>
      <c r="U4645" s="505"/>
      <c r="V4645" s="505"/>
      <c r="W4645" s="505"/>
      <c r="X4645" s="505"/>
      <c r="Y4645" s="505"/>
    </row>
    <row r="4646" spans="1:25" s="88" customFormat="1" hidden="1" x14ac:dyDescent="0.25">
      <c r="A4646" s="258"/>
      <c r="B4646" s="258"/>
      <c r="C4646" s="261"/>
      <c r="D4646" s="258"/>
      <c r="E4646" s="679"/>
      <c r="F4646" s="499">
        <v>453</v>
      </c>
      <c r="G4646" s="492" t="s">
        <v>4152</v>
      </c>
      <c r="H4646" s="555"/>
      <c r="I4646" s="556"/>
      <c r="J4646" s="556">
        <f t="shared" si="155"/>
        <v>0</v>
      </c>
      <c r="K4646" s="505"/>
      <c r="L4646" s="505"/>
      <c r="M4646" s="505"/>
      <c r="N4646" s="505"/>
      <c r="O4646" s="505"/>
      <c r="P4646" s="505"/>
      <c r="Q4646" s="505"/>
      <c r="R4646" s="505"/>
      <c r="S4646" s="505"/>
      <c r="T4646" s="505"/>
      <c r="U4646" s="505"/>
      <c r="V4646" s="505"/>
      <c r="W4646" s="505"/>
      <c r="X4646" s="505"/>
      <c r="Y4646" s="505"/>
    </row>
    <row r="4647" spans="1:25" s="88" customFormat="1" hidden="1" x14ac:dyDescent="0.25">
      <c r="A4647" s="258"/>
      <c r="B4647" s="258"/>
      <c r="C4647" s="261"/>
      <c r="D4647" s="258"/>
      <c r="E4647" s="679"/>
      <c r="F4647" s="499">
        <v>454</v>
      </c>
      <c r="G4647" s="492" t="s">
        <v>3805</v>
      </c>
      <c r="H4647" s="555"/>
      <c r="I4647" s="556"/>
      <c r="J4647" s="556">
        <f t="shared" si="155"/>
        <v>0</v>
      </c>
      <c r="K4647" s="505"/>
      <c r="L4647" s="505"/>
      <c r="M4647" s="505"/>
      <c r="N4647" s="505"/>
      <c r="O4647" s="505"/>
      <c r="P4647" s="505"/>
      <c r="Q4647" s="505"/>
      <c r="R4647" s="505"/>
      <c r="S4647" s="505"/>
      <c r="T4647" s="505"/>
      <c r="U4647" s="505"/>
      <c r="V4647" s="505"/>
      <c r="W4647" s="505"/>
      <c r="X4647" s="505"/>
      <c r="Y4647" s="505"/>
    </row>
    <row r="4648" spans="1:25" s="88" customFormat="1" hidden="1" x14ac:dyDescent="0.25">
      <c r="A4648" s="258"/>
      <c r="B4648" s="258"/>
      <c r="C4648" s="261"/>
      <c r="D4648" s="258"/>
      <c r="E4648" s="679"/>
      <c r="F4648" s="499">
        <v>461</v>
      </c>
      <c r="G4648" s="492" t="s">
        <v>4133</v>
      </c>
      <c r="H4648" s="555"/>
      <c r="I4648" s="556"/>
      <c r="J4648" s="556">
        <f t="shared" si="155"/>
        <v>0</v>
      </c>
      <c r="K4648" s="505"/>
      <c r="L4648" s="505"/>
      <c r="M4648" s="505"/>
      <c r="N4648" s="505"/>
      <c r="O4648" s="505"/>
      <c r="P4648" s="505"/>
      <c r="Q4648" s="505"/>
      <c r="R4648" s="505"/>
      <c r="S4648" s="505"/>
      <c r="T4648" s="505"/>
      <c r="U4648" s="505"/>
      <c r="V4648" s="505"/>
      <c r="W4648" s="505"/>
      <c r="X4648" s="505"/>
      <c r="Y4648" s="505"/>
    </row>
    <row r="4649" spans="1:25" s="88" customFormat="1" hidden="1" x14ac:dyDescent="0.25">
      <c r="A4649" s="258"/>
      <c r="B4649" s="258"/>
      <c r="C4649" s="261"/>
      <c r="D4649" s="258"/>
      <c r="E4649" s="679"/>
      <c r="F4649" s="499">
        <v>462</v>
      </c>
      <c r="G4649" s="492" t="s">
        <v>3808</v>
      </c>
      <c r="H4649" s="555"/>
      <c r="I4649" s="556"/>
      <c r="J4649" s="556">
        <f t="shared" si="155"/>
        <v>0</v>
      </c>
      <c r="K4649" s="505"/>
      <c r="L4649" s="505"/>
      <c r="M4649" s="505"/>
      <c r="N4649" s="505"/>
      <c r="O4649" s="505"/>
      <c r="P4649" s="505"/>
      <c r="Q4649" s="505"/>
      <c r="R4649" s="505"/>
      <c r="S4649" s="505"/>
      <c r="T4649" s="505"/>
      <c r="U4649" s="505"/>
      <c r="V4649" s="505"/>
      <c r="W4649" s="505"/>
      <c r="X4649" s="505"/>
      <c r="Y4649" s="505"/>
    </row>
    <row r="4650" spans="1:25" s="88" customFormat="1" x14ac:dyDescent="0.25">
      <c r="A4650" s="258"/>
      <c r="B4650" s="258"/>
      <c r="C4650" s="261"/>
      <c r="D4650" s="258"/>
      <c r="E4650" s="679" t="s">
        <v>5420</v>
      </c>
      <c r="F4650" s="499">
        <v>4631</v>
      </c>
      <c r="G4650" s="492" t="s">
        <v>3809</v>
      </c>
      <c r="H4650" s="555">
        <v>6924000</v>
      </c>
      <c r="I4650" s="556"/>
      <c r="J4650" s="556">
        <f t="shared" si="155"/>
        <v>6924000</v>
      </c>
      <c r="K4650" s="505"/>
      <c r="L4650" s="505"/>
      <c r="M4650" s="505"/>
      <c r="N4650" s="505"/>
      <c r="O4650" s="505"/>
      <c r="P4650" s="505"/>
      <c r="Q4650" s="505"/>
      <c r="R4650" s="505"/>
      <c r="S4650" s="505"/>
      <c r="T4650" s="505"/>
      <c r="U4650" s="505"/>
      <c r="V4650" s="505"/>
      <c r="W4650" s="505"/>
      <c r="X4650" s="505"/>
      <c r="Y4650" s="505"/>
    </row>
    <row r="4651" spans="1:25" s="88" customFormat="1" ht="15.75" thickBot="1" x14ac:dyDescent="0.3">
      <c r="A4651" s="258"/>
      <c r="B4651" s="258"/>
      <c r="C4651" s="261"/>
      <c r="D4651" s="258"/>
      <c r="E4651" s="679">
        <v>132</v>
      </c>
      <c r="F4651" s="499">
        <v>4632</v>
      </c>
      <c r="G4651" s="492" t="s">
        <v>3810</v>
      </c>
      <c r="H4651" s="555">
        <v>190000</v>
      </c>
      <c r="I4651" s="556"/>
      <c r="J4651" s="556">
        <f t="shared" si="155"/>
        <v>190000</v>
      </c>
      <c r="K4651" s="505"/>
      <c r="L4651" s="505"/>
      <c r="M4651" s="505"/>
      <c r="N4651" s="505"/>
      <c r="O4651" s="505"/>
      <c r="P4651" s="505"/>
      <c r="Q4651" s="505"/>
      <c r="R4651" s="505"/>
      <c r="S4651" s="505"/>
      <c r="T4651" s="505"/>
      <c r="U4651" s="505"/>
      <c r="V4651" s="505"/>
      <c r="W4651" s="505"/>
      <c r="X4651" s="505"/>
      <c r="Y4651" s="505"/>
    </row>
    <row r="4652" spans="1:25" s="88" customFormat="1" hidden="1" x14ac:dyDescent="0.25">
      <c r="A4652" s="258"/>
      <c r="B4652" s="258"/>
      <c r="C4652" s="261"/>
      <c r="D4652" s="258"/>
      <c r="E4652" s="679"/>
      <c r="F4652" s="499">
        <v>464</v>
      </c>
      <c r="G4652" s="492" t="s">
        <v>3811</v>
      </c>
      <c r="H4652" s="555"/>
      <c r="I4652" s="556"/>
      <c r="J4652" s="556">
        <f t="shared" si="155"/>
        <v>0</v>
      </c>
      <c r="K4652" s="505"/>
      <c r="L4652" s="505"/>
      <c r="M4652" s="505"/>
      <c r="N4652" s="505"/>
      <c r="O4652" s="505"/>
      <c r="P4652" s="505"/>
      <c r="Q4652" s="505"/>
      <c r="R4652" s="505"/>
      <c r="S4652" s="505"/>
      <c r="T4652" s="505"/>
      <c r="U4652" s="505"/>
      <c r="V4652" s="505"/>
      <c r="W4652" s="505"/>
      <c r="X4652" s="505"/>
      <c r="Y4652" s="505"/>
    </row>
    <row r="4653" spans="1:25" s="88" customFormat="1" hidden="1" x14ac:dyDescent="0.25">
      <c r="A4653" s="258"/>
      <c r="B4653" s="258"/>
      <c r="C4653" s="261"/>
      <c r="D4653" s="258"/>
      <c r="E4653" s="679"/>
      <c r="F4653" s="499">
        <v>465</v>
      </c>
      <c r="G4653" s="492" t="s">
        <v>4134</v>
      </c>
      <c r="H4653" s="555"/>
      <c r="I4653" s="556"/>
      <c r="J4653" s="556">
        <f t="shared" si="155"/>
        <v>0</v>
      </c>
      <c r="K4653" s="505"/>
      <c r="L4653" s="505"/>
      <c r="M4653" s="505"/>
      <c r="N4653" s="505"/>
      <c r="O4653" s="505"/>
      <c r="P4653" s="505"/>
      <c r="Q4653" s="505"/>
      <c r="R4653" s="505"/>
      <c r="S4653" s="505"/>
      <c r="T4653" s="505"/>
      <c r="U4653" s="505"/>
      <c r="V4653" s="505"/>
      <c r="W4653" s="505"/>
      <c r="X4653" s="505"/>
      <c r="Y4653" s="505"/>
    </row>
    <row r="4654" spans="1:25" s="88" customFormat="1" hidden="1" x14ac:dyDescent="0.25">
      <c r="A4654" s="258"/>
      <c r="B4654" s="258"/>
      <c r="C4654" s="261"/>
      <c r="D4654" s="258"/>
      <c r="E4654" s="679"/>
      <c r="F4654" s="499">
        <v>472</v>
      </c>
      <c r="G4654" s="492" t="s">
        <v>3815</v>
      </c>
      <c r="H4654" s="555"/>
      <c r="I4654" s="556"/>
      <c r="J4654" s="556">
        <f t="shared" si="155"/>
        <v>0</v>
      </c>
      <c r="K4654" s="505"/>
      <c r="L4654" s="505"/>
      <c r="M4654" s="505"/>
      <c r="N4654" s="505"/>
      <c r="O4654" s="505"/>
      <c r="P4654" s="505"/>
      <c r="Q4654" s="505"/>
      <c r="R4654" s="505"/>
      <c r="S4654" s="505"/>
      <c r="T4654" s="505"/>
      <c r="U4654" s="505"/>
      <c r="V4654" s="505"/>
      <c r="W4654" s="505"/>
      <c r="X4654" s="505"/>
      <c r="Y4654" s="505"/>
    </row>
    <row r="4655" spans="1:25" s="88" customFormat="1" hidden="1" x14ac:dyDescent="0.25">
      <c r="A4655" s="258"/>
      <c r="B4655" s="258"/>
      <c r="C4655" s="261"/>
      <c r="D4655" s="258"/>
      <c r="E4655" s="679"/>
      <c r="F4655" s="499">
        <v>481</v>
      </c>
      <c r="G4655" s="492" t="s">
        <v>4153</v>
      </c>
      <c r="H4655" s="555"/>
      <c r="I4655" s="556"/>
      <c r="J4655" s="556">
        <f t="shared" si="155"/>
        <v>0</v>
      </c>
      <c r="K4655" s="505"/>
      <c r="L4655" s="505"/>
      <c r="M4655" s="505"/>
      <c r="N4655" s="505"/>
      <c r="O4655" s="505"/>
      <c r="P4655" s="505"/>
      <c r="Q4655" s="505"/>
      <c r="R4655" s="505"/>
      <c r="S4655" s="505"/>
      <c r="T4655" s="505"/>
      <c r="U4655" s="505"/>
      <c r="V4655" s="505"/>
      <c r="W4655" s="505"/>
      <c r="X4655" s="505"/>
      <c r="Y4655" s="505"/>
    </row>
    <row r="4656" spans="1:25" s="88" customFormat="1" hidden="1" x14ac:dyDescent="0.25">
      <c r="A4656" s="258"/>
      <c r="B4656" s="258"/>
      <c r="C4656" s="261"/>
      <c r="D4656" s="258"/>
      <c r="E4656" s="679"/>
      <c r="F4656" s="499">
        <v>482</v>
      </c>
      <c r="G4656" s="492" t="s">
        <v>4154</v>
      </c>
      <c r="H4656" s="555"/>
      <c r="I4656" s="556"/>
      <c r="J4656" s="556">
        <f t="shared" si="155"/>
        <v>0</v>
      </c>
      <c r="K4656" s="505"/>
      <c r="L4656" s="505"/>
      <c r="M4656" s="505"/>
      <c r="N4656" s="505"/>
      <c r="O4656" s="505"/>
      <c r="P4656" s="505"/>
      <c r="Q4656" s="505"/>
      <c r="R4656" s="505"/>
      <c r="S4656" s="505"/>
      <c r="T4656" s="505"/>
      <c r="U4656" s="505"/>
      <c r="V4656" s="505"/>
      <c r="W4656" s="505"/>
      <c r="X4656" s="505"/>
      <c r="Y4656" s="505"/>
    </row>
    <row r="4657" spans="1:25" s="88" customFormat="1" hidden="1" x14ac:dyDescent="0.25">
      <c r="A4657" s="258"/>
      <c r="B4657" s="258"/>
      <c r="C4657" s="261"/>
      <c r="D4657" s="258"/>
      <c r="E4657" s="679"/>
      <c r="F4657" s="499">
        <v>483</v>
      </c>
      <c r="G4657" s="496" t="s">
        <v>4155</v>
      </c>
      <c r="H4657" s="555"/>
      <c r="I4657" s="556"/>
      <c r="J4657" s="556">
        <f t="shared" si="155"/>
        <v>0</v>
      </c>
      <c r="K4657" s="505"/>
      <c r="L4657" s="505"/>
      <c r="M4657" s="505"/>
      <c r="N4657" s="505"/>
      <c r="O4657" s="505"/>
      <c r="P4657" s="505"/>
      <c r="Q4657" s="505"/>
      <c r="R4657" s="505"/>
      <c r="S4657" s="505"/>
      <c r="T4657" s="505"/>
      <c r="U4657" s="505"/>
      <c r="V4657" s="505"/>
      <c r="W4657" s="505"/>
      <c r="X4657" s="505"/>
      <c r="Y4657" s="505"/>
    </row>
    <row r="4658" spans="1:25" s="88" customFormat="1" ht="30" hidden="1" x14ac:dyDescent="0.25">
      <c r="A4658" s="258"/>
      <c r="B4658" s="258"/>
      <c r="C4658" s="261"/>
      <c r="D4658" s="258"/>
      <c r="E4658" s="679"/>
      <c r="F4658" s="499">
        <v>484</v>
      </c>
      <c r="G4658" s="492" t="s">
        <v>4156</v>
      </c>
      <c r="H4658" s="555"/>
      <c r="I4658" s="556"/>
      <c r="J4658" s="556">
        <f t="shared" si="155"/>
        <v>0</v>
      </c>
      <c r="K4658" s="505"/>
      <c r="L4658" s="505"/>
      <c r="M4658" s="505"/>
      <c r="N4658" s="505"/>
      <c r="O4658" s="505"/>
      <c r="P4658" s="505"/>
      <c r="Q4658" s="505"/>
      <c r="R4658" s="505"/>
      <c r="S4658" s="505"/>
      <c r="T4658" s="505"/>
      <c r="U4658" s="505"/>
      <c r="V4658" s="505"/>
      <c r="W4658" s="505"/>
      <c r="X4658" s="505"/>
      <c r="Y4658" s="505"/>
    </row>
    <row r="4659" spans="1:25" s="88" customFormat="1" ht="30" hidden="1" x14ac:dyDescent="0.25">
      <c r="A4659" s="258"/>
      <c r="B4659" s="258"/>
      <c r="C4659" s="261"/>
      <c r="D4659" s="258"/>
      <c r="E4659" s="679"/>
      <c r="F4659" s="499">
        <v>485</v>
      </c>
      <c r="G4659" s="492" t="s">
        <v>4157</v>
      </c>
      <c r="H4659" s="555"/>
      <c r="I4659" s="556"/>
      <c r="J4659" s="556">
        <f t="shared" si="155"/>
        <v>0</v>
      </c>
      <c r="K4659" s="505"/>
      <c r="L4659" s="505"/>
      <c r="M4659" s="505"/>
      <c r="N4659" s="505"/>
      <c r="O4659" s="505"/>
      <c r="P4659" s="505"/>
      <c r="Q4659" s="505"/>
      <c r="R4659" s="505"/>
      <c r="S4659" s="505"/>
      <c r="T4659" s="505"/>
      <c r="U4659" s="505"/>
      <c r="V4659" s="505"/>
      <c r="W4659" s="505"/>
      <c r="X4659" s="505"/>
      <c r="Y4659" s="505"/>
    </row>
    <row r="4660" spans="1:25" s="88" customFormat="1" ht="30" hidden="1" x14ac:dyDescent="0.25">
      <c r="A4660" s="258"/>
      <c r="B4660" s="258"/>
      <c r="C4660" s="261"/>
      <c r="D4660" s="258"/>
      <c r="E4660" s="679"/>
      <c r="F4660" s="499">
        <v>489</v>
      </c>
      <c r="G4660" s="492" t="s">
        <v>3823</v>
      </c>
      <c r="H4660" s="555"/>
      <c r="I4660" s="556"/>
      <c r="J4660" s="556">
        <f t="shared" si="155"/>
        <v>0</v>
      </c>
      <c r="K4660" s="505"/>
      <c r="L4660" s="505"/>
      <c r="M4660" s="505"/>
      <c r="N4660" s="505"/>
      <c r="O4660" s="505"/>
      <c r="P4660" s="505"/>
      <c r="Q4660" s="505"/>
      <c r="R4660" s="505"/>
      <c r="S4660" s="505"/>
      <c r="T4660" s="505"/>
      <c r="U4660" s="505"/>
      <c r="V4660" s="505"/>
      <c r="W4660" s="505"/>
      <c r="X4660" s="505"/>
      <c r="Y4660" s="505"/>
    </row>
    <row r="4661" spans="1:25" s="88" customFormat="1" hidden="1" x14ac:dyDescent="0.25">
      <c r="A4661" s="258"/>
      <c r="B4661" s="258"/>
      <c r="C4661" s="261"/>
      <c r="D4661" s="258"/>
      <c r="E4661" s="679"/>
      <c r="F4661" s="499">
        <v>494</v>
      </c>
      <c r="G4661" s="492" t="s">
        <v>4135</v>
      </c>
      <c r="H4661" s="555"/>
      <c r="I4661" s="556"/>
      <c r="J4661" s="556">
        <f t="shared" si="155"/>
        <v>0</v>
      </c>
      <c r="K4661" s="505"/>
      <c r="L4661" s="505"/>
      <c r="M4661" s="505"/>
      <c r="N4661" s="505"/>
      <c r="O4661" s="505"/>
      <c r="P4661" s="505"/>
      <c r="Q4661" s="505"/>
      <c r="R4661" s="505"/>
      <c r="S4661" s="505"/>
      <c r="T4661" s="505"/>
      <c r="U4661" s="505"/>
      <c r="V4661" s="505"/>
      <c r="W4661" s="505"/>
      <c r="X4661" s="505"/>
      <c r="Y4661" s="505"/>
    </row>
    <row r="4662" spans="1:25" s="88" customFormat="1" ht="30" hidden="1" x14ac:dyDescent="0.25">
      <c r="A4662" s="258"/>
      <c r="B4662" s="258"/>
      <c r="C4662" s="261"/>
      <c r="D4662" s="258"/>
      <c r="E4662" s="679"/>
      <c r="F4662" s="499">
        <v>495</v>
      </c>
      <c r="G4662" s="492" t="s">
        <v>4136</v>
      </c>
      <c r="H4662" s="555"/>
      <c r="I4662" s="556"/>
      <c r="J4662" s="556">
        <f t="shared" si="155"/>
        <v>0</v>
      </c>
      <c r="K4662" s="505"/>
      <c r="L4662" s="505"/>
      <c r="M4662" s="505"/>
      <c r="N4662" s="505"/>
      <c r="O4662" s="505"/>
      <c r="P4662" s="505"/>
      <c r="Q4662" s="505"/>
      <c r="R4662" s="505"/>
      <c r="S4662" s="505"/>
      <c r="T4662" s="505"/>
      <c r="U4662" s="505"/>
      <c r="V4662" s="505"/>
      <c r="W4662" s="505"/>
      <c r="X4662" s="505"/>
      <c r="Y4662" s="505"/>
    </row>
    <row r="4663" spans="1:25" s="88" customFormat="1" ht="30" hidden="1" x14ac:dyDescent="0.25">
      <c r="A4663" s="258"/>
      <c r="B4663" s="258"/>
      <c r="C4663" s="261"/>
      <c r="D4663" s="258"/>
      <c r="E4663" s="679"/>
      <c r="F4663" s="499">
        <v>496</v>
      </c>
      <c r="G4663" s="492" t="s">
        <v>4137</v>
      </c>
      <c r="H4663" s="555"/>
      <c r="I4663" s="556"/>
      <c r="J4663" s="556">
        <f t="shared" si="155"/>
        <v>0</v>
      </c>
      <c r="K4663" s="505"/>
      <c r="L4663" s="505"/>
      <c r="M4663" s="505"/>
      <c r="N4663" s="505"/>
      <c r="O4663" s="505"/>
      <c r="P4663" s="505"/>
      <c r="Q4663" s="505"/>
      <c r="R4663" s="505"/>
      <c r="S4663" s="505"/>
      <c r="T4663" s="505"/>
      <c r="U4663" s="505"/>
      <c r="V4663" s="505"/>
      <c r="W4663" s="505"/>
      <c r="X4663" s="505"/>
      <c r="Y4663" s="505"/>
    </row>
    <row r="4664" spans="1:25" s="88" customFormat="1" ht="30" hidden="1" x14ac:dyDescent="0.25">
      <c r="A4664" s="258"/>
      <c r="B4664" s="258"/>
      <c r="C4664" s="261"/>
      <c r="D4664" s="258"/>
      <c r="E4664" s="679"/>
      <c r="F4664" s="499">
        <v>499</v>
      </c>
      <c r="G4664" s="492" t="s">
        <v>4138</v>
      </c>
      <c r="H4664" s="555"/>
      <c r="I4664" s="556"/>
      <c r="J4664" s="556">
        <f t="shared" si="155"/>
        <v>0</v>
      </c>
      <c r="K4664" s="505"/>
      <c r="L4664" s="505"/>
      <c r="M4664" s="505"/>
      <c r="N4664" s="505"/>
      <c r="O4664" s="505"/>
      <c r="P4664" s="505"/>
      <c r="Q4664" s="505"/>
      <c r="R4664" s="505"/>
      <c r="S4664" s="505"/>
      <c r="T4664" s="505"/>
      <c r="U4664" s="505"/>
      <c r="V4664" s="505"/>
      <c r="W4664" s="505"/>
      <c r="X4664" s="505"/>
      <c r="Y4664" s="505"/>
    </row>
    <row r="4665" spans="1:25" s="88" customFormat="1" hidden="1" x14ac:dyDescent="0.25">
      <c r="A4665" s="258"/>
      <c r="B4665" s="258"/>
      <c r="C4665" s="261"/>
      <c r="D4665" s="258"/>
      <c r="E4665" s="679"/>
      <c r="F4665" s="499">
        <v>511</v>
      </c>
      <c r="G4665" s="496" t="s">
        <v>4158</v>
      </c>
      <c r="H4665" s="555"/>
      <c r="I4665" s="556"/>
      <c r="J4665" s="556">
        <f t="shared" si="155"/>
        <v>0</v>
      </c>
      <c r="K4665" s="505"/>
      <c r="L4665" s="505"/>
      <c r="M4665" s="505"/>
      <c r="N4665" s="505"/>
      <c r="O4665" s="505"/>
      <c r="P4665" s="505"/>
      <c r="Q4665" s="505"/>
      <c r="R4665" s="505"/>
      <c r="S4665" s="505"/>
      <c r="T4665" s="505"/>
      <c r="U4665" s="505"/>
      <c r="V4665" s="505"/>
      <c r="W4665" s="505"/>
      <c r="X4665" s="505"/>
      <c r="Y4665" s="505"/>
    </row>
    <row r="4666" spans="1:25" s="88" customFormat="1" hidden="1" x14ac:dyDescent="0.25">
      <c r="A4666" s="258"/>
      <c r="B4666" s="258"/>
      <c r="C4666" s="261"/>
      <c r="D4666" s="258"/>
      <c r="E4666" s="679"/>
      <c r="F4666" s="499">
        <v>512</v>
      </c>
      <c r="G4666" s="496" t="s">
        <v>4159</v>
      </c>
      <c r="H4666" s="555"/>
      <c r="I4666" s="556"/>
      <c r="J4666" s="556">
        <f t="shared" si="155"/>
        <v>0</v>
      </c>
      <c r="K4666" s="505"/>
      <c r="L4666" s="505"/>
      <c r="M4666" s="505"/>
      <c r="N4666" s="505"/>
      <c r="O4666" s="505"/>
      <c r="P4666" s="505"/>
      <c r="Q4666" s="505"/>
      <c r="R4666" s="505"/>
      <c r="S4666" s="505"/>
      <c r="T4666" s="505"/>
      <c r="U4666" s="505"/>
      <c r="V4666" s="505"/>
      <c r="W4666" s="505"/>
      <c r="X4666" s="505"/>
      <c r="Y4666" s="505"/>
    </row>
    <row r="4667" spans="1:25" s="88" customFormat="1" hidden="1" x14ac:dyDescent="0.25">
      <c r="A4667" s="258"/>
      <c r="B4667" s="258"/>
      <c r="C4667" s="261"/>
      <c r="D4667" s="258"/>
      <c r="E4667" s="679"/>
      <c r="F4667" s="499">
        <v>513</v>
      </c>
      <c r="G4667" s="496" t="s">
        <v>4160</v>
      </c>
      <c r="H4667" s="555"/>
      <c r="I4667" s="556"/>
      <c r="J4667" s="556">
        <f t="shared" si="155"/>
        <v>0</v>
      </c>
      <c r="K4667" s="505"/>
      <c r="L4667" s="505"/>
      <c r="M4667" s="505"/>
      <c r="N4667" s="505"/>
      <c r="O4667" s="505"/>
      <c r="P4667" s="505"/>
      <c r="Q4667" s="505"/>
      <c r="R4667" s="505"/>
      <c r="S4667" s="505"/>
      <c r="T4667" s="505"/>
      <c r="U4667" s="505"/>
      <c r="V4667" s="505"/>
      <c r="W4667" s="505"/>
      <c r="X4667" s="505"/>
      <c r="Y4667" s="505"/>
    </row>
    <row r="4668" spans="1:25" s="88" customFormat="1" hidden="1" x14ac:dyDescent="0.25">
      <c r="A4668" s="258"/>
      <c r="B4668" s="258"/>
      <c r="C4668" s="261"/>
      <c r="D4668" s="258"/>
      <c r="E4668" s="679"/>
      <c r="F4668" s="499">
        <v>514</v>
      </c>
      <c r="G4668" s="492" t="s">
        <v>4161</v>
      </c>
      <c r="H4668" s="555"/>
      <c r="I4668" s="556"/>
      <c r="J4668" s="556">
        <f t="shared" si="155"/>
        <v>0</v>
      </c>
      <c r="K4668" s="505"/>
      <c r="L4668" s="505"/>
      <c r="M4668" s="505"/>
      <c r="N4668" s="505"/>
      <c r="O4668" s="505"/>
      <c r="P4668" s="505"/>
      <c r="Q4668" s="505"/>
      <c r="R4668" s="505"/>
      <c r="S4668" s="505"/>
      <c r="T4668" s="505"/>
      <c r="U4668" s="505"/>
      <c r="V4668" s="505"/>
      <c r="W4668" s="505"/>
      <c r="X4668" s="505"/>
      <c r="Y4668" s="505"/>
    </row>
    <row r="4669" spans="1:25" s="88" customFormat="1" hidden="1" x14ac:dyDescent="0.25">
      <c r="A4669" s="258"/>
      <c r="B4669" s="258"/>
      <c r="C4669" s="261"/>
      <c r="D4669" s="258"/>
      <c r="E4669" s="679"/>
      <c r="F4669" s="499">
        <v>515</v>
      </c>
      <c r="G4669" s="492" t="s">
        <v>3834</v>
      </c>
      <c r="H4669" s="555"/>
      <c r="I4669" s="556"/>
      <c r="J4669" s="556">
        <f t="shared" si="155"/>
        <v>0</v>
      </c>
      <c r="K4669" s="505"/>
      <c r="L4669" s="505"/>
      <c r="M4669" s="505"/>
      <c r="N4669" s="505"/>
      <c r="O4669" s="505"/>
      <c r="P4669" s="505"/>
      <c r="Q4669" s="505"/>
      <c r="R4669" s="505"/>
      <c r="S4669" s="505"/>
      <c r="T4669" s="505"/>
      <c r="U4669" s="505"/>
      <c r="V4669" s="505"/>
      <c r="W4669" s="505"/>
      <c r="X4669" s="505"/>
      <c r="Y4669" s="505"/>
    </row>
    <row r="4670" spans="1:25" s="88" customFormat="1" hidden="1" x14ac:dyDescent="0.25">
      <c r="A4670" s="258"/>
      <c r="B4670" s="258"/>
      <c r="C4670" s="261"/>
      <c r="D4670" s="258"/>
      <c r="E4670" s="679"/>
      <c r="F4670" s="499">
        <v>521</v>
      </c>
      <c r="G4670" s="492" t="s">
        <v>4162</v>
      </c>
      <c r="H4670" s="555"/>
      <c r="I4670" s="556"/>
      <c r="J4670" s="556">
        <f t="shared" si="155"/>
        <v>0</v>
      </c>
      <c r="K4670" s="505"/>
      <c r="L4670" s="505"/>
      <c r="M4670" s="505"/>
      <c r="N4670" s="505"/>
      <c r="O4670" s="505"/>
      <c r="P4670" s="505"/>
      <c r="Q4670" s="505"/>
      <c r="R4670" s="505"/>
      <c r="S4670" s="505"/>
      <c r="T4670" s="505"/>
      <c r="U4670" s="505"/>
      <c r="V4670" s="505"/>
      <c r="W4670" s="505"/>
      <c r="X4670" s="505"/>
      <c r="Y4670" s="505"/>
    </row>
    <row r="4671" spans="1:25" s="88" customFormat="1" hidden="1" x14ac:dyDescent="0.25">
      <c r="A4671" s="258"/>
      <c r="B4671" s="258"/>
      <c r="C4671" s="261"/>
      <c r="D4671" s="258"/>
      <c r="E4671" s="679"/>
      <c r="F4671" s="499">
        <v>522</v>
      </c>
      <c r="G4671" s="492" t="s">
        <v>4163</v>
      </c>
      <c r="H4671" s="555"/>
      <c r="I4671" s="556"/>
      <c r="J4671" s="556">
        <f t="shared" si="155"/>
        <v>0</v>
      </c>
      <c r="K4671" s="505"/>
      <c r="L4671" s="505"/>
      <c r="M4671" s="505"/>
      <c r="N4671" s="505"/>
      <c r="O4671" s="505"/>
      <c r="P4671" s="505"/>
      <c r="Q4671" s="505"/>
      <c r="R4671" s="505"/>
      <c r="S4671" s="505"/>
      <c r="T4671" s="505"/>
      <c r="U4671" s="505"/>
      <c r="V4671" s="505"/>
      <c r="W4671" s="505"/>
      <c r="X4671" s="505"/>
      <c r="Y4671" s="505"/>
    </row>
    <row r="4672" spans="1:25" s="88" customFormat="1" hidden="1" x14ac:dyDescent="0.25">
      <c r="A4672" s="258"/>
      <c r="B4672" s="258"/>
      <c r="C4672" s="261"/>
      <c r="D4672" s="258"/>
      <c r="E4672" s="679"/>
      <c r="F4672" s="499">
        <v>523</v>
      </c>
      <c r="G4672" s="492" t="s">
        <v>3839</v>
      </c>
      <c r="H4672" s="555"/>
      <c r="I4672" s="556"/>
      <c r="J4672" s="556">
        <f t="shared" si="155"/>
        <v>0</v>
      </c>
      <c r="K4672" s="505"/>
      <c r="L4672" s="505"/>
      <c r="M4672" s="505"/>
      <c r="N4672" s="505"/>
      <c r="O4672" s="505"/>
      <c r="P4672" s="505"/>
      <c r="Q4672" s="505"/>
      <c r="R4672" s="505"/>
      <c r="S4672" s="505"/>
      <c r="T4672" s="505"/>
      <c r="U4672" s="505"/>
      <c r="V4672" s="505"/>
      <c r="W4672" s="505"/>
      <c r="X4672" s="505"/>
      <c r="Y4672" s="505"/>
    </row>
    <row r="4673" spans="1:25" s="88" customFormat="1" hidden="1" x14ac:dyDescent="0.25">
      <c r="A4673" s="258"/>
      <c r="B4673" s="258"/>
      <c r="C4673" s="261"/>
      <c r="D4673" s="258"/>
      <c r="E4673" s="679"/>
      <c r="F4673" s="499">
        <v>531</v>
      </c>
      <c r="G4673" s="488" t="s">
        <v>4139</v>
      </c>
      <c r="H4673" s="555"/>
      <c r="I4673" s="556"/>
      <c r="J4673" s="556">
        <f t="shared" si="155"/>
        <v>0</v>
      </c>
      <c r="K4673" s="505"/>
      <c r="L4673" s="505"/>
      <c r="M4673" s="505"/>
      <c r="N4673" s="505"/>
      <c r="O4673" s="505"/>
      <c r="P4673" s="505"/>
      <c r="Q4673" s="505"/>
      <c r="R4673" s="505"/>
      <c r="S4673" s="505"/>
      <c r="T4673" s="505"/>
      <c r="U4673" s="505"/>
      <c r="V4673" s="505"/>
      <c r="W4673" s="505"/>
      <c r="X4673" s="505"/>
      <c r="Y4673" s="505"/>
    </row>
    <row r="4674" spans="1:25" s="88" customFormat="1" hidden="1" x14ac:dyDescent="0.25">
      <c r="A4674" s="258"/>
      <c r="B4674" s="258"/>
      <c r="C4674" s="261"/>
      <c r="D4674" s="258"/>
      <c r="E4674" s="679"/>
      <c r="F4674" s="499">
        <v>541</v>
      </c>
      <c r="G4674" s="492" t="s">
        <v>4164</v>
      </c>
      <c r="H4674" s="555"/>
      <c r="I4674" s="556"/>
      <c r="J4674" s="556">
        <f t="shared" si="155"/>
        <v>0</v>
      </c>
      <c r="K4674" s="505"/>
      <c r="L4674" s="505"/>
      <c r="M4674" s="505"/>
      <c r="N4674" s="505"/>
      <c r="O4674" s="505"/>
      <c r="P4674" s="505"/>
      <c r="Q4674" s="505"/>
      <c r="R4674" s="505"/>
      <c r="S4674" s="505"/>
      <c r="T4674" s="505"/>
      <c r="U4674" s="505"/>
      <c r="V4674" s="505"/>
      <c r="W4674" s="505"/>
      <c r="X4674" s="505"/>
      <c r="Y4674" s="505"/>
    </row>
    <row r="4675" spans="1:25" s="88" customFormat="1" hidden="1" x14ac:dyDescent="0.25">
      <c r="A4675" s="258"/>
      <c r="B4675" s="258"/>
      <c r="C4675" s="261"/>
      <c r="D4675" s="258"/>
      <c r="E4675" s="679"/>
      <c r="F4675" s="499">
        <v>542</v>
      </c>
      <c r="G4675" s="492" t="s">
        <v>4165</v>
      </c>
      <c r="H4675" s="555"/>
      <c r="I4675" s="556"/>
      <c r="J4675" s="556">
        <f t="shared" si="155"/>
        <v>0</v>
      </c>
      <c r="K4675" s="505"/>
      <c r="L4675" s="505"/>
      <c r="M4675" s="505"/>
      <c r="N4675" s="505"/>
      <c r="O4675" s="505"/>
      <c r="P4675" s="505"/>
      <c r="Q4675" s="505"/>
      <c r="R4675" s="505"/>
      <c r="S4675" s="505"/>
      <c r="T4675" s="505"/>
      <c r="U4675" s="505"/>
      <c r="V4675" s="505"/>
      <c r="W4675" s="505"/>
      <c r="X4675" s="505"/>
      <c r="Y4675" s="505"/>
    </row>
    <row r="4676" spans="1:25" s="88" customFormat="1" hidden="1" x14ac:dyDescent="0.25">
      <c r="A4676" s="258"/>
      <c r="B4676" s="258"/>
      <c r="C4676" s="261"/>
      <c r="D4676" s="258"/>
      <c r="E4676" s="679"/>
      <c r="F4676" s="499">
        <v>543</v>
      </c>
      <c r="G4676" s="492" t="s">
        <v>3844</v>
      </c>
      <c r="H4676" s="555"/>
      <c r="I4676" s="556"/>
      <c r="J4676" s="556">
        <f t="shared" si="155"/>
        <v>0</v>
      </c>
      <c r="K4676" s="505"/>
      <c r="L4676" s="505"/>
      <c r="M4676" s="505"/>
      <c r="N4676" s="505"/>
      <c r="O4676" s="505"/>
      <c r="P4676" s="505"/>
      <c r="Q4676" s="505"/>
      <c r="R4676" s="505"/>
      <c r="S4676" s="505"/>
      <c r="T4676" s="505"/>
      <c r="U4676" s="505"/>
      <c r="V4676" s="505"/>
      <c r="W4676" s="505"/>
      <c r="X4676" s="505"/>
      <c r="Y4676" s="505"/>
    </row>
    <row r="4677" spans="1:25" s="88" customFormat="1" ht="30" hidden="1" x14ac:dyDescent="0.25">
      <c r="A4677" s="258"/>
      <c r="B4677" s="258"/>
      <c r="C4677" s="261"/>
      <c r="D4677" s="258"/>
      <c r="E4677" s="679"/>
      <c r="F4677" s="499">
        <v>551</v>
      </c>
      <c r="G4677" s="492" t="s">
        <v>4140</v>
      </c>
      <c r="H4677" s="555"/>
      <c r="I4677" s="556"/>
      <c r="J4677" s="556">
        <f t="shared" si="155"/>
        <v>0</v>
      </c>
      <c r="K4677" s="505"/>
      <c r="L4677" s="505"/>
      <c r="M4677" s="505"/>
      <c r="N4677" s="505"/>
      <c r="O4677" s="505"/>
      <c r="P4677" s="505"/>
      <c r="Q4677" s="505"/>
      <c r="R4677" s="505"/>
      <c r="S4677" s="505"/>
      <c r="T4677" s="505"/>
      <c r="U4677" s="505"/>
      <c r="V4677" s="505"/>
      <c r="W4677" s="505"/>
      <c r="X4677" s="505"/>
      <c r="Y4677" s="505"/>
    </row>
    <row r="4678" spans="1:25" s="88" customFormat="1" hidden="1" x14ac:dyDescent="0.25">
      <c r="A4678" s="258"/>
      <c r="B4678" s="258"/>
      <c r="C4678" s="261"/>
      <c r="D4678" s="258"/>
      <c r="E4678" s="679"/>
      <c r="F4678" s="500">
        <v>611</v>
      </c>
      <c r="G4678" s="498" t="s">
        <v>3850</v>
      </c>
      <c r="H4678" s="555"/>
      <c r="I4678" s="556"/>
      <c r="J4678" s="556">
        <f t="shared" si="155"/>
        <v>0</v>
      </c>
      <c r="K4678" s="505"/>
      <c r="L4678" s="505"/>
      <c r="M4678" s="505"/>
      <c r="N4678" s="505"/>
      <c r="O4678" s="505"/>
      <c r="P4678" s="505"/>
      <c r="Q4678" s="505"/>
      <c r="R4678" s="505"/>
      <c r="S4678" s="505"/>
      <c r="T4678" s="505"/>
      <c r="U4678" s="505"/>
      <c r="V4678" s="505"/>
      <c r="W4678" s="505"/>
      <c r="X4678" s="505"/>
      <c r="Y4678" s="505"/>
    </row>
    <row r="4679" spans="1:25" s="88" customFormat="1" hidden="1" x14ac:dyDescent="0.25">
      <c r="A4679" s="258"/>
      <c r="B4679" s="258"/>
      <c r="C4679" s="261"/>
      <c r="D4679" s="258"/>
      <c r="E4679" s="679"/>
      <c r="F4679" s="500">
        <v>620</v>
      </c>
      <c r="G4679" s="498" t="s">
        <v>88</v>
      </c>
      <c r="H4679" s="555"/>
      <c r="I4679" s="556"/>
      <c r="J4679" s="556">
        <f t="shared" si="155"/>
        <v>0</v>
      </c>
      <c r="K4679" s="505"/>
      <c r="L4679" s="505"/>
      <c r="M4679" s="505"/>
      <c r="N4679" s="505"/>
      <c r="O4679" s="505"/>
      <c r="P4679" s="505"/>
      <c r="Q4679" s="505"/>
      <c r="R4679" s="505"/>
      <c r="S4679" s="505"/>
      <c r="T4679" s="505"/>
      <c r="U4679" s="505"/>
      <c r="V4679" s="505"/>
      <c r="W4679" s="505"/>
      <c r="X4679" s="505"/>
      <c r="Y4679" s="505"/>
    </row>
    <row r="4680" spans="1:25" s="88" customFormat="1" x14ac:dyDescent="0.25">
      <c r="A4680" s="258"/>
      <c r="B4680" s="258"/>
      <c r="C4680" s="261"/>
      <c r="D4680" s="258"/>
      <c r="E4680" s="489"/>
      <c r="F4680" s="500"/>
      <c r="G4680" s="343" t="s">
        <v>4367</v>
      </c>
      <c r="H4680" s="557"/>
      <c r="I4680" s="583"/>
      <c r="J4680" s="558"/>
      <c r="K4680" s="505"/>
      <c r="L4680" s="505"/>
      <c r="M4680" s="505"/>
      <c r="N4680" s="505"/>
      <c r="O4680" s="505"/>
      <c r="P4680" s="505"/>
      <c r="Q4680" s="505"/>
      <c r="R4680" s="505"/>
      <c r="S4680" s="505"/>
      <c r="T4680" s="505"/>
      <c r="U4680" s="505"/>
      <c r="V4680" s="505"/>
      <c r="W4680" s="505"/>
      <c r="X4680" s="505"/>
      <c r="Y4680" s="505"/>
    </row>
    <row r="4681" spans="1:25" s="88" customFormat="1" ht="15" customHeight="1" thickBot="1" x14ac:dyDescent="0.3">
      <c r="A4681" s="258"/>
      <c r="B4681" s="258"/>
      <c r="C4681" s="261"/>
      <c r="D4681" s="258"/>
      <c r="E4681" s="693"/>
      <c r="F4681" s="597" t="s">
        <v>234</v>
      </c>
      <c r="G4681" s="598" t="s">
        <v>235</v>
      </c>
      <c r="H4681" s="559">
        <f>SUM(H4650:H4651)</f>
        <v>7114000</v>
      </c>
      <c r="I4681" s="560"/>
      <c r="J4681" s="560">
        <f t="shared" ref="J4681:J4696" si="156">SUM(H4681:I4681)</f>
        <v>7114000</v>
      </c>
      <c r="K4681" s="505"/>
      <c r="L4681" s="505"/>
      <c r="M4681" s="505"/>
      <c r="N4681" s="505"/>
      <c r="O4681" s="505"/>
      <c r="P4681" s="505"/>
      <c r="Q4681" s="505"/>
      <c r="R4681" s="505"/>
      <c r="S4681" s="505"/>
      <c r="T4681" s="505"/>
      <c r="U4681" s="505"/>
      <c r="V4681" s="505"/>
      <c r="W4681" s="505"/>
      <c r="X4681" s="505"/>
      <c r="Y4681" s="505"/>
    </row>
    <row r="4682" spans="1:25" s="88" customFormat="1" ht="15.75" hidden="1" thickBot="1" x14ac:dyDescent="0.3">
      <c r="A4682" s="258"/>
      <c r="B4682" s="258"/>
      <c r="C4682" s="261"/>
      <c r="D4682" s="258"/>
      <c r="E4682" s="679"/>
      <c r="F4682" s="597" t="s">
        <v>236</v>
      </c>
      <c r="G4682" s="598" t="s">
        <v>237</v>
      </c>
      <c r="H4682" s="555"/>
      <c r="I4682" s="556"/>
      <c r="J4682" s="560">
        <f t="shared" si="156"/>
        <v>0</v>
      </c>
      <c r="K4682" s="505"/>
      <c r="L4682" s="505"/>
      <c r="M4682" s="505"/>
      <c r="N4682" s="505"/>
      <c r="O4682" s="505"/>
      <c r="P4682" s="505"/>
      <c r="Q4682" s="505"/>
      <c r="R4682" s="505"/>
      <c r="S4682" s="505"/>
      <c r="T4682" s="505"/>
      <c r="U4682" s="505"/>
      <c r="V4682" s="505"/>
      <c r="W4682" s="505"/>
      <c r="X4682" s="505"/>
      <c r="Y4682" s="505"/>
    </row>
    <row r="4683" spans="1:25" s="88" customFormat="1" ht="15.75" hidden="1" thickBot="1" x14ac:dyDescent="0.3">
      <c r="A4683" s="258"/>
      <c r="B4683" s="258"/>
      <c r="C4683" s="261"/>
      <c r="D4683" s="258"/>
      <c r="E4683" s="679"/>
      <c r="F4683" s="597" t="s">
        <v>238</v>
      </c>
      <c r="G4683" s="598" t="s">
        <v>239</v>
      </c>
      <c r="H4683" s="555"/>
      <c r="I4683" s="556"/>
      <c r="J4683" s="560">
        <f t="shared" si="156"/>
        <v>0</v>
      </c>
      <c r="K4683" s="505"/>
      <c r="L4683" s="505"/>
      <c r="M4683" s="505"/>
      <c r="N4683" s="505"/>
      <c r="O4683" s="505"/>
      <c r="P4683" s="505"/>
      <c r="Q4683" s="505"/>
      <c r="R4683" s="505"/>
      <c r="S4683" s="505"/>
      <c r="T4683" s="505"/>
      <c r="U4683" s="505"/>
      <c r="V4683" s="505"/>
      <c r="W4683" s="505"/>
      <c r="X4683" s="505"/>
      <c r="Y4683" s="505"/>
    </row>
    <row r="4684" spans="1:25" s="88" customFormat="1" ht="15.75" hidden="1" thickBot="1" x14ac:dyDescent="0.3">
      <c r="A4684" s="258"/>
      <c r="B4684" s="258"/>
      <c r="C4684" s="261"/>
      <c r="D4684" s="258"/>
      <c r="E4684" s="679"/>
      <c r="F4684" s="597" t="s">
        <v>240</v>
      </c>
      <c r="G4684" s="598" t="s">
        <v>241</v>
      </c>
      <c r="H4684" s="555"/>
      <c r="I4684" s="556"/>
      <c r="J4684" s="560">
        <f t="shared" si="156"/>
        <v>0</v>
      </c>
      <c r="K4684" s="505"/>
      <c r="L4684" s="505"/>
      <c r="M4684" s="505"/>
      <c r="N4684" s="505"/>
      <c r="O4684" s="505"/>
      <c r="P4684" s="505"/>
      <c r="Q4684" s="505"/>
      <c r="R4684" s="505"/>
      <c r="S4684" s="505"/>
      <c r="T4684" s="505"/>
      <c r="U4684" s="505"/>
      <c r="V4684" s="505"/>
      <c r="W4684" s="505"/>
      <c r="X4684" s="505"/>
      <c r="Y4684" s="505"/>
    </row>
    <row r="4685" spans="1:25" s="88" customFormat="1" ht="15.75" hidden="1" thickBot="1" x14ac:dyDescent="0.3">
      <c r="A4685" s="258"/>
      <c r="B4685" s="258"/>
      <c r="C4685" s="261"/>
      <c r="D4685" s="258"/>
      <c r="E4685" s="679"/>
      <c r="F4685" s="597" t="s">
        <v>242</v>
      </c>
      <c r="G4685" s="598" t="s">
        <v>243</v>
      </c>
      <c r="H4685" s="555"/>
      <c r="I4685" s="556"/>
      <c r="J4685" s="560">
        <f t="shared" si="156"/>
        <v>0</v>
      </c>
      <c r="K4685" s="505"/>
      <c r="L4685" s="505"/>
      <c r="M4685" s="505"/>
      <c r="N4685" s="505"/>
      <c r="O4685" s="505"/>
      <c r="P4685" s="505"/>
      <c r="Q4685" s="505"/>
      <c r="R4685" s="505"/>
      <c r="S4685" s="505"/>
      <c r="T4685" s="505"/>
      <c r="U4685" s="505"/>
      <c r="V4685" s="505"/>
      <c r="W4685" s="505"/>
      <c r="X4685" s="505"/>
      <c r="Y4685" s="505"/>
    </row>
    <row r="4686" spans="1:25" s="88" customFormat="1" ht="15.75" hidden="1" thickBot="1" x14ac:dyDescent="0.3">
      <c r="A4686" s="258"/>
      <c r="B4686" s="258"/>
      <c r="C4686" s="261"/>
      <c r="D4686" s="258"/>
      <c r="E4686" s="679"/>
      <c r="F4686" s="597" t="s">
        <v>244</v>
      </c>
      <c r="G4686" s="598" t="s">
        <v>245</v>
      </c>
      <c r="H4686" s="555"/>
      <c r="I4686" s="556"/>
      <c r="J4686" s="560">
        <f t="shared" si="156"/>
        <v>0</v>
      </c>
      <c r="K4686" s="505"/>
      <c r="L4686" s="505"/>
      <c r="M4686" s="505"/>
      <c r="N4686" s="505"/>
      <c r="O4686" s="505"/>
      <c r="P4686" s="505"/>
      <c r="Q4686" s="505"/>
      <c r="R4686" s="505"/>
      <c r="S4686" s="505"/>
      <c r="T4686" s="505"/>
      <c r="U4686" s="505"/>
      <c r="V4686" s="505"/>
      <c r="W4686" s="505"/>
      <c r="X4686" s="505"/>
      <c r="Y4686" s="505"/>
    </row>
    <row r="4687" spans="1:25" s="88" customFormat="1" ht="15.75" hidden="1" thickBot="1" x14ac:dyDescent="0.3">
      <c r="A4687" s="258"/>
      <c r="B4687" s="258"/>
      <c r="C4687" s="261"/>
      <c r="D4687" s="258"/>
      <c r="E4687" s="679"/>
      <c r="F4687" s="597" t="s">
        <v>246</v>
      </c>
      <c r="G4687" s="598" t="s">
        <v>4996</v>
      </c>
      <c r="H4687" s="555"/>
      <c r="I4687" s="556"/>
      <c r="J4687" s="560">
        <f t="shared" si="156"/>
        <v>0</v>
      </c>
      <c r="K4687" s="505"/>
      <c r="L4687" s="505"/>
      <c r="M4687" s="505"/>
      <c r="N4687" s="505"/>
      <c r="O4687" s="505"/>
      <c r="P4687" s="505"/>
      <c r="Q4687" s="505"/>
      <c r="R4687" s="505"/>
      <c r="S4687" s="505"/>
      <c r="T4687" s="505"/>
      <c r="U4687" s="505"/>
      <c r="V4687" s="505"/>
      <c r="W4687" s="505"/>
      <c r="X4687" s="505"/>
      <c r="Y4687" s="505"/>
    </row>
    <row r="4688" spans="1:25" s="88" customFormat="1" ht="15.75" hidden="1" thickBot="1" x14ac:dyDescent="0.3">
      <c r="A4688" s="258"/>
      <c r="B4688" s="258"/>
      <c r="C4688" s="261"/>
      <c r="D4688" s="258"/>
      <c r="E4688" s="679"/>
      <c r="F4688" s="597" t="s">
        <v>247</v>
      </c>
      <c r="G4688" s="598" t="s">
        <v>4995</v>
      </c>
      <c r="H4688" s="555"/>
      <c r="I4688" s="556"/>
      <c r="J4688" s="560">
        <f t="shared" si="156"/>
        <v>0</v>
      </c>
      <c r="K4688" s="505"/>
      <c r="L4688" s="505"/>
      <c r="M4688" s="505"/>
      <c r="N4688" s="505"/>
      <c r="O4688" s="505"/>
      <c r="P4688" s="505"/>
      <c r="Q4688" s="505"/>
      <c r="R4688" s="505"/>
      <c r="S4688" s="505"/>
      <c r="T4688" s="505"/>
      <c r="U4688" s="505"/>
      <c r="V4688" s="505"/>
      <c r="W4688" s="505"/>
      <c r="X4688" s="505"/>
      <c r="Y4688" s="505"/>
    </row>
    <row r="4689" spans="1:25" s="88" customFormat="1" ht="15.75" hidden="1" thickBot="1" x14ac:dyDescent="0.3">
      <c r="A4689" s="258"/>
      <c r="B4689" s="258"/>
      <c r="C4689" s="261"/>
      <c r="D4689" s="258"/>
      <c r="E4689" s="679"/>
      <c r="F4689" s="597" t="s">
        <v>248</v>
      </c>
      <c r="G4689" s="598" t="s">
        <v>57</v>
      </c>
      <c r="H4689" s="555"/>
      <c r="I4689" s="556"/>
      <c r="J4689" s="560">
        <f t="shared" si="156"/>
        <v>0</v>
      </c>
      <c r="K4689" s="505"/>
      <c r="L4689" s="505"/>
      <c r="M4689" s="505"/>
      <c r="N4689" s="505"/>
      <c r="O4689" s="505"/>
      <c r="P4689" s="505"/>
      <c r="Q4689" s="505"/>
      <c r="R4689" s="505"/>
      <c r="S4689" s="505"/>
      <c r="T4689" s="505"/>
      <c r="U4689" s="505"/>
      <c r="V4689" s="505"/>
      <c r="W4689" s="505"/>
      <c r="X4689" s="505"/>
      <c r="Y4689" s="505"/>
    </row>
    <row r="4690" spans="1:25" s="88" customFormat="1" ht="15.75" hidden="1" thickBot="1" x14ac:dyDescent="0.3">
      <c r="A4690" s="258"/>
      <c r="B4690" s="258"/>
      <c r="C4690" s="261"/>
      <c r="D4690" s="258"/>
      <c r="E4690" s="679"/>
      <c r="F4690" s="597" t="s">
        <v>249</v>
      </c>
      <c r="G4690" s="598" t="s">
        <v>250</v>
      </c>
      <c r="H4690" s="555"/>
      <c r="I4690" s="556"/>
      <c r="J4690" s="560">
        <f t="shared" si="156"/>
        <v>0</v>
      </c>
      <c r="K4690" s="505"/>
      <c r="L4690" s="505"/>
      <c r="M4690" s="505"/>
      <c r="N4690" s="505"/>
      <c r="O4690" s="505"/>
      <c r="P4690" s="505"/>
      <c r="Q4690" s="505"/>
      <c r="R4690" s="505"/>
      <c r="S4690" s="505"/>
      <c r="T4690" s="505"/>
      <c r="U4690" s="505"/>
      <c r="V4690" s="505"/>
      <c r="W4690" s="505"/>
      <c r="X4690" s="505"/>
      <c r="Y4690" s="505"/>
    </row>
    <row r="4691" spans="1:25" s="88" customFormat="1" ht="15.75" hidden="1" thickBot="1" x14ac:dyDescent="0.3">
      <c r="A4691" s="258"/>
      <c r="B4691" s="258"/>
      <c r="C4691" s="261"/>
      <c r="D4691" s="258"/>
      <c r="E4691" s="679"/>
      <c r="F4691" s="597" t="s">
        <v>251</v>
      </c>
      <c r="G4691" s="598" t="s">
        <v>252</v>
      </c>
      <c r="H4691" s="555"/>
      <c r="I4691" s="556"/>
      <c r="J4691" s="560">
        <f t="shared" si="156"/>
        <v>0</v>
      </c>
      <c r="K4691" s="505"/>
      <c r="L4691" s="505"/>
      <c r="M4691" s="505"/>
      <c r="N4691" s="505"/>
      <c r="O4691" s="505"/>
      <c r="P4691" s="505"/>
      <c r="Q4691" s="505"/>
      <c r="R4691" s="505"/>
      <c r="S4691" s="505"/>
      <c r="T4691" s="505"/>
      <c r="U4691" s="505"/>
      <c r="V4691" s="505"/>
      <c r="W4691" s="505"/>
      <c r="X4691" s="505"/>
      <c r="Y4691" s="505"/>
    </row>
    <row r="4692" spans="1:25" s="88" customFormat="1" ht="30.75" hidden="1" thickBot="1" x14ac:dyDescent="0.3">
      <c r="A4692" s="258"/>
      <c r="B4692" s="258"/>
      <c r="C4692" s="261"/>
      <c r="D4692" s="258"/>
      <c r="E4692" s="679"/>
      <c r="F4692" s="597" t="s">
        <v>253</v>
      </c>
      <c r="G4692" s="598" t="s">
        <v>254</v>
      </c>
      <c r="H4692" s="555"/>
      <c r="I4692" s="556"/>
      <c r="J4692" s="560">
        <f t="shared" si="156"/>
        <v>0</v>
      </c>
      <c r="K4692" s="505"/>
      <c r="L4692" s="505"/>
      <c r="M4692" s="505"/>
      <c r="N4692" s="505"/>
      <c r="O4692" s="505"/>
      <c r="P4692" s="505"/>
      <c r="Q4692" s="505"/>
      <c r="R4692" s="505"/>
      <c r="S4692" s="505"/>
      <c r="T4692" s="505"/>
      <c r="U4692" s="505"/>
      <c r="V4692" s="505"/>
      <c r="W4692" s="505"/>
      <c r="X4692" s="505"/>
      <c r="Y4692" s="505"/>
    </row>
    <row r="4693" spans="1:25" s="88" customFormat="1" ht="15.75" hidden="1" thickBot="1" x14ac:dyDescent="0.3">
      <c r="A4693" s="258"/>
      <c r="B4693" s="258"/>
      <c r="C4693" s="261"/>
      <c r="D4693" s="258"/>
      <c r="E4693" s="679"/>
      <c r="F4693" s="597" t="s">
        <v>255</v>
      </c>
      <c r="G4693" s="598" t="s">
        <v>256</v>
      </c>
      <c r="H4693" s="555"/>
      <c r="I4693" s="556"/>
      <c r="J4693" s="560">
        <f t="shared" si="156"/>
        <v>0</v>
      </c>
      <c r="K4693" s="505"/>
      <c r="L4693" s="505"/>
      <c r="M4693" s="505"/>
      <c r="N4693" s="505"/>
      <c r="O4693" s="505"/>
      <c r="P4693" s="505"/>
      <c r="Q4693" s="505"/>
      <c r="R4693" s="505"/>
      <c r="S4693" s="505"/>
      <c r="T4693" s="505"/>
      <c r="U4693" s="505"/>
      <c r="V4693" s="505"/>
      <c r="W4693" s="505"/>
      <c r="X4693" s="505"/>
      <c r="Y4693" s="505"/>
    </row>
    <row r="4694" spans="1:25" s="88" customFormat="1" ht="30.75" hidden="1" thickBot="1" x14ac:dyDescent="0.3">
      <c r="A4694" s="258"/>
      <c r="B4694" s="258"/>
      <c r="C4694" s="261"/>
      <c r="D4694" s="258"/>
      <c r="E4694" s="679"/>
      <c r="F4694" s="597" t="s">
        <v>257</v>
      </c>
      <c r="G4694" s="598" t="s">
        <v>258</v>
      </c>
      <c r="H4694" s="555"/>
      <c r="I4694" s="556"/>
      <c r="J4694" s="560">
        <f t="shared" si="156"/>
        <v>0</v>
      </c>
      <c r="K4694" s="505"/>
      <c r="L4694" s="505"/>
      <c r="M4694" s="505"/>
      <c r="N4694" s="505"/>
      <c r="O4694" s="505"/>
      <c r="P4694" s="505"/>
      <c r="Q4694" s="505"/>
      <c r="R4694" s="505"/>
      <c r="S4694" s="505"/>
      <c r="T4694" s="505"/>
      <c r="U4694" s="505"/>
      <c r="V4694" s="505"/>
      <c r="W4694" s="505"/>
      <c r="X4694" s="505"/>
      <c r="Y4694" s="505"/>
    </row>
    <row r="4695" spans="1:25" s="88" customFormat="1" ht="15.75" hidden="1" thickBot="1" x14ac:dyDescent="0.3">
      <c r="A4695" s="258"/>
      <c r="B4695" s="258"/>
      <c r="C4695" s="261"/>
      <c r="D4695" s="258"/>
      <c r="E4695" s="679"/>
      <c r="F4695" s="597" t="s">
        <v>259</v>
      </c>
      <c r="G4695" s="598" t="s">
        <v>260</v>
      </c>
      <c r="H4695" s="555"/>
      <c r="I4695" s="556"/>
      <c r="J4695" s="560">
        <f t="shared" si="156"/>
        <v>0</v>
      </c>
      <c r="K4695" s="505"/>
      <c r="L4695" s="505"/>
      <c r="M4695" s="505"/>
      <c r="N4695" s="505"/>
      <c r="O4695" s="505"/>
      <c r="P4695" s="505"/>
      <c r="Q4695" s="505"/>
      <c r="R4695" s="505"/>
      <c r="S4695" s="505"/>
      <c r="T4695" s="505"/>
      <c r="U4695" s="505"/>
      <c r="V4695" s="505"/>
      <c r="W4695" s="505"/>
      <c r="X4695" s="505"/>
      <c r="Y4695" s="505"/>
    </row>
    <row r="4696" spans="1:25" s="88" customFormat="1" ht="15.75" hidden="1" thickBot="1" x14ac:dyDescent="0.3">
      <c r="A4696" s="258"/>
      <c r="B4696" s="258"/>
      <c r="C4696" s="261"/>
      <c r="D4696" s="258"/>
      <c r="E4696" s="679"/>
      <c r="F4696" s="597" t="s">
        <v>261</v>
      </c>
      <c r="G4696" s="598" t="s">
        <v>262</v>
      </c>
      <c r="H4696" s="559"/>
      <c r="I4696" s="560"/>
      <c r="J4696" s="560">
        <f t="shared" si="156"/>
        <v>0</v>
      </c>
      <c r="K4696" s="505"/>
      <c r="L4696" s="505"/>
      <c r="M4696" s="505"/>
      <c r="N4696" s="505"/>
      <c r="O4696" s="505"/>
      <c r="P4696" s="505"/>
      <c r="Q4696" s="505"/>
      <c r="R4696" s="505"/>
      <c r="S4696" s="505"/>
      <c r="T4696" s="505"/>
      <c r="U4696" s="505"/>
      <c r="V4696" s="505"/>
      <c r="W4696" s="505"/>
      <c r="X4696" s="505"/>
      <c r="Y4696" s="505"/>
    </row>
    <row r="4697" spans="1:25" s="88" customFormat="1" ht="15" customHeight="1" thickBot="1" x14ac:dyDescent="0.3">
      <c r="A4697" s="258"/>
      <c r="B4697" s="258"/>
      <c r="C4697" s="261"/>
      <c r="D4697" s="258"/>
      <c r="E4697" s="679"/>
      <c r="F4697" s="258"/>
      <c r="G4697" s="268" t="s">
        <v>4368</v>
      </c>
      <c r="H4697" s="561">
        <f>SUM(H4681)</f>
        <v>7114000</v>
      </c>
      <c r="I4697" s="562">
        <f>SUM(I4682:I4696)</f>
        <v>0</v>
      </c>
      <c r="J4697" s="562">
        <f>SUM(J4681:J4696)</f>
        <v>7114000</v>
      </c>
      <c r="K4697" s="505"/>
      <c r="L4697" s="505"/>
      <c r="M4697" s="505"/>
      <c r="N4697" s="505"/>
      <c r="O4697" s="505"/>
      <c r="P4697" s="505"/>
      <c r="Q4697" s="505"/>
      <c r="R4697" s="505"/>
      <c r="S4697" s="505"/>
      <c r="T4697" s="505"/>
      <c r="U4697" s="505"/>
      <c r="V4697" s="505"/>
      <c r="W4697" s="505"/>
      <c r="X4697" s="505"/>
      <c r="Y4697" s="505"/>
    </row>
    <row r="4698" spans="1:25" s="88" customFormat="1" ht="28.5" x14ac:dyDescent="0.25">
      <c r="A4698" s="258"/>
      <c r="B4698" s="258"/>
      <c r="C4698" s="261"/>
      <c r="D4698" s="258"/>
      <c r="E4698" s="489"/>
      <c r="F4698" s="500"/>
      <c r="G4698" s="270" t="s">
        <v>4383</v>
      </c>
      <c r="H4698" s="563"/>
      <c r="I4698" s="584"/>
      <c r="J4698" s="564"/>
      <c r="K4698" s="505"/>
      <c r="L4698" s="505"/>
      <c r="M4698" s="505"/>
      <c r="N4698" s="505"/>
      <c r="O4698" s="505"/>
      <c r="P4698" s="505"/>
      <c r="Q4698" s="505"/>
      <c r="R4698" s="505"/>
      <c r="S4698" s="505"/>
      <c r="T4698" s="505"/>
      <c r="U4698" s="505"/>
      <c r="V4698" s="505"/>
      <c r="W4698" s="505"/>
      <c r="X4698" s="505"/>
      <c r="Y4698" s="505"/>
    </row>
    <row r="4699" spans="1:25" s="88" customFormat="1" ht="13.5" customHeight="1" thickBot="1" x14ac:dyDescent="0.3">
      <c r="A4699" s="258"/>
      <c r="B4699" s="258"/>
      <c r="C4699" s="261"/>
      <c r="D4699" s="258"/>
      <c r="E4699" s="693"/>
      <c r="F4699" s="597" t="s">
        <v>234</v>
      </c>
      <c r="G4699" s="729" t="s">
        <v>235</v>
      </c>
      <c r="H4699" s="559">
        <f>SUM(H4620:H4679)</f>
        <v>7114000</v>
      </c>
      <c r="I4699" s="560"/>
      <c r="J4699" s="560">
        <f>SUM(H4699:I4699)</f>
        <v>7114000</v>
      </c>
      <c r="K4699" s="505"/>
      <c r="L4699" s="505"/>
      <c r="M4699" s="505"/>
      <c r="N4699" s="505"/>
      <c r="O4699" s="505"/>
      <c r="P4699" s="505"/>
      <c r="Q4699" s="505"/>
      <c r="R4699" s="505"/>
      <c r="S4699" s="505"/>
      <c r="T4699" s="505"/>
      <c r="U4699" s="505"/>
      <c r="V4699" s="505"/>
      <c r="W4699" s="505"/>
      <c r="X4699" s="505"/>
      <c r="Y4699" s="505"/>
    </row>
    <row r="4700" spans="1:25" s="88" customFormat="1" ht="17.25" hidden="1" customHeight="1" x14ac:dyDescent="0.25">
      <c r="A4700" s="258"/>
      <c r="B4700" s="258"/>
      <c r="C4700" s="261"/>
      <c r="D4700" s="258"/>
      <c r="E4700" s="679"/>
      <c r="F4700" s="597" t="s">
        <v>236</v>
      </c>
      <c r="G4700" s="598" t="s">
        <v>237</v>
      </c>
      <c r="H4700" s="555"/>
      <c r="I4700" s="556"/>
      <c r="J4700" s="560">
        <f t="shared" ref="J4700:J4714" si="157">SUM(H4700:I4700)</f>
        <v>0</v>
      </c>
      <c r="K4700" s="505"/>
      <c r="L4700" s="505"/>
      <c r="M4700" s="505"/>
      <c r="N4700" s="505"/>
      <c r="O4700" s="505"/>
      <c r="P4700" s="505"/>
      <c r="Q4700" s="505"/>
      <c r="R4700" s="505"/>
      <c r="S4700" s="505"/>
      <c r="T4700" s="505"/>
      <c r="U4700" s="505"/>
      <c r="V4700" s="505"/>
      <c r="W4700" s="505"/>
      <c r="X4700" s="505"/>
      <c r="Y4700" s="505"/>
    </row>
    <row r="4701" spans="1:25" s="88" customFormat="1" ht="15.75" hidden="1" thickBot="1" x14ac:dyDescent="0.3">
      <c r="A4701" s="258"/>
      <c r="B4701" s="258"/>
      <c r="C4701" s="261"/>
      <c r="D4701" s="258"/>
      <c r="E4701" s="679"/>
      <c r="F4701" s="597" t="s">
        <v>238</v>
      </c>
      <c r="G4701" s="598" t="s">
        <v>239</v>
      </c>
      <c r="H4701" s="555"/>
      <c r="I4701" s="556"/>
      <c r="J4701" s="560">
        <f t="shared" si="157"/>
        <v>0</v>
      </c>
      <c r="K4701" s="505"/>
      <c r="L4701" s="505"/>
      <c r="M4701" s="505"/>
      <c r="N4701" s="505"/>
      <c r="O4701" s="505"/>
      <c r="P4701" s="505"/>
      <c r="Q4701" s="505"/>
      <c r="R4701" s="505"/>
      <c r="S4701" s="505"/>
      <c r="T4701" s="505"/>
      <c r="U4701" s="505"/>
      <c r="V4701" s="505"/>
      <c r="W4701" s="505"/>
      <c r="X4701" s="505"/>
      <c r="Y4701" s="505"/>
    </row>
    <row r="4702" spans="1:25" s="88" customFormat="1" ht="15.75" hidden="1" thickBot="1" x14ac:dyDescent="0.3">
      <c r="A4702" s="258"/>
      <c r="B4702" s="258"/>
      <c r="C4702" s="261"/>
      <c r="D4702" s="258"/>
      <c r="E4702" s="679"/>
      <c r="F4702" s="597" t="s">
        <v>240</v>
      </c>
      <c r="G4702" s="598" t="s">
        <v>241</v>
      </c>
      <c r="H4702" s="555"/>
      <c r="I4702" s="556"/>
      <c r="J4702" s="560">
        <f t="shared" si="157"/>
        <v>0</v>
      </c>
      <c r="K4702" s="505"/>
      <c r="L4702" s="505"/>
      <c r="M4702" s="505"/>
      <c r="N4702" s="505"/>
      <c r="O4702" s="505"/>
      <c r="P4702" s="505"/>
      <c r="Q4702" s="505"/>
      <c r="R4702" s="505"/>
      <c r="S4702" s="505"/>
      <c r="T4702" s="505"/>
      <c r="U4702" s="505"/>
      <c r="V4702" s="505"/>
      <c r="W4702" s="505"/>
      <c r="X4702" s="505"/>
      <c r="Y4702" s="505"/>
    </row>
    <row r="4703" spans="1:25" s="88" customFormat="1" ht="15.75" hidden="1" thickBot="1" x14ac:dyDescent="0.3">
      <c r="A4703" s="258"/>
      <c r="B4703" s="258"/>
      <c r="C4703" s="261"/>
      <c r="D4703" s="258"/>
      <c r="E4703" s="679"/>
      <c r="F4703" s="597" t="s">
        <v>242</v>
      </c>
      <c r="G4703" s="598" t="s">
        <v>243</v>
      </c>
      <c r="H4703" s="555"/>
      <c r="I4703" s="556"/>
      <c r="J4703" s="560">
        <f t="shared" si="157"/>
        <v>0</v>
      </c>
      <c r="K4703" s="505"/>
      <c r="L4703" s="505"/>
      <c r="M4703" s="505"/>
      <c r="N4703" s="505"/>
      <c r="O4703" s="505"/>
      <c r="P4703" s="505"/>
      <c r="Q4703" s="505"/>
      <c r="R4703" s="505"/>
      <c r="S4703" s="505"/>
      <c r="T4703" s="505"/>
      <c r="U4703" s="505"/>
      <c r="V4703" s="505"/>
      <c r="W4703" s="505"/>
      <c r="X4703" s="505"/>
      <c r="Y4703" s="505"/>
    </row>
    <row r="4704" spans="1:25" s="88" customFormat="1" ht="15.75" hidden="1" thickBot="1" x14ac:dyDescent="0.3">
      <c r="A4704" s="258"/>
      <c r="B4704" s="258"/>
      <c r="C4704" s="261"/>
      <c r="D4704" s="258"/>
      <c r="E4704" s="679"/>
      <c r="F4704" s="597" t="s">
        <v>244</v>
      </c>
      <c r="G4704" s="598" t="s">
        <v>245</v>
      </c>
      <c r="H4704" s="555"/>
      <c r="I4704" s="556"/>
      <c r="J4704" s="560">
        <f t="shared" si="157"/>
        <v>0</v>
      </c>
      <c r="K4704" s="505"/>
      <c r="L4704" s="505"/>
      <c r="M4704" s="505"/>
      <c r="N4704" s="505"/>
      <c r="O4704" s="505"/>
      <c r="P4704" s="505"/>
      <c r="Q4704" s="505"/>
      <c r="R4704" s="505"/>
      <c r="S4704" s="505"/>
      <c r="T4704" s="505"/>
      <c r="U4704" s="505"/>
      <c r="V4704" s="505"/>
      <c r="W4704" s="505"/>
      <c r="X4704" s="505"/>
      <c r="Y4704" s="505"/>
    </row>
    <row r="4705" spans="1:25" s="88" customFormat="1" ht="15.75" hidden="1" thickBot="1" x14ac:dyDescent="0.3">
      <c r="A4705" s="258"/>
      <c r="B4705" s="258"/>
      <c r="C4705" s="261"/>
      <c r="D4705" s="258"/>
      <c r="E4705" s="679"/>
      <c r="F4705" s="597" t="s">
        <v>246</v>
      </c>
      <c r="G4705" s="598" t="s">
        <v>4996</v>
      </c>
      <c r="H4705" s="555"/>
      <c r="I4705" s="556"/>
      <c r="J4705" s="560">
        <f t="shared" si="157"/>
        <v>0</v>
      </c>
      <c r="K4705" s="505"/>
      <c r="L4705" s="505"/>
      <c r="M4705" s="505"/>
      <c r="N4705" s="505"/>
      <c r="O4705" s="505"/>
      <c r="P4705" s="505"/>
      <c r="Q4705" s="505"/>
      <c r="R4705" s="505"/>
      <c r="S4705" s="505"/>
      <c r="T4705" s="505"/>
      <c r="U4705" s="505"/>
      <c r="V4705" s="505"/>
      <c r="W4705" s="505"/>
      <c r="X4705" s="505"/>
      <c r="Y4705" s="505"/>
    </row>
    <row r="4706" spans="1:25" s="88" customFormat="1" ht="15.75" hidden="1" thickBot="1" x14ac:dyDescent="0.3">
      <c r="A4706" s="258"/>
      <c r="B4706" s="258"/>
      <c r="C4706" s="261"/>
      <c r="D4706" s="258"/>
      <c r="E4706" s="679"/>
      <c r="F4706" s="597" t="s">
        <v>247</v>
      </c>
      <c r="G4706" s="598" t="s">
        <v>4995</v>
      </c>
      <c r="H4706" s="555"/>
      <c r="I4706" s="556"/>
      <c r="J4706" s="560">
        <f t="shared" si="157"/>
        <v>0</v>
      </c>
      <c r="K4706" s="505"/>
      <c r="L4706" s="505"/>
      <c r="M4706" s="505"/>
      <c r="N4706" s="505"/>
      <c r="O4706" s="505"/>
      <c r="P4706" s="505"/>
      <c r="Q4706" s="505"/>
      <c r="R4706" s="505"/>
      <c r="S4706" s="505"/>
      <c r="T4706" s="505"/>
      <c r="U4706" s="505"/>
      <c r="V4706" s="505"/>
      <c r="W4706" s="505"/>
      <c r="X4706" s="505"/>
      <c r="Y4706" s="505"/>
    </row>
    <row r="4707" spans="1:25" s="88" customFormat="1" ht="15.75" hidden="1" thickBot="1" x14ac:dyDescent="0.3">
      <c r="A4707" s="258"/>
      <c r="B4707" s="258"/>
      <c r="C4707" s="261"/>
      <c r="D4707" s="258"/>
      <c r="E4707" s="679"/>
      <c r="F4707" s="597" t="s">
        <v>248</v>
      </c>
      <c r="G4707" s="598" t="s">
        <v>57</v>
      </c>
      <c r="H4707" s="555"/>
      <c r="I4707" s="556"/>
      <c r="J4707" s="560">
        <f t="shared" si="157"/>
        <v>0</v>
      </c>
      <c r="K4707" s="505"/>
      <c r="L4707" s="505"/>
      <c r="M4707" s="505"/>
      <c r="N4707" s="505"/>
      <c r="O4707" s="505"/>
      <c r="P4707" s="505"/>
      <c r="Q4707" s="505"/>
      <c r="R4707" s="505"/>
      <c r="S4707" s="505"/>
      <c r="T4707" s="505"/>
      <c r="U4707" s="505"/>
      <c r="V4707" s="505"/>
      <c r="W4707" s="505"/>
      <c r="X4707" s="505"/>
      <c r="Y4707" s="505"/>
    </row>
    <row r="4708" spans="1:25" s="88" customFormat="1" ht="15.75" hidden="1" thickBot="1" x14ac:dyDescent="0.3">
      <c r="A4708" s="258"/>
      <c r="B4708" s="258"/>
      <c r="C4708" s="261"/>
      <c r="D4708" s="258"/>
      <c r="E4708" s="679"/>
      <c r="F4708" s="597" t="s">
        <v>249</v>
      </c>
      <c r="G4708" s="598" t="s">
        <v>250</v>
      </c>
      <c r="H4708" s="555"/>
      <c r="I4708" s="556"/>
      <c r="J4708" s="560">
        <f t="shared" si="157"/>
        <v>0</v>
      </c>
      <c r="K4708" s="505"/>
      <c r="L4708" s="505"/>
      <c r="M4708" s="505"/>
      <c r="N4708" s="505"/>
      <c r="O4708" s="505"/>
      <c r="P4708" s="505"/>
      <c r="Q4708" s="505"/>
      <c r="R4708" s="505"/>
      <c r="S4708" s="505"/>
      <c r="T4708" s="505"/>
      <c r="U4708" s="505"/>
      <c r="V4708" s="505"/>
      <c r="W4708" s="505"/>
      <c r="X4708" s="505"/>
      <c r="Y4708" s="505"/>
    </row>
    <row r="4709" spans="1:25" s="88" customFormat="1" ht="15.75" hidden="1" thickBot="1" x14ac:dyDescent="0.3">
      <c r="A4709" s="258"/>
      <c r="B4709" s="258"/>
      <c r="C4709" s="261"/>
      <c r="D4709" s="258"/>
      <c r="E4709" s="679"/>
      <c r="F4709" s="597" t="s">
        <v>251</v>
      </c>
      <c r="G4709" s="598" t="s">
        <v>252</v>
      </c>
      <c r="H4709" s="555"/>
      <c r="I4709" s="556"/>
      <c r="J4709" s="560">
        <f t="shared" si="157"/>
        <v>0</v>
      </c>
      <c r="K4709" s="505"/>
      <c r="L4709" s="505"/>
      <c r="M4709" s="505"/>
      <c r="N4709" s="505"/>
      <c r="O4709" s="505"/>
      <c r="P4709" s="505"/>
      <c r="Q4709" s="505"/>
      <c r="R4709" s="505"/>
      <c r="S4709" s="505"/>
      <c r="T4709" s="505"/>
      <c r="U4709" s="505"/>
      <c r="V4709" s="505"/>
      <c r="W4709" s="505"/>
      <c r="X4709" s="505"/>
      <c r="Y4709" s="505"/>
    </row>
    <row r="4710" spans="1:25" s="88" customFormat="1" ht="30.75" hidden="1" thickBot="1" x14ac:dyDescent="0.3">
      <c r="A4710" s="258"/>
      <c r="B4710" s="258"/>
      <c r="C4710" s="261"/>
      <c r="D4710" s="258"/>
      <c r="E4710" s="679"/>
      <c r="F4710" s="597" t="s">
        <v>253</v>
      </c>
      <c r="G4710" s="598" t="s">
        <v>254</v>
      </c>
      <c r="H4710" s="555"/>
      <c r="I4710" s="556"/>
      <c r="J4710" s="560">
        <f t="shared" si="157"/>
        <v>0</v>
      </c>
      <c r="K4710" s="505"/>
      <c r="L4710" s="505"/>
      <c r="M4710" s="505"/>
      <c r="N4710" s="505"/>
      <c r="O4710" s="505"/>
      <c r="P4710" s="505"/>
      <c r="Q4710" s="505"/>
      <c r="R4710" s="505"/>
      <c r="S4710" s="505"/>
      <c r="T4710" s="505"/>
      <c r="U4710" s="505"/>
      <c r="V4710" s="505"/>
      <c r="W4710" s="505"/>
      <c r="X4710" s="505"/>
      <c r="Y4710" s="505"/>
    </row>
    <row r="4711" spans="1:25" s="88" customFormat="1" ht="15.75" hidden="1" thickBot="1" x14ac:dyDescent="0.3">
      <c r="A4711" s="258"/>
      <c r="B4711" s="258"/>
      <c r="C4711" s="261"/>
      <c r="D4711" s="258"/>
      <c r="E4711" s="679"/>
      <c r="F4711" s="597" t="s">
        <v>255</v>
      </c>
      <c r="G4711" s="598" t="s">
        <v>256</v>
      </c>
      <c r="H4711" s="555"/>
      <c r="I4711" s="556"/>
      <c r="J4711" s="560">
        <f t="shared" si="157"/>
        <v>0</v>
      </c>
      <c r="K4711" s="505"/>
      <c r="L4711" s="505"/>
      <c r="M4711" s="505"/>
      <c r="N4711" s="505"/>
      <c r="O4711" s="505"/>
      <c r="P4711" s="505"/>
      <c r="Q4711" s="505"/>
      <c r="R4711" s="505"/>
      <c r="S4711" s="505"/>
      <c r="T4711" s="505"/>
      <c r="U4711" s="505"/>
      <c r="V4711" s="505"/>
      <c r="W4711" s="505"/>
      <c r="X4711" s="505"/>
      <c r="Y4711" s="505"/>
    </row>
    <row r="4712" spans="1:25" s="88" customFormat="1" ht="30.75" hidden="1" thickBot="1" x14ac:dyDescent="0.3">
      <c r="A4712" s="258"/>
      <c r="B4712" s="258"/>
      <c r="C4712" s="261"/>
      <c r="D4712" s="258"/>
      <c r="E4712" s="679"/>
      <c r="F4712" s="597" t="s">
        <v>257</v>
      </c>
      <c r="G4712" s="598" t="s">
        <v>258</v>
      </c>
      <c r="H4712" s="555"/>
      <c r="I4712" s="556"/>
      <c r="J4712" s="560">
        <f t="shared" si="157"/>
        <v>0</v>
      </c>
      <c r="K4712" s="505"/>
      <c r="L4712" s="505"/>
      <c r="M4712" s="505"/>
      <c r="N4712" s="505"/>
      <c r="O4712" s="505"/>
      <c r="P4712" s="505"/>
      <c r="Q4712" s="505"/>
      <c r="R4712" s="505"/>
      <c r="S4712" s="505"/>
      <c r="T4712" s="505"/>
      <c r="U4712" s="505"/>
      <c r="V4712" s="505"/>
      <c r="W4712" s="505"/>
      <c r="X4712" s="505"/>
      <c r="Y4712" s="505"/>
    </row>
    <row r="4713" spans="1:25" s="88" customFormat="1" ht="15.75" hidden="1" thickBot="1" x14ac:dyDescent="0.3">
      <c r="A4713" s="258"/>
      <c r="B4713" s="258"/>
      <c r="C4713" s="261"/>
      <c r="D4713" s="258"/>
      <c r="E4713" s="679"/>
      <c r="F4713" s="597" t="s">
        <v>259</v>
      </c>
      <c r="G4713" s="598" t="s">
        <v>260</v>
      </c>
      <c r="H4713" s="555"/>
      <c r="I4713" s="556"/>
      <c r="J4713" s="560">
        <f t="shared" si="157"/>
        <v>0</v>
      </c>
      <c r="K4713" s="505"/>
      <c r="L4713" s="505"/>
      <c r="M4713" s="505"/>
      <c r="N4713" s="505"/>
      <c r="O4713" s="505"/>
      <c r="P4713" s="505"/>
      <c r="Q4713" s="505"/>
      <c r="R4713" s="505"/>
      <c r="S4713" s="505"/>
      <c r="T4713" s="505"/>
      <c r="U4713" s="505"/>
      <c r="V4713" s="505"/>
      <c r="W4713" s="505"/>
      <c r="X4713" s="505"/>
      <c r="Y4713" s="505"/>
    </row>
    <row r="4714" spans="1:25" s="88" customFormat="1" ht="15.75" hidden="1" thickBot="1" x14ac:dyDescent="0.3">
      <c r="A4714" s="258"/>
      <c r="B4714" s="258"/>
      <c r="C4714" s="261"/>
      <c r="D4714" s="258"/>
      <c r="E4714" s="679"/>
      <c r="F4714" s="597" t="s">
        <v>261</v>
      </c>
      <c r="G4714" s="598" t="s">
        <v>262</v>
      </c>
      <c r="H4714" s="559"/>
      <c r="I4714" s="560"/>
      <c r="J4714" s="560">
        <f t="shared" si="157"/>
        <v>0</v>
      </c>
      <c r="K4714" s="505"/>
      <c r="L4714" s="505"/>
      <c r="M4714" s="505"/>
      <c r="N4714" s="505"/>
      <c r="O4714" s="505"/>
      <c r="P4714" s="505"/>
      <c r="Q4714" s="505"/>
      <c r="R4714" s="505"/>
      <c r="S4714" s="505"/>
      <c r="T4714" s="505"/>
      <c r="U4714" s="505"/>
      <c r="V4714" s="505"/>
      <c r="W4714" s="505"/>
      <c r="X4714" s="505"/>
      <c r="Y4714" s="505"/>
    </row>
    <row r="4715" spans="1:25" s="88" customFormat="1" ht="15.75" thickBot="1" x14ac:dyDescent="0.3">
      <c r="A4715" s="258"/>
      <c r="B4715" s="258"/>
      <c r="C4715" s="261"/>
      <c r="D4715" s="258"/>
      <c r="E4715" s="679"/>
      <c r="F4715" s="258"/>
      <c r="G4715" s="268" t="s">
        <v>4384</v>
      </c>
      <c r="H4715" s="561">
        <f>SUM(H4699:H4714)</f>
        <v>7114000</v>
      </c>
      <c r="I4715" s="562">
        <f>SUM(I4700:I4714)</f>
        <v>0</v>
      </c>
      <c r="J4715" s="562">
        <f>SUM(J4699:J4714)</f>
        <v>7114000</v>
      </c>
      <c r="K4715" s="505"/>
      <c r="L4715" s="505"/>
      <c r="M4715" s="505"/>
      <c r="N4715" s="505"/>
      <c r="O4715" s="505"/>
      <c r="P4715" s="505"/>
      <c r="Q4715" s="505"/>
      <c r="R4715" s="505"/>
      <c r="S4715" s="505"/>
      <c r="T4715" s="505"/>
      <c r="U4715" s="505"/>
      <c r="V4715" s="505"/>
      <c r="W4715" s="505"/>
      <c r="X4715" s="505"/>
      <c r="Y4715" s="505"/>
    </row>
    <row r="4716" spans="1:25" s="88" customFormat="1" x14ac:dyDescent="0.25">
      <c r="A4716" s="258"/>
      <c r="B4716" s="258"/>
      <c r="C4716" s="261"/>
      <c r="D4716" s="258"/>
      <c r="E4716" s="489"/>
      <c r="F4716" s="500"/>
      <c r="G4716" s="285" t="s">
        <v>4369</v>
      </c>
      <c r="H4716" s="567"/>
      <c r="I4716" s="585"/>
      <c r="J4716" s="568"/>
      <c r="K4716" s="505"/>
      <c r="L4716" s="505"/>
      <c r="M4716" s="505"/>
      <c r="N4716" s="505"/>
      <c r="O4716" s="505"/>
      <c r="P4716" s="505"/>
      <c r="Q4716" s="505"/>
      <c r="R4716" s="505"/>
      <c r="S4716" s="505"/>
      <c r="T4716" s="505"/>
      <c r="U4716" s="505"/>
      <c r="V4716" s="505"/>
      <c r="W4716" s="505"/>
      <c r="X4716" s="505"/>
      <c r="Y4716" s="505"/>
    </row>
    <row r="4717" spans="1:25" s="88" customFormat="1" ht="14.25" customHeight="1" thickBot="1" x14ac:dyDescent="0.3">
      <c r="A4717" s="258"/>
      <c r="B4717" s="258"/>
      <c r="C4717" s="261"/>
      <c r="D4717" s="258"/>
      <c r="E4717" s="693"/>
      <c r="F4717" s="597" t="s">
        <v>234</v>
      </c>
      <c r="G4717" s="598" t="s">
        <v>235</v>
      </c>
      <c r="H4717" s="559">
        <f>SUM(H4405,H4503,H4601,H4699)</f>
        <v>43546000</v>
      </c>
      <c r="I4717" s="560"/>
      <c r="J4717" s="560">
        <f>SUM(H4717:I4717)</f>
        <v>43546000</v>
      </c>
      <c r="K4717" s="505"/>
      <c r="L4717" s="505"/>
      <c r="M4717" s="505"/>
      <c r="N4717" s="505"/>
      <c r="O4717" s="505"/>
      <c r="P4717" s="505"/>
      <c r="Q4717" s="505"/>
      <c r="R4717" s="505"/>
      <c r="S4717" s="505"/>
      <c r="T4717" s="505"/>
      <c r="U4717" s="505"/>
      <c r="V4717" s="505"/>
      <c r="W4717" s="505"/>
      <c r="X4717" s="505"/>
      <c r="Y4717" s="505"/>
    </row>
    <row r="4718" spans="1:25" s="88" customFormat="1" ht="15.75" hidden="1" thickBot="1" x14ac:dyDescent="0.3">
      <c r="A4718" s="258"/>
      <c r="B4718" s="258"/>
      <c r="C4718" s="261"/>
      <c r="D4718" s="258"/>
      <c r="E4718" s="679"/>
      <c r="F4718" s="597" t="s">
        <v>236</v>
      </c>
      <c r="G4718" s="598" t="s">
        <v>237</v>
      </c>
      <c r="H4718" s="555"/>
      <c r="I4718" s="556"/>
      <c r="J4718" s="560">
        <f t="shared" ref="J4718:J4732" si="158">SUM(H4718:I4718)</f>
        <v>0</v>
      </c>
      <c r="K4718" s="505"/>
      <c r="L4718" s="505"/>
      <c r="M4718" s="505"/>
      <c r="N4718" s="505"/>
      <c r="O4718" s="505"/>
      <c r="P4718" s="505"/>
      <c r="Q4718" s="505"/>
      <c r="R4718" s="505"/>
      <c r="S4718" s="505"/>
      <c r="T4718" s="505"/>
      <c r="U4718" s="505"/>
      <c r="V4718" s="505"/>
      <c r="W4718" s="505"/>
      <c r="X4718" s="505"/>
      <c r="Y4718" s="505"/>
    </row>
    <row r="4719" spans="1:25" s="88" customFormat="1" ht="15.75" hidden="1" thickBot="1" x14ac:dyDescent="0.3">
      <c r="A4719" s="258"/>
      <c r="B4719" s="258"/>
      <c r="C4719" s="261"/>
      <c r="D4719" s="258"/>
      <c r="E4719" s="679"/>
      <c r="F4719" s="597" t="s">
        <v>238</v>
      </c>
      <c r="G4719" s="598" t="s">
        <v>239</v>
      </c>
      <c r="H4719" s="555"/>
      <c r="I4719" s="556"/>
      <c r="J4719" s="560">
        <f t="shared" si="158"/>
        <v>0</v>
      </c>
      <c r="K4719" s="505"/>
      <c r="L4719" s="505"/>
      <c r="M4719" s="505"/>
      <c r="N4719" s="505"/>
      <c r="O4719" s="505"/>
      <c r="P4719" s="505"/>
      <c r="Q4719" s="505"/>
      <c r="R4719" s="505"/>
      <c r="S4719" s="505"/>
      <c r="T4719" s="505"/>
      <c r="U4719" s="505"/>
      <c r="V4719" s="505"/>
      <c r="W4719" s="505"/>
      <c r="X4719" s="505"/>
      <c r="Y4719" s="505"/>
    </row>
    <row r="4720" spans="1:25" s="88" customFormat="1" ht="15.75" hidden="1" thickBot="1" x14ac:dyDescent="0.3">
      <c r="A4720" s="258"/>
      <c r="B4720" s="258"/>
      <c r="C4720" s="261"/>
      <c r="D4720" s="258"/>
      <c r="E4720" s="679"/>
      <c r="F4720" s="597" t="s">
        <v>240</v>
      </c>
      <c r="G4720" s="598" t="s">
        <v>241</v>
      </c>
      <c r="H4720" s="555"/>
      <c r="I4720" s="556"/>
      <c r="J4720" s="560">
        <f t="shared" si="158"/>
        <v>0</v>
      </c>
      <c r="K4720" s="505"/>
      <c r="L4720" s="505"/>
      <c r="M4720" s="505"/>
      <c r="N4720" s="505"/>
      <c r="O4720" s="505"/>
      <c r="P4720" s="505"/>
      <c r="Q4720" s="505"/>
      <c r="R4720" s="505"/>
      <c r="S4720" s="505"/>
      <c r="T4720" s="505"/>
      <c r="U4720" s="505"/>
      <c r="V4720" s="505"/>
      <c r="W4720" s="505"/>
      <c r="X4720" s="505"/>
      <c r="Y4720" s="505"/>
    </row>
    <row r="4721" spans="1:25" s="88" customFormat="1" ht="15.75" hidden="1" thickBot="1" x14ac:dyDescent="0.3">
      <c r="A4721" s="258"/>
      <c r="B4721" s="258"/>
      <c r="C4721" s="261"/>
      <c r="D4721" s="258"/>
      <c r="E4721" s="679"/>
      <c r="F4721" s="597" t="s">
        <v>242</v>
      </c>
      <c r="G4721" s="598" t="s">
        <v>243</v>
      </c>
      <c r="H4721" s="555"/>
      <c r="I4721" s="556"/>
      <c r="J4721" s="560">
        <f t="shared" si="158"/>
        <v>0</v>
      </c>
      <c r="K4721" s="505"/>
      <c r="L4721" s="505"/>
      <c r="M4721" s="505"/>
      <c r="N4721" s="505"/>
      <c r="O4721" s="505"/>
      <c r="P4721" s="505"/>
      <c r="Q4721" s="505"/>
      <c r="R4721" s="505"/>
      <c r="S4721" s="505"/>
      <c r="T4721" s="505"/>
      <c r="U4721" s="505"/>
      <c r="V4721" s="505"/>
      <c r="W4721" s="505"/>
      <c r="X4721" s="505"/>
      <c r="Y4721" s="505"/>
    </row>
    <row r="4722" spans="1:25" s="88" customFormat="1" ht="15.75" hidden="1" thickBot="1" x14ac:dyDescent="0.3">
      <c r="A4722" s="258"/>
      <c r="B4722" s="258"/>
      <c r="C4722" s="261"/>
      <c r="D4722" s="258"/>
      <c r="E4722" s="679"/>
      <c r="F4722" s="597" t="s">
        <v>244</v>
      </c>
      <c r="G4722" s="598" t="s">
        <v>245</v>
      </c>
      <c r="H4722" s="555"/>
      <c r="I4722" s="556"/>
      <c r="J4722" s="560">
        <f t="shared" si="158"/>
        <v>0</v>
      </c>
      <c r="K4722" s="505"/>
      <c r="L4722" s="505"/>
      <c r="M4722" s="505"/>
      <c r="N4722" s="505"/>
      <c r="O4722" s="505"/>
      <c r="P4722" s="505"/>
      <c r="Q4722" s="505"/>
      <c r="R4722" s="505"/>
      <c r="S4722" s="505"/>
      <c r="T4722" s="505"/>
      <c r="U4722" s="505"/>
      <c r="V4722" s="505"/>
      <c r="W4722" s="505"/>
      <c r="X4722" s="505"/>
      <c r="Y4722" s="505"/>
    </row>
    <row r="4723" spans="1:25" s="88" customFormat="1" ht="15.75" hidden="1" thickBot="1" x14ac:dyDescent="0.3">
      <c r="A4723" s="258"/>
      <c r="B4723" s="258"/>
      <c r="C4723" s="261"/>
      <c r="D4723" s="258"/>
      <c r="E4723" s="679"/>
      <c r="F4723" s="597" t="s">
        <v>246</v>
      </c>
      <c r="G4723" s="598" t="s">
        <v>4996</v>
      </c>
      <c r="H4723" s="555"/>
      <c r="I4723" s="556"/>
      <c r="J4723" s="560">
        <f t="shared" si="158"/>
        <v>0</v>
      </c>
      <c r="K4723" s="505"/>
      <c r="L4723" s="505"/>
      <c r="M4723" s="505"/>
      <c r="N4723" s="505"/>
      <c r="O4723" s="505"/>
      <c r="P4723" s="505"/>
      <c r="Q4723" s="505"/>
      <c r="R4723" s="505"/>
      <c r="S4723" s="505"/>
      <c r="T4723" s="505"/>
      <c r="U4723" s="505"/>
      <c r="V4723" s="505"/>
      <c r="W4723" s="505"/>
      <c r="X4723" s="505"/>
      <c r="Y4723" s="505"/>
    </row>
    <row r="4724" spans="1:25" s="88" customFormat="1" ht="15.75" hidden="1" thickBot="1" x14ac:dyDescent="0.3">
      <c r="A4724" s="258"/>
      <c r="B4724" s="258"/>
      <c r="C4724" s="261"/>
      <c r="D4724" s="258"/>
      <c r="E4724" s="679"/>
      <c r="F4724" s="597" t="s">
        <v>247</v>
      </c>
      <c r="G4724" s="598" t="s">
        <v>4995</v>
      </c>
      <c r="H4724" s="555"/>
      <c r="I4724" s="556"/>
      <c r="J4724" s="560">
        <f t="shared" si="158"/>
        <v>0</v>
      </c>
      <c r="K4724" s="505"/>
      <c r="L4724" s="505"/>
      <c r="M4724" s="505"/>
      <c r="N4724" s="505"/>
      <c r="O4724" s="505"/>
      <c r="P4724" s="505"/>
      <c r="Q4724" s="505"/>
      <c r="R4724" s="505"/>
      <c r="S4724" s="505"/>
      <c r="T4724" s="505"/>
      <c r="U4724" s="505"/>
      <c r="V4724" s="505"/>
      <c r="W4724" s="505"/>
      <c r="X4724" s="505"/>
      <c r="Y4724" s="505"/>
    </row>
    <row r="4725" spans="1:25" s="88" customFormat="1" ht="15.75" hidden="1" thickBot="1" x14ac:dyDescent="0.3">
      <c r="A4725" s="258"/>
      <c r="B4725" s="258"/>
      <c r="C4725" s="261"/>
      <c r="D4725" s="258"/>
      <c r="E4725" s="679"/>
      <c r="F4725" s="597" t="s">
        <v>248</v>
      </c>
      <c r="G4725" s="598" t="s">
        <v>57</v>
      </c>
      <c r="H4725" s="555"/>
      <c r="I4725" s="556"/>
      <c r="J4725" s="560">
        <f t="shared" si="158"/>
        <v>0</v>
      </c>
      <c r="K4725" s="505"/>
      <c r="L4725" s="505"/>
      <c r="M4725" s="505"/>
      <c r="N4725" s="505"/>
      <c r="O4725" s="505"/>
      <c r="P4725" s="505"/>
      <c r="Q4725" s="505"/>
      <c r="R4725" s="505"/>
      <c r="S4725" s="505"/>
      <c r="T4725" s="505"/>
      <c r="U4725" s="505"/>
      <c r="V4725" s="505"/>
      <c r="W4725" s="505"/>
      <c r="X4725" s="505"/>
      <c r="Y4725" s="505"/>
    </row>
    <row r="4726" spans="1:25" s="88" customFormat="1" ht="15.75" hidden="1" thickBot="1" x14ac:dyDescent="0.3">
      <c r="A4726" s="258"/>
      <c r="B4726" s="258"/>
      <c r="C4726" s="261"/>
      <c r="D4726" s="258"/>
      <c r="E4726" s="679"/>
      <c r="F4726" s="597" t="s">
        <v>249</v>
      </c>
      <c r="G4726" s="598" t="s">
        <v>250</v>
      </c>
      <c r="H4726" s="555"/>
      <c r="I4726" s="556"/>
      <c r="J4726" s="560">
        <f t="shared" si="158"/>
        <v>0</v>
      </c>
      <c r="K4726" s="505"/>
      <c r="L4726" s="505"/>
      <c r="M4726" s="505"/>
      <c r="N4726" s="505"/>
      <c r="O4726" s="505"/>
      <c r="P4726" s="505"/>
      <c r="Q4726" s="505"/>
      <c r="R4726" s="505"/>
      <c r="S4726" s="505"/>
      <c r="T4726" s="505"/>
      <c r="U4726" s="505"/>
      <c r="V4726" s="505"/>
      <c r="W4726" s="505"/>
      <c r="X4726" s="505"/>
      <c r="Y4726" s="505"/>
    </row>
    <row r="4727" spans="1:25" s="88" customFormat="1" ht="15.75" hidden="1" thickBot="1" x14ac:dyDescent="0.3">
      <c r="A4727" s="258"/>
      <c r="B4727" s="258"/>
      <c r="C4727" s="261"/>
      <c r="D4727" s="258"/>
      <c r="E4727" s="679"/>
      <c r="F4727" s="597" t="s">
        <v>251</v>
      </c>
      <c r="G4727" s="598" t="s">
        <v>252</v>
      </c>
      <c r="H4727" s="555"/>
      <c r="I4727" s="556"/>
      <c r="J4727" s="560">
        <f t="shared" si="158"/>
        <v>0</v>
      </c>
      <c r="K4727" s="505"/>
      <c r="L4727" s="505"/>
      <c r="M4727" s="505"/>
      <c r="N4727" s="505"/>
      <c r="O4727" s="505"/>
      <c r="P4727" s="505"/>
      <c r="Q4727" s="505"/>
      <c r="R4727" s="505"/>
      <c r="S4727" s="505"/>
      <c r="T4727" s="505"/>
      <c r="U4727" s="505"/>
      <c r="V4727" s="505"/>
      <c r="W4727" s="505"/>
      <c r="X4727" s="505"/>
      <c r="Y4727" s="505"/>
    </row>
    <row r="4728" spans="1:25" s="88" customFormat="1" ht="30.75" hidden="1" thickBot="1" x14ac:dyDescent="0.3">
      <c r="A4728" s="258"/>
      <c r="B4728" s="258"/>
      <c r="C4728" s="261"/>
      <c r="D4728" s="258"/>
      <c r="E4728" s="679"/>
      <c r="F4728" s="597" t="s">
        <v>253</v>
      </c>
      <c r="G4728" s="598" t="s">
        <v>254</v>
      </c>
      <c r="H4728" s="555"/>
      <c r="I4728" s="556"/>
      <c r="J4728" s="560">
        <f t="shared" si="158"/>
        <v>0</v>
      </c>
      <c r="K4728" s="505"/>
      <c r="L4728" s="505"/>
      <c r="M4728" s="505"/>
      <c r="N4728" s="505"/>
      <c r="O4728" s="505"/>
      <c r="P4728" s="505"/>
      <c r="Q4728" s="505"/>
      <c r="R4728" s="505"/>
      <c r="S4728" s="505"/>
      <c r="T4728" s="505"/>
      <c r="U4728" s="505"/>
      <c r="V4728" s="505"/>
      <c r="W4728" s="505"/>
      <c r="X4728" s="505"/>
      <c r="Y4728" s="505"/>
    </row>
    <row r="4729" spans="1:25" s="88" customFormat="1" ht="15.75" hidden="1" thickBot="1" x14ac:dyDescent="0.3">
      <c r="A4729" s="258"/>
      <c r="B4729" s="258"/>
      <c r="C4729" s="261"/>
      <c r="D4729" s="258"/>
      <c r="E4729" s="679"/>
      <c r="F4729" s="597" t="s">
        <v>255</v>
      </c>
      <c r="G4729" s="598" t="s">
        <v>256</v>
      </c>
      <c r="H4729" s="555"/>
      <c r="I4729" s="556"/>
      <c r="J4729" s="560">
        <f t="shared" si="158"/>
        <v>0</v>
      </c>
      <c r="K4729" s="505"/>
      <c r="L4729" s="505"/>
      <c r="M4729" s="505"/>
      <c r="N4729" s="505"/>
      <c r="O4729" s="505"/>
      <c r="P4729" s="505"/>
      <c r="Q4729" s="505"/>
      <c r="R4729" s="505"/>
      <c r="S4729" s="505"/>
      <c r="T4729" s="505"/>
      <c r="U4729" s="505"/>
      <c r="V4729" s="505"/>
      <c r="W4729" s="505"/>
      <c r="X4729" s="505"/>
      <c r="Y4729" s="505"/>
    </row>
    <row r="4730" spans="1:25" s="88" customFormat="1" ht="30.75" hidden="1" thickBot="1" x14ac:dyDescent="0.3">
      <c r="A4730" s="258"/>
      <c r="B4730" s="258"/>
      <c r="C4730" s="261"/>
      <c r="D4730" s="258"/>
      <c r="E4730" s="679"/>
      <c r="F4730" s="597" t="s">
        <v>257</v>
      </c>
      <c r="G4730" s="598" t="s">
        <v>258</v>
      </c>
      <c r="H4730" s="555"/>
      <c r="I4730" s="556"/>
      <c r="J4730" s="560">
        <f t="shared" si="158"/>
        <v>0</v>
      </c>
      <c r="K4730" s="505"/>
      <c r="L4730" s="505"/>
      <c r="M4730" s="505"/>
      <c r="N4730" s="505"/>
      <c r="O4730" s="505"/>
      <c r="P4730" s="505"/>
      <c r="Q4730" s="505"/>
      <c r="R4730" s="505"/>
      <c r="S4730" s="505"/>
      <c r="T4730" s="505"/>
      <c r="U4730" s="505"/>
      <c r="V4730" s="505"/>
      <c r="W4730" s="505"/>
      <c r="X4730" s="505"/>
      <c r="Y4730" s="505"/>
    </row>
    <row r="4731" spans="1:25" s="88" customFormat="1" ht="15.75" hidden="1" thickBot="1" x14ac:dyDescent="0.3">
      <c r="A4731" s="258"/>
      <c r="B4731" s="258"/>
      <c r="C4731" s="261"/>
      <c r="D4731" s="258"/>
      <c r="E4731" s="679"/>
      <c r="F4731" s="597" t="s">
        <v>259</v>
      </c>
      <c r="G4731" s="598" t="s">
        <v>260</v>
      </c>
      <c r="H4731" s="555"/>
      <c r="I4731" s="556"/>
      <c r="J4731" s="560">
        <f t="shared" si="158"/>
        <v>0</v>
      </c>
      <c r="K4731" s="505"/>
      <c r="L4731" s="505"/>
      <c r="M4731" s="505"/>
      <c r="N4731" s="505"/>
      <c r="O4731" s="505"/>
      <c r="P4731" s="505"/>
      <c r="Q4731" s="505"/>
      <c r="R4731" s="505"/>
      <c r="S4731" s="505"/>
      <c r="T4731" s="505"/>
      <c r="U4731" s="505"/>
      <c r="V4731" s="505"/>
      <c r="W4731" s="505"/>
      <c r="X4731" s="505"/>
      <c r="Y4731" s="505"/>
    </row>
    <row r="4732" spans="1:25" s="88" customFormat="1" ht="15.75" hidden="1" thickBot="1" x14ac:dyDescent="0.3">
      <c r="A4732" s="258"/>
      <c r="B4732" s="258"/>
      <c r="C4732" s="261"/>
      <c r="D4732" s="258"/>
      <c r="E4732" s="679"/>
      <c r="F4732" s="597" t="s">
        <v>261</v>
      </c>
      <c r="G4732" s="598" t="s">
        <v>262</v>
      </c>
      <c r="H4732" s="559"/>
      <c r="I4732" s="560"/>
      <c r="J4732" s="560">
        <f t="shared" si="158"/>
        <v>0</v>
      </c>
      <c r="K4732" s="505"/>
      <c r="L4732" s="505"/>
      <c r="M4732" s="505"/>
      <c r="N4732" s="505"/>
      <c r="O4732" s="505"/>
      <c r="P4732" s="505"/>
      <c r="Q4732" s="505"/>
      <c r="R4732" s="505"/>
      <c r="S4732" s="505"/>
      <c r="T4732" s="505"/>
      <c r="U4732" s="505"/>
      <c r="V4732" s="505"/>
      <c r="W4732" s="505"/>
      <c r="X4732" s="505"/>
      <c r="Y4732" s="505"/>
    </row>
    <row r="4733" spans="1:25" s="88" customFormat="1" ht="15.75" thickBot="1" x14ac:dyDescent="0.3">
      <c r="A4733" s="258"/>
      <c r="B4733" s="258"/>
      <c r="C4733" s="261"/>
      <c r="D4733" s="258"/>
      <c r="E4733" s="679"/>
      <c r="F4733" s="258"/>
      <c r="G4733" s="268" t="s">
        <v>4370</v>
      </c>
      <c r="H4733" s="561">
        <f>SUM(H4717:H4732)</f>
        <v>43546000</v>
      </c>
      <c r="I4733" s="562">
        <f>SUM(I4718:I4732)</f>
        <v>0</v>
      </c>
      <c r="J4733" s="562">
        <f>SUM(J4717:J4732)</f>
        <v>43546000</v>
      </c>
      <c r="K4733" s="505"/>
      <c r="L4733" s="505"/>
      <c r="M4733" s="505"/>
      <c r="N4733" s="505"/>
      <c r="O4733" s="505"/>
      <c r="P4733" s="505"/>
      <c r="Q4733" s="505"/>
      <c r="R4733" s="505"/>
      <c r="S4733" s="505"/>
      <c r="T4733" s="505"/>
      <c r="U4733" s="505"/>
      <c r="V4733" s="505"/>
      <c r="W4733" s="505"/>
      <c r="X4733" s="505"/>
      <c r="Y4733" s="505"/>
    </row>
    <row r="4734" spans="1:25" s="88" customFormat="1" x14ac:dyDescent="0.25">
      <c r="A4734" s="258"/>
      <c r="B4734" s="258"/>
      <c r="C4734" s="261"/>
      <c r="D4734" s="258"/>
      <c r="E4734" s="679"/>
      <c r="F4734" s="258"/>
      <c r="G4734" s="312"/>
      <c r="H4734" s="565"/>
      <c r="I4734" s="566"/>
      <c r="J4734" s="566"/>
      <c r="K4734" s="505"/>
      <c r="L4734" s="505"/>
      <c r="M4734" s="505"/>
      <c r="N4734" s="505"/>
      <c r="O4734" s="505"/>
      <c r="P4734" s="505"/>
      <c r="Q4734" s="505"/>
      <c r="R4734" s="505"/>
      <c r="S4734" s="505"/>
      <c r="T4734" s="505"/>
      <c r="U4734" s="505"/>
      <c r="V4734" s="505"/>
      <c r="W4734" s="505"/>
      <c r="X4734" s="505"/>
      <c r="Y4734" s="505"/>
    </row>
    <row r="4735" spans="1:25" s="88" customFormat="1" x14ac:dyDescent="0.25">
      <c r="A4735" s="481"/>
      <c r="B4735" s="288"/>
      <c r="C4735" s="294" t="s">
        <v>3587</v>
      </c>
      <c r="D4735" s="294"/>
      <c r="E4735" s="879"/>
      <c r="F4735" s="283"/>
      <c r="G4735" s="329" t="s">
        <v>4205</v>
      </c>
      <c r="H4735" s="572"/>
      <c r="I4735" s="573"/>
      <c r="J4735" s="747"/>
      <c r="K4735" s="505"/>
      <c r="L4735" s="505"/>
      <c r="M4735" s="505"/>
      <c r="N4735" s="505"/>
      <c r="O4735" s="505"/>
      <c r="P4735" s="505"/>
      <c r="Q4735" s="505"/>
      <c r="R4735" s="505"/>
      <c r="S4735" s="505"/>
      <c r="T4735" s="505"/>
      <c r="U4735" s="505"/>
      <c r="V4735" s="505"/>
      <c r="W4735" s="505"/>
      <c r="X4735" s="505"/>
      <c r="Y4735" s="505"/>
    </row>
    <row r="4736" spans="1:25" ht="12" customHeight="1" x14ac:dyDescent="0.25">
      <c r="A4736" s="481"/>
      <c r="C4736" s="267" t="s">
        <v>4077</v>
      </c>
      <c r="D4736" s="259"/>
      <c r="G4736" s="483" t="s">
        <v>4078</v>
      </c>
    </row>
    <row r="4737" spans="1:25" s="88" customFormat="1" ht="12.75" customHeight="1" x14ac:dyDescent="0.25">
      <c r="A4737" s="258"/>
      <c r="B4737" s="288"/>
      <c r="C4737" s="294"/>
      <c r="D4737" s="348" t="s">
        <v>3874</v>
      </c>
      <c r="E4737" s="871"/>
      <c r="F4737" s="345"/>
      <c r="G4737" s="346" t="s">
        <v>4239</v>
      </c>
      <c r="H4737" s="572"/>
      <c r="I4737" s="573"/>
      <c r="J4737" s="573"/>
      <c r="K4737" s="505"/>
      <c r="L4737" s="505"/>
      <c r="M4737" s="505"/>
      <c r="N4737" s="505"/>
      <c r="O4737" s="505"/>
      <c r="P4737" s="505"/>
      <c r="Q4737" s="505"/>
      <c r="R4737" s="505"/>
      <c r="S4737" s="505"/>
      <c r="T4737" s="505"/>
      <c r="U4737" s="505"/>
      <c r="V4737" s="505"/>
      <c r="W4737" s="505"/>
      <c r="X4737" s="505"/>
      <c r="Y4737" s="505"/>
    </row>
    <row r="4738" spans="1:25" hidden="1" x14ac:dyDescent="0.25">
      <c r="A4738" s="481"/>
      <c r="F4738" s="499">
        <v>411</v>
      </c>
      <c r="G4738" s="492" t="s">
        <v>4131</v>
      </c>
      <c r="J4738" s="556">
        <f>SUM(H4738:I4738)</f>
        <v>0</v>
      </c>
    </row>
    <row r="4739" spans="1:25" hidden="1" x14ac:dyDescent="0.25">
      <c r="F4739" s="499">
        <v>412</v>
      </c>
      <c r="G4739" s="488" t="s">
        <v>3766</v>
      </c>
      <c r="J4739" s="556">
        <f t="shared" ref="J4739:J4797" si="159">SUM(H4739:I4739)</f>
        <v>0</v>
      </c>
    </row>
    <row r="4740" spans="1:25" hidden="1" x14ac:dyDescent="0.25">
      <c r="F4740" s="499">
        <v>413</v>
      </c>
      <c r="G4740" s="492" t="s">
        <v>4132</v>
      </c>
      <c r="J4740" s="556">
        <f t="shared" si="159"/>
        <v>0</v>
      </c>
    </row>
    <row r="4741" spans="1:25" ht="14.25" hidden="1" customHeight="1" x14ac:dyDescent="0.25">
      <c r="F4741" s="499">
        <v>414</v>
      </c>
      <c r="G4741" s="492" t="s">
        <v>3769</v>
      </c>
      <c r="J4741" s="556">
        <f t="shared" si="159"/>
        <v>0</v>
      </c>
    </row>
    <row r="4742" spans="1:25" hidden="1" x14ac:dyDescent="0.25">
      <c r="F4742" s="499">
        <v>415</v>
      </c>
      <c r="G4742" s="492" t="s">
        <v>4141</v>
      </c>
      <c r="J4742" s="556">
        <f t="shared" si="159"/>
        <v>0</v>
      </c>
    </row>
    <row r="4743" spans="1:25" hidden="1" x14ac:dyDescent="0.25">
      <c r="F4743" s="499">
        <v>416</v>
      </c>
      <c r="G4743" s="492" t="s">
        <v>4142</v>
      </c>
      <c r="J4743" s="556">
        <f t="shared" si="159"/>
        <v>0</v>
      </c>
    </row>
    <row r="4744" spans="1:25" hidden="1" x14ac:dyDescent="0.25">
      <c r="F4744" s="499">
        <v>417</v>
      </c>
      <c r="G4744" s="492" t="s">
        <v>4143</v>
      </c>
      <c r="J4744" s="556">
        <f t="shared" si="159"/>
        <v>0</v>
      </c>
    </row>
    <row r="4745" spans="1:25" hidden="1" x14ac:dyDescent="0.25">
      <c r="F4745" s="499">
        <v>418</v>
      </c>
      <c r="G4745" s="492" t="s">
        <v>3775</v>
      </c>
      <c r="J4745" s="556">
        <f t="shared" si="159"/>
        <v>0</v>
      </c>
    </row>
    <row r="4746" spans="1:25" hidden="1" x14ac:dyDescent="0.25">
      <c r="F4746" s="499">
        <v>421</v>
      </c>
      <c r="G4746" s="492" t="s">
        <v>3779</v>
      </c>
      <c r="J4746" s="556">
        <f t="shared" si="159"/>
        <v>0</v>
      </c>
    </row>
    <row r="4747" spans="1:25" hidden="1" x14ac:dyDescent="0.25">
      <c r="F4747" s="499">
        <v>422</v>
      </c>
      <c r="G4747" s="492" t="s">
        <v>3780</v>
      </c>
      <c r="J4747" s="556">
        <f t="shared" si="159"/>
        <v>0</v>
      </c>
    </row>
    <row r="4748" spans="1:25" hidden="1" x14ac:dyDescent="0.25">
      <c r="F4748" s="499">
        <v>423</v>
      </c>
      <c r="G4748" s="492" t="s">
        <v>3781</v>
      </c>
      <c r="J4748" s="556">
        <f t="shared" si="159"/>
        <v>0</v>
      </c>
    </row>
    <row r="4749" spans="1:25" hidden="1" x14ac:dyDescent="0.25">
      <c r="F4749" s="499">
        <v>424</v>
      </c>
      <c r="G4749" s="492" t="s">
        <v>3783</v>
      </c>
      <c r="J4749" s="556">
        <f t="shared" si="159"/>
        <v>0</v>
      </c>
    </row>
    <row r="4750" spans="1:25" hidden="1" x14ac:dyDescent="0.25">
      <c r="F4750" s="499">
        <v>425</v>
      </c>
      <c r="G4750" s="492" t="s">
        <v>4144</v>
      </c>
      <c r="J4750" s="556">
        <f t="shared" si="159"/>
        <v>0</v>
      </c>
    </row>
    <row r="4751" spans="1:25" hidden="1" x14ac:dyDescent="0.25">
      <c r="F4751" s="499">
        <v>426</v>
      </c>
      <c r="G4751" s="492" t="s">
        <v>3787</v>
      </c>
      <c r="J4751" s="556">
        <f t="shared" si="159"/>
        <v>0</v>
      </c>
    </row>
    <row r="4752" spans="1:25" hidden="1" x14ac:dyDescent="0.25">
      <c r="F4752" s="499">
        <v>431</v>
      </c>
      <c r="G4752" s="492" t="s">
        <v>4145</v>
      </c>
      <c r="J4752" s="556">
        <f t="shared" si="159"/>
        <v>0</v>
      </c>
    </row>
    <row r="4753" spans="5:10" hidden="1" x14ac:dyDescent="0.25">
      <c r="F4753" s="499">
        <v>432</v>
      </c>
      <c r="G4753" s="492" t="s">
        <v>4146</v>
      </c>
      <c r="J4753" s="556">
        <f t="shared" si="159"/>
        <v>0</v>
      </c>
    </row>
    <row r="4754" spans="5:10" hidden="1" x14ac:dyDescent="0.25">
      <c r="F4754" s="499">
        <v>433</v>
      </c>
      <c r="G4754" s="492" t="s">
        <v>4147</v>
      </c>
      <c r="J4754" s="556">
        <f t="shared" si="159"/>
        <v>0</v>
      </c>
    </row>
    <row r="4755" spans="5:10" hidden="1" x14ac:dyDescent="0.25">
      <c r="F4755" s="499">
        <v>434</v>
      </c>
      <c r="G4755" s="492" t="s">
        <v>4148</v>
      </c>
      <c r="J4755" s="556">
        <f t="shared" si="159"/>
        <v>0</v>
      </c>
    </row>
    <row r="4756" spans="5:10" hidden="1" x14ac:dyDescent="0.25">
      <c r="F4756" s="499">
        <v>435</v>
      </c>
      <c r="G4756" s="492" t="s">
        <v>3794</v>
      </c>
      <c r="J4756" s="556">
        <f t="shared" si="159"/>
        <v>0</v>
      </c>
    </row>
    <row r="4757" spans="5:10" hidden="1" x14ac:dyDescent="0.25">
      <c r="F4757" s="499">
        <v>441</v>
      </c>
      <c r="G4757" s="492" t="s">
        <v>4149</v>
      </c>
      <c r="J4757" s="556">
        <f t="shared" si="159"/>
        <v>0</v>
      </c>
    </row>
    <row r="4758" spans="5:10" hidden="1" x14ac:dyDescent="0.25">
      <c r="F4758" s="499">
        <v>442</v>
      </c>
      <c r="G4758" s="492" t="s">
        <v>4150</v>
      </c>
      <c r="J4758" s="556">
        <f t="shared" si="159"/>
        <v>0</v>
      </c>
    </row>
    <row r="4759" spans="5:10" hidden="1" x14ac:dyDescent="0.25">
      <c r="F4759" s="499">
        <v>443</v>
      </c>
      <c r="G4759" s="492" t="s">
        <v>3799</v>
      </c>
      <c r="J4759" s="556">
        <f t="shared" si="159"/>
        <v>0</v>
      </c>
    </row>
    <row r="4760" spans="5:10" hidden="1" x14ac:dyDescent="0.25">
      <c r="F4760" s="499">
        <v>444</v>
      </c>
      <c r="G4760" s="492" t="s">
        <v>3800</v>
      </c>
      <c r="J4760" s="556">
        <f t="shared" si="159"/>
        <v>0</v>
      </c>
    </row>
    <row r="4761" spans="5:10" ht="30" hidden="1" x14ac:dyDescent="0.25">
      <c r="F4761" s="499">
        <v>4511</v>
      </c>
      <c r="G4761" s="771" t="s">
        <v>1690</v>
      </c>
      <c r="J4761" s="556">
        <f t="shared" si="159"/>
        <v>0</v>
      </c>
    </row>
    <row r="4762" spans="5:10" ht="30" hidden="1" x14ac:dyDescent="0.25">
      <c r="F4762" s="499">
        <v>4512</v>
      </c>
      <c r="G4762" s="771" t="s">
        <v>1699</v>
      </c>
      <c r="J4762" s="556">
        <f t="shared" si="159"/>
        <v>0</v>
      </c>
    </row>
    <row r="4763" spans="5:10" hidden="1" x14ac:dyDescent="0.25">
      <c r="F4763" s="499">
        <v>452</v>
      </c>
      <c r="G4763" s="492" t="s">
        <v>4151</v>
      </c>
      <c r="J4763" s="556">
        <f t="shared" si="159"/>
        <v>0</v>
      </c>
    </row>
    <row r="4764" spans="5:10" hidden="1" x14ac:dyDescent="0.25">
      <c r="F4764" s="499">
        <v>453</v>
      </c>
      <c r="G4764" s="492" t="s">
        <v>4152</v>
      </c>
      <c r="J4764" s="556">
        <f t="shared" si="159"/>
        <v>0</v>
      </c>
    </row>
    <row r="4765" spans="5:10" hidden="1" x14ac:dyDescent="0.25">
      <c r="F4765" s="499">
        <v>454</v>
      </c>
      <c r="G4765" s="492" t="s">
        <v>3805</v>
      </c>
      <c r="J4765" s="556">
        <f t="shared" si="159"/>
        <v>0</v>
      </c>
    </row>
    <row r="4766" spans="5:10" hidden="1" x14ac:dyDescent="0.25">
      <c r="F4766" s="499">
        <v>461</v>
      </c>
      <c r="G4766" s="492" t="s">
        <v>4133</v>
      </c>
      <c r="J4766" s="556">
        <f t="shared" si="159"/>
        <v>0</v>
      </c>
    </row>
    <row r="4767" spans="5:10" hidden="1" x14ac:dyDescent="0.25">
      <c r="F4767" s="499">
        <v>462</v>
      </c>
      <c r="G4767" s="492" t="s">
        <v>3808</v>
      </c>
      <c r="J4767" s="556">
        <f t="shared" si="159"/>
        <v>0</v>
      </c>
    </row>
    <row r="4768" spans="5:10" x14ac:dyDescent="0.25">
      <c r="E4768" s="679">
        <v>133</v>
      </c>
      <c r="F4768" s="499">
        <v>4631</v>
      </c>
      <c r="G4768" s="492" t="s">
        <v>3809</v>
      </c>
      <c r="H4768" s="555">
        <v>2513000</v>
      </c>
      <c r="J4768" s="556">
        <f t="shared" si="159"/>
        <v>2513000</v>
      </c>
    </row>
    <row r="4769" spans="5:10" hidden="1" x14ac:dyDescent="0.25">
      <c r="F4769" s="499">
        <v>4632</v>
      </c>
      <c r="G4769" s="492" t="s">
        <v>3810</v>
      </c>
      <c r="J4769" s="556">
        <f t="shared" si="159"/>
        <v>0</v>
      </c>
    </row>
    <row r="4770" spans="5:10" hidden="1" x14ac:dyDescent="0.25">
      <c r="F4770" s="499">
        <v>464</v>
      </c>
      <c r="G4770" s="492" t="s">
        <v>3811</v>
      </c>
      <c r="J4770" s="556">
        <f t="shared" si="159"/>
        <v>0</v>
      </c>
    </row>
    <row r="4771" spans="5:10" hidden="1" x14ac:dyDescent="0.25">
      <c r="F4771" s="499">
        <v>465</v>
      </c>
      <c r="G4771" s="492" t="s">
        <v>4134</v>
      </c>
      <c r="J4771" s="556">
        <f t="shared" si="159"/>
        <v>0</v>
      </c>
    </row>
    <row r="4772" spans="5:10" ht="30.75" thickBot="1" x14ac:dyDescent="0.3">
      <c r="E4772" s="679">
        <v>134</v>
      </c>
      <c r="F4772" s="499">
        <v>472</v>
      </c>
      <c r="G4772" s="492" t="s">
        <v>5075</v>
      </c>
      <c r="H4772" s="555">
        <v>2500000</v>
      </c>
      <c r="J4772" s="556">
        <f t="shared" si="159"/>
        <v>2500000</v>
      </c>
    </row>
    <row r="4773" spans="5:10" ht="15.75" hidden="1" thickBot="1" x14ac:dyDescent="0.3">
      <c r="F4773" s="499">
        <v>481</v>
      </c>
      <c r="G4773" s="492" t="s">
        <v>4153</v>
      </c>
      <c r="J4773" s="556">
        <f t="shared" si="159"/>
        <v>0</v>
      </c>
    </row>
    <row r="4774" spans="5:10" ht="15.75" hidden="1" thickBot="1" x14ac:dyDescent="0.3">
      <c r="F4774" s="499">
        <v>482</v>
      </c>
      <c r="G4774" s="492" t="s">
        <v>4154</v>
      </c>
      <c r="J4774" s="556">
        <f t="shared" si="159"/>
        <v>0</v>
      </c>
    </row>
    <row r="4775" spans="5:10" ht="15.75" hidden="1" thickBot="1" x14ac:dyDescent="0.3">
      <c r="F4775" s="499">
        <v>483</v>
      </c>
      <c r="G4775" s="496" t="s">
        <v>4155</v>
      </c>
      <c r="J4775" s="556">
        <f t="shared" si="159"/>
        <v>0</v>
      </c>
    </row>
    <row r="4776" spans="5:10" ht="30.75" hidden="1" thickBot="1" x14ac:dyDescent="0.3">
      <c r="F4776" s="499">
        <v>484</v>
      </c>
      <c r="G4776" s="492" t="s">
        <v>4156</v>
      </c>
      <c r="J4776" s="556">
        <f t="shared" si="159"/>
        <v>0</v>
      </c>
    </row>
    <row r="4777" spans="5:10" ht="30.75" hidden="1" thickBot="1" x14ac:dyDescent="0.3">
      <c r="F4777" s="499">
        <v>485</v>
      </c>
      <c r="G4777" s="492" t="s">
        <v>4157</v>
      </c>
      <c r="J4777" s="556">
        <f t="shared" si="159"/>
        <v>0</v>
      </c>
    </row>
    <row r="4778" spans="5:10" ht="30.75" hidden="1" thickBot="1" x14ac:dyDescent="0.3">
      <c r="F4778" s="499">
        <v>489</v>
      </c>
      <c r="G4778" s="492" t="s">
        <v>3823</v>
      </c>
      <c r="J4778" s="556">
        <f t="shared" si="159"/>
        <v>0</v>
      </c>
    </row>
    <row r="4779" spans="5:10" ht="15.75" hidden="1" thickBot="1" x14ac:dyDescent="0.3">
      <c r="F4779" s="499">
        <v>494</v>
      </c>
      <c r="G4779" s="492" t="s">
        <v>4135</v>
      </c>
      <c r="J4779" s="556">
        <f t="shared" si="159"/>
        <v>0</v>
      </c>
    </row>
    <row r="4780" spans="5:10" ht="30.75" hidden="1" thickBot="1" x14ac:dyDescent="0.3">
      <c r="F4780" s="499">
        <v>495</v>
      </c>
      <c r="G4780" s="492" t="s">
        <v>4136</v>
      </c>
      <c r="J4780" s="556">
        <f t="shared" si="159"/>
        <v>0</v>
      </c>
    </row>
    <row r="4781" spans="5:10" ht="30.75" hidden="1" thickBot="1" x14ac:dyDescent="0.3">
      <c r="F4781" s="499">
        <v>496</v>
      </c>
      <c r="G4781" s="492" t="s">
        <v>4137</v>
      </c>
      <c r="J4781" s="556">
        <f t="shared" si="159"/>
        <v>0</v>
      </c>
    </row>
    <row r="4782" spans="5:10" ht="30.75" hidden="1" thickBot="1" x14ac:dyDescent="0.3">
      <c r="F4782" s="499">
        <v>499</v>
      </c>
      <c r="G4782" s="492" t="s">
        <v>4138</v>
      </c>
      <c r="J4782" s="556">
        <f t="shared" si="159"/>
        <v>0</v>
      </c>
    </row>
    <row r="4783" spans="5:10" ht="15.75" hidden="1" thickBot="1" x14ac:dyDescent="0.3">
      <c r="F4783" s="499">
        <v>511</v>
      </c>
      <c r="G4783" s="496" t="s">
        <v>4158</v>
      </c>
      <c r="J4783" s="556">
        <f t="shared" si="159"/>
        <v>0</v>
      </c>
    </row>
    <row r="4784" spans="5:10" ht="15.75" hidden="1" thickBot="1" x14ac:dyDescent="0.3">
      <c r="F4784" s="499">
        <v>512</v>
      </c>
      <c r="G4784" s="496" t="s">
        <v>4159</v>
      </c>
      <c r="J4784" s="556">
        <f t="shared" si="159"/>
        <v>0</v>
      </c>
    </row>
    <row r="4785" spans="5:10" ht="15.75" hidden="1" thickBot="1" x14ac:dyDescent="0.3">
      <c r="F4785" s="499">
        <v>513</v>
      </c>
      <c r="G4785" s="496" t="s">
        <v>4160</v>
      </c>
      <c r="J4785" s="556">
        <f t="shared" si="159"/>
        <v>0</v>
      </c>
    </row>
    <row r="4786" spans="5:10" ht="15.75" hidden="1" thickBot="1" x14ac:dyDescent="0.3">
      <c r="F4786" s="499">
        <v>514</v>
      </c>
      <c r="G4786" s="492" t="s">
        <v>4161</v>
      </c>
      <c r="J4786" s="556">
        <f t="shared" si="159"/>
        <v>0</v>
      </c>
    </row>
    <row r="4787" spans="5:10" ht="15.75" hidden="1" thickBot="1" x14ac:dyDescent="0.3">
      <c r="F4787" s="499">
        <v>515</v>
      </c>
      <c r="G4787" s="492" t="s">
        <v>3834</v>
      </c>
      <c r="J4787" s="556">
        <f t="shared" si="159"/>
        <v>0</v>
      </c>
    </row>
    <row r="4788" spans="5:10" ht="15.75" hidden="1" thickBot="1" x14ac:dyDescent="0.3">
      <c r="F4788" s="499">
        <v>521</v>
      </c>
      <c r="G4788" s="492" t="s">
        <v>4162</v>
      </c>
      <c r="J4788" s="556">
        <f t="shared" si="159"/>
        <v>0</v>
      </c>
    </row>
    <row r="4789" spans="5:10" ht="15.75" hidden="1" thickBot="1" x14ac:dyDescent="0.3">
      <c r="F4789" s="499">
        <v>522</v>
      </c>
      <c r="G4789" s="492" t="s">
        <v>4163</v>
      </c>
      <c r="J4789" s="556">
        <f t="shared" si="159"/>
        <v>0</v>
      </c>
    </row>
    <row r="4790" spans="5:10" ht="15.75" hidden="1" thickBot="1" x14ac:dyDescent="0.3">
      <c r="F4790" s="499">
        <v>523</v>
      </c>
      <c r="G4790" s="492" t="s">
        <v>3839</v>
      </c>
      <c r="J4790" s="556">
        <f t="shared" si="159"/>
        <v>0</v>
      </c>
    </row>
    <row r="4791" spans="5:10" ht="15.75" hidden="1" thickBot="1" x14ac:dyDescent="0.3">
      <c r="F4791" s="499">
        <v>531</v>
      </c>
      <c r="G4791" s="488" t="s">
        <v>4139</v>
      </c>
      <c r="J4791" s="556">
        <f t="shared" si="159"/>
        <v>0</v>
      </c>
    </row>
    <row r="4792" spans="5:10" ht="15.75" hidden="1" thickBot="1" x14ac:dyDescent="0.3">
      <c r="F4792" s="499">
        <v>541</v>
      </c>
      <c r="G4792" s="492" t="s">
        <v>4164</v>
      </c>
      <c r="J4792" s="556">
        <f t="shared" si="159"/>
        <v>0</v>
      </c>
    </row>
    <row r="4793" spans="5:10" ht="15.75" hidden="1" thickBot="1" x14ac:dyDescent="0.3">
      <c r="F4793" s="499">
        <v>542</v>
      </c>
      <c r="G4793" s="492" t="s">
        <v>4165</v>
      </c>
      <c r="J4793" s="556">
        <f t="shared" si="159"/>
        <v>0</v>
      </c>
    </row>
    <row r="4794" spans="5:10" ht="15.75" hidden="1" thickBot="1" x14ac:dyDescent="0.3">
      <c r="F4794" s="499">
        <v>543</v>
      </c>
      <c r="G4794" s="492" t="s">
        <v>3844</v>
      </c>
      <c r="J4794" s="556">
        <f t="shared" si="159"/>
        <v>0</v>
      </c>
    </row>
    <row r="4795" spans="5:10" ht="30.75" hidden="1" thickBot="1" x14ac:dyDescent="0.3">
      <c r="F4795" s="499">
        <v>551</v>
      </c>
      <c r="G4795" s="492" t="s">
        <v>4140</v>
      </c>
      <c r="J4795" s="556">
        <f t="shared" si="159"/>
        <v>0</v>
      </c>
    </row>
    <row r="4796" spans="5:10" ht="15.75" hidden="1" thickBot="1" x14ac:dyDescent="0.3">
      <c r="F4796" s="500">
        <v>611</v>
      </c>
      <c r="G4796" s="498" t="s">
        <v>3850</v>
      </c>
      <c r="J4796" s="556">
        <f t="shared" si="159"/>
        <v>0</v>
      </c>
    </row>
    <row r="4797" spans="5:10" ht="15.75" hidden="1" thickBot="1" x14ac:dyDescent="0.3">
      <c r="F4797" s="500">
        <v>620</v>
      </c>
      <c r="G4797" s="498" t="s">
        <v>88</v>
      </c>
      <c r="J4797" s="556">
        <f t="shared" si="159"/>
        <v>0</v>
      </c>
    </row>
    <row r="4798" spans="5:10" x14ac:dyDescent="0.25">
      <c r="E4798" s="489"/>
      <c r="F4798" s="500"/>
      <c r="G4798" s="342" t="s">
        <v>4301</v>
      </c>
      <c r="H4798" s="557"/>
      <c r="I4798" s="583"/>
      <c r="J4798" s="558"/>
    </row>
    <row r="4799" spans="5:10" ht="15.75" thickBot="1" x14ac:dyDescent="0.3">
      <c r="E4799" s="693"/>
      <c r="F4799" s="597" t="s">
        <v>234</v>
      </c>
      <c r="G4799" s="598" t="s">
        <v>235</v>
      </c>
      <c r="H4799" s="559">
        <f>SUM(H4738:H4797)</f>
        <v>5013000</v>
      </c>
      <c r="I4799" s="560"/>
      <c r="J4799" s="560">
        <f>SUM(H4799:I4799)</f>
        <v>5013000</v>
      </c>
    </row>
    <row r="4800" spans="5:10" ht="15.75" hidden="1" thickBot="1" x14ac:dyDescent="0.3">
      <c r="F4800" s="597" t="s">
        <v>236</v>
      </c>
      <c r="G4800" s="598" t="s">
        <v>237</v>
      </c>
      <c r="J4800" s="560">
        <f t="shared" ref="J4800:J4814" si="160">SUM(H4800:I4800)</f>
        <v>0</v>
      </c>
    </row>
    <row r="4801" spans="5:10" ht="15.75" hidden="1" thickBot="1" x14ac:dyDescent="0.3">
      <c r="F4801" s="597" t="s">
        <v>238</v>
      </c>
      <c r="G4801" s="598" t="s">
        <v>239</v>
      </c>
      <c r="J4801" s="560">
        <f t="shared" si="160"/>
        <v>0</v>
      </c>
    </row>
    <row r="4802" spans="5:10" ht="15.75" hidden="1" thickBot="1" x14ac:dyDescent="0.3">
      <c r="F4802" s="597" t="s">
        <v>240</v>
      </c>
      <c r="G4802" s="598" t="s">
        <v>241</v>
      </c>
      <c r="J4802" s="560">
        <f t="shared" si="160"/>
        <v>0</v>
      </c>
    </row>
    <row r="4803" spans="5:10" ht="15.75" hidden="1" thickBot="1" x14ac:dyDescent="0.3">
      <c r="F4803" s="597" t="s">
        <v>242</v>
      </c>
      <c r="G4803" s="598" t="s">
        <v>243</v>
      </c>
      <c r="J4803" s="560">
        <f t="shared" si="160"/>
        <v>0</v>
      </c>
    </row>
    <row r="4804" spans="5:10" ht="15.75" hidden="1" thickBot="1" x14ac:dyDescent="0.3">
      <c r="F4804" s="597" t="s">
        <v>244</v>
      </c>
      <c r="G4804" s="598" t="s">
        <v>245</v>
      </c>
      <c r="J4804" s="560">
        <f t="shared" si="160"/>
        <v>0</v>
      </c>
    </row>
    <row r="4805" spans="5:10" ht="15.75" hidden="1" thickBot="1" x14ac:dyDescent="0.3">
      <c r="F4805" s="597" t="s">
        <v>246</v>
      </c>
      <c r="G4805" s="598" t="s">
        <v>4996</v>
      </c>
      <c r="J4805" s="560">
        <f t="shared" si="160"/>
        <v>0</v>
      </c>
    </row>
    <row r="4806" spans="5:10" ht="15.75" hidden="1" thickBot="1" x14ac:dyDescent="0.3">
      <c r="F4806" s="597" t="s">
        <v>247</v>
      </c>
      <c r="G4806" s="598" t="s">
        <v>4995</v>
      </c>
      <c r="J4806" s="560">
        <f t="shared" si="160"/>
        <v>0</v>
      </c>
    </row>
    <row r="4807" spans="5:10" ht="15.75" hidden="1" thickBot="1" x14ac:dyDescent="0.3">
      <c r="F4807" s="597" t="s">
        <v>248</v>
      </c>
      <c r="G4807" s="598" t="s">
        <v>57</v>
      </c>
      <c r="J4807" s="560">
        <f t="shared" si="160"/>
        <v>0</v>
      </c>
    </row>
    <row r="4808" spans="5:10" ht="15.75" hidden="1" thickBot="1" x14ac:dyDescent="0.3">
      <c r="F4808" s="597" t="s">
        <v>249</v>
      </c>
      <c r="G4808" s="598" t="s">
        <v>250</v>
      </c>
      <c r="J4808" s="560">
        <f t="shared" si="160"/>
        <v>0</v>
      </c>
    </row>
    <row r="4809" spans="5:10" ht="15.75" hidden="1" thickBot="1" x14ac:dyDescent="0.3">
      <c r="F4809" s="597" t="s">
        <v>251</v>
      </c>
      <c r="G4809" s="598" t="s">
        <v>252</v>
      </c>
      <c r="J4809" s="560">
        <f t="shared" si="160"/>
        <v>0</v>
      </c>
    </row>
    <row r="4810" spans="5:10" ht="30.75" hidden="1" thickBot="1" x14ac:dyDescent="0.3">
      <c r="F4810" s="597" t="s">
        <v>253</v>
      </c>
      <c r="G4810" s="598" t="s">
        <v>254</v>
      </c>
      <c r="J4810" s="560">
        <f t="shared" si="160"/>
        <v>0</v>
      </c>
    </row>
    <row r="4811" spans="5:10" ht="15.75" hidden="1" thickBot="1" x14ac:dyDescent="0.3">
      <c r="F4811" s="597" t="s">
        <v>255</v>
      </c>
      <c r="G4811" s="598" t="s">
        <v>256</v>
      </c>
      <c r="J4811" s="560">
        <f t="shared" si="160"/>
        <v>0</v>
      </c>
    </row>
    <row r="4812" spans="5:10" ht="30.75" hidden="1" thickBot="1" x14ac:dyDescent="0.3">
      <c r="F4812" s="597" t="s">
        <v>257</v>
      </c>
      <c r="G4812" s="598" t="s">
        <v>258</v>
      </c>
      <c r="J4812" s="560">
        <f t="shared" si="160"/>
        <v>0</v>
      </c>
    </row>
    <row r="4813" spans="5:10" ht="15.75" hidden="1" thickBot="1" x14ac:dyDescent="0.3">
      <c r="F4813" s="597" t="s">
        <v>259</v>
      </c>
      <c r="G4813" s="598" t="s">
        <v>260</v>
      </c>
      <c r="J4813" s="560">
        <f t="shared" si="160"/>
        <v>0</v>
      </c>
    </row>
    <row r="4814" spans="5:10" ht="15.75" hidden="1" thickBot="1" x14ac:dyDescent="0.3">
      <c r="F4814" s="597" t="s">
        <v>261</v>
      </c>
      <c r="G4814" s="598" t="s">
        <v>262</v>
      </c>
      <c r="H4814" s="559"/>
      <c r="I4814" s="560"/>
      <c r="J4814" s="560">
        <f t="shared" si="160"/>
        <v>0</v>
      </c>
    </row>
    <row r="4815" spans="5:10" ht="13.5" customHeight="1" thickBot="1" x14ac:dyDescent="0.3">
      <c r="G4815" s="268" t="s">
        <v>4302</v>
      </c>
      <c r="H4815" s="561">
        <f>SUM(H4799:H4814)</f>
        <v>5013000</v>
      </c>
      <c r="I4815" s="562">
        <f>SUM(I4800:I4814)</f>
        <v>0</v>
      </c>
      <c r="J4815" s="562">
        <f>SUM(J4799:J4814)</f>
        <v>5013000</v>
      </c>
    </row>
    <row r="4816" spans="5:10" ht="28.5" collapsed="1" x14ac:dyDescent="0.25">
      <c r="E4816" s="489"/>
      <c r="F4816" s="500"/>
      <c r="G4816" s="270" t="s">
        <v>4208</v>
      </c>
      <c r="H4816" s="563"/>
      <c r="I4816" s="584"/>
      <c r="J4816" s="564"/>
    </row>
    <row r="4817" spans="5:10" ht="15.75" thickBot="1" x14ac:dyDescent="0.3">
      <c r="E4817" s="693"/>
      <c r="F4817" s="597" t="s">
        <v>234</v>
      </c>
      <c r="G4817" s="598" t="s">
        <v>235</v>
      </c>
      <c r="H4817" s="559">
        <f>SUM(H4738:H4797)</f>
        <v>5013000</v>
      </c>
      <c r="I4817" s="560"/>
      <c r="J4817" s="560">
        <f>SUM(H4817:I4817)</f>
        <v>5013000</v>
      </c>
    </row>
    <row r="4818" spans="5:10" ht="15.75" hidden="1" thickBot="1" x14ac:dyDescent="0.3">
      <c r="F4818" s="597" t="s">
        <v>236</v>
      </c>
      <c r="G4818" s="598" t="s">
        <v>237</v>
      </c>
      <c r="J4818" s="560">
        <f t="shared" ref="J4818:J4832" si="161">SUM(H4818:I4818)</f>
        <v>0</v>
      </c>
    </row>
    <row r="4819" spans="5:10" ht="15.75" hidden="1" thickBot="1" x14ac:dyDescent="0.3">
      <c r="F4819" s="597" t="s">
        <v>238</v>
      </c>
      <c r="G4819" s="598" t="s">
        <v>239</v>
      </c>
      <c r="J4819" s="560">
        <f t="shared" si="161"/>
        <v>0</v>
      </c>
    </row>
    <row r="4820" spans="5:10" ht="15.75" hidden="1" thickBot="1" x14ac:dyDescent="0.3">
      <c r="F4820" s="597" t="s">
        <v>240</v>
      </c>
      <c r="G4820" s="598" t="s">
        <v>241</v>
      </c>
      <c r="J4820" s="560">
        <f t="shared" si="161"/>
        <v>0</v>
      </c>
    </row>
    <row r="4821" spans="5:10" ht="15.75" hidden="1" thickBot="1" x14ac:dyDescent="0.3">
      <c r="F4821" s="597" t="s">
        <v>242</v>
      </c>
      <c r="G4821" s="598" t="s">
        <v>243</v>
      </c>
      <c r="J4821" s="560">
        <f t="shared" si="161"/>
        <v>0</v>
      </c>
    </row>
    <row r="4822" spans="5:10" ht="15.75" hidden="1" thickBot="1" x14ac:dyDescent="0.3">
      <c r="F4822" s="597" t="s">
        <v>244</v>
      </c>
      <c r="G4822" s="598" t="s">
        <v>245</v>
      </c>
      <c r="J4822" s="560">
        <f t="shared" si="161"/>
        <v>0</v>
      </c>
    </row>
    <row r="4823" spans="5:10" ht="15.75" hidden="1" thickBot="1" x14ac:dyDescent="0.3">
      <c r="F4823" s="597" t="s">
        <v>246</v>
      </c>
      <c r="G4823" s="598" t="s">
        <v>4996</v>
      </c>
      <c r="J4823" s="560">
        <f t="shared" si="161"/>
        <v>0</v>
      </c>
    </row>
    <row r="4824" spans="5:10" ht="15.75" hidden="1" thickBot="1" x14ac:dyDescent="0.3">
      <c r="F4824" s="597" t="s">
        <v>247</v>
      </c>
      <c r="G4824" s="598" t="s">
        <v>4995</v>
      </c>
      <c r="J4824" s="560">
        <f t="shared" si="161"/>
        <v>0</v>
      </c>
    </row>
    <row r="4825" spans="5:10" ht="15.75" hidden="1" thickBot="1" x14ac:dyDescent="0.3">
      <c r="F4825" s="597" t="s">
        <v>248</v>
      </c>
      <c r="G4825" s="598" t="s">
        <v>57</v>
      </c>
      <c r="J4825" s="560">
        <f t="shared" si="161"/>
        <v>0</v>
      </c>
    </row>
    <row r="4826" spans="5:10" ht="15.75" hidden="1" thickBot="1" x14ac:dyDescent="0.3">
      <c r="F4826" s="597" t="s">
        <v>249</v>
      </c>
      <c r="G4826" s="598" t="s">
        <v>250</v>
      </c>
      <c r="J4826" s="560">
        <f t="shared" si="161"/>
        <v>0</v>
      </c>
    </row>
    <row r="4827" spans="5:10" ht="15.75" hidden="1" thickBot="1" x14ac:dyDescent="0.3">
      <c r="F4827" s="597" t="s">
        <v>251</v>
      </c>
      <c r="G4827" s="598" t="s">
        <v>252</v>
      </c>
      <c r="J4827" s="560">
        <f t="shared" si="161"/>
        <v>0</v>
      </c>
    </row>
    <row r="4828" spans="5:10" ht="30.75" hidden="1" thickBot="1" x14ac:dyDescent="0.3">
      <c r="F4828" s="597" t="s">
        <v>253</v>
      </c>
      <c r="G4828" s="598" t="s">
        <v>254</v>
      </c>
      <c r="J4828" s="560">
        <f t="shared" si="161"/>
        <v>0</v>
      </c>
    </row>
    <row r="4829" spans="5:10" ht="15.75" hidden="1" thickBot="1" x14ac:dyDescent="0.3">
      <c r="F4829" s="597" t="s">
        <v>255</v>
      </c>
      <c r="G4829" s="598" t="s">
        <v>256</v>
      </c>
      <c r="J4829" s="560">
        <f t="shared" si="161"/>
        <v>0</v>
      </c>
    </row>
    <row r="4830" spans="5:10" ht="30.75" hidden="1" thickBot="1" x14ac:dyDescent="0.3">
      <c r="F4830" s="597" t="s">
        <v>257</v>
      </c>
      <c r="G4830" s="598" t="s">
        <v>258</v>
      </c>
      <c r="J4830" s="560">
        <f t="shared" si="161"/>
        <v>0</v>
      </c>
    </row>
    <row r="4831" spans="5:10" ht="15.75" hidden="1" thickBot="1" x14ac:dyDescent="0.3">
      <c r="F4831" s="597" t="s">
        <v>259</v>
      </c>
      <c r="G4831" s="598" t="s">
        <v>260</v>
      </c>
      <c r="J4831" s="560">
        <f t="shared" si="161"/>
        <v>0</v>
      </c>
    </row>
    <row r="4832" spans="5:10" ht="15.75" hidden="1" thickBot="1" x14ac:dyDescent="0.3">
      <c r="F4832" s="597" t="s">
        <v>261</v>
      </c>
      <c r="G4832" s="598" t="s">
        <v>262</v>
      </c>
      <c r="H4832" s="559"/>
      <c r="I4832" s="560"/>
      <c r="J4832" s="560">
        <f t="shared" si="161"/>
        <v>0</v>
      </c>
    </row>
    <row r="4833" spans="3:10" ht="15" customHeight="1" collapsed="1" thickBot="1" x14ac:dyDescent="0.3">
      <c r="G4833" s="268" t="s">
        <v>5032</v>
      </c>
      <c r="H4833" s="561">
        <f>SUM(H4817:H4832)</f>
        <v>5013000</v>
      </c>
      <c r="I4833" s="562">
        <f>SUM(I4818:I4832)</f>
        <v>0</v>
      </c>
      <c r="J4833" s="562">
        <f>SUM(J4817:J4832)</f>
        <v>5013000</v>
      </c>
    </row>
    <row r="4834" spans="3:10" ht="6.75" hidden="1" customHeight="1" x14ac:dyDescent="0.25">
      <c r="G4834" s="312"/>
      <c r="H4834" s="565"/>
      <c r="I4834" s="566"/>
      <c r="J4834" s="566"/>
    </row>
    <row r="4835" spans="3:10" ht="23.25" customHeight="1" x14ac:dyDescent="0.25">
      <c r="C4835" s="267" t="s">
        <v>4079</v>
      </c>
      <c r="D4835" s="259"/>
      <c r="G4835" s="483" t="s">
        <v>4080</v>
      </c>
    </row>
    <row r="4836" spans="3:10" ht="15" customHeight="1" x14ac:dyDescent="0.25">
      <c r="C4836" s="294"/>
      <c r="D4836" s="348" t="s">
        <v>3872</v>
      </c>
      <c r="E4836" s="871"/>
      <c r="F4836" s="345"/>
      <c r="G4836" s="333" t="s">
        <v>100</v>
      </c>
      <c r="H4836" s="572"/>
      <c r="I4836" s="573"/>
      <c r="J4836" s="573"/>
    </row>
    <row r="4837" spans="3:10" ht="15" hidden="1" customHeight="1" x14ac:dyDescent="0.25">
      <c r="F4837" s="499">
        <v>411</v>
      </c>
      <c r="G4837" s="492" t="s">
        <v>4131</v>
      </c>
      <c r="J4837" s="556">
        <f>SUM(H4837:I4837)</f>
        <v>0</v>
      </c>
    </row>
    <row r="4838" spans="3:10" ht="15" hidden="1" customHeight="1" x14ac:dyDescent="0.25">
      <c r="F4838" s="499">
        <v>412</v>
      </c>
      <c r="G4838" s="488" t="s">
        <v>3766</v>
      </c>
      <c r="J4838" s="556">
        <f t="shared" ref="J4838:J4896" si="162">SUM(H4838:I4838)</f>
        <v>0</v>
      </c>
    </row>
    <row r="4839" spans="3:10" ht="15" hidden="1" customHeight="1" x14ac:dyDescent="0.25">
      <c r="F4839" s="499">
        <v>413</v>
      </c>
      <c r="G4839" s="492" t="s">
        <v>4132</v>
      </c>
      <c r="J4839" s="556">
        <f t="shared" si="162"/>
        <v>0</v>
      </c>
    </row>
    <row r="4840" spans="3:10" ht="15" hidden="1" customHeight="1" x14ac:dyDescent="0.25">
      <c r="F4840" s="499">
        <v>414</v>
      </c>
      <c r="G4840" s="492" t="s">
        <v>3769</v>
      </c>
      <c r="J4840" s="556">
        <f t="shared" si="162"/>
        <v>0</v>
      </c>
    </row>
    <row r="4841" spans="3:10" ht="15" hidden="1" customHeight="1" x14ac:dyDescent="0.25">
      <c r="F4841" s="499">
        <v>415</v>
      </c>
      <c r="G4841" s="492" t="s">
        <v>4141</v>
      </c>
      <c r="J4841" s="556">
        <f t="shared" si="162"/>
        <v>0</v>
      </c>
    </row>
    <row r="4842" spans="3:10" ht="15" hidden="1" customHeight="1" x14ac:dyDescent="0.25">
      <c r="F4842" s="499">
        <v>416</v>
      </c>
      <c r="G4842" s="492" t="s">
        <v>4142</v>
      </c>
      <c r="J4842" s="556">
        <f t="shared" si="162"/>
        <v>0</v>
      </c>
    </row>
    <row r="4843" spans="3:10" ht="15" hidden="1" customHeight="1" x14ac:dyDescent="0.25">
      <c r="F4843" s="499">
        <v>417</v>
      </c>
      <c r="G4843" s="492" t="s">
        <v>4143</v>
      </c>
      <c r="J4843" s="556">
        <f t="shared" si="162"/>
        <v>0</v>
      </c>
    </row>
    <row r="4844" spans="3:10" ht="15" hidden="1" customHeight="1" x14ac:dyDescent="0.25">
      <c r="F4844" s="499">
        <v>418</v>
      </c>
      <c r="G4844" s="492" t="s">
        <v>3775</v>
      </c>
      <c r="J4844" s="556">
        <f t="shared" si="162"/>
        <v>0</v>
      </c>
    </row>
    <row r="4845" spans="3:10" ht="15" hidden="1" customHeight="1" x14ac:dyDescent="0.25">
      <c r="F4845" s="499">
        <v>421</v>
      </c>
      <c r="G4845" s="492" t="s">
        <v>3779</v>
      </c>
      <c r="J4845" s="556">
        <f t="shared" si="162"/>
        <v>0</v>
      </c>
    </row>
    <row r="4846" spans="3:10" ht="15" hidden="1" customHeight="1" x14ac:dyDescent="0.25">
      <c r="F4846" s="499">
        <v>422</v>
      </c>
      <c r="G4846" s="492" t="s">
        <v>3780</v>
      </c>
      <c r="J4846" s="556">
        <f t="shared" si="162"/>
        <v>0</v>
      </c>
    </row>
    <row r="4847" spans="3:10" ht="15" hidden="1" customHeight="1" x14ac:dyDescent="0.25">
      <c r="F4847" s="499">
        <v>423</v>
      </c>
      <c r="G4847" s="492" t="s">
        <v>3781</v>
      </c>
      <c r="J4847" s="556">
        <f t="shared" si="162"/>
        <v>0</v>
      </c>
    </row>
    <row r="4848" spans="3:10" ht="15" hidden="1" customHeight="1" x14ac:dyDescent="0.25">
      <c r="F4848" s="499">
        <v>424</v>
      </c>
      <c r="G4848" s="492" t="s">
        <v>3783</v>
      </c>
      <c r="J4848" s="556">
        <f t="shared" si="162"/>
        <v>0</v>
      </c>
    </row>
    <row r="4849" spans="6:10" ht="15" hidden="1" customHeight="1" x14ac:dyDescent="0.25">
      <c r="F4849" s="499">
        <v>425</v>
      </c>
      <c r="G4849" s="492" t="s">
        <v>4144</v>
      </c>
      <c r="J4849" s="556">
        <f t="shared" si="162"/>
        <v>0</v>
      </c>
    </row>
    <row r="4850" spans="6:10" ht="15" hidden="1" customHeight="1" x14ac:dyDescent="0.25">
      <c r="F4850" s="499">
        <v>426</v>
      </c>
      <c r="G4850" s="492" t="s">
        <v>3787</v>
      </c>
      <c r="J4850" s="556">
        <f t="shared" si="162"/>
        <v>0</v>
      </c>
    </row>
    <row r="4851" spans="6:10" ht="15" hidden="1" customHeight="1" x14ac:dyDescent="0.25">
      <c r="F4851" s="499">
        <v>431</v>
      </c>
      <c r="G4851" s="492" t="s">
        <v>4145</v>
      </c>
      <c r="J4851" s="556">
        <f t="shared" si="162"/>
        <v>0</v>
      </c>
    </row>
    <row r="4852" spans="6:10" ht="15" hidden="1" customHeight="1" x14ac:dyDescent="0.25">
      <c r="F4852" s="499">
        <v>432</v>
      </c>
      <c r="G4852" s="492" t="s">
        <v>4146</v>
      </c>
      <c r="J4852" s="556">
        <f t="shared" si="162"/>
        <v>0</v>
      </c>
    </row>
    <row r="4853" spans="6:10" ht="15" hidden="1" customHeight="1" x14ac:dyDescent="0.25">
      <c r="F4853" s="499">
        <v>433</v>
      </c>
      <c r="G4853" s="492" t="s">
        <v>4147</v>
      </c>
      <c r="J4853" s="556">
        <f t="shared" si="162"/>
        <v>0</v>
      </c>
    </row>
    <row r="4854" spans="6:10" ht="15" hidden="1" customHeight="1" x14ac:dyDescent="0.25">
      <c r="F4854" s="499">
        <v>434</v>
      </c>
      <c r="G4854" s="492" t="s">
        <v>4148</v>
      </c>
      <c r="J4854" s="556">
        <f t="shared" si="162"/>
        <v>0</v>
      </c>
    </row>
    <row r="4855" spans="6:10" ht="15" hidden="1" customHeight="1" x14ac:dyDescent="0.25">
      <c r="F4855" s="499">
        <v>435</v>
      </c>
      <c r="G4855" s="492" t="s">
        <v>3794</v>
      </c>
      <c r="J4855" s="556">
        <f t="shared" si="162"/>
        <v>0</v>
      </c>
    </row>
    <row r="4856" spans="6:10" ht="15" hidden="1" customHeight="1" x14ac:dyDescent="0.25">
      <c r="F4856" s="499">
        <v>441</v>
      </c>
      <c r="G4856" s="492" t="s">
        <v>4149</v>
      </c>
      <c r="J4856" s="556">
        <f t="shared" si="162"/>
        <v>0</v>
      </c>
    </row>
    <row r="4857" spans="6:10" ht="15" hidden="1" customHeight="1" x14ac:dyDescent="0.25">
      <c r="F4857" s="499">
        <v>442</v>
      </c>
      <c r="G4857" s="492" t="s">
        <v>4150</v>
      </c>
      <c r="J4857" s="556">
        <f t="shared" si="162"/>
        <v>0</v>
      </c>
    </row>
    <row r="4858" spans="6:10" ht="15" hidden="1" customHeight="1" x14ac:dyDescent="0.25">
      <c r="F4858" s="499">
        <v>443</v>
      </c>
      <c r="G4858" s="492" t="s">
        <v>3799</v>
      </c>
      <c r="J4858" s="556">
        <f t="shared" si="162"/>
        <v>0</v>
      </c>
    </row>
    <row r="4859" spans="6:10" ht="15" hidden="1" customHeight="1" x14ac:dyDescent="0.25">
      <c r="F4859" s="499">
        <v>444</v>
      </c>
      <c r="G4859" s="492" t="s">
        <v>3800</v>
      </c>
      <c r="J4859" s="556">
        <f t="shared" si="162"/>
        <v>0</v>
      </c>
    </row>
    <row r="4860" spans="6:10" ht="15" hidden="1" customHeight="1" x14ac:dyDescent="0.25">
      <c r="F4860" s="499">
        <v>4511</v>
      </c>
      <c r="G4860" s="771" t="s">
        <v>1690</v>
      </c>
      <c r="J4860" s="556">
        <f t="shared" si="162"/>
        <v>0</v>
      </c>
    </row>
    <row r="4861" spans="6:10" ht="15" hidden="1" customHeight="1" x14ac:dyDescent="0.25">
      <c r="F4861" s="499">
        <v>4512</v>
      </c>
      <c r="G4861" s="771" t="s">
        <v>1699</v>
      </c>
      <c r="J4861" s="556">
        <f t="shared" si="162"/>
        <v>0</v>
      </c>
    </row>
    <row r="4862" spans="6:10" ht="15" hidden="1" customHeight="1" x14ac:dyDescent="0.25">
      <c r="F4862" s="499">
        <v>452</v>
      </c>
      <c r="G4862" s="492" t="s">
        <v>4151</v>
      </c>
      <c r="J4862" s="556">
        <f t="shared" si="162"/>
        <v>0</v>
      </c>
    </row>
    <row r="4863" spans="6:10" ht="15" hidden="1" customHeight="1" x14ac:dyDescent="0.25">
      <c r="F4863" s="499">
        <v>453</v>
      </c>
      <c r="G4863" s="492" t="s">
        <v>4152</v>
      </c>
      <c r="J4863" s="556">
        <f t="shared" si="162"/>
        <v>0</v>
      </c>
    </row>
    <row r="4864" spans="6:10" ht="15" hidden="1" customHeight="1" x14ac:dyDescent="0.25">
      <c r="F4864" s="499">
        <v>454</v>
      </c>
      <c r="G4864" s="492" t="s">
        <v>3805</v>
      </c>
      <c r="J4864" s="556">
        <f t="shared" si="162"/>
        <v>0</v>
      </c>
    </row>
    <row r="4865" spans="5:10" ht="15" hidden="1" customHeight="1" x14ac:dyDescent="0.25">
      <c r="F4865" s="499">
        <v>461</v>
      </c>
      <c r="G4865" s="492" t="s">
        <v>4133</v>
      </c>
      <c r="J4865" s="556">
        <f t="shared" si="162"/>
        <v>0</v>
      </c>
    </row>
    <row r="4866" spans="5:10" ht="15" hidden="1" customHeight="1" x14ac:dyDescent="0.25">
      <c r="F4866" s="499">
        <v>462</v>
      </c>
      <c r="G4866" s="492" t="s">
        <v>3808</v>
      </c>
      <c r="J4866" s="556">
        <f t="shared" si="162"/>
        <v>0</v>
      </c>
    </row>
    <row r="4867" spans="5:10" ht="15" hidden="1" customHeight="1" x14ac:dyDescent="0.25">
      <c r="F4867" s="499">
        <v>4631</v>
      </c>
      <c r="G4867" s="492" t="s">
        <v>3809</v>
      </c>
      <c r="J4867" s="556">
        <f t="shared" si="162"/>
        <v>0</v>
      </c>
    </row>
    <row r="4868" spans="5:10" ht="15" hidden="1" customHeight="1" x14ac:dyDescent="0.25">
      <c r="F4868" s="499">
        <v>4632</v>
      </c>
      <c r="G4868" s="492" t="s">
        <v>3810</v>
      </c>
      <c r="J4868" s="556">
        <f t="shared" si="162"/>
        <v>0</v>
      </c>
    </row>
    <row r="4869" spans="5:10" ht="15" hidden="1" customHeight="1" x14ac:dyDescent="0.25">
      <c r="F4869" s="499">
        <v>464</v>
      </c>
      <c r="G4869" s="492" t="s">
        <v>3811</v>
      </c>
      <c r="J4869" s="556">
        <f t="shared" si="162"/>
        <v>0</v>
      </c>
    </row>
    <row r="4870" spans="5:10" ht="15" hidden="1" customHeight="1" x14ac:dyDescent="0.25">
      <c r="F4870" s="499">
        <v>465</v>
      </c>
      <c r="G4870" s="492" t="s">
        <v>4134</v>
      </c>
      <c r="J4870" s="556">
        <f t="shared" si="162"/>
        <v>0</v>
      </c>
    </row>
    <row r="4871" spans="5:10" ht="15" customHeight="1" thickBot="1" x14ac:dyDescent="0.3">
      <c r="E4871" s="679">
        <v>135</v>
      </c>
      <c r="F4871" s="499">
        <v>472</v>
      </c>
      <c r="G4871" s="492" t="s">
        <v>3815</v>
      </c>
      <c r="H4871" s="555">
        <v>300000</v>
      </c>
      <c r="J4871" s="556">
        <f t="shared" si="162"/>
        <v>300000</v>
      </c>
    </row>
    <row r="4872" spans="5:10" ht="15" hidden="1" customHeight="1" x14ac:dyDescent="0.25">
      <c r="F4872" s="499">
        <v>481</v>
      </c>
      <c r="G4872" s="492" t="s">
        <v>4153</v>
      </c>
      <c r="J4872" s="556">
        <f t="shared" si="162"/>
        <v>0</v>
      </c>
    </row>
    <row r="4873" spans="5:10" ht="15" hidden="1" customHeight="1" x14ac:dyDescent="0.25">
      <c r="F4873" s="499">
        <v>482</v>
      </c>
      <c r="G4873" s="492" t="s">
        <v>4154</v>
      </c>
      <c r="J4873" s="556">
        <f t="shared" si="162"/>
        <v>0</v>
      </c>
    </row>
    <row r="4874" spans="5:10" ht="15" hidden="1" customHeight="1" x14ac:dyDescent="0.25">
      <c r="F4874" s="499">
        <v>483</v>
      </c>
      <c r="G4874" s="496" t="s">
        <v>4155</v>
      </c>
      <c r="J4874" s="556">
        <f t="shared" si="162"/>
        <v>0</v>
      </c>
    </row>
    <row r="4875" spans="5:10" ht="15" hidden="1" customHeight="1" x14ac:dyDescent="0.25">
      <c r="F4875" s="499">
        <v>484</v>
      </c>
      <c r="G4875" s="492" t="s">
        <v>4156</v>
      </c>
      <c r="J4875" s="556">
        <f t="shared" si="162"/>
        <v>0</v>
      </c>
    </row>
    <row r="4876" spans="5:10" ht="15" hidden="1" customHeight="1" x14ac:dyDescent="0.25">
      <c r="F4876" s="499">
        <v>485</v>
      </c>
      <c r="G4876" s="492" t="s">
        <v>4157</v>
      </c>
      <c r="J4876" s="556">
        <f t="shared" si="162"/>
        <v>0</v>
      </c>
    </row>
    <row r="4877" spans="5:10" ht="15" hidden="1" customHeight="1" x14ac:dyDescent="0.25">
      <c r="F4877" s="499">
        <v>489</v>
      </c>
      <c r="G4877" s="492" t="s">
        <v>3823</v>
      </c>
      <c r="J4877" s="556">
        <f t="shared" si="162"/>
        <v>0</v>
      </c>
    </row>
    <row r="4878" spans="5:10" ht="15" hidden="1" customHeight="1" x14ac:dyDescent="0.25">
      <c r="F4878" s="499">
        <v>494</v>
      </c>
      <c r="G4878" s="492" t="s">
        <v>4135</v>
      </c>
      <c r="J4878" s="556">
        <f t="shared" si="162"/>
        <v>0</v>
      </c>
    </row>
    <row r="4879" spans="5:10" ht="15" hidden="1" customHeight="1" x14ac:dyDescent="0.25">
      <c r="F4879" s="499">
        <v>495</v>
      </c>
      <c r="G4879" s="492" t="s">
        <v>4136</v>
      </c>
      <c r="J4879" s="556">
        <f t="shared" si="162"/>
        <v>0</v>
      </c>
    </row>
    <row r="4880" spans="5:10" ht="15" hidden="1" customHeight="1" x14ac:dyDescent="0.25">
      <c r="F4880" s="499">
        <v>496</v>
      </c>
      <c r="G4880" s="492" t="s">
        <v>4137</v>
      </c>
      <c r="J4880" s="556">
        <f t="shared" si="162"/>
        <v>0</v>
      </c>
    </row>
    <row r="4881" spans="6:10" ht="15" hidden="1" customHeight="1" x14ac:dyDescent="0.25">
      <c r="F4881" s="499">
        <v>499</v>
      </c>
      <c r="G4881" s="492" t="s">
        <v>4138</v>
      </c>
      <c r="J4881" s="556">
        <f t="shared" si="162"/>
        <v>0</v>
      </c>
    </row>
    <row r="4882" spans="6:10" ht="16.5" hidden="1" customHeight="1" x14ac:dyDescent="0.25">
      <c r="F4882" s="499">
        <v>511</v>
      </c>
      <c r="G4882" s="496" t="s">
        <v>4158</v>
      </c>
      <c r="J4882" s="556">
        <f t="shared" si="162"/>
        <v>0</v>
      </c>
    </row>
    <row r="4883" spans="6:10" ht="15" hidden="1" customHeight="1" x14ac:dyDescent="0.25">
      <c r="F4883" s="499">
        <v>512</v>
      </c>
      <c r="G4883" s="496" t="s">
        <v>4159</v>
      </c>
      <c r="J4883" s="556">
        <f t="shared" si="162"/>
        <v>0</v>
      </c>
    </row>
    <row r="4884" spans="6:10" ht="15" hidden="1" customHeight="1" x14ac:dyDescent="0.25">
      <c r="F4884" s="499">
        <v>513</v>
      </c>
      <c r="G4884" s="496" t="s">
        <v>4160</v>
      </c>
      <c r="J4884" s="556">
        <f t="shared" si="162"/>
        <v>0</v>
      </c>
    </row>
    <row r="4885" spans="6:10" ht="15" hidden="1" customHeight="1" x14ac:dyDescent="0.25">
      <c r="F4885" s="499">
        <v>514</v>
      </c>
      <c r="G4885" s="492" t="s">
        <v>4161</v>
      </c>
      <c r="J4885" s="556">
        <f t="shared" si="162"/>
        <v>0</v>
      </c>
    </row>
    <row r="4886" spans="6:10" ht="15" hidden="1" customHeight="1" x14ac:dyDescent="0.25">
      <c r="F4886" s="499">
        <v>515</v>
      </c>
      <c r="G4886" s="492" t="s">
        <v>3834</v>
      </c>
      <c r="J4886" s="556">
        <f t="shared" si="162"/>
        <v>0</v>
      </c>
    </row>
    <row r="4887" spans="6:10" ht="15" hidden="1" customHeight="1" x14ac:dyDescent="0.25">
      <c r="F4887" s="499">
        <v>521</v>
      </c>
      <c r="G4887" s="492" t="s">
        <v>4162</v>
      </c>
      <c r="J4887" s="556">
        <f t="shared" si="162"/>
        <v>0</v>
      </c>
    </row>
    <row r="4888" spans="6:10" ht="15" hidden="1" customHeight="1" x14ac:dyDescent="0.25">
      <c r="F4888" s="499">
        <v>522</v>
      </c>
      <c r="G4888" s="492" t="s">
        <v>4163</v>
      </c>
      <c r="J4888" s="556">
        <f t="shared" si="162"/>
        <v>0</v>
      </c>
    </row>
    <row r="4889" spans="6:10" ht="15" hidden="1" customHeight="1" x14ac:dyDescent="0.25">
      <c r="F4889" s="499">
        <v>523</v>
      </c>
      <c r="G4889" s="492" t="s">
        <v>3839</v>
      </c>
      <c r="J4889" s="556">
        <f t="shared" si="162"/>
        <v>0</v>
      </c>
    </row>
    <row r="4890" spans="6:10" ht="15" hidden="1" customHeight="1" x14ac:dyDescent="0.25">
      <c r="F4890" s="499">
        <v>531</v>
      </c>
      <c r="G4890" s="488" t="s">
        <v>4139</v>
      </c>
      <c r="J4890" s="556">
        <f t="shared" si="162"/>
        <v>0</v>
      </c>
    </row>
    <row r="4891" spans="6:10" ht="15" hidden="1" customHeight="1" x14ac:dyDescent="0.25">
      <c r="F4891" s="499">
        <v>541</v>
      </c>
      <c r="G4891" s="492" t="s">
        <v>4164</v>
      </c>
      <c r="J4891" s="556">
        <f t="shared" si="162"/>
        <v>0</v>
      </c>
    </row>
    <row r="4892" spans="6:10" ht="15" hidden="1" customHeight="1" x14ac:dyDescent="0.25">
      <c r="F4892" s="499">
        <v>542</v>
      </c>
      <c r="G4892" s="492" t="s">
        <v>4165</v>
      </c>
      <c r="J4892" s="556">
        <f t="shared" si="162"/>
        <v>0</v>
      </c>
    </row>
    <row r="4893" spans="6:10" ht="15" hidden="1" customHeight="1" x14ac:dyDescent="0.25">
      <c r="F4893" s="499">
        <v>543</v>
      </c>
      <c r="G4893" s="492" t="s">
        <v>3844</v>
      </c>
      <c r="J4893" s="556">
        <f t="shared" si="162"/>
        <v>0</v>
      </c>
    </row>
    <row r="4894" spans="6:10" ht="15" hidden="1" customHeight="1" x14ac:dyDescent="0.25">
      <c r="F4894" s="499">
        <v>551</v>
      </c>
      <c r="G4894" s="492" t="s">
        <v>4140</v>
      </c>
      <c r="J4894" s="556">
        <f t="shared" si="162"/>
        <v>0</v>
      </c>
    </row>
    <row r="4895" spans="6:10" ht="15" hidden="1" customHeight="1" x14ac:dyDescent="0.25">
      <c r="F4895" s="500">
        <v>611</v>
      </c>
      <c r="G4895" s="498" t="s">
        <v>3850</v>
      </c>
      <c r="J4895" s="556">
        <f t="shared" si="162"/>
        <v>0</v>
      </c>
    </row>
    <row r="4896" spans="6:10" ht="15" hidden="1" customHeight="1" x14ac:dyDescent="0.25">
      <c r="F4896" s="500">
        <v>620</v>
      </c>
      <c r="G4896" s="498" t="s">
        <v>88</v>
      </c>
      <c r="J4896" s="556">
        <f t="shared" si="162"/>
        <v>0</v>
      </c>
    </row>
    <row r="4897" spans="5:10" ht="15" customHeight="1" x14ac:dyDescent="0.25">
      <c r="E4897" s="489"/>
      <c r="F4897" s="500"/>
      <c r="G4897" s="342" t="s">
        <v>5307</v>
      </c>
      <c r="H4897" s="557"/>
      <c r="I4897" s="583"/>
      <c r="J4897" s="558"/>
    </row>
    <row r="4898" spans="5:10" ht="15" customHeight="1" thickBot="1" x14ac:dyDescent="0.3">
      <c r="E4898" s="693"/>
      <c r="F4898" s="597" t="s">
        <v>234</v>
      </c>
      <c r="G4898" s="598" t="s">
        <v>235</v>
      </c>
      <c r="H4898" s="559">
        <f>SUM(H4837:H4896)</f>
        <v>300000</v>
      </c>
      <c r="I4898" s="560"/>
      <c r="J4898" s="560">
        <f>SUM(H4898:I4898)</f>
        <v>300000</v>
      </c>
    </row>
    <row r="4899" spans="5:10" ht="15" hidden="1" customHeight="1" x14ac:dyDescent="0.25">
      <c r="F4899" s="597" t="s">
        <v>236</v>
      </c>
      <c r="G4899" s="598" t="s">
        <v>237</v>
      </c>
      <c r="J4899" s="560">
        <f t="shared" ref="J4899:J4913" si="163">SUM(H4899:I4899)</f>
        <v>0</v>
      </c>
    </row>
    <row r="4900" spans="5:10" ht="15" hidden="1" customHeight="1" x14ac:dyDescent="0.25">
      <c r="F4900" s="597" t="s">
        <v>238</v>
      </c>
      <c r="G4900" s="598" t="s">
        <v>239</v>
      </c>
      <c r="J4900" s="560">
        <f t="shared" si="163"/>
        <v>0</v>
      </c>
    </row>
    <row r="4901" spans="5:10" ht="15" hidden="1" customHeight="1" x14ac:dyDescent="0.25">
      <c r="F4901" s="597" t="s">
        <v>240</v>
      </c>
      <c r="G4901" s="598" t="s">
        <v>241</v>
      </c>
      <c r="J4901" s="560">
        <f t="shared" si="163"/>
        <v>0</v>
      </c>
    </row>
    <row r="4902" spans="5:10" ht="15" hidden="1" customHeight="1" x14ac:dyDescent="0.25">
      <c r="F4902" s="597" t="s">
        <v>242</v>
      </c>
      <c r="G4902" s="598" t="s">
        <v>243</v>
      </c>
      <c r="J4902" s="560">
        <f t="shared" si="163"/>
        <v>0</v>
      </c>
    </row>
    <row r="4903" spans="5:10" ht="15" hidden="1" customHeight="1" x14ac:dyDescent="0.25">
      <c r="F4903" s="597" t="s">
        <v>244</v>
      </c>
      <c r="G4903" s="598" t="s">
        <v>245</v>
      </c>
      <c r="J4903" s="560">
        <f t="shared" si="163"/>
        <v>0</v>
      </c>
    </row>
    <row r="4904" spans="5:10" ht="15" hidden="1" customHeight="1" x14ac:dyDescent="0.25">
      <c r="F4904" s="597" t="s">
        <v>246</v>
      </c>
      <c r="G4904" s="598" t="s">
        <v>4996</v>
      </c>
      <c r="J4904" s="560">
        <f t="shared" si="163"/>
        <v>0</v>
      </c>
    </row>
    <row r="4905" spans="5:10" ht="15" hidden="1" customHeight="1" x14ac:dyDescent="0.25">
      <c r="F4905" s="597" t="s">
        <v>247</v>
      </c>
      <c r="G4905" s="598" t="s">
        <v>4995</v>
      </c>
      <c r="J4905" s="560">
        <f t="shared" si="163"/>
        <v>0</v>
      </c>
    </row>
    <row r="4906" spans="5:10" ht="15" hidden="1" customHeight="1" x14ac:dyDescent="0.25">
      <c r="F4906" s="597" t="s">
        <v>248</v>
      </c>
      <c r="G4906" s="598" t="s">
        <v>57</v>
      </c>
      <c r="J4906" s="560">
        <f t="shared" si="163"/>
        <v>0</v>
      </c>
    </row>
    <row r="4907" spans="5:10" ht="15" hidden="1" customHeight="1" x14ac:dyDescent="0.25">
      <c r="F4907" s="597" t="s">
        <v>249</v>
      </c>
      <c r="G4907" s="598" t="s">
        <v>250</v>
      </c>
      <c r="J4907" s="560">
        <f t="shared" si="163"/>
        <v>0</v>
      </c>
    </row>
    <row r="4908" spans="5:10" ht="15" hidden="1" customHeight="1" x14ac:dyDescent="0.25">
      <c r="F4908" s="597" t="s">
        <v>251</v>
      </c>
      <c r="G4908" s="598" t="s">
        <v>252</v>
      </c>
      <c r="J4908" s="560">
        <f t="shared" si="163"/>
        <v>0</v>
      </c>
    </row>
    <row r="4909" spans="5:10" ht="15" hidden="1" customHeight="1" x14ac:dyDescent="0.25">
      <c r="F4909" s="597" t="s">
        <v>253</v>
      </c>
      <c r="G4909" s="598" t="s">
        <v>254</v>
      </c>
      <c r="J4909" s="560">
        <f t="shared" si="163"/>
        <v>0</v>
      </c>
    </row>
    <row r="4910" spans="5:10" ht="15" hidden="1" customHeight="1" x14ac:dyDescent="0.25">
      <c r="F4910" s="597" t="s">
        <v>255</v>
      </c>
      <c r="G4910" s="598" t="s">
        <v>256</v>
      </c>
      <c r="J4910" s="560">
        <f t="shared" si="163"/>
        <v>0</v>
      </c>
    </row>
    <row r="4911" spans="5:10" ht="15" hidden="1" customHeight="1" x14ac:dyDescent="0.25">
      <c r="F4911" s="597" t="s">
        <v>257</v>
      </c>
      <c r="G4911" s="598" t="s">
        <v>258</v>
      </c>
      <c r="J4911" s="560">
        <f t="shared" si="163"/>
        <v>0</v>
      </c>
    </row>
    <row r="4912" spans="5:10" ht="15" hidden="1" customHeight="1" x14ac:dyDescent="0.25">
      <c r="F4912" s="597" t="s">
        <v>259</v>
      </c>
      <c r="G4912" s="598" t="s">
        <v>260</v>
      </c>
      <c r="J4912" s="560">
        <f t="shared" si="163"/>
        <v>0</v>
      </c>
    </row>
    <row r="4913" spans="5:10" ht="15" hidden="1" customHeight="1" x14ac:dyDescent="0.25">
      <c r="F4913" s="597" t="s">
        <v>261</v>
      </c>
      <c r="G4913" s="598" t="s">
        <v>262</v>
      </c>
      <c r="H4913" s="559"/>
      <c r="I4913" s="560"/>
      <c r="J4913" s="560">
        <f t="shared" si="163"/>
        <v>0</v>
      </c>
    </row>
    <row r="4914" spans="5:10" ht="15" customHeight="1" thickBot="1" x14ac:dyDescent="0.3">
      <c r="G4914" s="268" t="s">
        <v>5308</v>
      </c>
      <c r="H4914" s="561">
        <f>SUM(H4898:H4913)</f>
        <v>300000</v>
      </c>
      <c r="I4914" s="562">
        <f>SUM(I4899:I4913)</f>
        <v>0</v>
      </c>
      <c r="J4914" s="562">
        <f>SUM(J4898:J4913)</f>
        <v>300000</v>
      </c>
    </row>
    <row r="4915" spans="5:10" ht="15" customHeight="1" x14ac:dyDescent="0.25">
      <c r="E4915" s="489"/>
      <c r="F4915" s="500"/>
      <c r="G4915" s="270" t="s">
        <v>4274</v>
      </c>
      <c r="H4915" s="563"/>
      <c r="I4915" s="584"/>
      <c r="J4915" s="564"/>
    </row>
    <row r="4916" spans="5:10" ht="15" customHeight="1" thickBot="1" x14ac:dyDescent="0.3">
      <c r="E4916" s="693"/>
      <c r="F4916" s="597" t="s">
        <v>234</v>
      </c>
      <c r="G4916" s="598" t="s">
        <v>235</v>
      </c>
      <c r="H4916" s="559">
        <f>SUM(H4837:H4896)</f>
        <v>300000</v>
      </c>
      <c r="I4916" s="560"/>
      <c r="J4916" s="560">
        <f>SUM(H4916:I4916)</f>
        <v>300000</v>
      </c>
    </row>
    <row r="4917" spans="5:10" ht="15" hidden="1" customHeight="1" x14ac:dyDescent="0.25">
      <c r="F4917" s="597" t="s">
        <v>236</v>
      </c>
      <c r="G4917" s="598" t="s">
        <v>237</v>
      </c>
      <c r="J4917" s="560">
        <f t="shared" ref="J4917:J4931" si="164">SUM(H4917:I4917)</f>
        <v>0</v>
      </c>
    </row>
    <row r="4918" spans="5:10" ht="15" hidden="1" customHeight="1" x14ac:dyDescent="0.25">
      <c r="F4918" s="597" t="s">
        <v>238</v>
      </c>
      <c r="G4918" s="598" t="s">
        <v>239</v>
      </c>
      <c r="J4918" s="560">
        <f t="shared" si="164"/>
        <v>0</v>
      </c>
    </row>
    <row r="4919" spans="5:10" ht="15" hidden="1" customHeight="1" x14ac:dyDescent="0.25">
      <c r="F4919" s="597" t="s">
        <v>240</v>
      </c>
      <c r="G4919" s="598" t="s">
        <v>241</v>
      </c>
      <c r="J4919" s="560">
        <f t="shared" si="164"/>
        <v>0</v>
      </c>
    </row>
    <row r="4920" spans="5:10" ht="15" hidden="1" customHeight="1" x14ac:dyDescent="0.25">
      <c r="F4920" s="597" t="s">
        <v>242</v>
      </c>
      <c r="G4920" s="598" t="s">
        <v>243</v>
      </c>
      <c r="J4920" s="560">
        <f t="shared" si="164"/>
        <v>0</v>
      </c>
    </row>
    <row r="4921" spans="5:10" ht="15" hidden="1" customHeight="1" x14ac:dyDescent="0.25">
      <c r="F4921" s="597" t="s">
        <v>244</v>
      </c>
      <c r="G4921" s="598" t="s">
        <v>245</v>
      </c>
      <c r="J4921" s="560">
        <f t="shared" si="164"/>
        <v>0</v>
      </c>
    </row>
    <row r="4922" spans="5:10" ht="15" hidden="1" customHeight="1" x14ac:dyDescent="0.25">
      <c r="F4922" s="597" t="s">
        <v>246</v>
      </c>
      <c r="G4922" s="598" t="s">
        <v>4996</v>
      </c>
      <c r="J4922" s="560">
        <f t="shared" si="164"/>
        <v>0</v>
      </c>
    </row>
    <row r="4923" spans="5:10" ht="15" hidden="1" customHeight="1" x14ac:dyDescent="0.25">
      <c r="F4923" s="597" t="s">
        <v>247</v>
      </c>
      <c r="G4923" s="598" t="s">
        <v>4995</v>
      </c>
      <c r="J4923" s="560">
        <f t="shared" si="164"/>
        <v>0</v>
      </c>
    </row>
    <row r="4924" spans="5:10" ht="15" hidden="1" customHeight="1" x14ac:dyDescent="0.25">
      <c r="F4924" s="597" t="s">
        <v>248</v>
      </c>
      <c r="G4924" s="598" t="s">
        <v>57</v>
      </c>
      <c r="J4924" s="560">
        <f t="shared" si="164"/>
        <v>0</v>
      </c>
    </row>
    <row r="4925" spans="5:10" ht="15" hidden="1" customHeight="1" x14ac:dyDescent="0.25">
      <c r="F4925" s="597" t="s">
        <v>249</v>
      </c>
      <c r="G4925" s="598" t="s">
        <v>250</v>
      </c>
      <c r="J4925" s="560">
        <f t="shared" si="164"/>
        <v>0</v>
      </c>
    </row>
    <row r="4926" spans="5:10" ht="15" hidden="1" customHeight="1" x14ac:dyDescent="0.25">
      <c r="F4926" s="597" t="s">
        <v>251</v>
      </c>
      <c r="G4926" s="598" t="s">
        <v>252</v>
      </c>
      <c r="J4926" s="560">
        <f t="shared" si="164"/>
        <v>0</v>
      </c>
    </row>
    <row r="4927" spans="5:10" ht="15" hidden="1" customHeight="1" x14ac:dyDescent="0.25">
      <c r="F4927" s="597" t="s">
        <v>253</v>
      </c>
      <c r="G4927" s="598" t="s">
        <v>254</v>
      </c>
      <c r="J4927" s="560">
        <f t="shared" si="164"/>
        <v>0</v>
      </c>
    </row>
    <row r="4928" spans="5:10" ht="15" hidden="1" customHeight="1" x14ac:dyDescent="0.25">
      <c r="F4928" s="597" t="s">
        <v>255</v>
      </c>
      <c r="G4928" s="598" t="s">
        <v>256</v>
      </c>
      <c r="J4928" s="560">
        <f t="shared" si="164"/>
        <v>0</v>
      </c>
    </row>
    <row r="4929" spans="6:10" ht="15" hidden="1" customHeight="1" x14ac:dyDescent="0.25">
      <c r="F4929" s="597" t="s">
        <v>257</v>
      </c>
      <c r="G4929" s="598" t="s">
        <v>258</v>
      </c>
      <c r="J4929" s="560">
        <f t="shared" si="164"/>
        <v>0</v>
      </c>
    </row>
    <row r="4930" spans="6:10" ht="15" hidden="1" customHeight="1" x14ac:dyDescent="0.25">
      <c r="F4930" s="597" t="s">
        <v>259</v>
      </c>
      <c r="G4930" s="598" t="s">
        <v>260</v>
      </c>
      <c r="J4930" s="560">
        <f t="shared" si="164"/>
        <v>0</v>
      </c>
    </row>
    <row r="4931" spans="6:10" ht="15" hidden="1" customHeight="1" x14ac:dyDescent="0.25">
      <c r="F4931" s="597" t="s">
        <v>261</v>
      </c>
      <c r="G4931" s="598" t="s">
        <v>262</v>
      </c>
      <c r="H4931" s="559"/>
      <c r="I4931" s="560"/>
      <c r="J4931" s="560">
        <f t="shared" si="164"/>
        <v>0</v>
      </c>
    </row>
    <row r="4932" spans="6:10" ht="15" customHeight="1" thickBot="1" x14ac:dyDescent="0.3">
      <c r="G4932" s="268" t="s">
        <v>5031</v>
      </c>
      <c r="H4932" s="561">
        <f>SUM(H4916:H4931)</f>
        <v>300000</v>
      </c>
      <c r="I4932" s="562">
        <f>SUM(I4917:I4931)</f>
        <v>0</v>
      </c>
      <c r="J4932" s="562">
        <f>SUM(J4916:J4931)</f>
        <v>300000</v>
      </c>
    </row>
    <row r="4933" spans="6:10" ht="1.5" customHeight="1" x14ac:dyDescent="0.25">
      <c r="G4933" s="312"/>
      <c r="H4933" s="565"/>
      <c r="I4933" s="566"/>
      <c r="J4933" s="566"/>
    </row>
    <row r="4934" spans="6:10" ht="15" hidden="1" customHeight="1" x14ac:dyDescent="0.25">
      <c r="G4934" s="312"/>
      <c r="H4934" s="565"/>
      <c r="I4934" s="566"/>
      <c r="J4934" s="566"/>
    </row>
    <row r="4935" spans="6:10" ht="15" hidden="1" customHeight="1" x14ac:dyDescent="0.25">
      <c r="G4935" s="312"/>
      <c r="H4935" s="565"/>
      <c r="I4935" s="566"/>
      <c r="J4935" s="566"/>
    </row>
    <row r="4936" spans="6:10" ht="15" hidden="1" customHeight="1" x14ac:dyDescent="0.25">
      <c r="G4936" s="312"/>
      <c r="H4936" s="565"/>
      <c r="I4936" s="566"/>
      <c r="J4936" s="566"/>
    </row>
    <row r="4937" spans="6:10" ht="15" hidden="1" customHeight="1" x14ac:dyDescent="0.25">
      <c r="G4937" s="312"/>
      <c r="H4937" s="565"/>
      <c r="I4937" s="566"/>
      <c r="J4937" s="566"/>
    </row>
    <row r="4938" spans="6:10" ht="15" hidden="1" customHeight="1" x14ac:dyDescent="0.25">
      <c r="G4938" s="312"/>
      <c r="H4938" s="565"/>
      <c r="I4938" s="566"/>
      <c r="J4938" s="566"/>
    </row>
    <row r="4939" spans="6:10" ht="15" hidden="1" customHeight="1" x14ac:dyDescent="0.25">
      <c r="G4939" s="312"/>
      <c r="H4939" s="565"/>
      <c r="I4939" s="566"/>
      <c r="J4939" s="566"/>
    </row>
    <row r="4940" spans="6:10" ht="15" hidden="1" customHeight="1" x14ac:dyDescent="0.25">
      <c r="G4940" s="312"/>
      <c r="H4940" s="565"/>
      <c r="I4940" s="566"/>
      <c r="J4940" s="566"/>
    </row>
    <row r="4941" spans="6:10" ht="15" hidden="1" customHeight="1" x14ac:dyDescent="0.25">
      <c r="G4941" s="312"/>
      <c r="H4941" s="565"/>
      <c r="I4941" s="566"/>
      <c r="J4941" s="566"/>
    </row>
    <row r="4942" spans="6:10" ht="15" hidden="1" customHeight="1" x14ac:dyDescent="0.25">
      <c r="G4942" s="312"/>
      <c r="H4942" s="565"/>
      <c r="I4942" s="566"/>
      <c r="J4942" s="566"/>
    </row>
    <row r="4943" spans="6:10" ht="15" hidden="1" customHeight="1" x14ac:dyDescent="0.25">
      <c r="G4943" s="312"/>
      <c r="H4943" s="565"/>
      <c r="I4943" s="566"/>
      <c r="J4943" s="566"/>
    </row>
    <row r="4944" spans="6:10" ht="15" hidden="1" customHeight="1" x14ac:dyDescent="0.25">
      <c r="G4944" s="312"/>
      <c r="H4944" s="565"/>
      <c r="I4944" s="566"/>
      <c r="J4944" s="566"/>
    </row>
    <row r="4945" spans="1:25" s="88" customFormat="1" hidden="1" x14ac:dyDescent="0.25">
      <c r="A4945" s="258"/>
      <c r="B4945" s="288"/>
      <c r="C4945" s="294"/>
      <c r="E4945" s="877"/>
      <c r="G4945" s="301"/>
      <c r="H4945" s="572"/>
      <c r="I4945" s="573"/>
      <c r="J4945" s="573"/>
      <c r="K4945" s="505"/>
      <c r="L4945" s="505"/>
      <c r="M4945" s="505"/>
      <c r="N4945" s="505"/>
      <c r="O4945" s="505"/>
      <c r="P4945" s="505"/>
      <c r="Q4945" s="505"/>
      <c r="R4945" s="505"/>
      <c r="S4945" s="505"/>
      <c r="T4945" s="505"/>
      <c r="U4945" s="505"/>
      <c r="V4945" s="505"/>
      <c r="W4945" s="505"/>
      <c r="X4945" s="505"/>
      <c r="Y4945" s="505"/>
    </row>
    <row r="4946" spans="1:25" ht="27" customHeight="1" x14ac:dyDescent="0.25">
      <c r="A4946" s="481"/>
      <c r="C4946" s="267" t="s">
        <v>4081</v>
      </c>
      <c r="D4946" s="259"/>
      <c r="G4946" s="483" t="s">
        <v>4080</v>
      </c>
    </row>
    <row r="4947" spans="1:25" s="88" customFormat="1" ht="12" customHeight="1" x14ac:dyDescent="0.25">
      <c r="A4947" s="258"/>
      <c r="B4947" s="288"/>
      <c r="C4947" s="334"/>
      <c r="D4947" s="350" t="s">
        <v>3862</v>
      </c>
      <c r="E4947" s="880"/>
      <c r="F4947" s="349"/>
      <c r="G4947" s="333" t="s">
        <v>95</v>
      </c>
      <c r="H4947" s="588"/>
      <c r="I4947" s="571"/>
      <c r="J4947" s="589"/>
      <c r="K4947" s="505"/>
      <c r="L4947" s="505"/>
      <c r="M4947" s="505"/>
      <c r="N4947" s="505"/>
      <c r="O4947" s="505"/>
      <c r="P4947" s="505"/>
      <c r="Q4947" s="505"/>
      <c r="R4947" s="505"/>
      <c r="S4947" s="505"/>
      <c r="T4947" s="505"/>
      <c r="U4947" s="505"/>
      <c r="V4947" s="505"/>
      <c r="W4947" s="505"/>
      <c r="X4947" s="505"/>
      <c r="Y4947" s="505"/>
    </row>
    <row r="4948" spans="1:25" hidden="1" x14ac:dyDescent="0.25">
      <c r="A4948" s="481"/>
      <c r="F4948" s="499">
        <v>411</v>
      </c>
      <c r="G4948" s="492" t="s">
        <v>4131</v>
      </c>
      <c r="J4948" s="556">
        <f>SUM(H4948:I4948)</f>
        <v>0</v>
      </c>
    </row>
    <row r="4949" spans="1:25" hidden="1" x14ac:dyDescent="0.25">
      <c r="F4949" s="499">
        <v>412</v>
      </c>
      <c r="G4949" s="488" t="s">
        <v>3766</v>
      </c>
      <c r="J4949" s="556">
        <f t="shared" ref="J4949:J5007" si="165">SUM(H4949:I4949)</f>
        <v>0</v>
      </c>
    </row>
    <row r="4950" spans="1:25" hidden="1" x14ac:dyDescent="0.25">
      <c r="F4950" s="499">
        <v>413</v>
      </c>
      <c r="G4950" s="492" t="s">
        <v>4132</v>
      </c>
      <c r="J4950" s="556">
        <f t="shared" si="165"/>
        <v>0</v>
      </c>
    </row>
    <row r="4951" spans="1:25" hidden="1" x14ac:dyDescent="0.25">
      <c r="F4951" s="499">
        <v>414</v>
      </c>
      <c r="G4951" s="492" t="s">
        <v>3769</v>
      </c>
      <c r="J4951" s="556">
        <f t="shared" si="165"/>
        <v>0</v>
      </c>
    </row>
    <row r="4952" spans="1:25" hidden="1" x14ac:dyDescent="0.25">
      <c r="F4952" s="499">
        <v>415</v>
      </c>
      <c r="G4952" s="492" t="s">
        <v>4141</v>
      </c>
      <c r="J4952" s="556">
        <f t="shared" si="165"/>
        <v>0</v>
      </c>
    </row>
    <row r="4953" spans="1:25" hidden="1" x14ac:dyDescent="0.25">
      <c r="F4953" s="499">
        <v>416</v>
      </c>
      <c r="G4953" s="492" t="s">
        <v>4142</v>
      </c>
      <c r="J4953" s="556">
        <f t="shared" si="165"/>
        <v>0</v>
      </c>
    </row>
    <row r="4954" spans="1:25" hidden="1" x14ac:dyDescent="0.25">
      <c r="F4954" s="499">
        <v>417</v>
      </c>
      <c r="G4954" s="492" t="s">
        <v>4143</v>
      </c>
      <c r="J4954" s="556">
        <f t="shared" si="165"/>
        <v>0</v>
      </c>
    </row>
    <row r="4955" spans="1:25" hidden="1" x14ac:dyDescent="0.25">
      <c r="F4955" s="499">
        <v>418</v>
      </c>
      <c r="G4955" s="492" t="s">
        <v>3775</v>
      </c>
      <c r="J4955" s="556">
        <f t="shared" si="165"/>
        <v>0</v>
      </c>
    </row>
    <row r="4956" spans="1:25" hidden="1" x14ac:dyDescent="0.25">
      <c r="F4956" s="499">
        <v>421</v>
      </c>
      <c r="G4956" s="492" t="s">
        <v>3779</v>
      </c>
      <c r="J4956" s="556">
        <f t="shared" si="165"/>
        <v>0</v>
      </c>
    </row>
    <row r="4957" spans="1:25" hidden="1" x14ac:dyDescent="0.25">
      <c r="F4957" s="499">
        <v>422</v>
      </c>
      <c r="G4957" s="492" t="s">
        <v>3780</v>
      </c>
      <c r="J4957" s="556">
        <f t="shared" si="165"/>
        <v>0</v>
      </c>
    </row>
    <row r="4958" spans="1:25" hidden="1" x14ac:dyDescent="0.25">
      <c r="F4958" s="499">
        <v>423</v>
      </c>
      <c r="G4958" s="492" t="s">
        <v>3781</v>
      </c>
      <c r="J4958" s="556">
        <f t="shared" si="165"/>
        <v>0</v>
      </c>
    </row>
    <row r="4959" spans="1:25" hidden="1" x14ac:dyDescent="0.25">
      <c r="F4959" s="499">
        <v>424</v>
      </c>
      <c r="G4959" s="492" t="s">
        <v>3783</v>
      </c>
      <c r="J4959" s="556">
        <f t="shared" si="165"/>
        <v>0</v>
      </c>
    </row>
    <row r="4960" spans="1:25" hidden="1" x14ac:dyDescent="0.25">
      <c r="F4960" s="499">
        <v>425</v>
      </c>
      <c r="G4960" s="492" t="s">
        <v>4144</v>
      </c>
      <c r="J4960" s="556">
        <f t="shared" si="165"/>
        <v>0</v>
      </c>
    </row>
    <row r="4961" spans="6:10" hidden="1" x14ac:dyDescent="0.25">
      <c r="F4961" s="499">
        <v>426</v>
      </c>
      <c r="G4961" s="492" t="s">
        <v>3787</v>
      </c>
      <c r="J4961" s="556">
        <f t="shared" si="165"/>
        <v>0</v>
      </c>
    </row>
    <row r="4962" spans="6:10" hidden="1" x14ac:dyDescent="0.25">
      <c r="F4962" s="499">
        <v>431</v>
      </c>
      <c r="G4962" s="492" t="s">
        <v>4145</v>
      </c>
      <c r="J4962" s="556">
        <f t="shared" si="165"/>
        <v>0</v>
      </c>
    </row>
    <row r="4963" spans="6:10" hidden="1" x14ac:dyDescent="0.25">
      <c r="F4963" s="499">
        <v>432</v>
      </c>
      <c r="G4963" s="492" t="s">
        <v>4146</v>
      </c>
      <c r="J4963" s="556">
        <f t="shared" si="165"/>
        <v>0</v>
      </c>
    </row>
    <row r="4964" spans="6:10" hidden="1" x14ac:dyDescent="0.25">
      <c r="F4964" s="499">
        <v>433</v>
      </c>
      <c r="G4964" s="492" t="s">
        <v>4147</v>
      </c>
      <c r="J4964" s="556">
        <f t="shared" si="165"/>
        <v>0</v>
      </c>
    </row>
    <row r="4965" spans="6:10" hidden="1" x14ac:dyDescent="0.25">
      <c r="F4965" s="499">
        <v>434</v>
      </c>
      <c r="G4965" s="492" t="s">
        <v>4148</v>
      </c>
      <c r="J4965" s="556">
        <f t="shared" si="165"/>
        <v>0</v>
      </c>
    </row>
    <row r="4966" spans="6:10" hidden="1" x14ac:dyDescent="0.25">
      <c r="F4966" s="499">
        <v>435</v>
      </c>
      <c r="G4966" s="492" t="s">
        <v>3794</v>
      </c>
      <c r="J4966" s="556">
        <f t="shared" si="165"/>
        <v>0</v>
      </c>
    </row>
    <row r="4967" spans="6:10" hidden="1" x14ac:dyDescent="0.25">
      <c r="F4967" s="499">
        <v>441</v>
      </c>
      <c r="G4967" s="492" t="s">
        <v>4149</v>
      </c>
      <c r="J4967" s="556">
        <f t="shared" si="165"/>
        <v>0</v>
      </c>
    </row>
    <row r="4968" spans="6:10" hidden="1" x14ac:dyDescent="0.25">
      <c r="F4968" s="499">
        <v>442</v>
      </c>
      <c r="G4968" s="492" t="s">
        <v>4150</v>
      </c>
      <c r="J4968" s="556">
        <f t="shared" si="165"/>
        <v>0</v>
      </c>
    </row>
    <row r="4969" spans="6:10" hidden="1" x14ac:dyDescent="0.25">
      <c r="F4969" s="499">
        <v>443</v>
      </c>
      <c r="G4969" s="492" t="s">
        <v>3799</v>
      </c>
      <c r="J4969" s="556">
        <f t="shared" si="165"/>
        <v>0</v>
      </c>
    </row>
    <row r="4970" spans="6:10" hidden="1" x14ac:dyDescent="0.25">
      <c r="F4970" s="499">
        <v>444</v>
      </c>
      <c r="G4970" s="492" t="s">
        <v>3800</v>
      </c>
      <c r="J4970" s="556">
        <f t="shared" si="165"/>
        <v>0</v>
      </c>
    </row>
    <row r="4971" spans="6:10" ht="30" hidden="1" x14ac:dyDescent="0.25">
      <c r="F4971" s="499">
        <v>4511</v>
      </c>
      <c r="G4971" s="771" t="s">
        <v>1690</v>
      </c>
      <c r="J4971" s="556">
        <f t="shared" si="165"/>
        <v>0</v>
      </c>
    </row>
    <row r="4972" spans="6:10" ht="30" hidden="1" x14ac:dyDescent="0.25">
      <c r="F4972" s="499">
        <v>4512</v>
      </c>
      <c r="G4972" s="771" t="s">
        <v>1699</v>
      </c>
      <c r="J4972" s="556">
        <f t="shared" si="165"/>
        <v>0</v>
      </c>
    </row>
    <row r="4973" spans="6:10" hidden="1" x14ac:dyDescent="0.25">
      <c r="F4973" s="499">
        <v>452</v>
      </c>
      <c r="G4973" s="492" t="s">
        <v>4151</v>
      </c>
      <c r="J4973" s="556">
        <f t="shared" si="165"/>
        <v>0</v>
      </c>
    </row>
    <row r="4974" spans="6:10" hidden="1" x14ac:dyDescent="0.25">
      <c r="F4974" s="499">
        <v>453</v>
      </c>
      <c r="G4974" s="492" t="s">
        <v>4152</v>
      </c>
      <c r="J4974" s="556">
        <f t="shared" si="165"/>
        <v>0</v>
      </c>
    </row>
    <row r="4975" spans="6:10" hidden="1" x14ac:dyDescent="0.25">
      <c r="F4975" s="499">
        <v>454</v>
      </c>
      <c r="G4975" s="492" t="s">
        <v>3805</v>
      </c>
      <c r="J4975" s="556">
        <f t="shared" si="165"/>
        <v>0</v>
      </c>
    </row>
    <row r="4976" spans="6:10" hidden="1" x14ac:dyDescent="0.25">
      <c r="F4976" s="499">
        <v>461</v>
      </c>
      <c r="G4976" s="492" t="s">
        <v>4133</v>
      </c>
      <c r="J4976" s="556">
        <f t="shared" si="165"/>
        <v>0</v>
      </c>
    </row>
    <row r="4977" spans="5:10" hidden="1" x14ac:dyDescent="0.25">
      <c r="F4977" s="499">
        <v>462</v>
      </c>
      <c r="G4977" s="492" t="s">
        <v>3808</v>
      </c>
      <c r="J4977" s="556">
        <f t="shared" si="165"/>
        <v>0</v>
      </c>
    </row>
    <row r="4978" spans="5:10" hidden="1" x14ac:dyDescent="0.25">
      <c r="F4978" s="499">
        <v>4631</v>
      </c>
      <c r="G4978" s="492" t="s">
        <v>3809</v>
      </c>
      <c r="J4978" s="556">
        <f t="shared" si="165"/>
        <v>0</v>
      </c>
    </row>
    <row r="4979" spans="5:10" hidden="1" x14ac:dyDescent="0.25">
      <c r="F4979" s="499">
        <v>4632</v>
      </c>
      <c r="G4979" s="492" t="s">
        <v>3810</v>
      </c>
      <c r="J4979" s="556">
        <f t="shared" si="165"/>
        <v>0</v>
      </c>
    </row>
    <row r="4980" spans="5:10" hidden="1" x14ac:dyDescent="0.25">
      <c r="F4980" s="499">
        <v>464</v>
      </c>
      <c r="G4980" s="492" t="s">
        <v>3811</v>
      </c>
      <c r="J4980" s="556">
        <f t="shared" si="165"/>
        <v>0</v>
      </c>
    </row>
    <row r="4981" spans="5:10" hidden="1" x14ac:dyDescent="0.25">
      <c r="F4981" s="499">
        <v>465</v>
      </c>
      <c r="G4981" s="492" t="s">
        <v>4134</v>
      </c>
      <c r="J4981" s="556">
        <f t="shared" si="165"/>
        <v>0</v>
      </c>
    </row>
    <row r="4982" spans="5:10" ht="16.5" hidden="1" customHeight="1" x14ac:dyDescent="0.25">
      <c r="E4982" s="679">
        <v>61</v>
      </c>
      <c r="F4982" s="499">
        <v>472</v>
      </c>
      <c r="G4982" s="492" t="s">
        <v>5076</v>
      </c>
      <c r="J4982" s="556">
        <f t="shared" si="165"/>
        <v>0</v>
      </c>
    </row>
    <row r="4983" spans="5:10" ht="75.75" thickBot="1" x14ac:dyDescent="0.3">
      <c r="E4983" s="679">
        <v>136</v>
      </c>
      <c r="F4983" s="499">
        <v>481</v>
      </c>
      <c r="G4983" s="686" t="s">
        <v>5721</v>
      </c>
      <c r="H4983" s="555">
        <v>300000</v>
      </c>
      <c r="J4983" s="556">
        <f t="shared" si="165"/>
        <v>300000</v>
      </c>
    </row>
    <row r="4984" spans="5:10" hidden="1" x14ac:dyDescent="0.25">
      <c r="F4984" s="499">
        <v>482</v>
      </c>
      <c r="G4984" s="492" t="s">
        <v>4154</v>
      </c>
      <c r="J4984" s="556">
        <f t="shared" si="165"/>
        <v>0</v>
      </c>
    </row>
    <row r="4985" spans="5:10" hidden="1" x14ac:dyDescent="0.25">
      <c r="F4985" s="499">
        <v>483</v>
      </c>
      <c r="G4985" s="496" t="s">
        <v>4155</v>
      </c>
      <c r="J4985" s="556">
        <f t="shared" si="165"/>
        <v>0</v>
      </c>
    </row>
    <row r="4986" spans="5:10" ht="30" hidden="1" x14ac:dyDescent="0.25">
      <c r="F4986" s="499">
        <v>484</v>
      </c>
      <c r="G4986" s="492" t="s">
        <v>4156</v>
      </c>
      <c r="J4986" s="556">
        <f t="shared" si="165"/>
        <v>0</v>
      </c>
    </row>
    <row r="4987" spans="5:10" ht="30" hidden="1" x14ac:dyDescent="0.25">
      <c r="F4987" s="499">
        <v>485</v>
      </c>
      <c r="G4987" s="492" t="s">
        <v>4157</v>
      </c>
      <c r="J4987" s="556">
        <f t="shared" si="165"/>
        <v>0</v>
      </c>
    </row>
    <row r="4988" spans="5:10" ht="30" hidden="1" x14ac:dyDescent="0.25">
      <c r="F4988" s="499">
        <v>489</v>
      </c>
      <c r="G4988" s="492" t="s">
        <v>3823</v>
      </c>
      <c r="J4988" s="556">
        <f t="shared" si="165"/>
        <v>0</v>
      </c>
    </row>
    <row r="4989" spans="5:10" hidden="1" x14ac:dyDescent="0.25">
      <c r="F4989" s="499">
        <v>494</v>
      </c>
      <c r="G4989" s="492" t="s">
        <v>4135</v>
      </c>
      <c r="J4989" s="556">
        <f t="shared" si="165"/>
        <v>0</v>
      </c>
    </row>
    <row r="4990" spans="5:10" ht="30" hidden="1" x14ac:dyDescent="0.25">
      <c r="F4990" s="499">
        <v>495</v>
      </c>
      <c r="G4990" s="492" t="s">
        <v>4136</v>
      </c>
      <c r="J4990" s="556">
        <f t="shared" si="165"/>
        <v>0</v>
      </c>
    </row>
    <row r="4991" spans="5:10" ht="30" hidden="1" x14ac:dyDescent="0.25">
      <c r="F4991" s="499">
        <v>496</v>
      </c>
      <c r="G4991" s="492" t="s">
        <v>4137</v>
      </c>
      <c r="J4991" s="556">
        <f t="shared" si="165"/>
        <v>0</v>
      </c>
    </row>
    <row r="4992" spans="5:10" ht="30" hidden="1" x14ac:dyDescent="0.25">
      <c r="F4992" s="499">
        <v>499</v>
      </c>
      <c r="G4992" s="492" t="s">
        <v>4138</v>
      </c>
      <c r="J4992" s="556">
        <f t="shared" si="165"/>
        <v>0</v>
      </c>
    </row>
    <row r="4993" spans="5:10" hidden="1" x14ac:dyDescent="0.25">
      <c r="F4993" s="499">
        <v>511</v>
      </c>
      <c r="G4993" s="496" t="s">
        <v>4158</v>
      </c>
      <c r="J4993" s="556">
        <f t="shared" si="165"/>
        <v>0</v>
      </c>
    </row>
    <row r="4994" spans="5:10" hidden="1" x14ac:dyDescent="0.25">
      <c r="F4994" s="499">
        <v>512</v>
      </c>
      <c r="G4994" s="496" t="s">
        <v>4159</v>
      </c>
      <c r="J4994" s="556">
        <f t="shared" si="165"/>
        <v>0</v>
      </c>
    </row>
    <row r="4995" spans="5:10" hidden="1" x14ac:dyDescent="0.25">
      <c r="F4995" s="499">
        <v>513</v>
      </c>
      <c r="G4995" s="496" t="s">
        <v>4160</v>
      </c>
      <c r="J4995" s="556">
        <f t="shared" si="165"/>
        <v>0</v>
      </c>
    </row>
    <row r="4996" spans="5:10" hidden="1" x14ac:dyDescent="0.25">
      <c r="F4996" s="499">
        <v>514</v>
      </c>
      <c r="G4996" s="492" t="s">
        <v>4161</v>
      </c>
      <c r="J4996" s="556">
        <f t="shared" si="165"/>
        <v>0</v>
      </c>
    </row>
    <row r="4997" spans="5:10" hidden="1" x14ac:dyDescent="0.25">
      <c r="F4997" s="499">
        <v>515</v>
      </c>
      <c r="G4997" s="492" t="s">
        <v>3834</v>
      </c>
      <c r="J4997" s="556">
        <f t="shared" si="165"/>
        <v>0</v>
      </c>
    </row>
    <row r="4998" spans="5:10" hidden="1" x14ac:dyDescent="0.25">
      <c r="F4998" s="499">
        <v>521</v>
      </c>
      <c r="G4998" s="492" t="s">
        <v>4162</v>
      </c>
      <c r="J4998" s="556">
        <f t="shared" si="165"/>
        <v>0</v>
      </c>
    </row>
    <row r="4999" spans="5:10" hidden="1" x14ac:dyDescent="0.25">
      <c r="F4999" s="499">
        <v>522</v>
      </c>
      <c r="G4999" s="492" t="s">
        <v>4163</v>
      </c>
      <c r="J4999" s="556">
        <f t="shared" si="165"/>
        <v>0</v>
      </c>
    </row>
    <row r="5000" spans="5:10" hidden="1" x14ac:dyDescent="0.25">
      <c r="F5000" s="499">
        <v>523</v>
      </c>
      <c r="G5000" s="492" t="s">
        <v>3839</v>
      </c>
      <c r="J5000" s="556">
        <f t="shared" si="165"/>
        <v>0</v>
      </c>
    </row>
    <row r="5001" spans="5:10" hidden="1" x14ac:dyDescent="0.25">
      <c r="F5001" s="499">
        <v>531</v>
      </c>
      <c r="G5001" s="488" t="s">
        <v>4139</v>
      </c>
      <c r="J5001" s="556">
        <f t="shared" si="165"/>
        <v>0</v>
      </c>
    </row>
    <row r="5002" spans="5:10" hidden="1" x14ac:dyDescent="0.25">
      <c r="F5002" s="499">
        <v>541</v>
      </c>
      <c r="G5002" s="492" t="s">
        <v>4164</v>
      </c>
      <c r="J5002" s="556">
        <f t="shared" si="165"/>
        <v>0</v>
      </c>
    </row>
    <row r="5003" spans="5:10" hidden="1" x14ac:dyDescent="0.25">
      <c r="F5003" s="499">
        <v>542</v>
      </c>
      <c r="G5003" s="492" t="s">
        <v>4165</v>
      </c>
      <c r="J5003" s="556">
        <f t="shared" si="165"/>
        <v>0</v>
      </c>
    </row>
    <row r="5004" spans="5:10" hidden="1" x14ac:dyDescent="0.25">
      <c r="F5004" s="499">
        <v>543</v>
      </c>
      <c r="G5004" s="492" t="s">
        <v>3844</v>
      </c>
      <c r="J5004" s="556">
        <f t="shared" si="165"/>
        <v>0</v>
      </c>
    </row>
    <row r="5005" spans="5:10" ht="30" hidden="1" x14ac:dyDescent="0.25">
      <c r="F5005" s="499">
        <v>551</v>
      </c>
      <c r="G5005" s="492" t="s">
        <v>4140</v>
      </c>
      <c r="J5005" s="556">
        <f t="shared" si="165"/>
        <v>0</v>
      </c>
    </row>
    <row r="5006" spans="5:10" hidden="1" x14ac:dyDescent="0.25">
      <c r="F5006" s="500">
        <v>611</v>
      </c>
      <c r="G5006" s="498" t="s">
        <v>3850</v>
      </c>
      <c r="J5006" s="556">
        <f t="shared" si="165"/>
        <v>0</v>
      </c>
    </row>
    <row r="5007" spans="5:10" ht="15.75" hidden="1" thickBot="1" x14ac:dyDescent="0.3">
      <c r="F5007" s="500">
        <v>620</v>
      </c>
      <c r="G5007" s="498" t="s">
        <v>88</v>
      </c>
      <c r="J5007" s="556">
        <f t="shared" si="165"/>
        <v>0</v>
      </c>
    </row>
    <row r="5008" spans="5:10" x14ac:dyDescent="0.25">
      <c r="E5008" s="489"/>
      <c r="F5008" s="500"/>
      <c r="G5008" s="342" t="s">
        <v>5309</v>
      </c>
      <c r="H5008" s="557"/>
      <c r="I5008" s="583"/>
      <c r="J5008" s="558"/>
    </row>
    <row r="5009" spans="5:10" ht="15.75" thickBot="1" x14ac:dyDescent="0.3">
      <c r="E5009" s="693"/>
      <c r="F5009" s="597" t="s">
        <v>234</v>
      </c>
      <c r="G5009" s="598" t="s">
        <v>235</v>
      </c>
      <c r="H5009" s="559">
        <f>SUM(H4948:H5007)</f>
        <v>300000</v>
      </c>
      <c r="I5009" s="560"/>
      <c r="J5009" s="560">
        <f>SUM(H5009:I5009)</f>
        <v>300000</v>
      </c>
    </row>
    <row r="5010" spans="5:10" ht="15.75" hidden="1" thickBot="1" x14ac:dyDescent="0.3">
      <c r="F5010" s="597" t="s">
        <v>236</v>
      </c>
      <c r="G5010" s="598" t="s">
        <v>237</v>
      </c>
      <c r="J5010" s="560">
        <f t="shared" ref="J5010:J5024" si="166">SUM(H5010:I5010)</f>
        <v>0</v>
      </c>
    </row>
    <row r="5011" spans="5:10" ht="15.75" hidden="1" thickBot="1" x14ac:dyDescent="0.3">
      <c r="F5011" s="597" t="s">
        <v>238</v>
      </c>
      <c r="G5011" s="598" t="s">
        <v>239</v>
      </c>
      <c r="J5011" s="560">
        <f t="shared" si="166"/>
        <v>0</v>
      </c>
    </row>
    <row r="5012" spans="5:10" ht="15.75" hidden="1" thickBot="1" x14ac:dyDescent="0.3">
      <c r="F5012" s="597" t="s">
        <v>240</v>
      </c>
      <c r="G5012" s="598" t="s">
        <v>241</v>
      </c>
      <c r="J5012" s="560">
        <f t="shared" si="166"/>
        <v>0</v>
      </c>
    </row>
    <row r="5013" spans="5:10" ht="15.75" hidden="1" thickBot="1" x14ac:dyDescent="0.3">
      <c r="F5013" s="597" t="s">
        <v>242</v>
      </c>
      <c r="G5013" s="598" t="s">
        <v>243</v>
      </c>
      <c r="J5013" s="560">
        <f t="shared" si="166"/>
        <v>0</v>
      </c>
    </row>
    <row r="5014" spans="5:10" ht="15.75" hidden="1" thickBot="1" x14ac:dyDescent="0.3">
      <c r="F5014" s="597" t="s">
        <v>244</v>
      </c>
      <c r="G5014" s="598" t="s">
        <v>245</v>
      </c>
      <c r="J5014" s="560">
        <f t="shared" si="166"/>
        <v>0</v>
      </c>
    </row>
    <row r="5015" spans="5:10" ht="15.75" hidden="1" thickBot="1" x14ac:dyDescent="0.3">
      <c r="F5015" s="597" t="s">
        <v>246</v>
      </c>
      <c r="G5015" s="598" t="s">
        <v>4996</v>
      </c>
      <c r="J5015" s="560">
        <f t="shared" si="166"/>
        <v>0</v>
      </c>
    </row>
    <row r="5016" spans="5:10" ht="15.75" hidden="1" thickBot="1" x14ac:dyDescent="0.3">
      <c r="F5016" s="597" t="s">
        <v>247</v>
      </c>
      <c r="G5016" s="598" t="s">
        <v>4995</v>
      </c>
      <c r="J5016" s="560">
        <f t="shared" si="166"/>
        <v>0</v>
      </c>
    </row>
    <row r="5017" spans="5:10" ht="15.75" hidden="1" thickBot="1" x14ac:dyDescent="0.3">
      <c r="F5017" s="597" t="s">
        <v>248</v>
      </c>
      <c r="G5017" s="598" t="s">
        <v>57</v>
      </c>
      <c r="J5017" s="560">
        <f t="shared" si="166"/>
        <v>0</v>
      </c>
    </row>
    <row r="5018" spans="5:10" ht="15.75" hidden="1" thickBot="1" x14ac:dyDescent="0.3">
      <c r="F5018" s="597" t="s">
        <v>249</v>
      </c>
      <c r="G5018" s="598" t="s">
        <v>250</v>
      </c>
      <c r="J5018" s="560">
        <f t="shared" si="166"/>
        <v>0</v>
      </c>
    </row>
    <row r="5019" spans="5:10" ht="15.75" hidden="1" thickBot="1" x14ac:dyDescent="0.3">
      <c r="F5019" s="597" t="s">
        <v>251</v>
      </c>
      <c r="G5019" s="598" t="s">
        <v>252</v>
      </c>
      <c r="J5019" s="560">
        <f t="shared" si="166"/>
        <v>0</v>
      </c>
    </row>
    <row r="5020" spans="5:10" ht="30.75" hidden="1" thickBot="1" x14ac:dyDescent="0.3">
      <c r="F5020" s="597" t="s">
        <v>253</v>
      </c>
      <c r="G5020" s="598" t="s">
        <v>254</v>
      </c>
      <c r="J5020" s="560">
        <f t="shared" si="166"/>
        <v>0</v>
      </c>
    </row>
    <row r="5021" spans="5:10" ht="15.75" hidden="1" thickBot="1" x14ac:dyDescent="0.3">
      <c r="F5021" s="597" t="s">
        <v>255</v>
      </c>
      <c r="G5021" s="598" t="s">
        <v>256</v>
      </c>
      <c r="J5021" s="560">
        <f t="shared" si="166"/>
        <v>0</v>
      </c>
    </row>
    <row r="5022" spans="5:10" ht="30.75" hidden="1" thickBot="1" x14ac:dyDescent="0.3">
      <c r="F5022" s="597" t="s">
        <v>257</v>
      </c>
      <c r="G5022" s="598" t="s">
        <v>258</v>
      </c>
      <c r="J5022" s="560">
        <f t="shared" si="166"/>
        <v>0</v>
      </c>
    </row>
    <row r="5023" spans="5:10" ht="15.75" hidden="1" thickBot="1" x14ac:dyDescent="0.3">
      <c r="F5023" s="597" t="s">
        <v>259</v>
      </c>
      <c r="G5023" s="598" t="s">
        <v>260</v>
      </c>
      <c r="J5023" s="560">
        <f t="shared" si="166"/>
        <v>0</v>
      </c>
    </row>
    <row r="5024" spans="5:10" ht="15.75" hidden="1" thickBot="1" x14ac:dyDescent="0.3">
      <c r="F5024" s="597" t="s">
        <v>261</v>
      </c>
      <c r="G5024" s="598" t="s">
        <v>262</v>
      </c>
      <c r="H5024" s="559"/>
      <c r="I5024" s="560"/>
      <c r="J5024" s="560">
        <f t="shared" si="166"/>
        <v>0</v>
      </c>
    </row>
    <row r="5025" spans="5:10" ht="13.5" customHeight="1" thickBot="1" x14ac:dyDescent="0.3">
      <c r="G5025" s="728" t="s">
        <v>5310</v>
      </c>
      <c r="H5025" s="561">
        <f>SUM(H5009:H5024)</f>
        <v>300000</v>
      </c>
      <c r="I5025" s="562">
        <f>SUM(I5010:I5024)</f>
        <v>0</v>
      </c>
      <c r="J5025" s="562">
        <f>SUM(J5009:J5024)</f>
        <v>300000</v>
      </c>
    </row>
    <row r="5026" spans="5:10" ht="28.5" collapsed="1" x14ac:dyDescent="0.25">
      <c r="E5026" s="489"/>
      <c r="F5026" s="500"/>
      <c r="G5026" s="270" t="s">
        <v>4209</v>
      </c>
      <c r="H5026" s="563"/>
      <c r="I5026" s="584"/>
      <c r="J5026" s="564"/>
    </row>
    <row r="5027" spans="5:10" ht="15.75" thickBot="1" x14ac:dyDescent="0.3">
      <c r="E5027" s="693"/>
      <c r="F5027" s="597" t="s">
        <v>234</v>
      </c>
      <c r="G5027" s="598" t="s">
        <v>235</v>
      </c>
      <c r="H5027" s="559">
        <f>SUM(H4948:H5007)</f>
        <v>300000</v>
      </c>
      <c r="I5027" s="560"/>
      <c r="J5027" s="560">
        <f>SUM(H5027:I5027)</f>
        <v>300000</v>
      </c>
    </row>
    <row r="5028" spans="5:10" ht="15.75" hidden="1" thickBot="1" x14ac:dyDescent="0.3">
      <c r="F5028" s="597" t="s">
        <v>236</v>
      </c>
      <c r="G5028" s="598" t="s">
        <v>237</v>
      </c>
      <c r="J5028" s="560">
        <f t="shared" ref="J5028:J5042" si="167">SUM(H5028:I5028)</f>
        <v>0</v>
      </c>
    </row>
    <row r="5029" spans="5:10" ht="15.75" hidden="1" thickBot="1" x14ac:dyDescent="0.3">
      <c r="F5029" s="597" t="s">
        <v>238</v>
      </c>
      <c r="G5029" s="598" t="s">
        <v>239</v>
      </c>
      <c r="J5029" s="560">
        <f t="shared" si="167"/>
        <v>0</v>
      </c>
    </row>
    <row r="5030" spans="5:10" ht="15.75" hidden="1" thickBot="1" x14ac:dyDescent="0.3">
      <c r="F5030" s="597" t="s">
        <v>240</v>
      </c>
      <c r="G5030" s="598" t="s">
        <v>241</v>
      </c>
      <c r="J5030" s="560">
        <f t="shared" si="167"/>
        <v>0</v>
      </c>
    </row>
    <row r="5031" spans="5:10" ht="15.75" hidden="1" thickBot="1" x14ac:dyDescent="0.3">
      <c r="F5031" s="597" t="s">
        <v>242</v>
      </c>
      <c r="G5031" s="598" t="s">
        <v>243</v>
      </c>
      <c r="J5031" s="560">
        <f t="shared" si="167"/>
        <v>0</v>
      </c>
    </row>
    <row r="5032" spans="5:10" ht="15.75" hidden="1" thickBot="1" x14ac:dyDescent="0.3">
      <c r="F5032" s="597" t="s">
        <v>244</v>
      </c>
      <c r="G5032" s="598" t="s">
        <v>245</v>
      </c>
      <c r="J5032" s="560">
        <f t="shared" si="167"/>
        <v>0</v>
      </c>
    </row>
    <row r="5033" spans="5:10" ht="15.75" hidden="1" thickBot="1" x14ac:dyDescent="0.3">
      <c r="F5033" s="597" t="s">
        <v>246</v>
      </c>
      <c r="G5033" s="598" t="s">
        <v>4996</v>
      </c>
      <c r="J5033" s="560">
        <f t="shared" si="167"/>
        <v>0</v>
      </c>
    </row>
    <row r="5034" spans="5:10" ht="15.75" hidden="1" thickBot="1" x14ac:dyDescent="0.3">
      <c r="F5034" s="597" t="s">
        <v>247</v>
      </c>
      <c r="G5034" s="598" t="s">
        <v>4995</v>
      </c>
      <c r="J5034" s="560">
        <f t="shared" si="167"/>
        <v>0</v>
      </c>
    </row>
    <row r="5035" spans="5:10" ht="15.75" hidden="1" thickBot="1" x14ac:dyDescent="0.3">
      <c r="F5035" s="597" t="s">
        <v>248</v>
      </c>
      <c r="G5035" s="598" t="s">
        <v>57</v>
      </c>
      <c r="J5035" s="560">
        <f t="shared" si="167"/>
        <v>0</v>
      </c>
    </row>
    <row r="5036" spans="5:10" ht="15.75" hidden="1" thickBot="1" x14ac:dyDescent="0.3">
      <c r="F5036" s="597" t="s">
        <v>249</v>
      </c>
      <c r="G5036" s="598" t="s">
        <v>250</v>
      </c>
      <c r="J5036" s="560">
        <f t="shared" si="167"/>
        <v>0</v>
      </c>
    </row>
    <row r="5037" spans="5:10" ht="15.75" hidden="1" thickBot="1" x14ac:dyDescent="0.3">
      <c r="F5037" s="597" t="s">
        <v>251</v>
      </c>
      <c r="G5037" s="598" t="s">
        <v>252</v>
      </c>
      <c r="J5037" s="560">
        <f t="shared" si="167"/>
        <v>0</v>
      </c>
    </row>
    <row r="5038" spans="5:10" ht="30.75" hidden="1" thickBot="1" x14ac:dyDescent="0.3">
      <c r="F5038" s="597" t="s">
        <v>253</v>
      </c>
      <c r="G5038" s="598" t="s">
        <v>254</v>
      </c>
      <c r="J5038" s="560">
        <f t="shared" si="167"/>
        <v>0</v>
      </c>
    </row>
    <row r="5039" spans="5:10" ht="15.75" hidden="1" thickBot="1" x14ac:dyDescent="0.3">
      <c r="F5039" s="597" t="s">
        <v>255</v>
      </c>
      <c r="G5039" s="598" t="s">
        <v>256</v>
      </c>
      <c r="J5039" s="560">
        <f t="shared" si="167"/>
        <v>0</v>
      </c>
    </row>
    <row r="5040" spans="5:10" ht="30.75" hidden="1" thickBot="1" x14ac:dyDescent="0.3">
      <c r="F5040" s="597" t="s">
        <v>257</v>
      </c>
      <c r="G5040" s="598" t="s">
        <v>258</v>
      </c>
      <c r="J5040" s="560">
        <f t="shared" si="167"/>
        <v>0</v>
      </c>
    </row>
    <row r="5041" spans="1:25" ht="15.75" hidden="1" thickBot="1" x14ac:dyDescent="0.3">
      <c r="F5041" s="597" t="s">
        <v>259</v>
      </c>
      <c r="G5041" s="598" t="s">
        <v>260</v>
      </c>
      <c r="J5041" s="560">
        <f t="shared" si="167"/>
        <v>0</v>
      </c>
    </row>
    <row r="5042" spans="1:25" ht="15.75" hidden="1" thickBot="1" x14ac:dyDescent="0.3">
      <c r="F5042" s="597" t="s">
        <v>261</v>
      </c>
      <c r="G5042" s="598" t="s">
        <v>262</v>
      </c>
      <c r="H5042" s="559"/>
      <c r="I5042" s="560"/>
      <c r="J5042" s="560">
        <f t="shared" si="167"/>
        <v>0</v>
      </c>
    </row>
    <row r="5043" spans="1:25" ht="15.75" collapsed="1" thickBot="1" x14ac:dyDescent="0.3">
      <c r="G5043" s="268" t="s">
        <v>4210</v>
      </c>
      <c r="H5043" s="561">
        <f>SUM(H5027:H5042)</f>
        <v>300000</v>
      </c>
      <c r="I5043" s="562">
        <f>SUM(I5028:I5042)</f>
        <v>0</v>
      </c>
      <c r="J5043" s="562">
        <f>SUM(J5027:J5042)</f>
        <v>300000</v>
      </c>
    </row>
    <row r="5044" spans="1:25" ht="0.75" customHeight="1" x14ac:dyDescent="0.25">
      <c r="G5044" s="312"/>
      <c r="H5044" s="565"/>
      <c r="I5044" s="566"/>
      <c r="J5044" s="566"/>
    </row>
    <row r="5045" spans="1:25" x14ac:dyDescent="0.25">
      <c r="C5045" s="267" t="s">
        <v>4085</v>
      </c>
      <c r="D5045" s="259"/>
      <c r="G5045" s="483" t="s">
        <v>4086</v>
      </c>
    </row>
    <row r="5046" spans="1:25" ht="13.5" customHeight="1" x14ac:dyDescent="0.25">
      <c r="C5046" s="334"/>
      <c r="D5046" s="350" t="s">
        <v>3874</v>
      </c>
      <c r="E5046" s="880"/>
      <c r="F5046" s="349"/>
      <c r="G5046" s="333" t="s">
        <v>4239</v>
      </c>
      <c r="H5046" s="588"/>
      <c r="I5046" s="571"/>
      <c r="J5046" s="589"/>
    </row>
    <row r="5047" spans="1:25" ht="15.75" customHeight="1" thickBot="1" x14ac:dyDescent="0.3">
      <c r="E5047" s="679">
        <v>137</v>
      </c>
      <c r="F5047" s="499">
        <v>481</v>
      </c>
      <c r="G5047" s="492" t="s">
        <v>5311</v>
      </c>
      <c r="H5047" s="555">
        <v>580000</v>
      </c>
      <c r="J5047" s="556">
        <f t="shared" ref="J5047" si="168">SUM(H5047:I5047)</f>
        <v>580000</v>
      </c>
    </row>
    <row r="5048" spans="1:25" x14ac:dyDescent="0.25">
      <c r="E5048" s="489"/>
      <c r="F5048" s="500"/>
      <c r="G5048" s="342" t="s">
        <v>4301</v>
      </c>
      <c r="H5048" s="557"/>
      <c r="I5048" s="583"/>
      <c r="J5048" s="558"/>
    </row>
    <row r="5049" spans="1:25" ht="15.75" thickBot="1" x14ac:dyDescent="0.3">
      <c r="E5049" s="693"/>
      <c r="F5049" s="597" t="s">
        <v>234</v>
      </c>
      <c r="G5049" s="598" t="s">
        <v>235</v>
      </c>
      <c r="H5049" s="559">
        <f>SUM(H5047)</f>
        <v>580000</v>
      </c>
      <c r="I5049" s="560"/>
      <c r="J5049" s="560">
        <f>SUM(H5049:I5049)</f>
        <v>580000</v>
      </c>
    </row>
    <row r="5050" spans="1:25" ht="15.75" thickBot="1" x14ac:dyDescent="0.3">
      <c r="G5050" s="268" t="s">
        <v>4302</v>
      </c>
      <c r="H5050" s="561">
        <f>SUM(H5049)</f>
        <v>580000</v>
      </c>
      <c r="I5050" s="562">
        <f>SUM(I5035:I5049)</f>
        <v>0</v>
      </c>
      <c r="J5050" s="562">
        <f>SUM(J5049)</f>
        <v>580000</v>
      </c>
    </row>
    <row r="5051" spans="1:25" ht="28.5" x14ac:dyDescent="0.25">
      <c r="E5051" s="489"/>
      <c r="F5051" s="500"/>
      <c r="G5051" s="270" t="s">
        <v>4211</v>
      </c>
      <c r="H5051" s="563"/>
      <c r="I5051" s="584"/>
      <c r="J5051" s="564"/>
    </row>
    <row r="5052" spans="1:25" ht="15.75" thickBot="1" x14ac:dyDescent="0.3">
      <c r="E5052" s="693"/>
      <c r="F5052" s="597" t="s">
        <v>234</v>
      </c>
      <c r="G5052" s="598" t="s">
        <v>235</v>
      </c>
      <c r="H5052" s="559">
        <f>SUM(H5050)</f>
        <v>580000</v>
      </c>
      <c r="I5052" s="560"/>
      <c r="J5052" s="560">
        <f>SUM(H5052:I5052)</f>
        <v>580000</v>
      </c>
    </row>
    <row r="5053" spans="1:25" ht="15.75" thickBot="1" x14ac:dyDescent="0.3">
      <c r="G5053" s="268" t="s">
        <v>4212</v>
      </c>
      <c r="H5053" s="561">
        <f>SUM(H5052)</f>
        <v>580000</v>
      </c>
      <c r="I5053" s="562">
        <f>SUM(I5038:I5052)</f>
        <v>0</v>
      </c>
      <c r="J5053" s="562">
        <f>SUM(J5052)</f>
        <v>580000</v>
      </c>
    </row>
    <row r="5054" spans="1:25" s="88" customFormat="1" ht="0.75" customHeight="1" x14ac:dyDescent="0.25">
      <c r="A5054" s="258"/>
      <c r="B5054" s="288"/>
      <c r="C5054" s="294"/>
      <c r="E5054" s="877"/>
      <c r="G5054" s="301"/>
      <c r="H5054" s="572"/>
      <c r="I5054" s="573"/>
      <c r="J5054" s="573"/>
      <c r="K5054" s="505"/>
      <c r="L5054" s="505"/>
      <c r="M5054" s="505"/>
      <c r="N5054" s="505"/>
      <c r="O5054" s="505"/>
      <c r="P5054" s="505"/>
      <c r="Q5054" s="505"/>
      <c r="R5054" s="505"/>
      <c r="S5054" s="505"/>
      <c r="T5054" s="505"/>
      <c r="U5054" s="505"/>
      <c r="V5054" s="505"/>
      <c r="W5054" s="505"/>
      <c r="X5054" s="505"/>
      <c r="Y5054" s="505"/>
    </row>
    <row r="5055" spans="1:25" x14ac:dyDescent="0.25">
      <c r="A5055" s="481"/>
      <c r="C5055" s="267" t="s">
        <v>5077</v>
      </c>
      <c r="D5055" s="259"/>
      <c r="G5055" s="483" t="s">
        <v>5312</v>
      </c>
    </row>
    <row r="5056" spans="1:25" s="88" customFormat="1" ht="14.25" customHeight="1" x14ac:dyDescent="0.25">
      <c r="A5056" s="258"/>
      <c r="B5056" s="288"/>
      <c r="C5056" s="334"/>
      <c r="D5056" s="350" t="s">
        <v>3868</v>
      </c>
      <c r="E5056" s="880"/>
      <c r="F5056" s="349"/>
      <c r="G5056" s="333" t="s">
        <v>98</v>
      </c>
      <c r="H5056" s="588"/>
      <c r="I5056" s="571"/>
      <c r="J5056" s="589"/>
      <c r="K5056" s="505"/>
      <c r="L5056" s="505"/>
      <c r="M5056" s="505"/>
      <c r="N5056" s="505"/>
      <c r="O5056" s="505"/>
      <c r="P5056" s="505"/>
      <c r="Q5056" s="505"/>
      <c r="R5056" s="505"/>
      <c r="S5056" s="505"/>
      <c r="T5056" s="505"/>
      <c r="U5056" s="505"/>
      <c r="V5056" s="505"/>
      <c r="W5056" s="505"/>
      <c r="X5056" s="505"/>
      <c r="Y5056" s="505"/>
    </row>
    <row r="5057" spans="1:10" hidden="1" x14ac:dyDescent="0.25">
      <c r="A5057" s="481"/>
      <c r="F5057" s="499">
        <v>411</v>
      </c>
      <c r="G5057" s="492" t="s">
        <v>4131</v>
      </c>
      <c r="J5057" s="556">
        <f>SUM(H5057:I5057)</f>
        <v>0</v>
      </c>
    </row>
    <row r="5058" spans="1:10" hidden="1" x14ac:dyDescent="0.25">
      <c r="F5058" s="499">
        <v>412</v>
      </c>
      <c r="G5058" s="488" t="s">
        <v>3766</v>
      </c>
      <c r="J5058" s="556">
        <f t="shared" ref="J5058:J5116" si="169">SUM(H5058:I5058)</f>
        <v>0</v>
      </c>
    </row>
    <row r="5059" spans="1:10" hidden="1" x14ac:dyDescent="0.25">
      <c r="F5059" s="499">
        <v>413</v>
      </c>
      <c r="G5059" s="492" t="s">
        <v>4132</v>
      </c>
      <c r="J5059" s="556">
        <f t="shared" si="169"/>
        <v>0</v>
      </c>
    </row>
    <row r="5060" spans="1:10" hidden="1" x14ac:dyDescent="0.25">
      <c r="F5060" s="499">
        <v>414</v>
      </c>
      <c r="G5060" s="492" t="s">
        <v>3769</v>
      </c>
      <c r="J5060" s="556">
        <f t="shared" si="169"/>
        <v>0</v>
      </c>
    </row>
    <row r="5061" spans="1:10" hidden="1" x14ac:dyDescent="0.25">
      <c r="F5061" s="499">
        <v>415</v>
      </c>
      <c r="G5061" s="492" t="s">
        <v>4141</v>
      </c>
      <c r="J5061" s="556">
        <f t="shared" si="169"/>
        <v>0</v>
      </c>
    </row>
    <row r="5062" spans="1:10" hidden="1" x14ac:dyDescent="0.25">
      <c r="F5062" s="499">
        <v>416</v>
      </c>
      <c r="G5062" s="492" t="s">
        <v>4142</v>
      </c>
      <c r="J5062" s="556">
        <f t="shared" si="169"/>
        <v>0</v>
      </c>
    </row>
    <row r="5063" spans="1:10" hidden="1" x14ac:dyDescent="0.25">
      <c r="F5063" s="499">
        <v>417</v>
      </c>
      <c r="G5063" s="492" t="s">
        <v>4143</v>
      </c>
      <c r="J5063" s="556">
        <f t="shared" si="169"/>
        <v>0</v>
      </c>
    </row>
    <row r="5064" spans="1:10" hidden="1" x14ac:dyDescent="0.25">
      <c r="F5064" s="499">
        <v>418</v>
      </c>
      <c r="G5064" s="492" t="s">
        <v>3775</v>
      </c>
      <c r="J5064" s="556">
        <f t="shared" si="169"/>
        <v>0</v>
      </c>
    </row>
    <row r="5065" spans="1:10" hidden="1" x14ac:dyDescent="0.25">
      <c r="F5065" s="499">
        <v>421</v>
      </c>
      <c r="G5065" s="492" t="s">
        <v>3779</v>
      </c>
      <c r="J5065" s="556">
        <f t="shared" si="169"/>
        <v>0</v>
      </c>
    </row>
    <row r="5066" spans="1:10" hidden="1" x14ac:dyDescent="0.25">
      <c r="F5066" s="499">
        <v>422</v>
      </c>
      <c r="G5066" s="492" t="s">
        <v>3780</v>
      </c>
      <c r="J5066" s="556">
        <f t="shared" si="169"/>
        <v>0</v>
      </c>
    </row>
    <row r="5067" spans="1:10" hidden="1" x14ac:dyDescent="0.25">
      <c r="F5067" s="499">
        <v>423</v>
      </c>
      <c r="G5067" s="492" t="s">
        <v>3781</v>
      </c>
      <c r="J5067" s="556">
        <f t="shared" si="169"/>
        <v>0</v>
      </c>
    </row>
    <row r="5068" spans="1:10" hidden="1" x14ac:dyDescent="0.25">
      <c r="F5068" s="499">
        <v>424</v>
      </c>
      <c r="G5068" s="492" t="s">
        <v>3783</v>
      </c>
      <c r="J5068" s="556">
        <f t="shared" si="169"/>
        <v>0</v>
      </c>
    </row>
    <row r="5069" spans="1:10" hidden="1" x14ac:dyDescent="0.25">
      <c r="F5069" s="499">
        <v>425</v>
      </c>
      <c r="G5069" s="492" t="s">
        <v>4144</v>
      </c>
      <c r="J5069" s="556">
        <f t="shared" si="169"/>
        <v>0</v>
      </c>
    </row>
    <row r="5070" spans="1:10" hidden="1" x14ac:dyDescent="0.25">
      <c r="F5070" s="499">
        <v>426</v>
      </c>
      <c r="G5070" s="492" t="s">
        <v>3787</v>
      </c>
      <c r="J5070" s="556">
        <f t="shared" si="169"/>
        <v>0</v>
      </c>
    </row>
    <row r="5071" spans="1:10" hidden="1" x14ac:dyDescent="0.25">
      <c r="F5071" s="499">
        <v>431</v>
      </c>
      <c r="G5071" s="492" t="s">
        <v>4145</v>
      </c>
      <c r="J5071" s="556">
        <f t="shared" si="169"/>
        <v>0</v>
      </c>
    </row>
    <row r="5072" spans="1:10" hidden="1" x14ac:dyDescent="0.25">
      <c r="F5072" s="499">
        <v>432</v>
      </c>
      <c r="G5072" s="492" t="s">
        <v>4146</v>
      </c>
      <c r="J5072" s="556">
        <f t="shared" si="169"/>
        <v>0</v>
      </c>
    </row>
    <row r="5073" spans="6:10" hidden="1" x14ac:dyDescent="0.25">
      <c r="F5073" s="499">
        <v>433</v>
      </c>
      <c r="G5073" s="492" t="s">
        <v>4147</v>
      </c>
      <c r="J5073" s="556">
        <f t="shared" si="169"/>
        <v>0</v>
      </c>
    </row>
    <row r="5074" spans="6:10" hidden="1" x14ac:dyDescent="0.25">
      <c r="F5074" s="499">
        <v>434</v>
      </c>
      <c r="G5074" s="492" t="s">
        <v>4148</v>
      </c>
      <c r="J5074" s="556">
        <f t="shared" si="169"/>
        <v>0</v>
      </c>
    </row>
    <row r="5075" spans="6:10" hidden="1" x14ac:dyDescent="0.25">
      <c r="F5075" s="499">
        <v>435</v>
      </c>
      <c r="G5075" s="492" t="s">
        <v>3794</v>
      </c>
      <c r="J5075" s="556">
        <f t="shared" si="169"/>
        <v>0</v>
      </c>
    </row>
    <row r="5076" spans="6:10" hidden="1" x14ac:dyDescent="0.25">
      <c r="F5076" s="499">
        <v>441</v>
      </c>
      <c r="G5076" s="492" t="s">
        <v>4149</v>
      </c>
      <c r="J5076" s="556">
        <f t="shared" si="169"/>
        <v>0</v>
      </c>
    </row>
    <row r="5077" spans="6:10" hidden="1" x14ac:dyDescent="0.25">
      <c r="F5077" s="499">
        <v>442</v>
      </c>
      <c r="G5077" s="492" t="s">
        <v>4150</v>
      </c>
      <c r="J5077" s="556">
        <f t="shared" si="169"/>
        <v>0</v>
      </c>
    </row>
    <row r="5078" spans="6:10" hidden="1" x14ac:dyDescent="0.25">
      <c r="F5078" s="499">
        <v>443</v>
      </c>
      <c r="G5078" s="492" t="s">
        <v>3799</v>
      </c>
      <c r="J5078" s="556">
        <f t="shared" si="169"/>
        <v>0</v>
      </c>
    </row>
    <row r="5079" spans="6:10" hidden="1" x14ac:dyDescent="0.25">
      <c r="F5079" s="499">
        <v>444</v>
      </c>
      <c r="G5079" s="492" t="s">
        <v>3800</v>
      </c>
      <c r="J5079" s="556">
        <f t="shared" si="169"/>
        <v>0</v>
      </c>
    </row>
    <row r="5080" spans="6:10" ht="30" hidden="1" x14ac:dyDescent="0.25">
      <c r="F5080" s="499">
        <v>4511</v>
      </c>
      <c r="G5080" s="771" t="s">
        <v>1690</v>
      </c>
      <c r="J5080" s="556">
        <f t="shared" si="169"/>
        <v>0</v>
      </c>
    </row>
    <row r="5081" spans="6:10" ht="30" hidden="1" x14ac:dyDescent="0.25">
      <c r="F5081" s="499">
        <v>4512</v>
      </c>
      <c r="G5081" s="771" t="s">
        <v>1699</v>
      </c>
      <c r="J5081" s="556">
        <f t="shared" si="169"/>
        <v>0</v>
      </c>
    </row>
    <row r="5082" spans="6:10" hidden="1" x14ac:dyDescent="0.25">
      <c r="F5082" s="499">
        <v>452</v>
      </c>
      <c r="G5082" s="492" t="s">
        <v>4151</v>
      </c>
      <c r="J5082" s="556">
        <f t="shared" si="169"/>
        <v>0</v>
      </c>
    </row>
    <row r="5083" spans="6:10" hidden="1" x14ac:dyDescent="0.25">
      <c r="F5083" s="499">
        <v>453</v>
      </c>
      <c r="G5083" s="492" t="s">
        <v>4152</v>
      </c>
      <c r="J5083" s="556">
        <f t="shared" si="169"/>
        <v>0</v>
      </c>
    </row>
    <row r="5084" spans="6:10" hidden="1" x14ac:dyDescent="0.25">
      <c r="F5084" s="499">
        <v>454</v>
      </c>
      <c r="G5084" s="492" t="s">
        <v>3805</v>
      </c>
      <c r="J5084" s="556">
        <f t="shared" si="169"/>
        <v>0</v>
      </c>
    </row>
    <row r="5085" spans="6:10" hidden="1" x14ac:dyDescent="0.25">
      <c r="F5085" s="499">
        <v>461</v>
      </c>
      <c r="G5085" s="492" t="s">
        <v>4133</v>
      </c>
      <c r="J5085" s="556">
        <f t="shared" si="169"/>
        <v>0</v>
      </c>
    </row>
    <row r="5086" spans="6:10" hidden="1" x14ac:dyDescent="0.25">
      <c r="F5086" s="499">
        <v>462</v>
      </c>
      <c r="G5086" s="492" t="s">
        <v>3808</v>
      </c>
      <c r="J5086" s="556">
        <f t="shared" si="169"/>
        <v>0</v>
      </c>
    </row>
    <row r="5087" spans="6:10" hidden="1" x14ac:dyDescent="0.25">
      <c r="F5087" s="499">
        <v>4631</v>
      </c>
      <c r="G5087" s="492" t="s">
        <v>3809</v>
      </c>
      <c r="J5087" s="556">
        <f t="shared" si="169"/>
        <v>0</v>
      </c>
    </row>
    <row r="5088" spans="6:10" hidden="1" x14ac:dyDescent="0.25">
      <c r="F5088" s="499">
        <v>4632</v>
      </c>
      <c r="G5088" s="492" t="s">
        <v>3810</v>
      </c>
      <c r="J5088" s="556">
        <f t="shared" si="169"/>
        <v>0</v>
      </c>
    </row>
    <row r="5089" spans="5:10" hidden="1" x14ac:dyDescent="0.25">
      <c r="F5089" s="499">
        <v>464</v>
      </c>
      <c r="G5089" s="492" t="s">
        <v>3811</v>
      </c>
      <c r="J5089" s="556">
        <f t="shared" si="169"/>
        <v>0</v>
      </c>
    </row>
    <row r="5090" spans="5:10" hidden="1" x14ac:dyDescent="0.25">
      <c r="F5090" s="499">
        <v>465</v>
      </c>
      <c r="G5090" s="492" t="s">
        <v>4134</v>
      </c>
      <c r="J5090" s="556">
        <f t="shared" si="169"/>
        <v>0</v>
      </c>
    </row>
    <row r="5091" spans="5:10" ht="90.75" thickBot="1" x14ac:dyDescent="0.3">
      <c r="E5091" s="679" t="s">
        <v>5370</v>
      </c>
      <c r="F5091" s="499">
        <v>472</v>
      </c>
      <c r="G5091" s="686" t="s">
        <v>5313</v>
      </c>
      <c r="H5091" s="555">
        <v>4900000</v>
      </c>
      <c r="I5091" s="556">
        <v>332745</v>
      </c>
      <c r="J5091" s="556">
        <f t="shared" si="169"/>
        <v>5232745</v>
      </c>
    </row>
    <row r="5092" spans="5:10" hidden="1" x14ac:dyDescent="0.25">
      <c r="E5092" s="679">
        <v>63</v>
      </c>
      <c r="F5092" s="499">
        <v>481</v>
      </c>
      <c r="G5092" s="492" t="s">
        <v>4153</v>
      </c>
      <c r="J5092" s="556">
        <f t="shared" si="169"/>
        <v>0</v>
      </c>
    </row>
    <row r="5093" spans="5:10" hidden="1" x14ac:dyDescent="0.25">
      <c r="F5093" s="499">
        <v>482</v>
      </c>
      <c r="G5093" s="492" t="s">
        <v>4154</v>
      </c>
      <c r="J5093" s="556">
        <f t="shared" si="169"/>
        <v>0</v>
      </c>
    </row>
    <row r="5094" spans="5:10" hidden="1" x14ac:dyDescent="0.25">
      <c r="F5094" s="499">
        <v>483</v>
      </c>
      <c r="G5094" s="496" t="s">
        <v>4155</v>
      </c>
      <c r="J5094" s="556">
        <f t="shared" si="169"/>
        <v>0</v>
      </c>
    </row>
    <row r="5095" spans="5:10" ht="30" hidden="1" x14ac:dyDescent="0.25">
      <c r="F5095" s="499">
        <v>484</v>
      </c>
      <c r="G5095" s="492" t="s">
        <v>4156</v>
      </c>
      <c r="J5095" s="556">
        <f t="shared" si="169"/>
        <v>0</v>
      </c>
    </row>
    <row r="5096" spans="5:10" ht="30" hidden="1" x14ac:dyDescent="0.25">
      <c r="F5096" s="499">
        <v>485</v>
      </c>
      <c r="G5096" s="492" t="s">
        <v>4157</v>
      </c>
      <c r="J5096" s="556">
        <f t="shared" si="169"/>
        <v>0</v>
      </c>
    </row>
    <row r="5097" spans="5:10" ht="30" hidden="1" x14ac:dyDescent="0.25">
      <c r="F5097" s="499">
        <v>489</v>
      </c>
      <c r="G5097" s="492" t="s">
        <v>3823</v>
      </c>
      <c r="J5097" s="556">
        <f t="shared" si="169"/>
        <v>0</v>
      </c>
    </row>
    <row r="5098" spans="5:10" hidden="1" x14ac:dyDescent="0.25">
      <c r="F5098" s="499">
        <v>494</v>
      </c>
      <c r="G5098" s="492" t="s">
        <v>4135</v>
      </c>
      <c r="J5098" s="556">
        <f t="shared" si="169"/>
        <v>0</v>
      </c>
    </row>
    <row r="5099" spans="5:10" ht="30" hidden="1" x14ac:dyDescent="0.25">
      <c r="F5099" s="499">
        <v>495</v>
      </c>
      <c r="G5099" s="492" t="s">
        <v>4136</v>
      </c>
      <c r="J5099" s="556">
        <f t="shared" si="169"/>
        <v>0</v>
      </c>
    </row>
    <row r="5100" spans="5:10" ht="30" hidden="1" x14ac:dyDescent="0.25">
      <c r="F5100" s="499">
        <v>496</v>
      </c>
      <c r="G5100" s="492" t="s">
        <v>4137</v>
      </c>
      <c r="J5100" s="556">
        <f t="shared" si="169"/>
        <v>0</v>
      </c>
    </row>
    <row r="5101" spans="5:10" ht="30" hidden="1" x14ac:dyDescent="0.25">
      <c r="F5101" s="499">
        <v>499</v>
      </c>
      <c r="G5101" s="492" t="s">
        <v>4138</v>
      </c>
      <c r="J5101" s="556">
        <f t="shared" si="169"/>
        <v>0</v>
      </c>
    </row>
    <row r="5102" spans="5:10" hidden="1" x14ac:dyDescent="0.25">
      <c r="F5102" s="499">
        <v>511</v>
      </c>
      <c r="G5102" s="496" t="s">
        <v>4158</v>
      </c>
      <c r="J5102" s="556">
        <f t="shared" si="169"/>
        <v>0</v>
      </c>
    </row>
    <row r="5103" spans="5:10" hidden="1" x14ac:dyDescent="0.25">
      <c r="F5103" s="499">
        <v>512</v>
      </c>
      <c r="G5103" s="496" t="s">
        <v>4159</v>
      </c>
      <c r="J5103" s="556">
        <f t="shared" si="169"/>
        <v>0</v>
      </c>
    </row>
    <row r="5104" spans="5:10" hidden="1" x14ac:dyDescent="0.25">
      <c r="F5104" s="499">
        <v>513</v>
      </c>
      <c r="G5104" s="496" t="s">
        <v>4160</v>
      </c>
      <c r="J5104" s="556">
        <f t="shared" si="169"/>
        <v>0</v>
      </c>
    </row>
    <row r="5105" spans="5:10" hidden="1" x14ac:dyDescent="0.25">
      <c r="F5105" s="499">
        <v>514</v>
      </c>
      <c r="G5105" s="492" t="s">
        <v>4161</v>
      </c>
      <c r="J5105" s="556">
        <f t="shared" si="169"/>
        <v>0</v>
      </c>
    </row>
    <row r="5106" spans="5:10" hidden="1" x14ac:dyDescent="0.25">
      <c r="F5106" s="499">
        <v>515</v>
      </c>
      <c r="G5106" s="492" t="s">
        <v>3834</v>
      </c>
      <c r="J5106" s="556">
        <f t="shared" si="169"/>
        <v>0</v>
      </c>
    </row>
    <row r="5107" spans="5:10" hidden="1" x14ac:dyDescent="0.25">
      <c r="F5107" s="499">
        <v>521</v>
      </c>
      <c r="G5107" s="492" t="s">
        <v>4162</v>
      </c>
      <c r="J5107" s="556">
        <f t="shared" si="169"/>
        <v>0</v>
      </c>
    </row>
    <row r="5108" spans="5:10" hidden="1" x14ac:dyDescent="0.25">
      <c r="F5108" s="499">
        <v>522</v>
      </c>
      <c r="G5108" s="492" t="s">
        <v>4163</v>
      </c>
      <c r="J5108" s="556">
        <f t="shared" si="169"/>
        <v>0</v>
      </c>
    </row>
    <row r="5109" spans="5:10" hidden="1" x14ac:dyDescent="0.25">
      <c r="F5109" s="499">
        <v>523</v>
      </c>
      <c r="G5109" s="492" t="s">
        <v>3839</v>
      </c>
      <c r="J5109" s="556">
        <f t="shared" si="169"/>
        <v>0</v>
      </c>
    </row>
    <row r="5110" spans="5:10" hidden="1" x14ac:dyDescent="0.25">
      <c r="F5110" s="499">
        <v>531</v>
      </c>
      <c r="G5110" s="488" t="s">
        <v>4139</v>
      </c>
      <c r="J5110" s="556">
        <f t="shared" si="169"/>
        <v>0</v>
      </c>
    </row>
    <row r="5111" spans="5:10" hidden="1" x14ac:dyDescent="0.25">
      <c r="F5111" s="499">
        <v>541</v>
      </c>
      <c r="G5111" s="492" t="s">
        <v>4164</v>
      </c>
      <c r="J5111" s="556">
        <f t="shared" si="169"/>
        <v>0</v>
      </c>
    </row>
    <row r="5112" spans="5:10" hidden="1" x14ac:dyDescent="0.25">
      <c r="F5112" s="499">
        <v>542</v>
      </c>
      <c r="G5112" s="492" t="s">
        <v>4165</v>
      </c>
      <c r="J5112" s="556">
        <f t="shared" si="169"/>
        <v>0</v>
      </c>
    </row>
    <row r="5113" spans="5:10" hidden="1" x14ac:dyDescent="0.25">
      <c r="F5113" s="499">
        <v>543</v>
      </c>
      <c r="G5113" s="492" t="s">
        <v>3844</v>
      </c>
      <c r="J5113" s="556">
        <f t="shared" si="169"/>
        <v>0</v>
      </c>
    </row>
    <row r="5114" spans="5:10" ht="30" hidden="1" x14ac:dyDescent="0.25">
      <c r="F5114" s="499">
        <v>551</v>
      </c>
      <c r="G5114" s="492" t="s">
        <v>4140</v>
      </c>
      <c r="J5114" s="556">
        <f t="shared" si="169"/>
        <v>0</v>
      </c>
    </row>
    <row r="5115" spans="5:10" hidden="1" x14ac:dyDescent="0.25">
      <c r="F5115" s="500">
        <v>611</v>
      </c>
      <c r="G5115" s="498" t="s">
        <v>3850</v>
      </c>
      <c r="J5115" s="556">
        <f t="shared" si="169"/>
        <v>0</v>
      </c>
    </row>
    <row r="5116" spans="5:10" ht="8.25" hidden="1" customHeight="1" x14ac:dyDescent="0.25">
      <c r="F5116" s="500">
        <v>620</v>
      </c>
      <c r="G5116" s="498" t="s">
        <v>88</v>
      </c>
      <c r="J5116" s="556">
        <f t="shared" si="169"/>
        <v>0</v>
      </c>
    </row>
    <row r="5117" spans="5:10" ht="12.75" hidden="1" customHeight="1" thickBot="1" x14ac:dyDescent="0.3">
      <c r="F5117" s="500"/>
      <c r="G5117" s="498"/>
      <c r="J5117" s="726"/>
    </row>
    <row r="5118" spans="5:10" x14ac:dyDescent="0.25">
      <c r="E5118" s="489"/>
      <c r="F5118" s="500"/>
      <c r="G5118" s="342" t="s">
        <v>5029</v>
      </c>
      <c r="H5118" s="557"/>
      <c r="I5118" s="583"/>
      <c r="J5118" s="726"/>
    </row>
    <row r="5119" spans="5:10" x14ac:dyDescent="0.25">
      <c r="E5119" s="693"/>
      <c r="F5119" s="597" t="s">
        <v>234</v>
      </c>
      <c r="G5119" s="598" t="s">
        <v>235</v>
      </c>
      <c r="H5119" s="559">
        <f>SUM(H5057:H5116)</f>
        <v>4900000</v>
      </c>
      <c r="I5119" s="560"/>
      <c r="J5119" s="560">
        <f>SUM(H5119:I5119)</f>
        <v>4900000</v>
      </c>
    </row>
    <row r="5120" spans="5:10" hidden="1" x14ac:dyDescent="0.25">
      <c r="F5120" s="597" t="s">
        <v>236</v>
      </c>
      <c r="G5120" s="598" t="s">
        <v>237</v>
      </c>
      <c r="J5120" s="560">
        <f t="shared" ref="J5120:J5134" si="170">SUM(H5120:I5120)</f>
        <v>0</v>
      </c>
    </row>
    <row r="5121" spans="5:10" hidden="1" x14ac:dyDescent="0.25">
      <c r="F5121" s="597" t="s">
        <v>238</v>
      </c>
      <c r="G5121" s="598" t="s">
        <v>239</v>
      </c>
      <c r="J5121" s="560">
        <f t="shared" si="170"/>
        <v>0</v>
      </c>
    </row>
    <row r="5122" spans="5:10" hidden="1" x14ac:dyDescent="0.25">
      <c r="F5122" s="597" t="s">
        <v>240</v>
      </c>
      <c r="G5122" s="598" t="s">
        <v>241</v>
      </c>
      <c r="J5122" s="560">
        <f t="shared" si="170"/>
        <v>0</v>
      </c>
    </row>
    <row r="5123" spans="5:10" hidden="1" x14ac:dyDescent="0.25">
      <c r="F5123" s="597" t="s">
        <v>242</v>
      </c>
      <c r="G5123" s="598" t="s">
        <v>243</v>
      </c>
      <c r="J5123" s="560">
        <f t="shared" si="170"/>
        <v>0</v>
      </c>
    </row>
    <row r="5124" spans="5:10" hidden="1" x14ac:dyDescent="0.25">
      <c r="F5124" s="597" t="s">
        <v>244</v>
      </c>
      <c r="G5124" s="598" t="s">
        <v>245</v>
      </c>
      <c r="J5124" s="560">
        <f t="shared" si="170"/>
        <v>0</v>
      </c>
    </row>
    <row r="5125" spans="5:10" ht="15.75" thickBot="1" x14ac:dyDescent="0.3">
      <c r="F5125" s="597" t="s">
        <v>246</v>
      </c>
      <c r="G5125" s="598" t="s">
        <v>4996</v>
      </c>
      <c r="I5125" s="556">
        <v>332745</v>
      </c>
      <c r="J5125" s="560">
        <f t="shared" si="170"/>
        <v>332745</v>
      </c>
    </row>
    <row r="5126" spans="5:10" hidden="1" x14ac:dyDescent="0.25">
      <c r="F5126" s="597" t="s">
        <v>247</v>
      </c>
      <c r="G5126" s="598" t="s">
        <v>4995</v>
      </c>
      <c r="J5126" s="560">
        <f t="shared" si="170"/>
        <v>0</v>
      </c>
    </row>
    <row r="5127" spans="5:10" hidden="1" x14ac:dyDescent="0.25">
      <c r="F5127" s="597" t="s">
        <v>248</v>
      </c>
      <c r="G5127" s="598" t="s">
        <v>57</v>
      </c>
      <c r="J5127" s="560">
        <f t="shared" si="170"/>
        <v>0</v>
      </c>
    </row>
    <row r="5128" spans="5:10" hidden="1" x14ac:dyDescent="0.25">
      <c r="F5128" s="597" t="s">
        <v>249</v>
      </c>
      <c r="G5128" s="598" t="s">
        <v>250</v>
      </c>
      <c r="J5128" s="560">
        <f t="shared" si="170"/>
        <v>0</v>
      </c>
    </row>
    <row r="5129" spans="5:10" hidden="1" x14ac:dyDescent="0.25">
      <c r="F5129" s="597" t="s">
        <v>251</v>
      </c>
      <c r="G5129" s="598" t="s">
        <v>252</v>
      </c>
      <c r="J5129" s="560">
        <f t="shared" si="170"/>
        <v>0</v>
      </c>
    </row>
    <row r="5130" spans="5:10" ht="30" hidden="1" x14ac:dyDescent="0.25">
      <c r="F5130" s="597" t="s">
        <v>253</v>
      </c>
      <c r="G5130" s="598" t="s">
        <v>254</v>
      </c>
      <c r="J5130" s="560">
        <f t="shared" si="170"/>
        <v>0</v>
      </c>
    </row>
    <row r="5131" spans="5:10" hidden="1" x14ac:dyDescent="0.25">
      <c r="F5131" s="597" t="s">
        <v>255</v>
      </c>
      <c r="G5131" s="598" t="s">
        <v>256</v>
      </c>
      <c r="J5131" s="560">
        <f t="shared" si="170"/>
        <v>0</v>
      </c>
    </row>
    <row r="5132" spans="5:10" ht="30" hidden="1" x14ac:dyDescent="0.25">
      <c r="F5132" s="597" t="s">
        <v>257</v>
      </c>
      <c r="G5132" s="598" t="s">
        <v>258</v>
      </c>
      <c r="J5132" s="560">
        <f t="shared" si="170"/>
        <v>0</v>
      </c>
    </row>
    <row r="5133" spans="5:10" hidden="1" x14ac:dyDescent="0.25">
      <c r="F5133" s="597" t="s">
        <v>259</v>
      </c>
      <c r="G5133" s="598" t="s">
        <v>260</v>
      </c>
      <c r="J5133" s="560">
        <f t="shared" si="170"/>
        <v>0</v>
      </c>
    </row>
    <row r="5134" spans="5:10" ht="15.75" hidden="1" thickBot="1" x14ac:dyDescent="0.3">
      <c r="F5134" s="597" t="s">
        <v>261</v>
      </c>
      <c r="G5134" s="598" t="s">
        <v>262</v>
      </c>
      <c r="H5134" s="559"/>
      <c r="I5134" s="560"/>
      <c r="J5134" s="560">
        <f t="shared" si="170"/>
        <v>0</v>
      </c>
    </row>
    <row r="5135" spans="5:10" ht="15.75" thickBot="1" x14ac:dyDescent="0.3">
      <c r="G5135" s="268" t="s">
        <v>5030</v>
      </c>
      <c r="H5135" s="561">
        <f>SUM(H5119:H5134)</f>
        <v>4900000</v>
      </c>
      <c r="I5135" s="562">
        <f>SUM(I5120:I5134)</f>
        <v>332745</v>
      </c>
      <c r="J5135" s="562">
        <f>SUM(J5119:J5134)</f>
        <v>5232745</v>
      </c>
    </row>
    <row r="5136" spans="5:10" ht="28.5" collapsed="1" x14ac:dyDescent="0.25">
      <c r="E5136" s="489"/>
      <c r="F5136" s="500"/>
      <c r="G5136" s="270" t="s">
        <v>5079</v>
      </c>
      <c r="H5136" s="563"/>
      <c r="I5136" s="584"/>
      <c r="J5136" s="564"/>
    </row>
    <row r="5137" spans="5:10" x14ac:dyDescent="0.25">
      <c r="E5137" s="693"/>
      <c r="F5137" s="597" t="s">
        <v>234</v>
      </c>
      <c r="G5137" s="598" t="s">
        <v>235</v>
      </c>
      <c r="H5137" s="559">
        <f>SUM(H5057:H5116)</f>
        <v>4900000</v>
      </c>
      <c r="I5137" s="560"/>
      <c r="J5137" s="560">
        <f>SUM(H5137:I5137)</f>
        <v>4900000</v>
      </c>
    </row>
    <row r="5138" spans="5:10" hidden="1" x14ac:dyDescent="0.25">
      <c r="F5138" s="597" t="s">
        <v>236</v>
      </c>
      <c r="G5138" s="598" t="s">
        <v>237</v>
      </c>
      <c r="J5138" s="560">
        <f t="shared" ref="J5138:J5152" si="171">SUM(H5138:I5138)</f>
        <v>0</v>
      </c>
    </row>
    <row r="5139" spans="5:10" hidden="1" x14ac:dyDescent="0.25">
      <c r="F5139" s="597" t="s">
        <v>238</v>
      </c>
      <c r="G5139" s="598" t="s">
        <v>239</v>
      </c>
      <c r="J5139" s="560">
        <f t="shared" si="171"/>
        <v>0</v>
      </c>
    </row>
    <row r="5140" spans="5:10" hidden="1" x14ac:dyDescent="0.25">
      <c r="F5140" s="597" t="s">
        <v>240</v>
      </c>
      <c r="G5140" s="598" t="s">
        <v>241</v>
      </c>
      <c r="J5140" s="560">
        <f t="shared" si="171"/>
        <v>0</v>
      </c>
    </row>
    <row r="5141" spans="5:10" hidden="1" x14ac:dyDescent="0.25">
      <c r="F5141" s="597" t="s">
        <v>242</v>
      </c>
      <c r="G5141" s="598" t="s">
        <v>243</v>
      </c>
      <c r="J5141" s="560">
        <f t="shared" si="171"/>
        <v>0</v>
      </c>
    </row>
    <row r="5142" spans="5:10" hidden="1" x14ac:dyDescent="0.25">
      <c r="F5142" s="597" t="s">
        <v>244</v>
      </c>
      <c r="G5142" s="598" t="s">
        <v>245</v>
      </c>
      <c r="J5142" s="560">
        <f t="shared" si="171"/>
        <v>0</v>
      </c>
    </row>
    <row r="5143" spans="5:10" ht="15.75" thickBot="1" x14ac:dyDescent="0.3">
      <c r="F5143" s="597" t="s">
        <v>246</v>
      </c>
      <c r="G5143" s="598" t="s">
        <v>4996</v>
      </c>
      <c r="I5143" s="556">
        <v>332745</v>
      </c>
      <c r="J5143" s="560">
        <f t="shared" si="171"/>
        <v>332745</v>
      </c>
    </row>
    <row r="5144" spans="5:10" hidden="1" x14ac:dyDescent="0.25">
      <c r="F5144" s="597" t="s">
        <v>247</v>
      </c>
      <c r="G5144" s="598" t="s">
        <v>4995</v>
      </c>
      <c r="J5144" s="560">
        <f t="shared" si="171"/>
        <v>0</v>
      </c>
    </row>
    <row r="5145" spans="5:10" hidden="1" x14ac:dyDescent="0.25">
      <c r="F5145" s="597" t="s">
        <v>248</v>
      </c>
      <c r="G5145" s="598" t="s">
        <v>57</v>
      </c>
      <c r="J5145" s="560">
        <f t="shared" si="171"/>
        <v>0</v>
      </c>
    </row>
    <row r="5146" spans="5:10" hidden="1" x14ac:dyDescent="0.25">
      <c r="F5146" s="597" t="s">
        <v>249</v>
      </c>
      <c r="G5146" s="598" t="s">
        <v>250</v>
      </c>
      <c r="J5146" s="560">
        <f t="shared" si="171"/>
        <v>0</v>
      </c>
    </row>
    <row r="5147" spans="5:10" hidden="1" x14ac:dyDescent="0.25">
      <c r="F5147" s="597" t="s">
        <v>251</v>
      </c>
      <c r="G5147" s="598" t="s">
        <v>252</v>
      </c>
      <c r="J5147" s="560">
        <f t="shared" si="171"/>
        <v>0</v>
      </c>
    </row>
    <row r="5148" spans="5:10" ht="30" hidden="1" x14ac:dyDescent="0.25">
      <c r="F5148" s="597" t="s">
        <v>253</v>
      </c>
      <c r="G5148" s="598" t="s">
        <v>254</v>
      </c>
      <c r="J5148" s="560">
        <f t="shared" si="171"/>
        <v>0</v>
      </c>
    </row>
    <row r="5149" spans="5:10" hidden="1" x14ac:dyDescent="0.25">
      <c r="F5149" s="597" t="s">
        <v>255</v>
      </c>
      <c r="G5149" s="598" t="s">
        <v>256</v>
      </c>
      <c r="J5149" s="560">
        <f t="shared" si="171"/>
        <v>0</v>
      </c>
    </row>
    <row r="5150" spans="5:10" ht="30" hidden="1" x14ac:dyDescent="0.25">
      <c r="F5150" s="597" t="s">
        <v>257</v>
      </c>
      <c r="G5150" s="598" t="s">
        <v>258</v>
      </c>
      <c r="J5150" s="560">
        <f t="shared" si="171"/>
        <v>0</v>
      </c>
    </row>
    <row r="5151" spans="5:10" hidden="1" x14ac:dyDescent="0.25">
      <c r="F5151" s="597" t="s">
        <v>259</v>
      </c>
      <c r="G5151" s="598" t="s">
        <v>260</v>
      </c>
      <c r="J5151" s="560">
        <f t="shared" si="171"/>
        <v>0</v>
      </c>
    </row>
    <row r="5152" spans="5:10" ht="15.75" hidden="1" thickBot="1" x14ac:dyDescent="0.3">
      <c r="F5152" s="597" t="s">
        <v>261</v>
      </c>
      <c r="G5152" s="598" t="s">
        <v>262</v>
      </c>
      <c r="H5152" s="559"/>
      <c r="I5152" s="560"/>
      <c r="J5152" s="560">
        <f t="shared" si="171"/>
        <v>0</v>
      </c>
    </row>
    <row r="5153" spans="3:10" ht="15.75" collapsed="1" thickBot="1" x14ac:dyDescent="0.3">
      <c r="G5153" s="268" t="s">
        <v>5080</v>
      </c>
      <c r="H5153" s="561">
        <f>SUM(H5137:H5152)</f>
        <v>4900000</v>
      </c>
      <c r="I5153" s="562">
        <f>SUM(I5138:I5152)</f>
        <v>332745</v>
      </c>
      <c r="J5153" s="562">
        <f>SUM(J5137:J5152)</f>
        <v>5232745</v>
      </c>
    </row>
    <row r="5154" spans="3:10" ht="0.75" customHeight="1" x14ac:dyDescent="0.25">
      <c r="G5154" s="312"/>
      <c r="H5154" s="565"/>
      <c r="I5154" s="566"/>
      <c r="J5154" s="566"/>
    </row>
    <row r="5155" spans="3:10" x14ac:dyDescent="0.25">
      <c r="C5155" s="267" t="s">
        <v>5115</v>
      </c>
      <c r="D5155" s="259"/>
      <c r="G5155" s="483" t="s">
        <v>5078</v>
      </c>
      <c r="J5155" s="84"/>
    </row>
    <row r="5156" spans="3:10" ht="13.5" customHeight="1" x14ac:dyDescent="0.25">
      <c r="D5156" s="350" t="s">
        <v>3864</v>
      </c>
      <c r="E5156" s="880"/>
      <c r="F5156" s="349"/>
      <c r="G5156" s="764" t="s">
        <v>96</v>
      </c>
      <c r="H5156" s="588"/>
      <c r="I5156" s="571"/>
      <c r="J5156" s="589"/>
    </row>
    <row r="5157" spans="3:10" ht="30.75" thickBot="1" x14ac:dyDescent="0.3">
      <c r="E5157" s="679" t="s">
        <v>5371</v>
      </c>
      <c r="F5157" s="499">
        <v>472</v>
      </c>
      <c r="G5157" s="492" t="s">
        <v>3815</v>
      </c>
      <c r="H5157" s="555">
        <v>500000</v>
      </c>
      <c r="I5157" s="556">
        <v>1600000</v>
      </c>
      <c r="J5157" s="556">
        <f t="shared" ref="J5157" si="172">SUM(H5157:I5157)</f>
        <v>2100000</v>
      </c>
    </row>
    <row r="5158" spans="3:10" x14ac:dyDescent="0.25">
      <c r="G5158" s="342" t="s">
        <v>5356</v>
      </c>
      <c r="H5158" s="557"/>
      <c r="I5158" s="583"/>
      <c r="J5158" s="558"/>
    </row>
    <row r="5159" spans="3:10" ht="15.75" thickBot="1" x14ac:dyDescent="0.3">
      <c r="F5159" s="597" t="s">
        <v>234</v>
      </c>
      <c r="G5159" s="598" t="s">
        <v>235</v>
      </c>
      <c r="H5159" s="559">
        <f>SUM(H5157)</f>
        <v>500000</v>
      </c>
      <c r="I5159" s="560"/>
      <c r="J5159" s="560">
        <f>SUM(H5159:I5159)</f>
        <v>500000</v>
      </c>
    </row>
    <row r="5160" spans="3:10" ht="15.75" thickBot="1" x14ac:dyDescent="0.3">
      <c r="G5160" s="268" t="s">
        <v>5357</v>
      </c>
      <c r="H5160" s="561">
        <f>SUM(H5159)</f>
        <v>500000</v>
      </c>
      <c r="I5160" s="562">
        <f>SUM(I5155:I5159)</f>
        <v>1600000</v>
      </c>
      <c r="J5160" s="562">
        <f>SUM(J5159)</f>
        <v>500000</v>
      </c>
    </row>
    <row r="5161" spans="3:10" ht="28.5" x14ac:dyDescent="0.25">
      <c r="G5161" s="270" t="s">
        <v>5423</v>
      </c>
      <c r="H5161" s="563"/>
      <c r="I5161" s="584"/>
      <c r="J5161" s="564"/>
    </row>
    <row r="5162" spans="3:10" ht="15.75" thickBot="1" x14ac:dyDescent="0.3">
      <c r="F5162" s="597" t="s">
        <v>234</v>
      </c>
      <c r="G5162" s="598" t="s">
        <v>235</v>
      </c>
      <c r="H5162" s="559">
        <f>SUM(H5160)</f>
        <v>500000</v>
      </c>
      <c r="I5162" s="560"/>
      <c r="J5162" s="560">
        <f>SUM(H5162:I5162)</f>
        <v>500000</v>
      </c>
    </row>
    <row r="5163" spans="3:10" ht="13.5" customHeight="1" thickBot="1" x14ac:dyDescent="0.3">
      <c r="G5163" s="268" t="s">
        <v>5424</v>
      </c>
      <c r="H5163" s="561">
        <f>SUM(H5162)</f>
        <v>500000</v>
      </c>
      <c r="I5163" s="562">
        <f>SUM(I5157)</f>
        <v>1600000</v>
      </c>
      <c r="J5163" s="562">
        <f>SUM(J5162)</f>
        <v>500000</v>
      </c>
    </row>
    <row r="5164" spans="3:10" ht="7.5" customHeight="1" x14ac:dyDescent="0.25">
      <c r="G5164" s="312"/>
      <c r="H5164" s="565"/>
      <c r="I5164" s="566"/>
      <c r="J5164" s="566"/>
    </row>
    <row r="5165" spans="3:10" ht="5.25" hidden="1" customHeight="1" x14ac:dyDescent="0.25">
      <c r="G5165" s="312"/>
      <c r="H5165" s="565"/>
      <c r="I5165" s="566"/>
      <c r="J5165" s="566"/>
    </row>
    <row r="5166" spans="3:10" hidden="1" x14ac:dyDescent="0.25">
      <c r="C5166" s="267" t="s">
        <v>4684</v>
      </c>
      <c r="D5166" s="259"/>
      <c r="G5166" s="483" t="s">
        <v>5035</v>
      </c>
    </row>
    <row r="5167" spans="3:10" ht="19.5" hidden="1" customHeight="1" x14ac:dyDescent="0.25">
      <c r="C5167" s="334"/>
      <c r="D5167" s="350" t="s">
        <v>3878</v>
      </c>
      <c r="E5167" s="880"/>
      <c r="F5167" s="349"/>
      <c r="G5167" s="333" t="s">
        <v>4181</v>
      </c>
      <c r="H5167" s="588"/>
      <c r="I5167" s="571"/>
      <c r="J5167" s="589"/>
    </row>
    <row r="5168" spans="3:10" hidden="1" x14ac:dyDescent="0.25">
      <c r="F5168" s="499">
        <v>411</v>
      </c>
      <c r="G5168" s="492" t="s">
        <v>4131</v>
      </c>
      <c r="J5168" s="556">
        <f>SUM(H5168:I5168)</f>
        <v>0</v>
      </c>
    </row>
    <row r="5169" spans="6:10" hidden="1" x14ac:dyDescent="0.25">
      <c r="F5169" s="499">
        <v>412</v>
      </c>
      <c r="G5169" s="488" t="s">
        <v>3766</v>
      </c>
      <c r="J5169" s="556">
        <f t="shared" ref="J5169:J5227" si="173">SUM(H5169:I5169)</f>
        <v>0</v>
      </c>
    </row>
    <row r="5170" spans="6:10" hidden="1" x14ac:dyDescent="0.25">
      <c r="F5170" s="499">
        <v>413</v>
      </c>
      <c r="G5170" s="492" t="s">
        <v>4132</v>
      </c>
      <c r="J5170" s="556">
        <f t="shared" si="173"/>
        <v>0</v>
      </c>
    </row>
    <row r="5171" spans="6:10" hidden="1" x14ac:dyDescent="0.25">
      <c r="F5171" s="499">
        <v>414</v>
      </c>
      <c r="G5171" s="492" t="s">
        <v>3769</v>
      </c>
      <c r="J5171" s="556">
        <f t="shared" si="173"/>
        <v>0</v>
      </c>
    </row>
    <row r="5172" spans="6:10" hidden="1" x14ac:dyDescent="0.25">
      <c r="F5172" s="499">
        <v>415</v>
      </c>
      <c r="G5172" s="492" t="s">
        <v>4141</v>
      </c>
      <c r="J5172" s="556">
        <f t="shared" si="173"/>
        <v>0</v>
      </c>
    </row>
    <row r="5173" spans="6:10" hidden="1" x14ac:dyDescent="0.25">
      <c r="F5173" s="499">
        <v>416</v>
      </c>
      <c r="G5173" s="492" t="s">
        <v>4142</v>
      </c>
      <c r="J5173" s="556">
        <f t="shared" si="173"/>
        <v>0</v>
      </c>
    </row>
    <row r="5174" spans="6:10" hidden="1" x14ac:dyDescent="0.25">
      <c r="F5174" s="499">
        <v>417</v>
      </c>
      <c r="G5174" s="492" t="s">
        <v>4143</v>
      </c>
      <c r="J5174" s="556">
        <f t="shared" si="173"/>
        <v>0</v>
      </c>
    </row>
    <row r="5175" spans="6:10" hidden="1" x14ac:dyDescent="0.25">
      <c r="F5175" s="499">
        <v>418</v>
      </c>
      <c r="G5175" s="492" t="s">
        <v>3775</v>
      </c>
      <c r="J5175" s="556">
        <f t="shared" si="173"/>
        <v>0</v>
      </c>
    </row>
    <row r="5176" spans="6:10" hidden="1" x14ac:dyDescent="0.25">
      <c r="F5176" s="499">
        <v>421</v>
      </c>
      <c r="G5176" s="492" t="s">
        <v>3779</v>
      </c>
      <c r="J5176" s="556">
        <f t="shared" si="173"/>
        <v>0</v>
      </c>
    </row>
    <row r="5177" spans="6:10" hidden="1" x14ac:dyDescent="0.25">
      <c r="F5177" s="499">
        <v>422</v>
      </c>
      <c r="G5177" s="492" t="s">
        <v>3780</v>
      </c>
      <c r="J5177" s="556">
        <f t="shared" si="173"/>
        <v>0</v>
      </c>
    </row>
    <row r="5178" spans="6:10" hidden="1" x14ac:dyDescent="0.25">
      <c r="F5178" s="499">
        <v>423</v>
      </c>
      <c r="G5178" s="492" t="s">
        <v>3781</v>
      </c>
      <c r="J5178" s="556">
        <f t="shared" si="173"/>
        <v>0</v>
      </c>
    </row>
    <row r="5179" spans="6:10" hidden="1" x14ac:dyDescent="0.25">
      <c r="F5179" s="499">
        <v>424</v>
      </c>
      <c r="G5179" s="492" t="s">
        <v>3783</v>
      </c>
      <c r="J5179" s="556">
        <f t="shared" si="173"/>
        <v>0</v>
      </c>
    </row>
    <row r="5180" spans="6:10" hidden="1" x14ac:dyDescent="0.25">
      <c r="F5180" s="499">
        <v>425</v>
      </c>
      <c r="G5180" s="492" t="s">
        <v>4144</v>
      </c>
      <c r="J5180" s="556">
        <f t="shared" si="173"/>
        <v>0</v>
      </c>
    </row>
    <row r="5181" spans="6:10" hidden="1" x14ac:dyDescent="0.25">
      <c r="F5181" s="499">
        <v>426</v>
      </c>
      <c r="G5181" s="492" t="s">
        <v>3787</v>
      </c>
      <c r="J5181" s="556">
        <f t="shared" si="173"/>
        <v>0</v>
      </c>
    </row>
    <row r="5182" spans="6:10" hidden="1" x14ac:dyDescent="0.25">
      <c r="F5182" s="499">
        <v>431</v>
      </c>
      <c r="G5182" s="492" t="s">
        <v>4145</v>
      </c>
      <c r="J5182" s="556">
        <f t="shared" si="173"/>
        <v>0</v>
      </c>
    </row>
    <row r="5183" spans="6:10" hidden="1" x14ac:dyDescent="0.25">
      <c r="F5183" s="499">
        <v>432</v>
      </c>
      <c r="G5183" s="492" t="s">
        <v>4146</v>
      </c>
      <c r="J5183" s="556">
        <f t="shared" si="173"/>
        <v>0</v>
      </c>
    </row>
    <row r="5184" spans="6:10" hidden="1" x14ac:dyDescent="0.25">
      <c r="F5184" s="499">
        <v>433</v>
      </c>
      <c r="G5184" s="492" t="s">
        <v>4147</v>
      </c>
      <c r="J5184" s="556">
        <f t="shared" si="173"/>
        <v>0</v>
      </c>
    </row>
    <row r="5185" spans="6:10" hidden="1" x14ac:dyDescent="0.25">
      <c r="F5185" s="499">
        <v>434</v>
      </c>
      <c r="G5185" s="492" t="s">
        <v>4148</v>
      </c>
      <c r="J5185" s="556">
        <f t="shared" si="173"/>
        <v>0</v>
      </c>
    </row>
    <row r="5186" spans="6:10" hidden="1" x14ac:dyDescent="0.25">
      <c r="F5186" s="499">
        <v>435</v>
      </c>
      <c r="G5186" s="492" t="s">
        <v>3794</v>
      </c>
      <c r="J5186" s="556">
        <f t="shared" si="173"/>
        <v>0</v>
      </c>
    </row>
    <row r="5187" spans="6:10" hidden="1" x14ac:dyDescent="0.25">
      <c r="F5187" s="499">
        <v>441</v>
      </c>
      <c r="G5187" s="492" t="s">
        <v>4149</v>
      </c>
      <c r="J5187" s="556">
        <f t="shared" si="173"/>
        <v>0</v>
      </c>
    </row>
    <row r="5188" spans="6:10" hidden="1" x14ac:dyDescent="0.25">
      <c r="F5188" s="499">
        <v>442</v>
      </c>
      <c r="G5188" s="492" t="s">
        <v>4150</v>
      </c>
      <c r="J5188" s="556">
        <f t="shared" si="173"/>
        <v>0</v>
      </c>
    </row>
    <row r="5189" spans="6:10" hidden="1" x14ac:dyDescent="0.25">
      <c r="F5189" s="499">
        <v>443</v>
      </c>
      <c r="G5189" s="492" t="s">
        <v>3799</v>
      </c>
      <c r="J5189" s="556">
        <f t="shared" si="173"/>
        <v>0</v>
      </c>
    </row>
    <row r="5190" spans="6:10" hidden="1" x14ac:dyDescent="0.25">
      <c r="F5190" s="499">
        <v>444</v>
      </c>
      <c r="G5190" s="492" t="s">
        <v>3800</v>
      </c>
      <c r="J5190" s="556">
        <f t="shared" si="173"/>
        <v>0</v>
      </c>
    </row>
    <row r="5191" spans="6:10" ht="30" hidden="1" x14ac:dyDescent="0.25">
      <c r="F5191" s="499">
        <v>4511</v>
      </c>
      <c r="G5191" s="771" t="s">
        <v>1690</v>
      </c>
      <c r="J5191" s="556">
        <f t="shared" si="173"/>
        <v>0</v>
      </c>
    </row>
    <row r="5192" spans="6:10" ht="30" hidden="1" x14ac:dyDescent="0.25">
      <c r="F5192" s="499">
        <v>4512</v>
      </c>
      <c r="G5192" s="771" t="s">
        <v>1699</v>
      </c>
      <c r="J5192" s="556">
        <f t="shared" si="173"/>
        <v>0</v>
      </c>
    </row>
    <row r="5193" spans="6:10" hidden="1" x14ac:dyDescent="0.25">
      <c r="F5193" s="499">
        <v>452</v>
      </c>
      <c r="G5193" s="492" t="s">
        <v>4151</v>
      </c>
      <c r="J5193" s="556">
        <f t="shared" si="173"/>
        <v>0</v>
      </c>
    </row>
    <row r="5194" spans="6:10" hidden="1" x14ac:dyDescent="0.25">
      <c r="F5194" s="499">
        <v>453</v>
      </c>
      <c r="G5194" s="492" t="s">
        <v>4152</v>
      </c>
      <c r="J5194" s="556">
        <f t="shared" si="173"/>
        <v>0</v>
      </c>
    </row>
    <row r="5195" spans="6:10" hidden="1" x14ac:dyDescent="0.25">
      <c r="F5195" s="499">
        <v>454</v>
      </c>
      <c r="G5195" s="492" t="s">
        <v>3805</v>
      </c>
      <c r="J5195" s="556">
        <f t="shared" si="173"/>
        <v>0</v>
      </c>
    </row>
    <row r="5196" spans="6:10" hidden="1" x14ac:dyDescent="0.25">
      <c r="F5196" s="499">
        <v>461</v>
      </c>
      <c r="G5196" s="492" t="s">
        <v>4133</v>
      </c>
      <c r="J5196" s="556">
        <f t="shared" si="173"/>
        <v>0</v>
      </c>
    </row>
    <row r="5197" spans="6:10" hidden="1" x14ac:dyDescent="0.25">
      <c r="F5197" s="499">
        <v>462</v>
      </c>
      <c r="G5197" s="492" t="s">
        <v>3808</v>
      </c>
      <c r="J5197" s="556">
        <f t="shared" si="173"/>
        <v>0</v>
      </c>
    </row>
    <row r="5198" spans="6:10" hidden="1" x14ac:dyDescent="0.25">
      <c r="F5198" s="499">
        <v>4631</v>
      </c>
      <c r="G5198" s="492" t="s">
        <v>3809</v>
      </c>
      <c r="J5198" s="556">
        <f t="shared" si="173"/>
        <v>0</v>
      </c>
    </row>
    <row r="5199" spans="6:10" hidden="1" x14ac:dyDescent="0.25">
      <c r="F5199" s="499">
        <v>4632</v>
      </c>
      <c r="G5199" s="492" t="s">
        <v>3810</v>
      </c>
      <c r="J5199" s="556">
        <f t="shared" si="173"/>
        <v>0</v>
      </c>
    </row>
    <row r="5200" spans="6:10" hidden="1" x14ac:dyDescent="0.25">
      <c r="F5200" s="499">
        <v>464</v>
      </c>
      <c r="G5200" s="492" t="s">
        <v>3811</v>
      </c>
      <c r="J5200" s="556">
        <f t="shared" si="173"/>
        <v>0</v>
      </c>
    </row>
    <row r="5201" spans="5:10" hidden="1" x14ac:dyDescent="0.25">
      <c r="F5201" s="499">
        <v>465</v>
      </c>
      <c r="G5201" s="492" t="s">
        <v>4134</v>
      </c>
      <c r="J5201" s="556">
        <f t="shared" si="173"/>
        <v>0</v>
      </c>
    </row>
    <row r="5202" spans="5:10" hidden="1" x14ac:dyDescent="0.25">
      <c r="F5202" s="499">
        <v>472</v>
      </c>
      <c r="G5202" s="492" t="s">
        <v>3815</v>
      </c>
      <c r="J5202" s="556">
        <f t="shared" si="173"/>
        <v>0</v>
      </c>
    </row>
    <row r="5203" spans="5:10" hidden="1" x14ac:dyDescent="0.25">
      <c r="E5203" s="679">
        <v>64</v>
      </c>
      <c r="F5203" s="499">
        <v>481</v>
      </c>
      <c r="G5203" s="492" t="s">
        <v>4153</v>
      </c>
      <c r="J5203" s="556">
        <f t="shared" si="173"/>
        <v>0</v>
      </c>
    </row>
    <row r="5204" spans="5:10" hidden="1" x14ac:dyDescent="0.25">
      <c r="F5204" s="499">
        <v>482</v>
      </c>
      <c r="G5204" s="492" t="s">
        <v>4154</v>
      </c>
      <c r="J5204" s="556">
        <f t="shared" si="173"/>
        <v>0</v>
      </c>
    </row>
    <row r="5205" spans="5:10" hidden="1" x14ac:dyDescent="0.25">
      <c r="F5205" s="499">
        <v>483</v>
      </c>
      <c r="G5205" s="496" t="s">
        <v>4155</v>
      </c>
      <c r="J5205" s="556">
        <f t="shared" si="173"/>
        <v>0</v>
      </c>
    </row>
    <row r="5206" spans="5:10" ht="30" hidden="1" x14ac:dyDescent="0.25">
      <c r="F5206" s="499">
        <v>484</v>
      </c>
      <c r="G5206" s="492" t="s">
        <v>4156</v>
      </c>
      <c r="J5206" s="556">
        <f t="shared" si="173"/>
        <v>0</v>
      </c>
    </row>
    <row r="5207" spans="5:10" ht="30" hidden="1" x14ac:dyDescent="0.25">
      <c r="F5207" s="499">
        <v>485</v>
      </c>
      <c r="G5207" s="492" t="s">
        <v>4157</v>
      </c>
      <c r="J5207" s="556">
        <f t="shared" si="173"/>
        <v>0</v>
      </c>
    </row>
    <row r="5208" spans="5:10" ht="30" hidden="1" x14ac:dyDescent="0.25">
      <c r="F5208" s="499">
        <v>489</v>
      </c>
      <c r="G5208" s="492" t="s">
        <v>3823</v>
      </c>
      <c r="J5208" s="556">
        <f t="shared" si="173"/>
        <v>0</v>
      </c>
    </row>
    <row r="5209" spans="5:10" hidden="1" x14ac:dyDescent="0.25">
      <c r="F5209" s="499">
        <v>494</v>
      </c>
      <c r="G5209" s="492" t="s">
        <v>4135</v>
      </c>
      <c r="J5209" s="556">
        <f t="shared" si="173"/>
        <v>0</v>
      </c>
    </row>
    <row r="5210" spans="5:10" ht="30" hidden="1" x14ac:dyDescent="0.25">
      <c r="F5210" s="499">
        <v>495</v>
      </c>
      <c r="G5210" s="492" t="s">
        <v>4136</v>
      </c>
      <c r="J5210" s="556">
        <f t="shared" si="173"/>
        <v>0</v>
      </c>
    </row>
    <row r="5211" spans="5:10" ht="30" hidden="1" x14ac:dyDescent="0.25">
      <c r="F5211" s="499">
        <v>496</v>
      </c>
      <c r="G5211" s="492" t="s">
        <v>4137</v>
      </c>
      <c r="J5211" s="556">
        <f t="shared" si="173"/>
        <v>0</v>
      </c>
    </row>
    <row r="5212" spans="5:10" ht="30" hidden="1" x14ac:dyDescent="0.25">
      <c r="F5212" s="499">
        <v>499</v>
      </c>
      <c r="G5212" s="492" t="s">
        <v>4138</v>
      </c>
      <c r="J5212" s="556">
        <f t="shared" si="173"/>
        <v>0</v>
      </c>
    </row>
    <row r="5213" spans="5:10" hidden="1" x14ac:dyDescent="0.25">
      <c r="F5213" s="499">
        <v>511</v>
      </c>
      <c r="G5213" s="496" t="s">
        <v>4158</v>
      </c>
      <c r="J5213" s="556">
        <f t="shared" si="173"/>
        <v>0</v>
      </c>
    </row>
    <row r="5214" spans="5:10" hidden="1" x14ac:dyDescent="0.25">
      <c r="F5214" s="499">
        <v>512</v>
      </c>
      <c r="G5214" s="496" t="s">
        <v>4159</v>
      </c>
      <c r="J5214" s="556">
        <f t="shared" si="173"/>
        <v>0</v>
      </c>
    </row>
    <row r="5215" spans="5:10" hidden="1" x14ac:dyDescent="0.25">
      <c r="F5215" s="499">
        <v>513</v>
      </c>
      <c r="G5215" s="496" t="s">
        <v>4160</v>
      </c>
      <c r="J5215" s="556">
        <f t="shared" si="173"/>
        <v>0</v>
      </c>
    </row>
    <row r="5216" spans="5:10" hidden="1" x14ac:dyDescent="0.25">
      <c r="F5216" s="499">
        <v>514</v>
      </c>
      <c r="G5216" s="492" t="s">
        <v>4161</v>
      </c>
      <c r="J5216" s="556">
        <f t="shared" si="173"/>
        <v>0</v>
      </c>
    </row>
    <row r="5217" spans="5:10" hidden="1" x14ac:dyDescent="0.25">
      <c r="F5217" s="499">
        <v>515</v>
      </c>
      <c r="G5217" s="492" t="s">
        <v>3834</v>
      </c>
      <c r="J5217" s="556">
        <f t="shared" si="173"/>
        <v>0</v>
      </c>
    </row>
    <row r="5218" spans="5:10" hidden="1" x14ac:dyDescent="0.25">
      <c r="F5218" s="499">
        <v>521</v>
      </c>
      <c r="G5218" s="492" t="s">
        <v>4162</v>
      </c>
      <c r="J5218" s="556">
        <f t="shared" si="173"/>
        <v>0</v>
      </c>
    </row>
    <row r="5219" spans="5:10" hidden="1" x14ac:dyDescent="0.25">
      <c r="F5219" s="499">
        <v>522</v>
      </c>
      <c r="G5219" s="492" t="s">
        <v>4163</v>
      </c>
      <c r="J5219" s="556">
        <f t="shared" si="173"/>
        <v>0</v>
      </c>
    </row>
    <row r="5220" spans="5:10" hidden="1" x14ac:dyDescent="0.25">
      <c r="F5220" s="499">
        <v>523</v>
      </c>
      <c r="G5220" s="492" t="s">
        <v>3839</v>
      </c>
      <c r="J5220" s="556">
        <f t="shared" si="173"/>
        <v>0</v>
      </c>
    </row>
    <row r="5221" spans="5:10" hidden="1" x14ac:dyDescent="0.25">
      <c r="F5221" s="499">
        <v>531</v>
      </c>
      <c r="G5221" s="488" t="s">
        <v>4139</v>
      </c>
      <c r="J5221" s="556">
        <f t="shared" si="173"/>
        <v>0</v>
      </c>
    </row>
    <row r="5222" spans="5:10" hidden="1" x14ac:dyDescent="0.25">
      <c r="F5222" s="499">
        <v>541</v>
      </c>
      <c r="G5222" s="492" t="s">
        <v>4164</v>
      </c>
      <c r="J5222" s="556">
        <f t="shared" si="173"/>
        <v>0</v>
      </c>
    </row>
    <row r="5223" spans="5:10" hidden="1" x14ac:dyDescent="0.25">
      <c r="F5223" s="499">
        <v>542</v>
      </c>
      <c r="G5223" s="492" t="s">
        <v>4165</v>
      </c>
      <c r="J5223" s="556">
        <f t="shared" si="173"/>
        <v>0</v>
      </c>
    </row>
    <row r="5224" spans="5:10" hidden="1" x14ac:dyDescent="0.25">
      <c r="F5224" s="499">
        <v>543</v>
      </c>
      <c r="G5224" s="492" t="s">
        <v>3844</v>
      </c>
      <c r="J5224" s="556">
        <f t="shared" si="173"/>
        <v>0</v>
      </c>
    </row>
    <row r="5225" spans="5:10" ht="30" hidden="1" x14ac:dyDescent="0.25">
      <c r="F5225" s="499">
        <v>551</v>
      </c>
      <c r="G5225" s="492" t="s">
        <v>4140</v>
      </c>
      <c r="J5225" s="556">
        <f t="shared" si="173"/>
        <v>0</v>
      </c>
    </row>
    <row r="5226" spans="5:10" hidden="1" x14ac:dyDescent="0.25">
      <c r="F5226" s="500">
        <v>611</v>
      </c>
      <c r="G5226" s="498" t="s">
        <v>3850</v>
      </c>
      <c r="J5226" s="556">
        <f t="shared" si="173"/>
        <v>0</v>
      </c>
    </row>
    <row r="5227" spans="5:10" hidden="1" x14ac:dyDescent="0.25">
      <c r="F5227" s="500">
        <v>620</v>
      </c>
      <c r="G5227" s="498" t="s">
        <v>88</v>
      </c>
      <c r="J5227" s="556">
        <f t="shared" si="173"/>
        <v>0</v>
      </c>
    </row>
    <row r="5228" spans="5:10" hidden="1" x14ac:dyDescent="0.25">
      <c r="E5228" s="489"/>
      <c r="F5228" s="500"/>
      <c r="G5228" s="342" t="s">
        <v>4303</v>
      </c>
      <c r="H5228" s="557"/>
      <c r="I5228" s="583"/>
      <c r="J5228" s="558"/>
    </row>
    <row r="5229" spans="5:10" hidden="1" x14ac:dyDescent="0.25">
      <c r="E5229" s="693"/>
      <c r="F5229" s="597" t="s">
        <v>234</v>
      </c>
      <c r="G5229" s="598" t="s">
        <v>235</v>
      </c>
      <c r="H5229" s="559">
        <f>SUM(H5203)</f>
        <v>0</v>
      </c>
      <c r="I5229" s="560"/>
      <c r="J5229" s="560">
        <f>SUM(H5229:I5229)</f>
        <v>0</v>
      </c>
    </row>
    <row r="5230" spans="5:10" hidden="1" x14ac:dyDescent="0.25">
      <c r="F5230" s="597" t="s">
        <v>236</v>
      </c>
      <c r="G5230" s="598" t="s">
        <v>237</v>
      </c>
      <c r="J5230" s="560">
        <f t="shared" ref="J5230:J5244" si="174">SUM(H5230:I5230)</f>
        <v>0</v>
      </c>
    </row>
    <row r="5231" spans="5:10" hidden="1" x14ac:dyDescent="0.25">
      <c r="F5231" s="597" t="s">
        <v>238</v>
      </c>
      <c r="G5231" s="598" t="s">
        <v>239</v>
      </c>
      <c r="J5231" s="560">
        <f t="shared" si="174"/>
        <v>0</v>
      </c>
    </row>
    <row r="5232" spans="5:10" hidden="1" x14ac:dyDescent="0.25">
      <c r="F5232" s="597" t="s">
        <v>240</v>
      </c>
      <c r="G5232" s="598" t="s">
        <v>241</v>
      </c>
      <c r="J5232" s="560">
        <f t="shared" si="174"/>
        <v>0</v>
      </c>
    </row>
    <row r="5233" spans="5:10" hidden="1" x14ac:dyDescent="0.25">
      <c r="F5233" s="597" t="s">
        <v>242</v>
      </c>
      <c r="G5233" s="598" t="s">
        <v>243</v>
      </c>
      <c r="J5233" s="560">
        <f t="shared" si="174"/>
        <v>0</v>
      </c>
    </row>
    <row r="5234" spans="5:10" hidden="1" x14ac:dyDescent="0.25">
      <c r="F5234" s="597" t="s">
        <v>244</v>
      </c>
      <c r="G5234" s="598" t="s">
        <v>245</v>
      </c>
      <c r="J5234" s="560">
        <f t="shared" si="174"/>
        <v>0</v>
      </c>
    </row>
    <row r="5235" spans="5:10" hidden="1" x14ac:dyDescent="0.25">
      <c r="F5235" s="597" t="s">
        <v>246</v>
      </c>
      <c r="G5235" s="598" t="s">
        <v>4996</v>
      </c>
      <c r="J5235" s="560">
        <f t="shared" si="174"/>
        <v>0</v>
      </c>
    </row>
    <row r="5236" spans="5:10" hidden="1" x14ac:dyDescent="0.25">
      <c r="F5236" s="597" t="s">
        <v>247</v>
      </c>
      <c r="G5236" s="598" t="s">
        <v>4995</v>
      </c>
      <c r="J5236" s="560">
        <f t="shared" si="174"/>
        <v>0</v>
      </c>
    </row>
    <row r="5237" spans="5:10" hidden="1" x14ac:dyDescent="0.25">
      <c r="F5237" s="597" t="s">
        <v>248</v>
      </c>
      <c r="G5237" s="598" t="s">
        <v>57</v>
      </c>
      <c r="J5237" s="560">
        <f t="shared" si="174"/>
        <v>0</v>
      </c>
    </row>
    <row r="5238" spans="5:10" hidden="1" x14ac:dyDescent="0.25">
      <c r="F5238" s="597" t="s">
        <v>249</v>
      </c>
      <c r="G5238" s="598" t="s">
        <v>250</v>
      </c>
      <c r="J5238" s="560">
        <f t="shared" si="174"/>
        <v>0</v>
      </c>
    </row>
    <row r="5239" spans="5:10" hidden="1" x14ac:dyDescent="0.25">
      <c r="F5239" s="597" t="s">
        <v>251</v>
      </c>
      <c r="G5239" s="598" t="s">
        <v>252</v>
      </c>
      <c r="J5239" s="560">
        <f t="shared" si="174"/>
        <v>0</v>
      </c>
    </row>
    <row r="5240" spans="5:10" ht="30" hidden="1" x14ac:dyDescent="0.25">
      <c r="F5240" s="597" t="s">
        <v>253</v>
      </c>
      <c r="G5240" s="598" t="s">
        <v>254</v>
      </c>
      <c r="J5240" s="560">
        <f t="shared" si="174"/>
        <v>0</v>
      </c>
    </row>
    <row r="5241" spans="5:10" hidden="1" x14ac:dyDescent="0.25">
      <c r="F5241" s="597" t="s">
        <v>255</v>
      </c>
      <c r="G5241" s="598" t="s">
        <v>256</v>
      </c>
      <c r="J5241" s="560">
        <f t="shared" si="174"/>
        <v>0</v>
      </c>
    </row>
    <row r="5242" spans="5:10" ht="30" hidden="1" x14ac:dyDescent="0.25">
      <c r="F5242" s="597" t="s">
        <v>257</v>
      </c>
      <c r="G5242" s="598" t="s">
        <v>258</v>
      </c>
      <c r="J5242" s="560">
        <f t="shared" si="174"/>
        <v>0</v>
      </c>
    </row>
    <row r="5243" spans="5:10" hidden="1" x14ac:dyDescent="0.25">
      <c r="F5243" s="597" t="s">
        <v>259</v>
      </c>
      <c r="G5243" s="598" t="s">
        <v>260</v>
      </c>
      <c r="J5243" s="560">
        <f t="shared" si="174"/>
        <v>0</v>
      </c>
    </row>
    <row r="5244" spans="5:10" hidden="1" x14ac:dyDescent="0.25">
      <c r="F5244" s="597" t="s">
        <v>261</v>
      </c>
      <c r="G5244" s="598" t="s">
        <v>262</v>
      </c>
      <c r="H5244" s="559"/>
      <c r="I5244" s="560"/>
      <c r="J5244" s="560">
        <f t="shared" si="174"/>
        <v>0</v>
      </c>
    </row>
    <row r="5245" spans="5:10" ht="15.75" hidden="1" thickBot="1" x14ac:dyDescent="0.3">
      <c r="G5245" s="268" t="s">
        <v>4304</v>
      </c>
      <c r="H5245" s="561">
        <f>SUM(H5229:H5244)</f>
        <v>0</v>
      </c>
      <c r="I5245" s="562">
        <f>SUM(I5230:I5244)</f>
        <v>0</v>
      </c>
      <c r="J5245" s="562">
        <f>SUM(J5229:J5244)</f>
        <v>0</v>
      </c>
    </row>
    <row r="5246" spans="5:10" hidden="1" x14ac:dyDescent="0.25">
      <c r="E5246" s="489"/>
      <c r="F5246" s="500"/>
      <c r="G5246" s="270" t="s">
        <v>5033</v>
      </c>
      <c r="H5246" s="563"/>
      <c r="I5246" s="584"/>
      <c r="J5246" s="564"/>
    </row>
    <row r="5247" spans="5:10" hidden="1" x14ac:dyDescent="0.25">
      <c r="E5247" s="693"/>
      <c r="F5247" s="597" t="s">
        <v>234</v>
      </c>
      <c r="G5247" s="598" t="s">
        <v>235</v>
      </c>
      <c r="H5247" s="559">
        <f>SUM(H5168:H5227)</f>
        <v>0</v>
      </c>
      <c r="I5247" s="560"/>
      <c r="J5247" s="560">
        <f>SUM(H5247:I5247)</f>
        <v>0</v>
      </c>
    </row>
    <row r="5248" spans="5:10" hidden="1" x14ac:dyDescent="0.25">
      <c r="F5248" s="597" t="s">
        <v>236</v>
      </c>
      <c r="G5248" s="598" t="s">
        <v>237</v>
      </c>
      <c r="J5248" s="560">
        <f t="shared" ref="J5248:J5262" si="175">SUM(H5248:I5248)</f>
        <v>0</v>
      </c>
    </row>
    <row r="5249" spans="6:10" hidden="1" x14ac:dyDescent="0.25">
      <c r="F5249" s="597" t="s">
        <v>238</v>
      </c>
      <c r="G5249" s="598" t="s">
        <v>239</v>
      </c>
      <c r="J5249" s="560">
        <f t="shared" si="175"/>
        <v>0</v>
      </c>
    </row>
    <row r="5250" spans="6:10" hidden="1" x14ac:dyDescent="0.25">
      <c r="F5250" s="597" t="s">
        <v>240</v>
      </c>
      <c r="G5250" s="598" t="s">
        <v>241</v>
      </c>
      <c r="J5250" s="560">
        <f t="shared" si="175"/>
        <v>0</v>
      </c>
    </row>
    <row r="5251" spans="6:10" hidden="1" x14ac:dyDescent="0.25">
      <c r="F5251" s="597" t="s">
        <v>242</v>
      </c>
      <c r="G5251" s="598" t="s">
        <v>243</v>
      </c>
      <c r="J5251" s="560">
        <f t="shared" si="175"/>
        <v>0</v>
      </c>
    </row>
    <row r="5252" spans="6:10" hidden="1" x14ac:dyDescent="0.25">
      <c r="F5252" s="597" t="s">
        <v>244</v>
      </c>
      <c r="G5252" s="598" t="s">
        <v>245</v>
      </c>
      <c r="J5252" s="560">
        <f t="shared" si="175"/>
        <v>0</v>
      </c>
    </row>
    <row r="5253" spans="6:10" hidden="1" x14ac:dyDescent="0.25">
      <c r="F5253" s="597" t="s">
        <v>246</v>
      </c>
      <c r="G5253" s="598" t="s">
        <v>4996</v>
      </c>
      <c r="J5253" s="560">
        <f t="shared" si="175"/>
        <v>0</v>
      </c>
    </row>
    <row r="5254" spans="6:10" hidden="1" x14ac:dyDescent="0.25">
      <c r="F5254" s="597" t="s">
        <v>247</v>
      </c>
      <c r="G5254" s="598" t="s">
        <v>4995</v>
      </c>
      <c r="J5254" s="560">
        <f t="shared" si="175"/>
        <v>0</v>
      </c>
    </row>
    <row r="5255" spans="6:10" hidden="1" x14ac:dyDescent="0.25">
      <c r="F5255" s="597" t="s">
        <v>248</v>
      </c>
      <c r="G5255" s="598" t="s">
        <v>57</v>
      </c>
      <c r="J5255" s="560">
        <f t="shared" si="175"/>
        <v>0</v>
      </c>
    </row>
    <row r="5256" spans="6:10" hidden="1" x14ac:dyDescent="0.25">
      <c r="F5256" s="597" t="s">
        <v>249</v>
      </c>
      <c r="G5256" s="598" t="s">
        <v>250</v>
      </c>
      <c r="J5256" s="560">
        <f t="shared" si="175"/>
        <v>0</v>
      </c>
    </row>
    <row r="5257" spans="6:10" hidden="1" x14ac:dyDescent="0.25">
      <c r="F5257" s="597" t="s">
        <v>251</v>
      </c>
      <c r="G5257" s="598" t="s">
        <v>252</v>
      </c>
      <c r="J5257" s="560">
        <f t="shared" si="175"/>
        <v>0</v>
      </c>
    </row>
    <row r="5258" spans="6:10" ht="30" hidden="1" x14ac:dyDescent="0.25">
      <c r="F5258" s="597" t="s">
        <v>253</v>
      </c>
      <c r="G5258" s="598" t="s">
        <v>254</v>
      </c>
      <c r="J5258" s="560">
        <f t="shared" si="175"/>
        <v>0</v>
      </c>
    </row>
    <row r="5259" spans="6:10" hidden="1" x14ac:dyDescent="0.25">
      <c r="F5259" s="597" t="s">
        <v>255</v>
      </c>
      <c r="G5259" s="598" t="s">
        <v>256</v>
      </c>
      <c r="J5259" s="560">
        <f t="shared" si="175"/>
        <v>0</v>
      </c>
    </row>
    <row r="5260" spans="6:10" ht="30" hidden="1" x14ac:dyDescent="0.25">
      <c r="F5260" s="597" t="s">
        <v>257</v>
      </c>
      <c r="G5260" s="598" t="s">
        <v>258</v>
      </c>
      <c r="J5260" s="560">
        <f t="shared" si="175"/>
        <v>0</v>
      </c>
    </row>
    <row r="5261" spans="6:10" hidden="1" x14ac:dyDescent="0.25">
      <c r="F5261" s="597" t="s">
        <v>259</v>
      </c>
      <c r="G5261" s="598" t="s">
        <v>260</v>
      </c>
      <c r="J5261" s="560">
        <f t="shared" si="175"/>
        <v>0</v>
      </c>
    </row>
    <row r="5262" spans="6:10" hidden="1" x14ac:dyDescent="0.25">
      <c r="F5262" s="597" t="s">
        <v>261</v>
      </c>
      <c r="G5262" s="598" t="s">
        <v>262</v>
      </c>
      <c r="H5262" s="559"/>
      <c r="I5262" s="560"/>
      <c r="J5262" s="560">
        <f t="shared" si="175"/>
        <v>0</v>
      </c>
    </row>
    <row r="5263" spans="6:10" ht="15.75" hidden="1" thickBot="1" x14ac:dyDescent="0.3">
      <c r="G5263" s="268" t="s">
        <v>5034</v>
      </c>
      <c r="H5263" s="561">
        <f>SUM(H5247:H5262)</f>
        <v>0</v>
      </c>
      <c r="I5263" s="562">
        <f>SUM(I5248:I5262)</f>
        <v>0</v>
      </c>
      <c r="J5263" s="562">
        <f>SUM(J5247:J5262)</f>
        <v>0</v>
      </c>
    </row>
    <row r="5264" spans="6:10" hidden="1" x14ac:dyDescent="0.25">
      <c r="G5264" s="312"/>
      <c r="H5264" s="565"/>
      <c r="I5264" s="566"/>
      <c r="J5264" s="566"/>
    </row>
    <row r="5265" spans="1:25" hidden="1" x14ac:dyDescent="0.25">
      <c r="G5265" s="312"/>
      <c r="H5265" s="565"/>
      <c r="I5265" s="566"/>
      <c r="J5265" s="566"/>
    </row>
    <row r="5266" spans="1:25" hidden="1" x14ac:dyDescent="0.25">
      <c r="G5266" s="312"/>
      <c r="H5266" s="565"/>
      <c r="I5266" s="566"/>
      <c r="J5266" s="566"/>
    </row>
    <row r="5267" spans="1:25" s="88" customFormat="1" ht="6" customHeight="1" x14ac:dyDescent="0.25">
      <c r="A5267" s="258"/>
      <c r="B5267" s="288"/>
      <c r="C5267" s="334"/>
      <c r="D5267" s="286"/>
      <c r="E5267" s="876"/>
      <c r="F5267" s="289"/>
      <c r="G5267" s="490"/>
      <c r="H5267" s="588"/>
      <c r="I5267" s="571"/>
      <c r="J5267" s="589"/>
      <c r="K5267" s="505"/>
      <c r="L5267" s="505"/>
      <c r="M5267" s="505"/>
      <c r="N5267" s="505"/>
      <c r="O5267" s="505"/>
      <c r="P5267" s="505"/>
      <c r="Q5267" s="505"/>
      <c r="R5267" s="505"/>
      <c r="S5267" s="505"/>
      <c r="T5267" s="505"/>
      <c r="U5267" s="505"/>
      <c r="V5267" s="505"/>
      <c r="W5267" s="505"/>
      <c r="X5267" s="505"/>
      <c r="Y5267" s="505"/>
    </row>
    <row r="5268" spans="1:25" s="88" customFormat="1" x14ac:dyDescent="0.25">
      <c r="A5268" s="481"/>
      <c r="B5268" s="288"/>
      <c r="C5268" s="334"/>
      <c r="D5268" s="286"/>
      <c r="E5268" s="876"/>
      <c r="F5268" s="500"/>
      <c r="G5268" s="285" t="s">
        <v>4206</v>
      </c>
      <c r="H5268" s="567"/>
      <c r="I5268" s="585"/>
      <c r="J5268" s="568"/>
      <c r="K5268" s="505"/>
      <c r="L5268" s="505"/>
      <c r="M5268" s="505"/>
      <c r="N5268" s="505"/>
      <c r="O5268" s="505"/>
      <c r="P5268" s="505"/>
      <c r="Q5268" s="505"/>
      <c r="R5268" s="505"/>
      <c r="S5268" s="505"/>
      <c r="T5268" s="505"/>
      <c r="U5268" s="505"/>
      <c r="V5268" s="505"/>
      <c r="W5268" s="505"/>
      <c r="X5268" s="505"/>
      <c r="Y5268" s="505"/>
    </row>
    <row r="5269" spans="1:25" s="88" customFormat="1" x14ac:dyDescent="0.25">
      <c r="A5269" s="481"/>
      <c r="B5269" s="288"/>
      <c r="C5269" s="334"/>
      <c r="D5269" s="286"/>
      <c r="E5269" s="876"/>
      <c r="F5269" s="597" t="s">
        <v>234</v>
      </c>
      <c r="G5269" s="598" t="s">
        <v>235</v>
      </c>
      <c r="H5269" s="559">
        <f>SUM(H5163,H5153,H5053,H5043,H4932,H4833)</f>
        <v>11593000</v>
      </c>
      <c r="I5269" s="560"/>
      <c r="J5269" s="560">
        <f>SUM(H5269:I5269)</f>
        <v>11593000</v>
      </c>
      <c r="K5269" s="505"/>
      <c r="L5269" s="505"/>
      <c r="M5269" s="505"/>
      <c r="N5269" s="505"/>
      <c r="O5269" s="505"/>
      <c r="P5269" s="505"/>
      <c r="Q5269" s="505"/>
      <c r="R5269" s="505"/>
      <c r="S5269" s="505"/>
      <c r="T5269" s="505"/>
      <c r="U5269" s="505"/>
      <c r="V5269" s="505"/>
      <c r="W5269" s="505"/>
      <c r="X5269" s="505"/>
      <c r="Y5269" s="505"/>
    </row>
    <row r="5270" spans="1:25" s="88" customFormat="1" hidden="1" x14ac:dyDescent="0.25">
      <c r="A5270" s="481"/>
      <c r="B5270" s="288"/>
      <c r="C5270" s="334"/>
      <c r="D5270" s="286"/>
      <c r="E5270" s="876"/>
      <c r="F5270" s="597" t="s">
        <v>236</v>
      </c>
      <c r="G5270" s="598" t="s">
        <v>237</v>
      </c>
      <c r="H5270" s="555"/>
      <c r="I5270" s="556"/>
      <c r="J5270" s="560">
        <f t="shared" ref="J5270:J5284" si="176">SUM(H5270:I5270)</f>
        <v>0</v>
      </c>
      <c r="K5270" s="505"/>
      <c r="L5270" s="505"/>
      <c r="M5270" s="505"/>
      <c r="N5270" s="505"/>
      <c r="O5270" s="505"/>
      <c r="P5270" s="505"/>
      <c r="Q5270" s="505"/>
      <c r="R5270" s="505"/>
      <c r="S5270" s="505"/>
      <c r="T5270" s="505"/>
      <c r="U5270" s="505"/>
      <c r="V5270" s="505"/>
      <c r="W5270" s="505"/>
      <c r="X5270" s="505"/>
      <c r="Y5270" s="505"/>
    </row>
    <row r="5271" spans="1:25" s="88" customFormat="1" hidden="1" x14ac:dyDescent="0.25">
      <c r="A5271" s="481"/>
      <c r="B5271" s="288"/>
      <c r="C5271" s="334"/>
      <c r="D5271" s="286"/>
      <c r="E5271" s="876"/>
      <c r="F5271" s="597" t="s">
        <v>238</v>
      </c>
      <c r="G5271" s="598" t="s">
        <v>239</v>
      </c>
      <c r="H5271" s="555"/>
      <c r="I5271" s="556"/>
      <c r="J5271" s="560">
        <f t="shared" si="176"/>
        <v>0</v>
      </c>
      <c r="K5271" s="505"/>
      <c r="L5271" s="505"/>
      <c r="M5271" s="505"/>
      <c r="N5271" s="505"/>
      <c r="O5271" s="505"/>
      <c r="P5271" s="505"/>
      <c r="Q5271" s="505"/>
      <c r="R5271" s="505"/>
      <c r="S5271" s="505"/>
      <c r="T5271" s="505"/>
      <c r="U5271" s="505"/>
      <c r="V5271" s="505"/>
      <c r="W5271" s="505"/>
      <c r="X5271" s="505"/>
      <c r="Y5271" s="505"/>
    </row>
    <row r="5272" spans="1:25" s="88" customFormat="1" hidden="1" x14ac:dyDescent="0.25">
      <c r="A5272" s="481"/>
      <c r="B5272" s="288"/>
      <c r="C5272" s="334"/>
      <c r="D5272" s="286"/>
      <c r="E5272" s="876"/>
      <c r="F5272" s="597" t="s">
        <v>240</v>
      </c>
      <c r="G5272" s="598" t="s">
        <v>241</v>
      </c>
      <c r="H5272" s="555"/>
      <c r="I5272" s="556"/>
      <c r="J5272" s="560">
        <f t="shared" si="176"/>
        <v>0</v>
      </c>
      <c r="K5272" s="505"/>
      <c r="L5272" s="505"/>
      <c r="M5272" s="505"/>
      <c r="N5272" s="505"/>
      <c r="O5272" s="505"/>
      <c r="P5272" s="505"/>
      <c r="Q5272" s="505"/>
      <c r="R5272" s="505"/>
      <c r="S5272" s="505"/>
      <c r="T5272" s="505"/>
      <c r="U5272" s="505"/>
      <c r="V5272" s="505"/>
      <c r="W5272" s="505"/>
      <c r="X5272" s="505"/>
      <c r="Y5272" s="505"/>
    </row>
    <row r="5273" spans="1:25" s="88" customFormat="1" hidden="1" x14ac:dyDescent="0.25">
      <c r="A5273" s="481"/>
      <c r="B5273" s="288"/>
      <c r="C5273" s="334"/>
      <c r="D5273" s="286"/>
      <c r="E5273" s="876"/>
      <c r="F5273" s="597" t="s">
        <v>242</v>
      </c>
      <c r="G5273" s="598" t="s">
        <v>243</v>
      </c>
      <c r="H5273" s="555"/>
      <c r="I5273" s="556"/>
      <c r="J5273" s="560">
        <f t="shared" si="176"/>
        <v>0</v>
      </c>
      <c r="K5273" s="505"/>
      <c r="L5273" s="505"/>
      <c r="M5273" s="505"/>
      <c r="N5273" s="505"/>
      <c r="O5273" s="505"/>
      <c r="P5273" s="505"/>
      <c r="Q5273" s="505"/>
      <c r="R5273" s="505"/>
      <c r="S5273" s="505"/>
      <c r="T5273" s="505"/>
      <c r="U5273" s="505"/>
      <c r="V5273" s="505"/>
      <c r="W5273" s="505"/>
      <c r="X5273" s="505"/>
      <c r="Y5273" s="505"/>
    </row>
    <row r="5274" spans="1:25" s="88" customFormat="1" hidden="1" x14ac:dyDescent="0.25">
      <c r="A5274" s="481"/>
      <c r="B5274" s="288"/>
      <c r="C5274" s="334"/>
      <c r="D5274" s="286"/>
      <c r="E5274" s="876"/>
      <c r="F5274" s="597" t="s">
        <v>244</v>
      </c>
      <c r="G5274" s="598" t="s">
        <v>245</v>
      </c>
      <c r="H5274" s="555"/>
      <c r="I5274" s="556"/>
      <c r="J5274" s="560">
        <f t="shared" si="176"/>
        <v>0</v>
      </c>
      <c r="K5274" s="505"/>
      <c r="L5274" s="505"/>
      <c r="M5274" s="505"/>
      <c r="N5274" s="505"/>
      <c r="O5274" s="505"/>
      <c r="P5274" s="505"/>
      <c r="Q5274" s="505"/>
      <c r="R5274" s="505"/>
      <c r="S5274" s="505"/>
      <c r="T5274" s="505"/>
      <c r="U5274" s="505"/>
      <c r="V5274" s="505"/>
      <c r="W5274" s="505"/>
      <c r="X5274" s="505"/>
      <c r="Y5274" s="505"/>
    </row>
    <row r="5275" spans="1:25" s="88" customFormat="1" ht="15.75" thickBot="1" x14ac:dyDescent="0.3">
      <c r="A5275" s="481"/>
      <c r="B5275" s="288"/>
      <c r="C5275" s="334"/>
      <c r="D5275" s="286"/>
      <c r="E5275" s="876"/>
      <c r="F5275" s="597" t="s">
        <v>246</v>
      </c>
      <c r="G5275" s="598" t="s">
        <v>4996</v>
      </c>
      <c r="H5275" s="555"/>
      <c r="I5275" s="556">
        <v>1932745</v>
      </c>
      <c r="J5275" s="560">
        <f t="shared" si="176"/>
        <v>1932745</v>
      </c>
      <c r="K5275" s="505"/>
      <c r="L5275" s="505"/>
      <c r="M5275" s="505"/>
      <c r="N5275" s="505"/>
      <c r="O5275" s="505"/>
      <c r="P5275" s="505"/>
      <c r="Q5275" s="505"/>
      <c r="R5275" s="505"/>
      <c r="S5275" s="505"/>
      <c r="T5275" s="505"/>
      <c r="U5275" s="505"/>
      <c r="V5275" s="505"/>
      <c r="W5275" s="505"/>
      <c r="X5275" s="505"/>
      <c r="Y5275" s="505"/>
    </row>
    <row r="5276" spans="1:25" s="88" customFormat="1" hidden="1" x14ac:dyDescent="0.25">
      <c r="A5276" s="481"/>
      <c r="B5276" s="288"/>
      <c r="C5276" s="334"/>
      <c r="D5276" s="286"/>
      <c r="E5276" s="876"/>
      <c r="F5276" s="597" t="s">
        <v>247</v>
      </c>
      <c r="G5276" s="598" t="s">
        <v>4995</v>
      </c>
      <c r="H5276" s="555"/>
      <c r="I5276" s="556"/>
      <c r="J5276" s="560">
        <f t="shared" si="176"/>
        <v>0</v>
      </c>
      <c r="K5276" s="505"/>
      <c r="L5276" s="505"/>
      <c r="M5276" s="505"/>
      <c r="N5276" s="505"/>
      <c r="O5276" s="505"/>
      <c r="P5276" s="505"/>
      <c r="Q5276" s="505"/>
      <c r="R5276" s="505"/>
      <c r="S5276" s="505"/>
      <c r="T5276" s="505"/>
      <c r="U5276" s="505"/>
      <c r="V5276" s="505"/>
      <c r="W5276" s="505"/>
      <c r="X5276" s="505"/>
      <c r="Y5276" s="505"/>
    </row>
    <row r="5277" spans="1:25" s="88" customFormat="1" hidden="1" x14ac:dyDescent="0.25">
      <c r="A5277" s="481"/>
      <c r="B5277" s="288"/>
      <c r="C5277" s="334"/>
      <c r="D5277" s="286"/>
      <c r="E5277" s="876"/>
      <c r="F5277" s="597" t="s">
        <v>248</v>
      </c>
      <c r="G5277" s="598" t="s">
        <v>57</v>
      </c>
      <c r="H5277" s="555"/>
      <c r="I5277" s="556"/>
      <c r="J5277" s="560">
        <f t="shared" si="176"/>
        <v>0</v>
      </c>
      <c r="K5277" s="505"/>
      <c r="L5277" s="505"/>
      <c r="M5277" s="505"/>
      <c r="N5277" s="505"/>
      <c r="O5277" s="505"/>
      <c r="P5277" s="505"/>
      <c r="Q5277" s="505"/>
      <c r="R5277" s="505"/>
      <c r="S5277" s="505"/>
      <c r="T5277" s="505"/>
      <c r="U5277" s="505"/>
      <c r="V5277" s="505"/>
      <c r="W5277" s="505"/>
      <c r="X5277" s="505"/>
      <c r="Y5277" s="505"/>
    </row>
    <row r="5278" spans="1:25" s="88" customFormat="1" hidden="1" x14ac:dyDescent="0.25">
      <c r="A5278" s="481"/>
      <c r="B5278" s="288"/>
      <c r="C5278" s="334"/>
      <c r="D5278" s="286"/>
      <c r="E5278" s="876"/>
      <c r="F5278" s="597" t="s">
        <v>249</v>
      </c>
      <c r="G5278" s="598" t="s">
        <v>250</v>
      </c>
      <c r="H5278" s="555"/>
      <c r="I5278" s="556"/>
      <c r="J5278" s="560">
        <f t="shared" si="176"/>
        <v>0</v>
      </c>
      <c r="K5278" s="505"/>
      <c r="L5278" s="505"/>
      <c r="M5278" s="505"/>
      <c r="N5278" s="505"/>
      <c r="O5278" s="505"/>
      <c r="P5278" s="505"/>
      <c r="Q5278" s="505"/>
      <c r="R5278" s="505"/>
      <c r="S5278" s="505"/>
      <c r="T5278" s="505"/>
      <c r="U5278" s="505"/>
      <c r="V5278" s="505"/>
      <c r="W5278" s="505"/>
      <c r="X5278" s="505"/>
      <c r="Y5278" s="505"/>
    </row>
    <row r="5279" spans="1:25" s="88" customFormat="1" hidden="1" x14ac:dyDescent="0.25">
      <c r="A5279" s="481"/>
      <c r="B5279" s="288"/>
      <c r="C5279" s="334"/>
      <c r="D5279" s="286"/>
      <c r="E5279" s="876"/>
      <c r="F5279" s="597" t="s">
        <v>251</v>
      </c>
      <c r="G5279" s="598" t="s">
        <v>252</v>
      </c>
      <c r="H5279" s="555"/>
      <c r="I5279" s="556"/>
      <c r="J5279" s="560">
        <f t="shared" si="176"/>
        <v>0</v>
      </c>
      <c r="K5279" s="505"/>
      <c r="L5279" s="505"/>
      <c r="M5279" s="505"/>
      <c r="N5279" s="505"/>
      <c r="O5279" s="505"/>
      <c r="P5279" s="505"/>
      <c r="Q5279" s="505"/>
      <c r="R5279" s="505"/>
      <c r="S5279" s="505"/>
      <c r="T5279" s="505"/>
      <c r="U5279" s="505"/>
      <c r="V5279" s="505"/>
      <c r="W5279" s="505"/>
      <c r="X5279" s="505"/>
      <c r="Y5279" s="505"/>
    </row>
    <row r="5280" spans="1:25" s="88" customFormat="1" ht="30" hidden="1" x14ac:dyDescent="0.25">
      <c r="A5280" s="481"/>
      <c r="B5280" s="288"/>
      <c r="C5280" s="334"/>
      <c r="D5280" s="286"/>
      <c r="E5280" s="876"/>
      <c r="F5280" s="597" t="s">
        <v>253</v>
      </c>
      <c r="G5280" s="598" t="s">
        <v>254</v>
      </c>
      <c r="H5280" s="555"/>
      <c r="I5280" s="556"/>
      <c r="J5280" s="560">
        <f t="shared" si="176"/>
        <v>0</v>
      </c>
      <c r="K5280" s="505"/>
      <c r="L5280" s="505"/>
      <c r="M5280" s="505"/>
      <c r="N5280" s="505"/>
      <c r="O5280" s="505"/>
      <c r="P5280" s="505"/>
      <c r="Q5280" s="505"/>
      <c r="R5280" s="505"/>
      <c r="S5280" s="505"/>
      <c r="T5280" s="505"/>
      <c r="U5280" s="505"/>
      <c r="V5280" s="505"/>
      <c r="W5280" s="505"/>
      <c r="X5280" s="505"/>
      <c r="Y5280" s="505"/>
    </row>
    <row r="5281" spans="1:25" s="88" customFormat="1" hidden="1" x14ac:dyDescent="0.25">
      <c r="A5281" s="481"/>
      <c r="B5281" s="288"/>
      <c r="C5281" s="334"/>
      <c r="D5281" s="286"/>
      <c r="E5281" s="876"/>
      <c r="F5281" s="597" t="s">
        <v>255</v>
      </c>
      <c r="G5281" s="598" t="s">
        <v>256</v>
      </c>
      <c r="H5281" s="555"/>
      <c r="I5281" s="556"/>
      <c r="J5281" s="560">
        <f t="shared" si="176"/>
        <v>0</v>
      </c>
      <c r="K5281" s="505"/>
      <c r="L5281" s="505"/>
      <c r="M5281" s="505"/>
      <c r="N5281" s="505"/>
      <c r="O5281" s="505"/>
      <c r="P5281" s="505"/>
      <c r="Q5281" s="505"/>
      <c r="R5281" s="505"/>
      <c r="S5281" s="505"/>
      <c r="T5281" s="505"/>
      <c r="U5281" s="505"/>
      <c r="V5281" s="505"/>
      <c r="W5281" s="505"/>
      <c r="X5281" s="505"/>
      <c r="Y5281" s="505"/>
    </row>
    <row r="5282" spans="1:25" s="88" customFormat="1" ht="30" hidden="1" x14ac:dyDescent="0.25">
      <c r="A5282" s="481"/>
      <c r="B5282" s="288"/>
      <c r="C5282" s="334"/>
      <c r="D5282" s="286"/>
      <c r="E5282" s="876"/>
      <c r="F5282" s="597" t="s">
        <v>257</v>
      </c>
      <c r="G5282" s="598" t="s">
        <v>258</v>
      </c>
      <c r="H5282" s="555"/>
      <c r="I5282" s="556"/>
      <c r="J5282" s="560">
        <f t="shared" si="176"/>
        <v>0</v>
      </c>
      <c r="K5282" s="505"/>
      <c r="L5282" s="505"/>
      <c r="M5282" s="505"/>
      <c r="N5282" s="505"/>
      <c r="O5282" s="505"/>
      <c r="P5282" s="505"/>
      <c r="Q5282" s="505"/>
      <c r="R5282" s="505"/>
      <c r="S5282" s="505"/>
      <c r="T5282" s="505"/>
      <c r="U5282" s="505"/>
      <c r="V5282" s="505"/>
      <c r="W5282" s="505"/>
      <c r="X5282" s="505"/>
      <c r="Y5282" s="505"/>
    </row>
    <row r="5283" spans="1:25" s="88" customFormat="1" hidden="1" x14ac:dyDescent="0.25">
      <c r="A5283" s="481"/>
      <c r="B5283" s="288"/>
      <c r="C5283" s="334"/>
      <c r="D5283" s="286"/>
      <c r="E5283" s="876"/>
      <c r="F5283" s="597" t="s">
        <v>259</v>
      </c>
      <c r="G5283" s="598" t="s">
        <v>260</v>
      </c>
      <c r="H5283" s="555"/>
      <c r="I5283" s="556"/>
      <c r="J5283" s="560">
        <f t="shared" si="176"/>
        <v>0</v>
      </c>
      <c r="K5283" s="505"/>
      <c r="L5283" s="505"/>
      <c r="M5283" s="505"/>
      <c r="N5283" s="505"/>
      <c r="O5283" s="505"/>
      <c r="P5283" s="505"/>
      <c r="Q5283" s="505"/>
      <c r="R5283" s="505"/>
      <c r="S5283" s="505"/>
      <c r="T5283" s="505"/>
      <c r="U5283" s="505"/>
      <c r="V5283" s="505"/>
      <c r="W5283" s="505"/>
      <c r="X5283" s="505"/>
      <c r="Y5283" s="505"/>
    </row>
    <row r="5284" spans="1:25" s="88" customFormat="1" ht="15.75" hidden="1" thickBot="1" x14ac:dyDescent="0.3">
      <c r="A5284" s="481"/>
      <c r="B5284" s="288"/>
      <c r="C5284" s="334"/>
      <c r="D5284" s="286"/>
      <c r="E5284" s="876"/>
      <c r="F5284" s="597" t="s">
        <v>261</v>
      </c>
      <c r="G5284" s="598" t="s">
        <v>262</v>
      </c>
      <c r="H5284" s="559"/>
      <c r="I5284" s="560"/>
      <c r="J5284" s="560">
        <f t="shared" si="176"/>
        <v>0</v>
      </c>
      <c r="K5284" s="505"/>
      <c r="L5284" s="505"/>
      <c r="M5284" s="505"/>
      <c r="N5284" s="505"/>
      <c r="O5284" s="505"/>
      <c r="P5284" s="505"/>
      <c r="Q5284" s="505"/>
      <c r="R5284" s="505"/>
      <c r="S5284" s="505"/>
      <c r="T5284" s="505"/>
      <c r="U5284" s="505"/>
      <c r="V5284" s="505"/>
      <c r="W5284" s="505"/>
      <c r="X5284" s="505"/>
      <c r="Y5284" s="505"/>
    </row>
    <row r="5285" spans="1:25" s="88" customFormat="1" ht="15" customHeight="1" thickBot="1" x14ac:dyDescent="0.3">
      <c r="A5285" s="481"/>
      <c r="B5285" s="288"/>
      <c r="C5285" s="334"/>
      <c r="D5285" s="286"/>
      <c r="E5285" s="876"/>
      <c r="F5285" s="258"/>
      <c r="G5285" s="268" t="s">
        <v>4207</v>
      </c>
      <c r="H5285" s="561">
        <f>SUM(H5163,H5153,H5053,H5043,H4932,H4833)</f>
        <v>11593000</v>
      </c>
      <c r="I5285" s="562">
        <f>SUM(I5270:I5284)</f>
        <v>1932745</v>
      </c>
      <c r="J5285" s="562">
        <f>SUM(J5269:J5284)</f>
        <v>13525745</v>
      </c>
      <c r="K5285" s="505"/>
      <c r="L5285" s="505"/>
      <c r="M5285" s="505"/>
      <c r="N5285" s="505"/>
      <c r="O5285" s="505"/>
      <c r="P5285" s="505"/>
      <c r="Q5285" s="505"/>
      <c r="R5285" s="505"/>
      <c r="S5285" s="505"/>
      <c r="T5285" s="505"/>
      <c r="U5285" s="505"/>
      <c r="V5285" s="505"/>
      <c r="W5285" s="505"/>
      <c r="X5285" s="505"/>
      <c r="Y5285" s="505"/>
    </row>
    <row r="5286" spans="1:25" s="88" customFormat="1" ht="15" customHeight="1" x14ac:dyDescent="0.25">
      <c r="A5286" s="481"/>
      <c r="B5286" s="288"/>
      <c r="C5286" s="334"/>
      <c r="D5286" s="286"/>
      <c r="E5286" s="876"/>
      <c r="F5286" s="258"/>
      <c r="G5286" s="312"/>
      <c r="H5286" s="565"/>
      <c r="I5286" s="566"/>
      <c r="J5286" s="566"/>
      <c r="K5286" s="505"/>
      <c r="L5286" s="505"/>
      <c r="M5286" s="505"/>
      <c r="N5286" s="505"/>
      <c r="O5286" s="505"/>
      <c r="P5286" s="505"/>
      <c r="Q5286" s="505"/>
      <c r="R5286" s="505"/>
      <c r="S5286" s="505"/>
      <c r="T5286" s="505"/>
      <c r="U5286" s="505"/>
      <c r="V5286" s="505"/>
      <c r="W5286" s="505"/>
      <c r="X5286" s="505"/>
      <c r="Y5286" s="505"/>
    </row>
    <row r="5287" spans="1:25" s="88" customFormat="1" x14ac:dyDescent="0.25">
      <c r="A5287" s="481"/>
      <c r="B5287" s="288"/>
      <c r="C5287" s="294" t="s">
        <v>3590</v>
      </c>
      <c r="D5287" s="294"/>
      <c r="E5287" s="879"/>
      <c r="F5287" s="283"/>
      <c r="G5287" s="329" t="s">
        <v>4213</v>
      </c>
      <c r="H5287" s="572"/>
      <c r="I5287" s="573"/>
      <c r="J5287" s="748"/>
      <c r="K5287" s="505"/>
      <c r="L5287" s="505"/>
      <c r="M5287" s="505"/>
      <c r="N5287" s="505"/>
      <c r="O5287" s="505"/>
      <c r="P5287" s="505"/>
      <c r="Q5287" s="505"/>
      <c r="R5287" s="505"/>
      <c r="S5287" s="505"/>
      <c r="T5287" s="505"/>
      <c r="U5287" s="505"/>
      <c r="V5287" s="505"/>
      <c r="W5287" s="505"/>
      <c r="X5287" s="505"/>
      <c r="Y5287" s="505"/>
    </row>
    <row r="5288" spans="1:25" ht="28.5" x14ac:dyDescent="0.25">
      <c r="A5288" s="481"/>
      <c r="C5288" s="267" t="s">
        <v>4091</v>
      </c>
      <c r="D5288" s="259"/>
      <c r="G5288" s="483" t="s">
        <v>4087</v>
      </c>
    </row>
    <row r="5289" spans="1:25" s="88" customFormat="1" x14ac:dyDescent="0.25">
      <c r="A5289" s="258"/>
      <c r="B5289" s="288"/>
      <c r="C5289" s="294"/>
      <c r="D5289" s="348" t="s">
        <v>3992</v>
      </c>
      <c r="E5289" s="871"/>
      <c r="F5289" s="345"/>
      <c r="G5289" s="346" t="s">
        <v>202</v>
      </c>
      <c r="H5289" s="572"/>
      <c r="I5289" s="573"/>
      <c r="J5289" s="573"/>
      <c r="K5289" s="505"/>
      <c r="L5289" s="505"/>
      <c r="M5289" s="505"/>
      <c r="N5289" s="505"/>
      <c r="O5289" s="505"/>
      <c r="P5289" s="505"/>
      <c r="Q5289" s="505"/>
      <c r="R5289" s="505"/>
      <c r="S5289" s="505"/>
      <c r="T5289" s="505"/>
      <c r="U5289" s="505"/>
      <c r="V5289" s="505"/>
      <c r="W5289" s="505"/>
      <c r="X5289" s="505"/>
      <c r="Y5289" s="505"/>
    </row>
    <row r="5290" spans="1:25" hidden="1" x14ac:dyDescent="0.25">
      <c r="A5290" s="481"/>
      <c r="F5290" s="499">
        <v>411</v>
      </c>
      <c r="G5290" s="492" t="s">
        <v>4131</v>
      </c>
      <c r="J5290" s="556">
        <f>SUM(H5290:I5290)</f>
        <v>0</v>
      </c>
    </row>
    <row r="5291" spans="1:25" hidden="1" x14ac:dyDescent="0.25">
      <c r="F5291" s="499">
        <v>412</v>
      </c>
      <c r="G5291" s="488" t="s">
        <v>3766</v>
      </c>
      <c r="J5291" s="556">
        <f t="shared" ref="J5291:J5349" si="177">SUM(H5291:I5291)</f>
        <v>0</v>
      </c>
    </row>
    <row r="5292" spans="1:25" hidden="1" x14ac:dyDescent="0.25">
      <c r="F5292" s="499">
        <v>413</v>
      </c>
      <c r="G5292" s="492" t="s">
        <v>4132</v>
      </c>
      <c r="J5292" s="556">
        <f t="shared" si="177"/>
        <v>0</v>
      </c>
    </row>
    <row r="5293" spans="1:25" hidden="1" x14ac:dyDescent="0.25">
      <c r="F5293" s="499">
        <v>414</v>
      </c>
      <c r="G5293" s="492" t="s">
        <v>3769</v>
      </c>
      <c r="J5293" s="556">
        <f t="shared" si="177"/>
        <v>0</v>
      </c>
    </row>
    <row r="5294" spans="1:25" hidden="1" x14ac:dyDescent="0.25">
      <c r="F5294" s="499">
        <v>415</v>
      </c>
      <c r="G5294" s="492" t="s">
        <v>4141</v>
      </c>
      <c r="J5294" s="556">
        <f t="shared" si="177"/>
        <v>0</v>
      </c>
    </row>
    <row r="5295" spans="1:25" hidden="1" x14ac:dyDescent="0.25">
      <c r="F5295" s="499">
        <v>416</v>
      </c>
      <c r="G5295" s="492" t="s">
        <v>4142</v>
      </c>
      <c r="J5295" s="556">
        <f t="shared" si="177"/>
        <v>0</v>
      </c>
    </row>
    <row r="5296" spans="1:25" hidden="1" x14ac:dyDescent="0.25">
      <c r="F5296" s="499">
        <v>417</v>
      </c>
      <c r="G5296" s="492" t="s">
        <v>4143</v>
      </c>
      <c r="J5296" s="556">
        <f t="shared" si="177"/>
        <v>0</v>
      </c>
    </row>
    <row r="5297" spans="6:10" hidden="1" x14ac:dyDescent="0.25">
      <c r="F5297" s="499">
        <v>418</v>
      </c>
      <c r="G5297" s="492" t="s">
        <v>3775</v>
      </c>
      <c r="J5297" s="556">
        <f t="shared" si="177"/>
        <v>0</v>
      </c>
    </row>
    <row r="5298" spans="6:10" hidden="1" x14ac:dyDescent="0.25">
      <c r="F5298" s="499">
        <v>421</v>
      </c>
      <c r="G5298" s="492" t="s">
        <v>3779</v>
      </c>
      <c r="J5298" s="556">
        <f t="shared" si="177"/>
        <v>0</v>
      </c>
    </row>
    <row r="5299" spans="6:10" hidden="1" x14ac:dyDescent="0.25">
      <c r="F5299" s="499">
        <v>422</v>
      </c>
      <c r="G5299" s="492" t="s">
        <v>3780</v>
      </c>
      <c r="J5299" s="556">
        <f t="shared" si="177"/>
        <v>0</v>
      </c>
    </row>
    <row r="5300" spans="6:10" hidden="1" x14ac:dyDescent="0.25">
      <c r="F5300" s="499">
        <v>423</v>
      </c>
      <c r="G5300" s="492" t="s">
        <v>3781</v>
      </c>
      <c r="J5300" s="556">
        <f t="shared" si="177"/>
        <v>0</v>
      </c>
    </row>
    <row r="5301" spans="6:10" hidden="1" x14ac:dyDescent="0.25">
      <c r="F5301" s="499">
        <v>424</v>
      </c>
      <c r="G5301" s="492" t="s">
        <v>3783</v>
      </c>
      <c r="J5301" s="556">
        <f t="shared" si="177"/>
        <v>0</v>
      </c>
    </row>
    <row r="5302" spans="6:10" hidden="1" x14ac:dyDescent="0.25">
      <c r="F5302" s="499">
        <v>425</v>
      </c>
      <c r="G5302" s="492" t="s">
        <v>4144</v>
      </c>
      <c r="J5302" s="556">
        <f t="shared" si="177"/>
        <v>0</v>
      </c>
    </row>
    <row r="5303" spans="6:10" hidden="1" x14ac:dyDescent="0.25">
      <c r="F5303" s="499">
        <v>426</v>
      </c>
      <c r="G5303" s="492" t="s">
        <v>3787</v>
      </c>
      <c r="J5303" s="556">
        <f t="shared" si="177"/>
        <v>0</v>
      </c>
    </row>
    <row r="5304" spans="6:10" hidden="1" x14ac:dyDescent="0.25">
      <c r="F5304" s="499">
        <v>431</v>
      </c>
      <c r="G5304" s="492" t="s">
        <v>4145</v>
      </c>
      <c r="J5304" s="556">
        <f t="shared" si="177"/>
        <v>0</v>
      </c>
    </row>
    <row r="5305" spans="6:10" hidden="1" x14ac:dyDescent="0.25">
      <c r="F5305" s="499">
        <v>432</v>
      </c>
      <c r="G5305" s="492" t="s">
        <v>4146</v>
      </c>
      <c r="J5305" s="556">
        <f t="shared" si="177"/>
        <v>0</v>
      </c>
    </row>
    <row r="5306" spans="6:10" hidden="1" x14ac:dyDescent="0.25">
      <c r="F5306" s="499">
        <v>433</v>
      </c>
      <c r="G5306" s="492" t="s">
        <v>4147</v>
      </c>
      <c r="J5306" s="556">
        <f t="shared" si="177"/>
        <v>0</v>
      </c>
    </row>
    <row r="5307" spans="6:10" hidden="1" x14ac:dyDescent="0.25">
      <c r="F5307" s="499">
        <v>434</v>
      </c>
      <c r="G5307" s="492" t="s">
        <v>4148</v>
      </c>
      <c r="J5307" s="556">
        <f t="shared" si="177"/>
        <v>0</v>
      </c>
    </row>
    <row r="5308" spans="6:10" hidden="1" x14ac:dyDescent="0.25">
      <c r="F5308" s="499">
        <v>435</v>
      </c>
      <c r="G5308" s="492" t="s">
        <v>3794</v>
      </c>
      <c r="J5308" s="556">
        <f t="shared" si="177"/>
        <v>0</v>
      </c>
    </row>
    <row r="5309" spans="6:10" hidden="1" x14ac:dyDescent="0.25">
      <c r="F5309" s="499">
        <v>441</v>
      </c>
      <c r="G5309" s="492" t="s">
        <v>4149</v>
      </c>
      <c r="J5309" s="556">
        <f t="shared" si="177"/>
        <v>0</v>
      </c>
    </row>
    <row r="5310" spans="6:10" hidden="1" x14ac:dyDescent="0.25">
      <c r="F5310" s="499">
        <v>442</v>
      </c>
      <c r="G5310" s="492" t="s">
        <v>4150</v>
      </c>
      <c r="J5310" s="556">
        <f t="shared" si="177"/>
        <v>0</v>
      </c>
    </row>
    <row r="5311" spans="6:10" hidden="1" x14ac:dyDescent="0.25">
      <c r="F5311" s="499">
        <v>443</v>
      </c>
      <c r="G5311" s="492" t="s">
        <v>3799</v>
      </c>
      <c r="J5311" s="556">
        <f t="shared" si="177"/>
        <v>0</v>
      </c>
    </row>
    <row r="5312" spans="6:10" hidden="1" x14ac:dyDescent="0.25">
      <c r="F5312" s="499">
        <v>444</v>
      </c>
      <c r="G5312" s="492" t="s">
        <v>3800</v>
      </c>
      <c r="J5312" s="556">
        <f t="shared" si="177"/>
        <v>0</v>
      </c>
    </row>
    <row r="5313" spans="5:10" ht="30" hidden="1" x14ac:dyDescent="0.25">
      <c r="F5313" s="499">
        <v>4511</v>
      </c>
      <c r="G5313" s="771" t="s">
        <v>1690</v>
      </c>
      <c r="J5313" s="556">
        <f t="shared" si="177"/>
        <v>0</v>
      </c>
    </row>
    <row r="5314" spans="5:10" ht="30" hidden="1" x14ac:dyDescent="0.25">
      <c r="F5314" s="499">
        <v>4512</v>
      </c>
      <c r="G5314" s="771" t="s">
        <v>1699</v>
      </c>
      <c r="J5314" s="556">
        <f t="shared" si="177"/>
        <v>0</v>
      </c>
    </row>
    <row r="5315" spans="5:10" hidden="1" x14ac:dyDescent="0.25">
      <c r="F5315" s="499">
        <v>452</v>
      </c>
      <c r="G5315" s="492" t="s">
        <v>4151</v>
      </c>
      <c r="J5315" s="556">
        <f t="shared" si="177"/>
        <v>0</v>
      </c>
    </row>
    <row r="5316" spans="5:10" hidden="1" x14ac:dyDescent="0.25">
      <c r="F5316" s="499">
        <v>453</v>
      </c>
      <c r="G5316" s="492" t="s">
        <v>4152</v>
      </c>
      <c r="J5316" s="556">
        <f t="shared" si="177"/>
        <v>0</v>
      </c>
    </row>
    <row r="5317" spans="5:10" hidden="1" x14ac:dyDescent="0.25">
      <c r="F5317" s="499">
        <v>454</v>
      </c>
      <c r="G5317" s="492" t="s">
        <v>3805</v>
      </c>
      <c r="J5317" s="556">
        <f t="shared" si="177"/>
        <v>0</v>
      </c>
    </row>
    <row r="5318" spans="5:10" hidden="1" x14ac:dyDescent="0.25">
      <c r="F5318" s="499">
        <v>461</v>
      </c>
      <c r="G5318" s="492" t="s">
        <v>4133</v>
      </c>
      <c r="J5318" s="556">
        <f t="shared" si="177"/>
        <v>0</v>
      </c>
    </row>
    <row r="5319" spans="5:10" hidden="1" x14ac:dyDescent="0.25">
      <c r="F5319" s="499">
        <v>462</v>
      </c>
      <c r="G5319" s="492" t="s">
        <v>3808</v>
      </c>
      <c r="J5319" s="556">
        <f t="shared" si="177"/>
        <v>0</v>
      </c>
    </row>
    <row r="5320" spans="5:10" hidden="1" x14ac:dyDescent="0.25">
      <c r="F5320" s="499">
        <v>4631</v>
      </c>
      <c r="G5320" s="492" t="s">
        <v>3809</v>
      </c>
      <c r="J5320" s="556">
        <f t="shared" si="177"/>
        <v>0</v>
      </c>
    </row>
    <row r="5321" spans="5:10" hidden="1" x14ac:dyDescent="0.25">
      <c r="F5321" s="499">
        <v>4632</v>
      </c>
      <c r="G5321" s="492" t="s">
        <v>3810</v>
      </c>
      <c r="J5321" s="556">
        <f t="shared" si="177"/>
        <v>0</v>
      </c>
    </row>
    <row r="5322" spans="5:10" ht="43.5" customHeight="1" thickBot="1" x14ac:dyDescent="0.3">
      <c r="E5322" s="679" t="s">
        <v>5372</v>
      </c>
      <c r="F5322" s="499">
        <v>464</v>
      </c>
      <c r="G5322" s="686" t="s">
        <v>5314</v>
      </c>
      <c r="H5322" s="555">
        <v>10989550</v>
      </c>
      <c r="J5322" s="556">
        <f t="shared" si="177"/>
        <v>10989550</v>
      </c>
    </row>
    <row r="5323" spans="5:10" hidden="1" x14ac:dyDescent="0.25">
      <c r="F5323" s="499">
        <v>465</v>
      </c>
      <c r="G5323" s="492" t="s">
        <v>4134</v>
      </c>
      <c r="J5323" s="556">
        <f t="shared" si="177"/>
        <v>0</v>
      </c>
    </row>
    <row r="5324" spans="5:10" hidden="1" x14ac:dyDescent="0.25">
      <c r="F5324" s="499">
        <v>472</v>
      </c>
      <c r="G5324" s="492" t="s">
        <v>3815</v>
      </c>
      <c r="J5324" s="556">
        <f t="shared" si="177"/>
        <v>0</v>
      </c>
    </row>
    <row r="5325" spans="5:10" hidden="1" x14ac:dyDescent="0.25">
      <c r="F5325" s="499">
        <v>481</v>
      </c>
      <c r="G5325" s="492" t="s">
        <v>4153</v>
      </c>
      <c r="J5325" s="556">
        <f t="shared" si="177"/>
        <v>0</v>
      </c>
    </row>
    <row r="5326" spans="5:10" hidden="1" x14ac:dyDescent="0.25">
      <c r="F5326" s="499">
        <v>482</v>
      </c>
      <c r="G5326" s="492" t="s">
        <v>4154</v>
      </c>
      <c r="J5326" s="556">
        <f t="shared" si="177"/>
        <v>0</v>
      </c>
    </row>
    <row r="5327" spans="5:10" hidden="1" x14ac:dyDescent="0.25">
      <c r="F5327" s="499">
        <v>483</v>
      </c>
      <c r="G5327" s="496" t="s">
        <v>4155</v>
      </c>
      <c r="J5327" s="556">
        <f t="shared" si="177"/>
        <v>0</v>
      </c>
    </row>
    <row r="5328" spans="5:10" ht="30" hidden="1" x14ac:dyDescent="0.25">
      <c r="F5328" s="499">
        <v>484</v>
      </c>
      <c r="G5328" s="492" t="s">
        <v>4156</v>
      </c>
      <c r="J5328" s="556">
        <f t="shared" si="177"/>
        <v>0</v>
      </c>
    </row>
    <row r="5329" spans="6:10" ht="30" hidden="1" x14ac:dyDescent="0.25">
      <c r="F5329" s="499">
        <v>485</v>
      </c>
      <c r="G5329" s="492" t="s">
        <v>4157</v>
      </c>
      <c r="J5329" s="556">
        <f t="shared" si="177"/>
        <v>0</v>
      </c>
    </row>
    <row r="5330" spans="6:10" ht="30" hidden="1" x14ac:dyDescent="0.25">
      <c r="F5330" s="499">
        <v>489</v>
      </c>
      <c r="G5330" s="492" t="s">
        <v>3823</v>
      </c>
      <c r="J5330" s="556">
        <f t="shared" si="177"/>
        <v>0</v>
      </c>
    </row>
    <row r="5331" spans="6:10" hidden="1" x14ac:dyDescent="0.25">
      <c r="F5331" s="499">
        <v>494</v>
      </c>
      <c r="G5331" s="492" t="s">
        <v>4135</v>
      </c>
      <c r="J5331" s="556">
        <f t="shared" si="177"/>
        <v>0</v>
      </c>
    </row>
    <row r="5332" spans="6:10" ht="30" hidden="1" x14ac:dyDescent="0.25">
      <c r="F5332" s="499">
        <v>495</v>
      </c>
      <c r="G5332" s="492" t="s">
        <v>4136</v>
      </c>
      <c r="J5332" s="556">
        <f t="shared" si="177"/>
        <v>0</v>
      </c>
    </row>
    <row r="5333" spans="6:10" ht="30" hidden="1" x14ac:dyDescent="0.25">
      <c r="F5333" s="499">
        <v>496</v>
      </c>
      <c r="G5333" s="492" t="s">
        <v>4137</v>
      </c>
      <c r="J5333" s="556">
        <f t="shared" si="177"/>
        <v>0</v>
      </c>
    </row>
    <row r="5334" spans="6:10" ht="30" hidden="1" x14ac:dyDescent="0.25">
      <c r="F5334" s="499">
        <v>499</v>
      </c>
      <c r="G5334" s="492" t="s">
        <v>4138</v>
      </c>
      <c r="J5334" s="556">
        <f t="shared" si="177"/>
        <v>0</v>
      </c>
    </row>
    <row r="5335" spans="6:10" hidden="1" x14ac:dyDescent="0.25">
      <c r="F5335" s="499">
        <v>511</v>
      </c>
      <c r="G5335" s="496" t="s">
        <v>4158</v>
      </c>
      <c r="J5335" s="556">
        <f t="shared" si="177"/>
        <v>0</v>
      </c>
    </row>
    <row r="5336" spans="6:10" hidden="1" x14ac:dyDescent="0.25">
      <c r="F5336" s="499">
        <v>512</v>
      </c>
      <c r="G5336" s="496" t="s">
        <v>4159</v>
      </c>
      <c r="J5336" s="556">
        <f t="shared" si="177"/>
        <v>0</v>
      </c>
    </row>
    <row r="5337" spans="6:10" hidden="1" x14ac:dyDescent="0.25">
      <c r="F5337" s="499">
        <v>513</v>
      </c>
      <c r="G5337" s="496" t="s">
        <v>4160</v>
      </c>
      <c r="J5337" s="556">
        <f t="shared" si="177"/>
        <v>0</v>
      </c>
    </row>
    <row r="5338" spans="6:10" hidden="1" x14ac:dyDescent="0.25">
      <c r="F5338" s="499">
        <v>514</v>
      </c>
      <c r="G5338" s="492" t="s">
        <v>4161</v>
      </c>
      <c r="J5338" s="556">
        <f t="shared" si="177"/>
        <v>0</v>
      </c>
    </row>
    <row r="5339" spans="6:10" hidden="1" x14ac:dyDescent="0.25">
      <c r="F5339" s="499">
        <v>515</v>
      </c>
      <c r="G5339" s="492" t="s">
        <v>3834</v>
      </c>
      <c r="J5339" s="556">
        <f t="shared" si="177"/>
        <v>0</v>
      </c>
    </row>
    <row r="5340" spans="6:10" hidden="1" x14ac:dyDescent="0.25">
      <c r="F5340" s="499">
        <v>521</v>
      </c>
      <c r="G5340" s="492" t="s">
        <v>4162</v>
      </c>
      <c r="J5340" s="556">
        <f t="shared" si="177"/>
        <v>0</v>
      </c>
    </row>
    <row r="5341" spans="6:10" hidden="1" x14ac:dyDescent="0.25">
      <c r="F5341" s="499">
        <v>522</v>
      </c>
      <c r="G5341" s="492" t="s">
        <v>4163</v>
      </c>
      <c r="J5341" s="556">
        <f t="shared" si="177"/>
        <v>0</v>
      </c>
    </row>
    <row r="5342" spans="6:10" hidden="1" x14ac:dyDescent="0.25">
      <c r="F5342" s="499">
        <v>523</v>
      </c>
      <c r="G5342" s="492" t="s">
        <v>3839</v>
      </c>
      <c r="J5342" s="556">
        <f t="shared" si="177"/>
        <v>0</v>
      </c>
    </row>
    <row r="5343" spans="6:10" hidden="1" x14ac:dyDescent="0.25">
      <c r="F5343" s="499">
        <v>531</v>
      </c>
      <c r="G5343" s="488" t="s">
        <v>4139</v>
      </c>
      <c r="J5343" s="556">
        <f t="shared" si="177"/>
        <v>0</v>
      </c>
    </row>
    <row r="5344" spans="6:10" hidden="1" x14ac:dyDescent="0.25">
      <c r="F5344" s="499">
        <v>541</v>
      </c>
      <c r="G5344" s="492" t="s">
        <v>4164</v>
      </c>
      <c r="J5344" s="556">
        <f t="shared" si="177"/>
        <v>0</v>
      </c>
    </row>
    <row r="5345" spans="5:10" hidden="1" x14ac:dyDescent="0.25">
      <c r="F5345" s="499">
        <v>542</v>
      </c>
      <c r="G5345" s="492" t="s">
        <v>4165</v>
      </c>
      <c r="J5345" s="556">
        <f t="shared" si="177"/>
        <v>0</v>
      </c>
    </row>
    <row r="5346" spans="5:10" hidden="1" x14ac:dyDescent="0.25">
      <c r="F5346" s="499">
        <v>543</v>
      </c>
      <c r="G5346" s="492" t="s">
        <v>3844</v>
      </c>
      <c r="J5346" s="556">
        <f t="shared" si="177"/>
        <v>0</v>
      </c>
    </row>
    <row r="5347" spans="5:10" ht="30" hidden="1" x14ac:dyDescent="0.25">
      <c r="F5347" s="499">
        <v>551</v>
      </c>
      <c r="G5347" s="492" t="s">
        <v>4140</v>
      </c>
      <c r="J5347" s="556">
        <f t="shared" si="177"/>
        <v>0</v>
      </c>
    </row>
    <row r="5348" spans="5:10" hidden="1" x14ac:dyDescent="0.25">
      <c r="F5348" s="500">
        <v>611</v>
      </c>
      <c r="G5348" s="498" t="s">
        <v>3850</v>
      </c>
      <c r="J5348" s="556">
        <f t="shared" si="177"/>
        <v>0</v>
      </c>
    </row>
    <row r="5349" spans="5:10" ht="15.75" hidden="1" thickBot="1" x14ac:dyDescent="0.3">
      <c r="F5349" s="500">
        <v>620</v>
      </c>
      <c r="G5349" s="498" t="s">
        <v>88</v>
      </c>
      <c r="J5349" s="556">
        <f t="shared" si="177"/>
        <v>0</v>
      </c>
    </row>
    <row r="5350" spans="5:10" x14ac:dyDescent="0.25">
      <c r="E5350" s="489"/>
      <c r="F5350" s="500"/>
      <c r="G5350" s="342" t="s">
        <v>4305</v>
      </c>
      <c r="H5350" s="557"/>
      <c r="I5350" s="583"/>
      <c r="J5350" s="558"/>
    </row>
    <row r="5351" spans="5:10" ht="15.75" thickBot="1" x14ac:dyDescent="0.3">
      <c r="E5351" s="693"/>
      <c r="F5351" s="597" t="s">
        <v>234</v>
      </c>
      <c r="G5351" s="598" t="s">
        <v>235</v>
      </c>
      <c r="H5351" s="559">
        <f>SUM(H5290:H5349)</f>
        <v>10989550</v>
      </c>
      <c r="I5351" s="560"/>
      <c r="J5351" s="560">
        <f>SUM(H5351:I5351)</f>
        <v>10989550</v>
      </c>
    </row>
    <row r="5352" spans="5:10" ht="15.75" hidden="1" thickBot="1" x14ac:dyDescent="0.3">
      <c r="F5352" s="597" t="s">
        <v>236</v>
      </c>
      <c r="G5352" s="598" t="s">
        <v>237</v>
      </c>
      <c r="J5352" s="560">
        <f t="shared" ref="J5352:J5366" si="178">SUM(H5352:I5352)</f>
        <v>0</v>
      </c>
    </row>
    <row r="5353" spans="5:10" ht="15.75" hidden="1" thickBot="1" x14ac:dyDescent="0.3">
      <c r="F5353" s="597" t="s">
        <v>238</v>
      </c>
      <c r="G5353" s="598" t="s">
        <v>239</v>
      </c>
      <c r="J5353" s="560">
        <f t="shared" si="178"/>
        <v>0</v>
      </c>
    </row>
    <row r="5354" spans="5:10" ht="15.75" hidden="1" thickBot="1" x14ac:dyDescent="0.3">
      <c r="F5354" s="597" t="s">
        <v>240</v>
      </c>
      <c r="G5354" s="598" t="s">
        <v>241</v>
      </c>
      <c r="J5354" s="560">
        <f t="shared" si="178"/>
        <v>0</v>
      </c>
    </row>
    <row r="5355" spans="5:10" ht="15.75" hidden="1" thickBot="1" x14ac:dyDescent="0.3">
      <c r="F5355" s="597" t="s">
        <v>242</v>
      </c>
      <c r="G5355" s="598" t="s">
        <v>243</v>
      </c>
      <c r="J5355" s="560">
        <f t="shared" si="178"/>
        <v>0</v>
      </c>
    </row>
    <row r="5356" spans="5:10" ht="15.75" hidden="1" thickBot="1" x14ac:dyDescent="0.3">
      <c r="F5356" s="597" t="s">
        <v>244</v>
      </c>
      <c r="G5356" s="598" t="s">
        <v>245</v>
      </c>
      <c r="J5356" s="560">
        <f t="shared" si="178"/>
        <v>0</v>
      </c>
    </row>
    <row r="5357" spans="5:10" ht="15.75" hidden="1" thickBot="1" x14ac:dyDescent="0.3">
      <c r="F5357" s="597" t="s">
        <v>246</v>
      </c>
      <c r="G5357" s="598" t="s">
        <v>4996</v>
      </c>
      <c r="J5357" s="560">
        <f t="shared" si="178"/>
        <v>0</v>
      </c>
    </row>
    <row r="5358" spans="5:10" ht="15.75" hidden="1" thickBot="1" x14ac:dyDescent="0.3">
      <c r="F5358" s="597" t="s">
        <v>247</v>
      </c>
      <c r="G5358" s="598" t="s">
        <v>4995</v>
      </c>
      <c r="J5358" s="560">
        <f t="shared" si="178"/>
        <v>0</v>
      </c>
    </row>
    <row r="5359" spans="5:10" ht="15.75" hidden="1" thickBot="1" x14ac:dyDescent="0.3">
      <c r="F5359" s="597" t="s">
        <v>248</v>
      </c>
      <c r="G5359" s="598" t="s">
        <v>57</v>
      </c>
      <c r="J5359" s="560">
        <f t="shared" si="178"/>
        <v>0</v>
      </c>
    </row>
    <row r="5360" spans="5:10" ht="15.75" hidden="1" thickBot="1" x14ac:dyDescent="0.3">
      <c r="F5360" s="597" t="s">
        <v>249</v>
      </c>
      <c r="G5360" s="598" t="s">
        <v>250</v>
      </c>
      <c r="J5360" s="560">
        <f t="shared" si="178"/>
        <v>0</v>
      </c>
    </row>
    <row r="5361" spans="5:10" ht="15.75" hidden="1" thickBot="1" x14ac:dyDescent="0.3">
      <c r="F5361" s="597" t="s">
        <v>251</v>
      </c>
      <c r="G5361" s="598" t="s">
        <v>252</v>
      </c>
      <c r="J5361" s="560">
        <f t="shared" si="178"/>
        <v>0</v>
      </c>
    </row>
    <row r="5362" spans="5:10" ht="30.75" hidden="1" thickBot="1" x14ac:dyDescent="0.3">
      <c r="F5362" s="597" t="s">
        <v>253</v>
      </c>
      <c r="G5362" s="598" t="s">
        <v>254</v>
      </c>
      <c r="J5362" s="560">
        <f t="shared" si="178"/>
        <v>0</v>
      </c>
    </row>
    <row r="5363" spans="5:10" ht="15.75" hidden="1" thickBot="1" x14ac:dyDescent="0.3">
      <c r="F5363" s="597" t="s">
        <v>255</v>
      </c>
      <c r="G5363" s="598" t="s">
        <v>256</v>
      </c>
      <c r="J5363" s="560">
        <f t="shared" si="178"/>
        <v>0</v>
      </c>
    </row>
    <row r="5364" spans="5:10" ht="30.75" hidden="1" thickBot="1" x14ac:dyDescent="0.3">
      <c r="F5364" s="597" t="s">
        <v>257</v>
      </c>
      <c r="G5364" s="598" t="s">
        <v>258</v>
      </c>
      <c r="J5364" s="560">
        <f t="shared" si="178"/>
        <v>0</v>
      </c>
    </row>
    <row r="5365" spans="5:10" ht="15.75" hidden="1" thickBot="1" x14ac:dyDescent="0.3">
      <c r="F5365" s="597" t="s">
        <v>259</v>
      </c>
      <c r="G5365" s="598" t="s">
        <v>260</v>
      </c>
      <c r="J5365" s="560">
        <f t="shared" si="178"/>
        <v>0</v>
      </c>
    </row>
    <row r="5366" spans="5:10" ht="15.75" hidden="1" thickBot="1" x14ac:dyDescent="0.3">
      <c r="F5366" s="597" t="s">
        <v>261</v>
      </c>
      <c r="G5366" s="598" t="s">
        <v>262</v>
      </c>
      <c r="H5366" s="559"/>
      <c r="I5366" s="560"/>
      <c r="J5366" s="560">
        <f t="shared" si="178"/>
        <v>0</v>
      </c>
    </row>
    <row r="5367" spans="5:10" ht="15.75" thickBot="1" x14ac:dyDescent="0.3">
      <c r="G5367" s="268" t="s">
        <v>4306</v>
      </c>
      <c r="H5367" s="561">
        <f>SUM(H5351:H5366)</f>
        <v>10989550</v>
      </c>
      <c r="I5367" s="562">
        <f>SUM(I5352:I5366)</f>
        <v>0</v>
      </c>
      <c r="J5367" s="562">
        <f>SUM(J5351:J5366)</f>
        <v>10989550</v>
      </c>
    </row>
    <row r="5368" spans="5:10" ht="28.5" collapsed="1" x14ac:dyDescent="0.25">
      <c r="E5368" s="489"/>
      <c r="F5368" s="500"/>
      <c r="G5368" s="270" t="s">
        <v>4214</v>
      </c>
      <c r="H5368" s="563"/>
      <c r="I5368" s="584"/>
      <c r="J5368" s="564"/>
    </row>
    <row r="5369" spans="5:10" ht="15.75" thickBot="1" x14ac:dyDescent="0.3">
      <c r="E5369" s="693"/>
      <c r="F5369" s="597" t="s">
        <v>234</v>
      </c>
      <c r="G5369" s="598" t="s">
        <v>235</v>
      </c>
      <c r="H5369" s="559">
        <f>SUM(H5290:H5349)</f>
        <v>10989550</v>
      </c>
      <c r="I5369" s="560"/>
      <c r="J5369" s="560">
        <f>SUM(H5369:I5369)</f>
        <v>10989550</v>
      </c>
    </row>
    <row r="5370" spans="5:10" ht="15.75" hidden="1" thickBot="1" x14ac:dyDescent="0.3">
      <c r="F5370" s="597" t="s">
        <v>236</v>
      </c>
      <c r="G5370" s="598" t="s">
        <v>237</v>
      </c>
      <c r="J5370" s="560">
        <f t="shared" ref="J5370:J5384" si="179">SUM(H5370:I5370)</f>
        <v>0</v>
      </c>
    </row>
    <row r="5371" spans="5:10" ht="15.75" hidden="1" thickBot="1" x14ac:dyDescent="0.3">
      <c r="F5371" s="597" t="s">
        <v>238</v>
      </c>
      <c r="G5371" s="598" t="s">
        <v>239</v>
      </c>
      <c r="J5371" s="560">
        <f t="shared" si="179"/>
        <v>0</v>
      </c>
    </row>
    <row r="5372" spans="5:10" ht="15.75" hidden="1" thickBot="1" x14ac:dyDescent="0.3">
      <c r="F5372" s="597" t="s">
        <v>240</v>
      </c>
      <c r="G5372" s="598" t="s">
        <v>241</v>
      </c>
      <c r="J5372" s="560">
        <f t="shared" si="179"/>
        <v>0</v>
      </c>
    </row>
    <row r="5373" spans="5:10" ht="15.75" hidden="1" thickBot="1" x14ac:dyDescent="0.3">
      <c r="F5373" s="597" t="s">
        <v>242</v>
      </c>
      <c r="G5373" s="598" t="s">
        <v>243</v>
      </c>
      <c r="J5373" s="560">
        <f t="shared" si="179"/>
        <v>0</v>
      </c>
    </row>
    <row r="5374" spans="5:10" ht="15.75" hidden="1" thickBot="1" x14ac:dyDescent="0.3">
      <c r="F5374" s="597" t="s">
        <v>244</v>
      </c>
      <c r="G5374" s="598" t="s">
        <v>245</v>
      </c>
      <c r="J5374" s="560">
        <f t="shared" si="179"/>
        <v>0</v>
      </c>
    </row>
    <row r="5375" spans="5:10" ht="15.75" hidden="1" thickBot="1" x14ac:dyDescent="0.3">
      <c r="F5375" s="597" t="s">
        <v>246</v>
      </c>
      <c r="G5375" s="598" t="s">
        <v>4996</v>
      </c>
      <c r="J5375" s="560">
        <f t="shared" si="179"/>
        <v>0</v>
      </c>
    </row>
    <row r="5376" spans="5:10" ht="15.75" hidden="1" thickBot="1" x14ac:dyDescent="0.3">
      <c r="F5376" s="597" t="s">
        <v>247</v>
      </c>
      <c r="G5376" s="598" t="s">
        <v>4995</v>
      </c>
      <c r="J5376" s="560">
        <f t="shared" si="179"/>
        <v>0</v>
      </c>
    </row>
    <row r="5377" spans="1:25" ht="15.75" hidden="1" thickBot="1" x14ac:dyDescent="0.3">
      <c r="F5377" s="597" t="s">
        <v>248</v>
      </c>
      <c r="G5377" s="598" t="s">
        <v>57</v>
      </c>
      <c r="J5377" s="560">
        <f t="shared" si="179"/>
        <v>0</v>
      </c>
    </row>
    <row r="5378" spans="1:25" ht="15.75" hidden="1" thickBot="1" x14ac:dyDescent="0.3">
      <c r="F5378" s="597" t="s">
        <v>249</v>
      </c>
      <c r="G5378" s="598" t="s">
        <v>250</v>
      </c>
      <c r="J5378" s="560">
        <f t="shared" si="179"/>
        <v>0</v>
      </c>
    </row>
    <row r="5379" spans="1:25" ht="15.75" hidden="1" thickBot="1" x14ac:dyDescent="0.3">
      <c r="F5379" s="597" t="s">
        <v>251</v>
      </c>
      <c r="G5379" s="598" t="s">
        <v>252</v>
      </c>
      <c r="J5379" s="560">
        <f t="shared" si="179"/>
        <v>0</v>
      </c>
    </row>
    <row r="5380" spans="1:25" ht="30.75" hidden="1" thickBot="1" x14ac:dyDescent="0.3">
      <c r="F5380" s="597" t="s">
        <v>253</v>
      </c>
      <c r="G5380" s="598" t="s">
        <v>254</v>
      </c>
      <c r="J5380" s="560">
        <f t="shared" si="179"/>
        <v>0</v>
      </c>
    </row>
    <row r="5381" spans="1:25" ht="15.75" hidden="1" thickBot="1" x14ac:dyDescent="0.3">
      <c r="F5381" s="597" t="s">
        <v>255</v>
      </c>
      <c r="G5381" s="598" t="s">
        <v>256</v>
      </c>
      <c r="J5381" s="560">
        <f t="shared" si="179"/>
        <v>0</v>
      </c>
    </row>
    <row r="5382" spans="1:25" ht="30.75" hidden="1" thickBot="1" x14ac:dyDescent="0.3">
      <c r="F5382" s="597" t="s">
        <v>257</v>
      </c>
      <c r="G5382" s="598" t="s">
        <v>258</v>
      </c>
      <c r="J5382" s="560">
        <f t="shared" si="179"/>
        <v>0</v>
      </c>
    </row>
    <row r="5383" spans="1:25" ht="15.75" hidden="1" thickBot="1" x14ac:dyDescent="0.3">
      <c r="F5383" s="597" t="s">
        <v>259</v>
      </c>
      <c r="G5383" s="598" t="s">
        <v>260</v>
      </c>
      <c r="J5383" s="560">
        <f t="shared" si="179"/>
        <v>0</v>
      </c>
    </row>
    <row r="5384" spans="1:25" ht="15.75" hidden="1" thickBot="1" x14ac:dyDescent="0.3">
      <c r="F5384" s="597" t="s">
        <v>261</v>
      </c>
      <c r="G5384" s="598" t="s">
        <v>262</v>
      </c>
      <c r="H5384" s="559"/>
      <c r="I5384" s="560"/>
      <c r="J5384" s="560">
        <f t="shared" si="179"/>
        <v>0</v>
      </c>
    </row>
    <row r="5385" spans="1:25" ht="15" customHeight="1" collapsed="1" thickBot="1" x14ac:dyDescent="0.3">
      <c r="G5385" s="268" t="s">
        <v>4215</v>
      </c>
      <c r="H5385" s="561">
        <f>SUM(H5369:H5384)</f>
        <v>10989550</v>
      </c>
      <c r="I5385" s="562">
        <f>SUM(I5370:I5384)</f>
        <v>0</v>
      </c>
      <c r="J5385" s="562">
        <f>SUM(J5369:J5384)</f>
        <v>10989550</v>
      </c>
    </row>
    <row r="5386" spans="1:25" s="88" customFormat="1" hidden="1" x14ac:dyDescent="0.25">
      <c r="A5386" s="258"/>
      <c r="B5386" s="288"/>
      <c r="C5386" s="334"/>
      <c r="D5386" s="286"/>
      <c r="E5386" s="876"/>
      <c r="F5386" s="289"/>
      <c r="G5386" s="490"/>
      <c r="H5386" s="588"/>
      <c r="I5386" s="571"/>
      <c r="J5386" s="589"/>
      <c r="K5386" s="505"/>
      <c r="L5386" s="505"/>
      <c r="M5386" s="505"/>
      <c r="N5386" s="505"/>
      <c r="O5386" s="505"/>
      <c r="P5386" s="505"/>
      <c r="Q5386" s="505"/>
      <c r="R5386" s="505"/>
      <c r="S5386" s="505"/>
      <c r="T5386" s="505"/>
      <c r="U5386" s="505"/>
      <c r="V5386" s="505"/>
      <c r="W5386" s="505"/>
      <c r="X5386" s="505"/>
      <c r="Y5386" s="505"/>
    </row>
    <row r="5387" spans="1:25" hidden="1" x14ac:dyDescent="0.25">
      <c r="A5387" s="481"/>
      <c r="C5387" s="267" t="s">
        <v>4713</v>
      </c>
      <c r="D5387" s="259"/>
      <c r="G5387" s="483" t="s">
        <v>4969</v>
      </c>
    </row>
    <row r="5388" spans="1:25" hidden="1" x14ac:dyDescent="0.25">
      <c r="C5388" s="267"/>
      <c r="D5388" s="331">
        <v>733</v>
      </c>
      <c r="E5388" s="869"/>
      <c r="F5388" s="331"/>
      <c r="G5388" s="347" t="s">
        <v>200</v>
      </c>
    </row>
    <row r="5389" spans="1:25" hidden="1" x14ac:dyDescent="0.25">
      <c r="F5389" s="499">
        <v>411</v>
      </c>
      <c r="G5389" s="492" t="s">
        <v>4131</v>
      </c>
      <c r="J5389" s="556">
        <f>SUM(H5389:I5389)</f>
        <v>0</v>
      </c>
    </row>
    <row r="5390" spans="1:25" hidden="1" x14ac:dyDescent="0.25">
      <c r="F5390" s="499">
        <v>412</v>
      </c>
      <c r="G5390" s="488" t="s">
        <v>3766</v>
      </c>
      <c r="J5390" s="556">
        <f t="shared" ref="J5390:J5448" si="180">SUM(H5390:I5390)</f>
        <v>0</v>
      </c>
    </row>
    <row r="5391" spans="1:25" hidden="1" x14ac:dyDescent="0.25">
      <c r="F5391" s="499">
        <v>413</v>
      </c>
      <c r="G5391" s="492" t="s">
        <v>4132</v>
      </c>
      <c r="J5391" s="556">
        <f t="shared" si="180"/>
        <v>0</v>
      </c>
    </row>
    <row r="5392" spans="1:25" hidden="1" x14ac:dyDescent="0.25">
      <c r="F5392" s="499">
        <v>414</v>
      </c>
      <c r="G5392" s="492" t="s">
        <v>3769</v>
      </c>
      <c r="J5392" s="556">
        <f t="shared" si="180"/>
        <v>0</v>
      </c>
    </row>
    <row r="5393" spans="6:10" hidden="1" x14ac:dyDescent="0.25">
      <c r="F5393" s="499">
        <v>415</v>
      </c>
      <c r="G5393" s="492" t="s">
        <v>4141</v>
      </c>
      <c r="J5393" s="556">
        <f t="shared" si="180"/>
        <v>0</v>
      </c>
    </row>
    <row r="5394" spans="6:10" hidden="1" x14ac:dyDescent="0.25">
      <c r="F5394" s="499">
        <v>416</v>
      </c>
      <c r="G5394" s="492" t="s">
        <v>4142</v>
      </c>
      <c r="J5394" s="556">
        <f t="shared" si="180"/>
        <v>0</v>
      </c>
    </row>
    <row r="5395" spans="6:10" hidden="1" x14ac:dyDescent="0.25">
      <c r="F5395" s="499">
        <v>417</v>
      </c>
      <c r="G5395" s="492" t="s">
        <v>4143</v>
      </c>
      <c r="J5395" s="556">
        <f t="shared" si="180"/>
        <v>0</v>
      </c>
    </row>
    <row r="5396" spans="6:10" hidden="1" x14ac:dyDescent="0.25">
      <c r="F5396" s="499">
        <v>418</v>
      </c>
      <c r="G5396" s="492" t="s">
        <v>3775</v>
      </c>
      <c r="J5396" s="556">
        <f t="shared" si="180"/>
        <v>0</v>
      </c>
    </row>
    <row r="5397" spans="6:10" hidden="1" x14ac:dyDescent="0.25">
      <c r="F5397" s="499">
        <v>421</v>
      </c>
      <c r="G5397" s="492" t="s">
        <v>3779</v>
      </c>
      <c r="J5397" s="556">
        <f t="shared" si="180"/>
        <v>0</v>
      </c>
    </row>
    <row r="5398" spans="6:10" hidden="1" x14ac:dyDescent="0.25">
      <c r="F5398" s="499">
        <v>422</v>
      </c>
      <c r="G5398" s="492" t="s">
        <v>3780</v>
      </c>
      <c r="J5398" s="556">
        <f t="shared" si="180"/>
        <v>0</v>
      </c>
    </row>
    <row r="5399" spans="6:10" hidden="1" x14ac:dyDescent="0.25">
      <c r="F5399" s="499">
        <v>423</v>
      </c>
      <c r="G5399" s="492" t="s">
        <v>3781</v>
      </c>
      <c r="J5399" s="556">
        <f t="shared" si="180"/>
        <v>0</v>
      </c>
    </row>
    <row r="5400" spans="6:10" hidden="1" x14ac:dyDescent="0.25">
      <c r="F5400" s="499">
        <v>424</v>
      </c>
      <c r="G5400" s="492" t="s">
        <v>3783</v>
      </c>
      <c r="J5400" s="556">
        <f t="shared" si="180"/>
        <v>0</v>
      </c>
    </row>
    <row r="5401" spans="6:10" hidden="1" x14ac:dyDescent="0.25">
      <c r="F5401" s="499">
        <v>425</v>
      </c>
      <c r="G5401" s="492" t="s">
        <v>4144</v>
      </c>
      <c r="J5401" s="556">
        <f t="shared" si="180"/>
        <v>0</v>
      </c>
    </row>
    <row r="5402" spans="6:10" hidden="1" x14ac:dyDescent="0.25">
      <c r="F5402" s="499">
        <v>426</v>
      </c>
      <c r="G5402" s="492" t="s">
        <v>3787</v>
      </c>
      <c r="J5402" s="556">
        <f t="shared" si="180"/>
        <v>0</v>
      </c>
    </row>
    <row r="5403" spans="6:10" hidden="1" x14ac:dyDescent="0.25">
      <c r="F5403" s="499">
        <v>431</v>
      </c>
      <c r="G5403" s="492" t="s">
        <v>4145</v>
      </c>
      <c r="J5403" s="556">
        <f t="shared" si="180"/>
        <v>0</v>
      </c>
    </row>
    <row r="5404" spans="6:10" hidden="1" x14ac:dyDescent="0.25">
      <c r="F5404" s="499">
        <v>432</v>
      </c>
      <c r="G5404" s="492" t="s">
        <v>4146</v>
      </c>
      <c r="J5404" s="556">
        <f t="shared" si="180"/>
        <v>0</v>
      </c>
    </row>
    <row r="5405" spans="6:10" hidden="1" x14ac:dyDescent="0.25">
      <c r="F5405" s="499">
        <v>433</v>
      </c>
      <c r="G5405" s="492" t="s">
        <v>4147</v>
      </c>
      <c r="J5405" s="556">
        <f t="shared" si="180"/>
        <v>0</v>
      </c>
    </row>
    <row r="5406" spans="6:10" hidden="1" x14ac:dyDescent="0.25">
      <c r="F5406" s="499">
        <v>434</v>
      </c>
      <c r="G5406" s="492" t="s">
        <v>4148</v>
      </c>
      <c r="J5406" s="556">
        <f t="shared" si="180"/>
        <v>0</v>
      </c>
    </row>
    <row r="5407" spans="6:10" hidden="1" x14ac:dyDescent="0.25">
      <c r="F5407" s="499">
        <v>435</v>
      </c>
      <c r="G5407" s="492" t="s">
        <v>3794</v>
      </c>
      <c r="J5407" s="556">
        <f t="shared" si="180"/>
        <v>0</v>
      </c>
    </row>
    <row r="5408" spans="6:10" hidden="1" x14ac:dyDescent="0.25">
      <c r="F5408" s="499">
        <v>441</v>
      </c>
      <c r="G5408" s="492" t="s">
        <v>4149</v>
      </c>
      <c r="J5408" s="556">
        <f t="shared" si="180"/>
        <v>0</v>
      </c>
    </row>
    <row r="5409" spans="6:10" hidden="1" x14ac:dyDescent="0.25">
      <c r="F5409" s="499">
        <v>442</v>
      </c>
      <c r="G5409" s="492" t="s">
        <v>4150</v>
      </c>
      <c r="J5409" s="556">
        <f t="shared" si="180"/>
        <v>0</v>
      </c>
    </row>
    <row r="5410" spans="6:10" hidden="1" x14ac:dyDescent="0.25">
      <c r="F5410" s="499">
        <v>443</v>
      </c>
      <c r="G5410" s="492" t="s">
        <v>3799</v>
      </c>
      <c r="J5410" s="556">
        <f t="shared" si="180"/>
        <v>0</v>
      </c>
    </row>
    <row r="5411" spans="6:10" hidden="1" x14ac:dyDescent="0.25">
      <c r="F5411" s="499">
        <v>444</v>
      </c>
      <c r="G5411" s="492" t="s">
        <v>3800</v>
      </c>
      <c r="J5411" s="556">
        <f t="shared" si="180"/>
        <v>0</v>
      </c>
    </row>
    <row r="5412" spans="6:10" ht="30" hidden="1" x14ac:dyDescent="0.25">
      <c r="F5412" s="499">
        <v>4511</v>
      </c>
      <c r="G5412" s="771" t="s">
        <v>1690</v>
      </c>
      <c r="J5412" s="556">
        <f t="shared" si="180"/>
        <v>0</v>
      </c>
    </row>
    <row r="5413" spans="6:10" ht="30" hidden="1" x14ac:dyDescent="0.25">
      <c r="F5413" s="499">
        <v>4512</v>
      </c>
      <c r="G5413" s="771" t="s">
        <v>1699</v>
      </c>
      <c r="J5413" s="556">
        <f t="shared" si="180"/>
        <v>0</v>
      </c>
    </row>
    <row r="5414" spans="6:10" hidden="1" x14ac:dyDescent="0.25">
      <c r="F5414" s="499">
        <v>452</v>
      </c>
      <c r="G5414" s="492" t="s">
        <v>4151</v>
      </c>
      <c r="J5414" s="556">
        <f t="shared" si="180"/>
        <v>0</v>
      </c>
    </row>
    <row r="5415" spans="6:10" hidden="1" x14ac:dyDescent="0.25">
      <c r="F5415" s="499">
        <v>453</v>
      </c>
      <c r="G5415" s="492" t="s">
        <v>4152</v>
      </c>
      <c r="J5415" s="556">
        <f t="shared" si="180"/>
        <v>0</v>
      </c>
    </row>
    <row r="5416" spans="6:10" hidden="1" x14ac:dyDescent="0.25">
      <c r="F5416" s="499">
        <v>454</v>
      </c>
      <c r="G5416" s="492" t="s">
        <v>3805</v>
      </c>
      <c r="J5416" s="556">
        <f t="shared" si="180"/>
        <v>0</v>
      </c>
    </row>
    <row r="5417" spans="6:10" hidden="1" x14ac:dyDescent="0.25">
      <c r="F5417" s="499">
        <v>461</v>
      </c>
      <c r="G5417" s="492" t="s">
        <v>4133</v>
      </c>
      <c r="J5417" s="556">
        <f t="shared" si="180"/>
        <v>0</v>
      </c>
    </row>
    <row r="5418" spans="6:10" hidden="1" x14ac:dyDescent="0.25">
      <c r="F5418" s="499">
        <v>462</v>
      </c>
      <c r="G5418" s="492" t="s">
        <v>3808</v>
      </c>
      <c r="J5418" s="556">
        <f t="shared" si="180"/>
        <v>0</v>
      </c>
    </row>
    <row r="5419" spans="6:10" hidden="1" x14ac:dyDescent="0.25">
      <c r="F5419" s="499">
        <v>4631</v>
      </c>
      <c r="G5419" s="492" t="s">
        <v>3809</v>
      </c>
      <c r="J5419" s="556">
        <f t="shared" si="180"/>
        <v>0</v>
      </c>
    </row>
    <row r="5420" spans="6:10" hidden="1" x14ac:dyDescent="0.25">
      <c r="F5420" s="499">
        <v>4632</v>
      </c>
      <c r="G5420" s="492" t="s">
        <v>3810</v>
      </c>
      <c r="J5420" s="556">
        <f t="shared" si="180"/>
        <v>0</v>
      </c>
    </row>
    <row r="5421" spans="6:10" hidden="1" x14ac:dyDescent="0.25">
      <c r="F5421" s="499">
        <v>464</v>
      </c>
      <c r="G5421" s="492" t="s">
        <v>3811</v>
      </c>
      <c r="J5421" s="556">
        <f t="shared" si="180"/>
        <v>0</v>
      </c>
    </row>
    <row r="5422" spans="6:10" hidden="1" x14ac:dyDescent="0.25">
      <c r="F5422" s="499">
        <v>465</v>
      </c>
      <c r="G5422" s="492" t="s">
        <v>4134</v>
      </c>
      <c r="J5422" s="556">
        <f t="shared" si="180"/>
        <v>0</v>
      </c>
    </row>
    <row r="5423" spans="6:10" hidden="1" x14ac:dyDescent="0.25">
      <c r="F5423" s="499">
        <v>472</v>
      </c>
      <c r="G5423" s="492" t="s">
        <v>3815</v>
      </c>
      <c r="J5423" s="556">
        <f t="shared" si="180"/>
        <v>0</v>
      </c>
    </row>
    <row r="5424" spans="6:10" hidden="1" x14ac:dyDescent="0.25">
      <c r="F5424" s="499">
        <v>481</v>
      </c>
      <c r="G5424" s="492" t="s">
        <v>4153</v>
      </c>
      <c r="J5424" s="556">
        <f t="shared" si="180"/>
        <v>0</v>
      </c>
    </row>
    <row r="5425" spans="6:10" hidden="1" x14ac:dyDescent="0.25">
      <c r="F5425" s="499">
        <v>482</v>
      </c>
      <c r="G5425" s="492" t="s">
        <v>4154</v>
      </c>
      <c r="J5425" s="556">
        <f t="shared" si="180"/>
        <v>0</v>
      </c>
    </row>
    <row r="5426" spans="6:10" hidden="1" x14ac:dyDescent="0.25">
      <c r="F5426" s="499">
        <v>483</v>
      </c>
      <c r="G5426" s="496" t="s">
        <v>4155</v>
      </c>
      <c r="J5426" s="556">
        <f t="shared" si="180"/>
        <v>0</v>
      </c>
    </row>
    <row r="5427" spans="6:10" ht="30" hidden="1" x14ac:dyDescent="0.25">
      <c r="F5427" s="499">
        <v>484</v>
      </c>
      <c r="G5427" s="492" t="s">
        <v>4156</v>
      </c>
      <c r="J5427" s="556">
        <f t="shared" si="180"/>
        <v>0</v>
      </c>
    </row>
    <row r="5428" spans="6:10" ht="30" hidden="1" x14ac:dyDescent="0.25">
      <c r="F5428" s="499">
        <v>485</v>
      </c>
      <c r="G5428" s="492" t="s">
        <v>4157</v>
      </c>
      <c r="J5428" s="556">
        <f t="shared" si="180"/>
        <v>0</v>
      </c>
    </row>
    <row r="5429" spans="6:10" ht="30" hidden="1" x14ac:dyDescent="0.25">
      <c r="F5429" s="499">
        <v>489</v>
      </c>
      <c r="G5429" s="492" t="s">
        <v>3823</v>
      </c>
      <c r="J5429" s="556">
        <f t="shared" si="180"/>
        <v>0</v>
      </c>
    </row>
    <row r="5430" spans="6:10" hidden="1" x14ac:dyDescent="0.25">
      <c r="F5430" s="499">
        <v>494</v>
      </c>
      <c r="G5430" s="492" t="s">
        <v>4135</v>
      </c>
      <c r="J5430" s="556">
        <f t="shared" si="180"/>
        <v>0</v>
      </c>
    </row>
    <row r="5431" spans="6:10" ht="30" hidden="1" x14ac:dyDescent="0.25">
      <c r="F5431" s="499">
        <v>495</v>
      </c>
      <c r="G5431" s="492" t="s">
        <v>4136</v>
      </c>
      <c r="J5431" s="556">
        <f t="shared" si="180"/>
        <v>0</v>
      </c>
    </row>
    <row r="5432" spans="6:10" ht="30" hidden="1" x14ac:dyDescent="0.25">
      <c r="F5432" s="499">
        <v>496</v>
      </c>
      <c r="G5432" s="492" t="s">
        <v>4137</v>
      </c>
      <c r="J5432" s="556">
        <f t="shared" si="180"/>
        <v>0</v>
      </c>
    </row>
    <row r="5433" spans="6:10" ht="30" hidden="1" x14ac:dyDescent="0.25">
      <c r="F5433" s="499">
        <v>499</v>
      </c>
      <c r="G5433" s="492" t="s">
        <v>4138</v>
      </c>
      <c r="J5433" s="556">
        <f t="shared" si="180"/>
        <v>0</v>
      </c>
    </row>
    <row r="5434" spans="6:10" hidden="1" x14ac:dyDescent="0.25">
      <c r="F5434" s="499">
        <v>511</v>
      </c>
      <c r="G5434" s="496" t="s">
        <v>4158</v>
      </c>
      <c r="J5434" s="556">
        <f t="shared" si="180"/>
        <v>0</v>
      </c>
    </row>
    <row r="5435" spans="6:10" hidden="1" x14ac:dyDescent="0.25">
      <c r="F5435" s="499">
        <v>512</v>
      </c>
      <c r="G5435" s="496" t="s">
        <v>4159</v>
      </c>
      <c r="J5435" s="556">
        <f t="shared" si="180"/>
        <v>0</v>
      </c>
    </row>
    <row r="5436" spans="6:10" hidden="1" x14ac:dyDescent="0.25">
      <c r="F5436" s="499">
        <v>513</v>
      </c>
      <c r="G5436" s="496" t="s">
        <v>4160</v>
      </c>
      <c r="J5436" s="556">
        <f t="shared" si="180"/>
        <v>0</v>
      </c>
    </row>
    <row r="5437" spans="6:10" hidden="1" x14ac:dyDescent="0.25">
      <c r="F5437" s="499">
        <v>514</v>
      </c>
      <c r="G5437" s="492" t="s">
        <v>4161</v>
      </c>
      <c r="J5437" s="556">
        <f t="shared" si="180"/>
        <v>0</v>
      </c>
    </row>
    <row r="5438" spans="6:10" hidden="1" x14ac:dyDescent="0.25">
      <c r="F5438" s="499">
        <v>515</v>
      </c>
      <c r="G5438" s="492" t="s">
        <v>3834</v>
      </c>
      <c r="J5438" s="556">
        <f t="shared" si="180"/>
        <v>0</v>
      </c>
    </row>
    <row r="5439" spans="6:10" hidden="1" x14ac:dyDescent="0.25">
      <c r="F5439" s="499">
        <v>521</v>
      </c>
      <c r="G5439" s="492" t="s">
        <v>4162</v>
      </c>
      <c r="J5439" s="556">
        <f t="shared" si="180"/>
        <v>0</v>
      </c>
    </row>
    <row r="5440" spans="6:10" hidden="1" x14ac:dyDescent="0.25">
      <c r="F5440" s="499">
        <v>522</v>
      </c>
      <c r="G5440" s="492" t="s">
        <v>4163</v>
      </c>
      <c r="J5440" s="556">
        <f t="shared" si="180"/>
        <v>0</v>
      </c>
    </row>
    <row r="5441" spans="5:10" hidden="1" x14ac:dyDescent="0.25">
      <c r="F5441" s="499">
        <v>523</v>
      </c>
      <c r="G5441" s="492" t="s">
        <v>3839</v>
      </c>
      <c r="J5441" s="556">
        <f t="shared" si="180"/>
        <v>0</v>
      </c>
    </row>
    <row r="5442" spans="5:10" hidden="1" x14ac:dyDescent="0.25">
      <c r="F5442" s="499">
        <v>531</v>
      </c>
      <c r="G5442" s="488" t="s">
        <v>4139</v>
      </c>
      <c r="J5442" s="556">
        <f t="shared" si="180"/>
        <v>0</v>
      </c>
    </row>
    <row r="5443" spans="5:10" hidden="1" x14ac:dyDescent="0.25">
      <c r="F5443" s="499">
        <v>541</v>
      </c>
      <c r="G5443" s="492" t="s">
        <v>4164</v>
      </c>
      <c r="J5443" s="556">
        <f t="shared" si="180"/>
        <v>0</v>
      </c>
    </row>
    <row r="5444" spans="5:10" hidden="1" x14ac:dyDescent="0.25">
      <c r="F5444" s="499">
        <v>542</v>
      </c>
      <c r="G5444" s="492" t="s">
        <v>4165</v>
      </c>
      <c r="J5444" s="556">
        <f t="shared" si="180"/>
        <v>0</v>
      </c>
    </row>
    <row r="5445" spans="5:10" hidden="1" x14ac:dyDescent="0.25">
      <c r="F5445" s="499">
        <v>543</v>
      </c>
      <c r="G5445" s="492" t="s">
        <v>3844</v>
      </c>
      <c r="J5445" s="556">
        <f t="shared" si="180"/>
        <v>0</v>
      </c>
    </row>
    <row r="5446" spans="5:10" ht="30" hidden="1" x14ac:dyDescent="0.25">
      <c r="F5446" s="499">
        <v>551</v>
      </c>
      <c r="G5446" s="492" t="s">
        <v>4140</v>
      </c>
      <c r="J5446" s="556">
        <f t="shared" si="180"/>
        <v>0</v>
      </c>
    </row>
    <row r="5447" spans="5:10" hidden="1" x14ac:dyDescent="0.25">
      <c r="F5447" s="500">
        <v>611</v>
      </c>
      <c r="G5447" s="498" t="s">
        <v>3850</v>
      </c>
      <c r="J5447" s="556">
        <f t="shared" si="180"/>
        <v>0</v>
      </c>
    </row>
    <row r="5448" spans="5:10" hidden="1" x14ac:dyDescent="0.25">
      <c r="F5448" s="500">
        <v>620</v>
      </c>
      <c r="G5448" s="498" t="s">
        <v>88</v>
      </c>
      <c r="J5448" s="556">
        <f t="shared" si="180"/>
        <v>0</v>
      </c>
    </row>
    <row r="5449" spans="5:10" hidden="1" x14ac:dyDescent="0.25">
      <c r="E5449" s="489"/>
      <c r="F5449" s="500"/>
      <c r="G5449" s="342" t="s">
        <v>4387</v>
      </c>
      <c r="H5449" s="557"/>
      <c r="I5449" s="583"/>
      <c r="J5449" s="558"/>
    </row>
    <row r="5450" spans="5:10" hidden="1" x14ac:dyDescent="0.25">
      <c r="E5450" s="693"/>
      <c r="F5450" s="597" t="s">
        <v>234</v>
      </c>
      <c r="G5450" s="598" t="s">
        <v>235</v>
      </c>
      <c r="H5450" s="559">
        <f>SUM(H5389:H5448)</f>
        <v>0</v>
      </c>
      <c r="I5450" s="560"/>
      <c r="J5450" s="560">
        <f>SUM(H5450:I5450)</f>
        <v>0</v>
      </c>
    </row>
    <row r="5451" spans="5:10" hidden="1" x14ac:dyDescent="0.25">
      <c r="F5451" s="597" t="s">
        <v>236</v>
      </c>
      <c r="G5451" s="598" t="s">
        <v>237</v>
      </c>
      <c r="J5451" s="560">
        <f t="shared" ref="J5451:J5465" si="181">SUM(H5451:I5451)</f>
        <v>0</v>
      </c>
    </row>
    <row r="5452" spans="5:10" hidden="1" x14ac:dyDescent="0.25">
      <c r="F5452" s="597" t="s">
        <v>238</v>
      </c>
      <c r="G5452" s="598" t="s">
        <v>239</v>
      </c>
      <c r="J5452" s="560">
        <f t="shared" si="181"/>
        <v>0</v>
      </c>
    </row>
    <row r="5453" spans="5:10" hidden="1" x14ac:dyDescent="0.25">
      <c r="F5453" s="597" t="s">
        <v>240</v>
      </c>
      <c r="G5453" s="598" t="s">
        <v>241</v>
      </c>
      <c r="J5453" s="560">
        <f t="shared" si="181"/>
        <v>0</v>
      </c>
    </row>
    <row r="5454" spans="5:10" hidden="1" x14ac:dyDescent="0.25">
      <c r="F5454" s="597" t="s">
        <v>242</v>
      </c>
      <c r="G5454" s="598" t="s">
        <v>243</v>
      </c>
      <c r="J5454" s="560">
        <f t="shared" si="181"/>
        <v>0</v>
      </c>
    </row>
    <row r="5455" spans="5:10" hidden="1" x14ac:dyDescent="0.25">
      <c r="F5455" s="597" t="s">
        <v>244</v>
      </c>
      <c r="G5455" s="598" t="s">
        <v>245</v>
      </c>
      <c r="J5455" s="560">
        <f t="shared" si="181"/>
        <v>0</v>
      </c>
    </row>
    <row r="5456" spans="5:10" hidden="1" x14ac:dyDescent="0.25">
      <c r="F5456" s="597" t="s">
        <v>246</v>
      </c>
      <c r="G5456" s="598" t="s">
        <v>4996</v>
      </c>
      <c r="J5456" s="560">
        <f t="shared" si="181"/>
        <v>0</v>
      </c>
    </row>
    <row r="5457" spans="5:10" hidden="1" x14ac:dyDescent="0.25">
      <c r="F5457" s="597" t="s">
        <v>247</v>
      </c>
      <c r="G5457" s="598" t="s">
        <v>4995</v>
      </c>
      <c r="J5457" s="560">
        <f t="shared" si="181"/>
        <v>0</v>
      </c>
    </row>
    <row r="5458" spans="5:10" hidden="1" x14ac:dyDescent="0.25">
      <c r="F5458" s="597" t="s">
        <v>248</v>
      </c>
      <c r="G5458" s="598" t="s">
        <v>57</v>
      </c>
      <c r="J5458" s="560">
        <f t="shared" si="181"/>
        <v>0</v>
      </c>
    </row>
    <row r="5459" spans="5:10" hidden="1" x14ac:dyDescent="0.25">
      <c r="F5459" s="597" t="s">
        <v>249</v>
      </c>
      <c r="G5459" s="598" t="s">
        <v>250</v>
      </c>
      <c r="J5459" s="560">
        <f t="shared" si="181"/>
        <v>0</v>
      </c>
    </row>
    <row r="5460" spans="5:10" hidden="1" x14ac:dyDescent="0.25">
      <c r="F5460" s="597" t="s">
        <v>251</v>
      </c>
      <c r="G5460" s="598" t="s">
        <v>252</v>
      </c>
      <c r="J5460" s="560">
        <f t="shared" si="181"/>
        <v>0</v>
      </c>
    </row>
    <row r="5461" spans="5:10" ht="30" hidden="1" x14ac:dyDescent="0.25">
      <c r="F5461" s="597" t="s">
        <v>253</v>
      </c>
      <c r="G5461" s="598" t="s">
        <v>254</v>
      </c>
      <c r="J5461" s="560">
        <f t="shared" si="181"/>
        <v>0</v>
      </c>
    </row>
    <row r="5462" spans="5:10" hidden="1" x14ac:dyDescent="0.25">
      <c r="F5462" s="597" t="s">
        <v>255</v>
      </c>
      <c r="G5462" s="598" t="s">
        <v>256</v>
      </c>
      <c r="J5462" s="560">
        <f t="shared" si="181"/>
        <v>0</v>
      </c>
    </row>
    <row r="5463" spans="5:10" ht="30" hidden="1" x14ac:dyDescent="0.25">
      <c r="F5463" s="597" t="s">
        <v>257</v>
      </c>
      <c r="G5463" s="598" t="s">
        <v>258</v>
      </c>
      <c r="J5463" s="560">
        <f t="shared" si="181"/>
        <v>0</v>
      </c>
    </row>
    <row r="5464" spans="5:10" hidden="1" x14ac:dyDescent="0.25">
      <c r="F5464" s="597" t="s">
        <v>259</v>
      </c>
      <c r="G5464" s="598" t="s">
        <v>260</v>
      </c>
      <c r="J5464" s="560">
        <f t="shared" si="181"/>
        <v>0</v>
      </c>
    </row>
    <row r="5465" spans="5:10" hidden="1" x14ac:dyDescent="0.25">
      <c r="F5465" s="597" t="s">
        <v>261</v>
      </c>
      <c r="G5465" s="598" t="s">
        <v>262</v>
      </c>
      <c r="H5465" s="559"/>
      <c r="I5465" s="560"/>
      <c r="J5465" s="560">
        <f t="shared" si="181"/>
        <v>0</v>
      </c>
    </row>
    <row r="5466" spans="5:10" ht="15.75" hidden="1" thickBot="1" x14ac:dyDescent="0.3">
      <c r="G5466" s="268" t="s">
        <v>4307</v>
      </c>
      <c r="H5466" s="561">
        <f>SUM(H5450:H5465)</f>
        <v>0</v>
      </c>
      <c r="I5466" s="562">
        <f>SUM(I5451:I5465)</f>
        <v>0</v>
      </c>
      <c r="J5466" s="562">
        <f>SUM(J5450:J5465)</f>
        <v>0</v>
      </c>
    </row>
    <row r="5467" spans="5:10" hidden="1" collapsed="1" x14ac:dyDescent="0.25">
      <c r="E5467" s="489"/>
      <c r="F5467" s="500"/>
      <c r="G5467" s="270" t="s">
        <v>4945</v>
      </c>
      <c r="H5467" s="563"/>
      <c r="I5467" s="584"/>
      <c r="J5467" s="564"/>
    </row>
    <row r="5468" spans="5:10" hidden="1" x14ac:dyDescent="0.25">
      <c r="E5468" s="693"/>
      <c r="F5468" s="597" t="s">
        <v>234</v>
      </c>
      <c r="G5468" s="598" t="s">
        <v>235</v>
      </c>
      <c r="H5468" s="559">
        <f>SUM(H5389:H5448)</f>
        <v>0</v>
      </c>
      <c r="I5468" s="560"/>
      <c r="J5468" s="560">
        <f>SUM(H5468:I5468)</f>
        <v>0</v>
      </c>
    </row>
    <row r="5469" spans="5:10" hidden="1" x14ac:dyDescent="0.25">
      <c r="F5469" s="597" t="s">
        <v>236</v>
      </c>
      <c r="G5469" s="598" t="s">
        <v>237</v>
      </c>
      <c r="J5469" s="560">
        <f t="shared" ref="J5469:J5483" si="182">SUM(H5469:I5469)</f>
        <v>0</v>
      </c>
    </row>
    <row r="5470" spans="5:10" hidden="1" x14ac:dyDescent="0.25">
      <c r="F5470" s="597" t="s">
        <v>238</v>
      </c>
      <c r="G5470" s="598" t="s">
        <v>239</v>
      </c>
      <c r="J5470" s="560">
        <f t="shared" si="182"/>
        <v>0</v>
      </c>
    </row>
    <row r="5471" spans="5:10" hidden="1" x14ac:dyDescent="0.25">
      <c r="F5471" s="597" t="s">
        <v>240</v>
      </c>
      <c r="G5471" s="598" t="s">
        <v>241</v>
      </c>
      <c r="J5471" s="560">
        <f t="shared" si="182"/>
        <v>0</v>
      </c>
    </row>
    <row r="5472" spans="5:10" hidden="1" x14ac:dyDescent="0.25">
      <c r="F5472" s="597" t="s">
        <v>242</v>
      </c>
      <c r="G5472" s="598" t="s">
        <v>243</v>
      </c>
      <c r="J5472" s="560">
        <f t="shared" si="182"/>
        <v>0</v>
      </c>
    </row>
    <row r="5473" spans="1:25" hidden="1" x14ac:dyDescent="0.25">
      <c r="F5473" s="597" t="s">
        <v>244</v>
      </c>
      <c r="G5473" s="598" t="s">
        <v>245</v>
      </c>
      <c r="J5473" s="560">
        <f t="shared" si="182"/>
        <v>0</v>
      </c>
    </row>
    <row r="5474" spans="1:25" hidden="1" x14ac:dyDescent="0.25">
      <c r="F5474" s="597" t="s">
        <v>246</v>
      </c>
      <c r="G5474" s="598" t="s">
        <v>4996</v>
      </c>
      <c r="J5474" s="560">
        <f t="shared" si="182"/>
        <v>0</v>
      </c>
    </row>
    <row r="5475" spans="1:25" hidden="1" x14ac:dyDescent="0.25">
      <c r="F5475" s="597" t="s">
        <v>247</v>
      </c>
      <c r="G5475" s="598" t="s">
        <v>4995</v>
      </c>
      <c r="J5475" s="560">
        <f t="shared" si="182"/>
        <v>0</v>
      </c>
    </row>
    <row r="5476" spans="1:25" hidden="1" x14ac:dyDescent="0.25">
      <c r="F5476" s="597" t="s">
        <v>248</v>
      </c>
      <c r="G5476" s="598" t="s">
        <v>57</v>
      </c>
      <c r="J5476" s="560">
        <f t="shared" si="182"/>
        <v>0</v>
      </c>
    </row>
    <row r="5477" spans="1:25" hidden="1" x14ac:dyDescent="0.25">
      <c r="F5477" s="597" t="s">
        <v>249</v>
      </c>
      <c r="G5477" s="598" t="s">
        <v>250</v>
      </c>
      <c r="J5477" s="560">
        <f t="shared" si="182"/>
        <v>0</v>
      </c>
    </row>
    <row r="5478" spans="1:25" hidden="1" x14ac:dyDescent="0.25">
      <c r="F5478" s="597" t="s">
        <v>251</v>
      </c>
      <c r="G5478" s="598" t="s">
        <v>252</v>
      </c>
      <c r="J5478" s="560">
        <f t="shared" si="182"/>
        <v>0</v>
      </c>
    </row>
    <row r="5479" spans="1:25" ht="30" hidden="1" x14ac:dyDescent="0.25">
      <c r="F5479" s="597" t="s">
        <v>253</v>
      </c>
      <c r="G5479" s="598" t="s">
        <v>254</v>
      </c>
      <c r="J5479" s="560">
        <f t="shared" si="182"/>
        <v>0</v>
      </c>
    </row>
    <row r="5480" spans="1:25" hidden="1" x14ac:dyDescent="0.25">
      <c r="F5480" s="597" t="s">
        <v>255</v>
      </c>
      <c r="G5480" s="598" t="s">
        <v>256</v>
      </c>
      <c r="J5480" s="560">
        <f t="shared" si="182"/>
        <v>0</v>
      </c>
    </row>
    <row r="5481" spans="1:25" ht="30" hidden="1" x14ac:dyDescent="0.25">
      <c r="F5481" s="597" t="s">
        <v>257</v>
      </c>
      <c r="G5481" s="598" t="s">
        <v>258</v>
      </c>
      <c r="J5481" s="560">
        <f t="shared" si="182"/>
        <v>0</v>
      </c>
    </row>
    <row r="5482" spans="1:25" hidden="1" x14ac:dyDescent="0.25">
      <c r="F5482" s="597" t="s">
        <v>259</v>
      </c>
      <c r="G5482" s="598" t="s">
        <v>260</v>
      </c>
      <c r="J5482" s="560">
        <f t="shared" si="182"/>
        <v>0</v>
      </c>
    </row>
    <row r="5483" spans="1:25" hidden="1" x14ac:dyDescent="0.25">
      <c r="F5483" s="597" t="s">
        <v>261</v>
      </c>
      <c r="G5483" s="598" t="s">
        <v>262</v>
      </c>
      <c r="H5483" s="559"/>
      <c r="I5483" s="560"/>
      <c r="J5483" s="560">
        <f t="shared" si="182"/>
        <v>0</v>
      </c>
    </row>
    <row r="5484" spans="1:25" ht="15.75" hidden="1" collapsed="1" thickBot="1" x14ac:dyDescent="0.3">
      <c r="G5484" s="268" t="s">
        <v>4913</v>
      </c>
      <c r="H5484" s="561">
        <f>SUM(H5468:H5483)</f>
        <v>0</v>
      </c>
      <c r="I5484" s="562">
        <f>SUM(I5469:I5483)</f>
        <v>0</v>
      </c>
      <c r="J5484" s="562">
        <f>SUM(J5468:J5483)</f>
        <v>0</v>
      </c>
    </row>
    <row r="5485" spans="1:25" s="88" customFormat="1" ht="0.75" hidden="1" customHeight="1" x14ac:dyDescent="0.25">
      <c r="A5485" s="258"/>
      <c r="B5485" s="288"/>
      <c r="C5485" s="334"/>
      <c r="D5485" s="286"/>
      <c r="E5485" s="876"/>
      <c r="F5485" s="289"/>
      <c r="G5485" s="490"/>
      <c r="H5485" s="588"/>
      <c r="I5485" s="571"/>
      <c r="J5485" s="589"/>
      <c r="K5485" s="505"/>
      <c r="L5485" s="505"/>
      <c r="M5485" s="505"/>
      <c r="N5485" s="505"/>
      <c r="O5485" s="505"/>
      <c r="P5485" s="505"/>
      <c r="Q5485" s="505"/>
      <c r="R5485" s="505"/>
      <c r="S5485" s="505"/>
      <c r="T5485" s="505"/>
      <c r="U5485" s="505"/>
      <c r="V5485" s="505"/>
      <c r="W5485" s="505"/>
      <c r="X5485" s="505"/>
      <c r="Y5485" s="505"/>
    </row>
    <row r="5486" spans="1:25" s="88" customFormat="1" x14ac:dyDescent="0.25">
      <c r="A5486" s="481"/>
      <c r="B5486" s="288"/>
      <c r="C5486" s="334"/>
      <c r="D5486" s="286"/>
      <c r="E5486" s="876"/>
      <c r="F5486" s="500"/>
      <c r="G5486" s="285" t="s">
        <v>4216</v>
      </c>
      <c r="H5486" s="567"/>
      <c r="I5486" s="585"/>
      <c r="J5486" s="568"/>
      <c r="K5486" s="505"/>
      <c r="L5486" s="505"/>
      <c r="M5486" s="505"/>
      <c r="N5486" s="505"/>
      <c r="O5486" s="505"/>
      <c r="P5486" s="505"/>
      <c r="Q5486" s="505"/>
      <c r="R5486" s="505"/>
      <c r="S5486" s="505"/>
      <c r="T5486" s="505"/>
      <c r="U5486" s="505"/>
      <c r="V5486" s="505"/>
      <c r="W5486" s="505"/>
      <c r="X5486" s="505"/>
      <c r="Y5486" s="505"/>
    </row>
    <row r="5487" spans="1:25" s="88" customFormat="1" ht="15.75" thickBot="1" x14ac:dyDescent="0.3">
      <c r="A5487" s="481"/>
      <c r="B5487" s="288"/>
      <c r="C5487" s="334"/>
      <c r="D5487" s="286"/>
      <c r="E5487" s="876"/>
      <c r="F5487" s="597" t="s">
        <v>234</v>
      </c>
      <c r="G5487" s="598" t="s">
        <v>235</v>
      </c>
      <c r="H5487" s="559">
        <f>SUM(H5468,H5369)</f>
        <v>10989550</v>
      </c>
      <c r="I5487" s="560"/>
      <c r="J5487" s="560">
        <f>SUM(H5487:I5487)</f>
        <v>10989550</v>
      </c>
      <c r="K5487" s="505"/>
      <c r="L5487" s="505"/>
      <c r="M5487" s="505"/>
      <c r="N5487" s="505"/>
      <c r="O5487" s="505"/>
      <c r="P5487" s="505"/>
      <c r="Q5487" s="505"/>
      <c r="R5487" s="505"/>
      <c r="S5487" s="505"/>
      <c r="T5487" s="505"/>
      <c r="U5487" s="505"/>
      <c r="V5487" s="505"/>
      <c r="W5487" s="505"/>
      <c r="X5487" s="505"/>
      <c r="Y5487" s="505"/>
    </row>
    <row r="5488" spans="1:25" s="88" customFormat="1" ht="15.75" hidden="1" thickBot="1" x14ac:dyDescent="0.3">
      <c r="A5488" s="481"/>
      <c r="B5488" s="288"/>
      <c r="C5488" s="334"/>
      <c r="D5488" s="286"/>
      <c r="E5488" s="876"/>
      <c r="F5488" s="597" t="s">
        <v>236</v>
      </c>
      <c r="G5488" s="598" t="s">
        <v>237</v>
      </c>
      <c r="H5488" s="555"/>
      <c r="I5488" s="556"/>
      <c r="J5488" s="560">
        <f t="shared" ref="J5488:J5502" si="183">SUM(H5488:I5488)</f>
        <v>0</v>
      </c>
      <c r="K5488" s="505"/>
      <c r="L5488" s="505"/>
      <c r="M5488" s="505"/>
      <c r="N5488" s="505"/>
      <c r="O5488" s="505"/>
      <c r="P5488" s="505"/>
      <c r="Q5488" s="505"/>
      <c r="R5488" s="505"/>
      <c r="S5488" s="505"/>
      <c r="T5488" s="505"/>
      <c r="U5488" s="505"/>
      <c r="V5488" s="505"/>
      <c r="W5488" s="505"/>
      <c r="X5488" s="505"/>
      <c r="Y5488" s="505"/>
    </row>
    <row r="5489" spans="1:25" s="88" customFormat="1" ht="15.75" hidden="1" thickBot="1" x14ac:dyDescent="0.3">
      <c r="A5489" s="481"/>
      <c r="B5489" s="288"/>
      <c r="C5489" s="334"/>
      <c r="D5489" s="286"/>
      <c r="E5489" s="876"/>
      <c r="F5489" s="597" t="s">
        <v>238</v>
      </c>
      <c r="G5489" s="598" t="s">
        <v>239</v>
      </c>
      <c r="H5489" s="555"/>
      <c r="I5489" s="556"/>
      <c r="J5489" s="560">
        <f t="shared" si="183"/>
        <v>0</v>
      </c>
      <c r="K5489" s="505"/>
      <c r="L5489" s="505"/>
      <c r="M5489" s="505"/>
      <c r="N5489" s="505"/>
      <c r="O5489" s="505"/>
      <c r="P5489" s="505"/>
      <c r="Q5489" s="505"/>
      <c r="R5489" s="505"/>
      <c r="S5489" s="505"/>
      <c r="T5489" s="505"/>
      <c r="U5489" s="505"/>
      <c r="V5489" s="505"/>
      <c r="W5489" s="505"/>
      <c r="X5489" s="505"/>
      <c r="Y5489" s="505"/>
    </row>
    <row r="5490" spans="1:25" s="88" customFormat="1" ht="15.75" hidden="1" thickBot="1" x14ac:dyDescent="0.3">
      <c r="A5490" s="481"/>
      <c r="B5490" s="288"/>
      <c r="C5490" s="334"/>
      <c r="D5490" s="286"/>
      <c r="E5490" s="876"/>
      <c r="F5490" s="597" t="s">
        <v>240</v>
      </c>
      <c r="G5490" s="598" t="s">
        <v>241</v>
      </c>
      <c r="H5490" s="555"/>
      <c r="I5490" s="556"/>
      <c r="J5490" s="560">
        <f t="shared" si="183"/>
        <v>0</v>
      </c>
      <c r="K5490" s="505"/>
      <c r="L5490" s="505"/>
      <c r="M5490" s="505"/>
      <c r="N5490" s="505"/>
      <c r="O5490" s="505"/>
      <c r="P5490" s="505"/>
      <c r="Q5490" s="505"/>
      <c r="R5490" s="505"/>
      <c r="S5490" s="505"/>
      <c r="T5490" s="505"/>
      <c r="U5490" s="505"/>
      <c r="V5490" s="505"/>
      <c r="W5490" s="505"/>
      <c r="X5490" s="505"/>
      <c r="Y5490" s="505"/>
    </row>
    <row r="5491" spans="1:25" s="88" customFormat="1" ht="15.75" hidden="1" thickBot="1" x14ac:dyDescent="0.3">
      <c r="A5491" s="481"/>
      <c r="B5491" s="288"/>
      <c r="C5491" s="334"/>
      <c r="D5491" s="286"/>
      <c r="E5491" s="876"/>
      <c r="F5491" s="597" t="s">
        <v>242</v>
      </c>
      <c r="G5491" s="598" t="s">
        <v>243</v>
      </c>
      <c r="H5491" s="555"/>
      <c r="I5491" s="556"/>
      <c r="J5491" s="560">
        <f t="shared" si="183"/>
        <v>0</v>
      </c>
      <c r="K5491" s="505"/>
      <c r="L5491" s="505"/>
      <c r="M5491" s="505"/>
      <c r="N5491" s="505"/>
      <c r="O5491" s="505"/>
      <c r="P5491" s="505"/>
      <c r="Q5491" s="505"/>
      <c r="R5491" s="505"/>
      <c r="S5491" s="505"/>
      <c r="T5491" s="505"/>
      <c r="U5491" s="505"/>
      <c r="V5491" s="505"/>
      <c r="W5491" s="505"/>
      <c r="X5491" s="505"/>
      <c r="Y5491" s="505"/>
    </row>
    <row r="5492" spans="1:25" s="88" customFormat="1" ht="15.75" hidden="1" thickBot="1" x14ac:dyDescent="0.3">
      <c r="A5492" s="481"/>
      <c r="B5492" s="288"/>
      <c r="C5492" s="334"/>
      <c r="D5492" s="286"/>
      <c r="E5492" s="876"/>
      <c r="F5492" s="597" t="s">
        <v>244</v>
      </c>
      <c r="G5492" s="598" t="s">
        <v>245</v>
      </c>
      <c r="H5492" s="555"/>
      <c r="I5492" s="556"/>
      <c r="J5492" s="560">
        <f t="shared" si="183"/>
        <v>0</v>
      </c>
      <c r="K5492" s="505"/>
      <c r="L5492" s="505"/>
      <c r="M5492" s="505"/>
      <c r="N5492" s="505"/>
      <c r="O5492" s="505"/>
      <c r="P5492" s="505"/>
      <c r="Q5492" s="505"/>
      <c r="R5492" s="505"/>
      <c r="S5492" s="505"/>
      <c r="T5492" s="505"/>
      <c r="U5492" s="505"/>
      <c r="V5492" s="505"/>
      <c r="W5492" s="505"/>
      <c r="X5492" s="505"/>
      <c r="Y5492" s="505"/>
    </row>
    <row r="5493" spans="1:25" s="88" customFormat="1" ht="15.75" hidden="1" thickBot="1" x14ac:dyDescent="0.3">
      <c r="A5493" s="481"/>
      <c r="B5493" s="288"/>
      <c r="C5493" s="334"/>
      <c r="D5493" s="286"/>
      <c r="E5493" s="876"/>
      <c r="F5493" s="597" t="s">
        <v>246</v>
      </c>
      <c r="G5493" s="598" t="s">
        <v>4996</v>
      </c>
      <c r="H5493" s="555"/>
      <c r="I5493" s="556"/>
      <c r="J5493" s="560">
        <f t="shared" si="183"/>
        <v>0</v>
      </c>
      <c r="K5493" s="505"/>
      <c r="L5493" s="505"/>
      <c r="M5493" s="505"/>
      <c r="N5493" s="505"/>
      <c r="O5493" s="505"/>
      <c r="P5493" s="505"/>
      <c r="Q5493" s="505"/>
      <c r="R5493" s="505"/>
      <c r="S5493" s="505"/>
      <c r="T5493" s="505"/>
      <c r="U5493" s="505"/>
      <c r="V5493" s="505"/>
      <c r="W5493" s="505"/>
      <c r="X5493" s="505"/>
      <c r="Y5493" s="505"/>
    </row>
    <row r="5494" spans="1:25" s="88" customFormat="1" ht="15.75" hidden="1" thickBot="1" x14ac:dyDescent="0.3">
      <c r="A5494" s="481"/>
      <c r="B5494" s="288"/>
      <c r="C5494" s="334"/>
      <c r="D5494" s="286"/>
      <c r="E5494" s="876"/>
      <c r="F5494" s="597" t="s">
        <v>247</v>
      </c>
      <c r="G5494" s="598" t="s">
        <v>4995</v>
      </c>
      <c r="H5494" s="555"/>
      <c r="I5494" s="556"/>
      <c r="J5494" s="560">
        <f t="shared" si="183"/>
        <v>0</v>
      </c>
      <c r="K5494" s="505"/>
      <c r="L5494" s="505"/>
      <c r="M5494" s="505"/>
      <c r="N5494" s="505"/>
      <c r="O5494" s="505"/>
      <c r="P5494" s="505"/>
      <c r="Q5494" s="505"/>
      <c r="R5494" s="505"/>
      <c r="S5494" s="505"/>
      <c r="T5494" s="505"/>
      <c r="U5494" s="505"/>
      <c r="V5494" s="505"/>
      <c r="W5494" s="505"/>
      <c r="X5494" s="505"/>
      <c r="Y5494" s="505"/>
    </row>
    <row r="5495" spans="1:25" s="88" customFormat="1" ht="15.75" hidden="1" thickBot="1" x14ac:dyDescent="0.3">
      <c r="A5495" s="481"/>
      <c r="B5495" s="288"/>
      <c r="C5495" s="334"/>
      <c r="D5495" s="286"/>
      <c r="E5495" s="876"/>
      <c r="F5495" s="597" t="s">
        <v>248</v>
      </c>
      <c r="G5495" s="598" t="s">
        <v>57</v>
      </c>
      <c r="H5495" s="555"/>
      <c r="I5495" s="556"/>
      <c r="J5495" s="560">
        <f t="shared" si="183"/>
        <v>0</v>
      </c>
      <c r="K5495" s="505"/>
      <c r="L5495" s="505"/>
      <c r="M5495" s="505"/>
      <c r="N5495" s="505"/>
      <c r="O5495" s="505"/>
      <c r="P5495" s="505"/>
      <c r="Q5495" s="505"/>
      <c r="R5495" s="505"/>
      <c r="S5495" s="505"/>
      <c r="T5495" s="505"/>
      <c r="U5495" s="505"/>
      <c r="V5495" s="505"/>
      <c r="W5495" s="505"/>
      <c r="X5495" s="505"/>
      <c r="Y5495" s="505"/>
    </row>
    <row r="5496" spans="1:25" s="88" customFormat="1" ht="15.75" hidden="1" thickBot="1" x14ac:dyDescent="0.3">
      <c r="A5496" s="481"/>
      <c r="B5496" s="288"/>
      <c r="C5496" s="334"/>
      <c r="D5496" s="286"/>
      <c r="E5496" s="876"/>
      <c r="F5496" s="597" t="s">
        <v>249</v>
      </c>
      <c r="G5496" s="598" t="s">
        <v>250</v>
      </c>
      <c r="H5496" s="555"/>
      <c r="I5496" s="556"/>
      <c r="J5496" s="560">
        <f t="shared" si="183"/>
        <v>0</v>
      </c>
      <c r="K5496" s="505"/>
      <c r="L5496" s="505"/>
      <c r="M5496" s="505"/>
      <c r="N5496" s="505"/>
      <c r="O5496" s="505"/>
      <c r="P5496" s="505"/>
      <c r="Q5496" s="505"/>
      <c r="R5496" s="505"/>
      <c r="S5496" s="505"/>
      <c r="T5496" s="505"/>
      <c r="U5496" s="505"/>
      <c r="V5496" s="505"/>
      <c r="W5496" s="505"/>
      <c r="X5496" s="505"/>
      <c r="Y5496" s="505"/>
    </row>
    <row r="5497" spans="1:25" s="88" customFormat="1" ht="15.75" hidden="1" thickBot="1" x14ac:dyDescent="0.3">
      <c r="A5497" s="481"/>
      <c r="B5497" s="288"/>
      <c r="C5497" s="334"/>
      <c r="D5497" s="286"/>
      <c r="E5497" s="876"/>
      <c r="F5497" s="597" t="s">
        <v>251</v>
      </c>
      <c r="G5497" s="598" t="s">
        <v>252</v>
      </c>
      <c r="H5497" s="555"/>
      <c r="I5497" s="556"/>
      <c r="J5497" s="560">
        <f t="shared" si="183"/>
        <v>0</v>
      </c>
      <c r="K5497" s="505"/>
      <c r="L5497" s="505"/>
      <c r="M5497" s="505"/>
      <c r="N5497" s="505"/>
      <c r="O5497" s="505"/>
      <c r="P5497" s="505"/>
      <c r="Q5497" s="505"/>
      <c r="R5497" s="505"/>
      <c r="S5497" s="505"/>
      <c r="T5497" s="505"/>
      <c r="U5497" s="505"/>
      <c r="V5497" s="505"/>
      <c r="W5497" s="505"/>
      <c r="X5497" s="505"/>
      <c r="Y5497" s="505"/>
    </row>
    <row r="5498" spans="1:25" s="88" customFormat="1" ht="30.75" hidden="1" thickBot="1" x14ac:dyDescent="0.3">
      <c r="A5498" s="481"/>
      <c r="B5498" s="288"/>
      <c r="C5498" s="334"/>
      <c r="D5498" s="286"/>
      <c r="E5498" s="876"/>
      <c r="F5498" s="597" t="s">
        <v>253</v>
      </c>
      <c r="G5498" s="598" t="s">
        <v>254</v>
      </c>
      <c r="H5498" s="555"/>
      <c r="I5498" s="556"/>
      <c r="J5498" s="560">
        <f t="shared" si="183"/>
        <v>0</v>
      </c>
      <c r="K5498" s="505"/>
      <c r="L5498" s="505"/>
      <c r="M5498" s="505"/>
      <c r="N5498" s="505"/>
      <c r="O5498" s="505"/>
      <c r="P5498" s="505"/>
      <c r="Q5498" s="505"/>
      <c r="R5498" s="505"/>
      <c r="S5498" s="505"/>
      <c r="T5498" s="505"/>
      <c r="U5498" s="505"/>
      <c r="V5498" s="505"/>
      <c r="W5498" s="505"/>
      <c r="X5498" s="505"/>
      <c r="Y5498" s="505"/>
    </row>
    <row r="5499" spans="1:25" s="88" customFormat="1" ht="15.75" hidden="1" thickBot="1" x14ac:dyDescent="0.3">
      <c r="A5499" s="481"/>
      <c r="B5499" s="288"/>
      <c r="C5499" s="334"/>
      <c r="D5499" s="286"/>
      <c r="E5499" s="876"/>
      <c r="F5499" s="597" t="s">
        <v>255</v>
      </c>
      <c r="G5499" s="598" t="s">
        <v>256</v>
      </c>
      <c r="H5499" s="555"/>
      <c r="I5499" s="556"/>
      <c r="J5499" s="560">
        <f t="shared" si="183"/>
        <v>0</v>
      </c>
      <c r="K5499" s="505"/>
      <c r="L5499" s="505"/>
      <c r="M5499" s="505"/>
      <c r="N5499" s="505"/>
      <c r="O5499" s="505"/>
      <c r="P5499" s="505"/>
      <c r="Q5499" s="505"/>
      <c r="R5499" s="505"/>
      <c r="S5499" s="505"/>
      <c r="T5499" s="505"/>
      <c r="U5499" s="505"/>
      <c r="V5499" s="505"/>
      <c r="W5499" s="505"/>
      <c r="X5499" s="505"/>
      <c r="Y5499" s="505"/>
    </row>
    <row r="5500" spans="1:25" s="88" customFormat="1" ht="30.75" hidden="1" thickBot="1" x14ac:dyDescent="0.3">
      <c r="A5500" s="481"/>
      <c r="B5500" s="288"/>
      <c r="C5500" s="334"/>
      <c r="D5500" s="286"/>
      <c r="E5500" s="876"/>
      <c r="F5500" s="597" t="s">
        <v>257</v>
      </c>
      <c r="G5500" s="598" t="s">
        <v>258</v>
      </c>
      <c r="H5500" s="555"/>
      <c r="I5500" s="556"/>
      <c r="J5500" s="560">
        <f t="shared" si="183"/>
        <v>0</v>
      </c>
      <c r="K5500" s="505"/>
      <c r="L5500" s="505"/>
      <c r="M5500" s="505"/>
      <c r="N5500" s="505"/>
      <c r="O5500" s="505"/>
      <c r="P5500" s="505"/>
      <c r="Q5500" s="505"/>
      <c r="R5500" s="505"/>
      <c r="S5500" s="505"/>
      <c r="T5500" s="505"/>
      <c r="U5500" s="505"/>
      <c r="V5500" s="505"/>
      <c r="W5500" s="505"/>
      <c r="X5500" s="505"/>
      <c r="Y5500" s="505"/>
    </row>
    <row r="5501" spans="1:25" s="88" customFormat="1" ht="15.75" hidden="1" thickBot="1" x14ac:dyDescent="0.3">
      <c r="A5501" s="481"/>
      <c r="B5501" s="288"/>
      <c r="C5501" s="334"/>
      <c r="D5501" s="286"/>
      <c r="E5501" s="876"/>
      <c r="F5501" s="597" t="s">
        <v>259</v>
      </c>
      <c r="G5501" s="598" t="s">
        <v>260</v>
      </c>
      <c r="H5501" s="555"/>
      <c r="I5501" s="556"/>
      <c r="J5501" s="560">
        <f t="shared" si="183"/>
        <v>0</v>
      </c>
      <c r="K5501" s="505"/>
      <c r="L5501" s="505"/>
      <c r="M5501" s="505"/>
      <c r="N5501" s="505"/>
      <c r="O5501" s="505"/>
      <c r="P5501" s="505"/>
      <c r="Q5501" s="505"/>
      <c r="R5501" s="505"/>
      <c r="S5501" s="505"/>
      <c r="T5501" s="505"/>
      <c r="U5501" s="505"/>
      <c r="V5501" s="505"/>
      <c r="W5501" s="505"/>
      <c r="X5501" s="505"/>
      <c r="Y5501" s="505"/>
    </row>
    <row r="5502" spans="1:25" s="88" customFormat="1" ht="14.25" hidden="1" customHeight="1" x14ac:dyDescent="0.25">
      <c r="A5502" s="481"/>
      <c r="B5502" s="288"/>
      <c r="C5502" s="334"/>
      <c r="D5502" s="286"/>
      <c r="E5502" s="876"/>
      <c r="F5502" s="597" t="s">
        <v>261</v>
      </c>
      <c r="G5502" s="598" t="s">
        <v>262</v>
      </c>
      <c r="H5502" s="559"/>
      <c r="I5502" s="560"/>
      <c r="J5502" s="560">
        <f t="shared" si="183"/>
        <v>0</v>
      </c>
      <c r="K5502" s="505"/>
      <c r="L5502" s="505"/>
      <c r="M5502" s="505"/>
      <c r="N5502" s="505"/>
      <c r="O5502" s="505"/>
      <c r="P5502" s="505"/>
      <c r="Q5502" s="505"/>
      <c r="R5502" s="505"/>
      <c r="S5502" s="505"/>
      <c r="T5502" s="505"/>
      <c r="U5502" s="505"/>
      <c r="V5502" s="505"/>
      <c r="W5502" s="505"/>
      <c r="X5502" s="505"/>
      <c r="Y5502" s="505"/>
    </row>
    <row r="5503" spans="1:25" s="88" customFormat="1" ht="18.75" customHeight="1" thickBot="1" x14ac:dyDescent="0.3">
      <c r="A5503" s="481"/>
      <c r="B5503" s="288"/>
      <c r="C5503" s="334"/>
      <c r="D5503" s="286"/>
      <c r="E5503" s="876"/>
      <c r="F5503" s="258"/>
      <c r="G5503" s="268" t="s">
        <v>4217</v>
      </c>
      <c r="H5503" s="561">
        <f>SUM(H5487:H5502)</f>
        <v>10989550</v>
      </c>
      <c r="I5503" s="562">
        <f>SUM(I5488:I5502)</f>
        <v>0</v>
      </c>
      <c r="J5503" s="562">
        <f>SUM(J5487:J5502)</f>
        <v>10989550</v>
      </c>
      <c r="K5503" s="505"/>
      <c r="L5503" s="505"/>
      <c r="M5503" s="505"/>
      <c r="N5503" s="505"/>
      <c r="O5503" s="505"/>
      <c r="P5503" s="505"/>
      <c r="Q5503" s="505"/>
      <c r="R5503" s="505"/>
      <c r="S5503" s="505"/>
      <c r="T5503" s="505"/>
      <c r="U5503" s="505"/>
      <c r="V5503" s="505"/>
      <c r="W5503" s="505"/>
      <c r="X5503" s="505"/>
      <c r="Y5503" s="505"/>
    </row>
    <row r="5504" spans="1:25" s="88" customFormat="1" ht="18.75" customHeight="1" x14ac:dyDescent="0.25">
      <c r="A5504" s="481"/>
      <c r="B5504" s="288"/>
      <c r="C5504" s="334"/>
      <c r="D5504" s="286"/>
      <c r="E5504" s="876"/>
      <c r="F5504" s="258"/>
      <c r="G5504" s="312"/>
      <c r="H5504" s="565"/>
      <c r="I5504" s="566"/>
      <c r="J5504" s="566"/>
      <c r="K5504" s="505"/>
      <c r="L5504" s="505"/>
      <c r="M5504" s="505"/>
      <c r="N5504" s="505"/>
      <c r="O5504" s="505"/>
      <c r="P5504" s="505"/>
      <c r="Q5504" s="505"/>
      <c r="R5504" s="505"/>
      <c r="S5504" s="505"/>
      <c r="T5504" s="505"/>
      <c r="U5504" s="505"/>
      <c r="V5504" s="505"/>
      <c r="W5504" s="505"/>
      <c r="X5504" s="505"/>
      <c r="Y5504" s="505"/>
    </row>
    <row r="5505" spans="1:25" ht="16.5" customHeight="1" x14ac:dyDescent="0.25">
      <c r="A5505" s="481"/>
      <c r="C5505" s="267" t="s">
        <v>3596</v>
      </c>
      <c r="D5505" s="259"/>
      <c r="G5505" s="490" t="s">
        <v>4257</v>
      </c>
    </row>
    <row r="5506" spans="1:25" ht="14.25" customHeight="1" x14ac:dyDescent="0.25">
      <c r="C5506" s="267" t="s">
        <v>4092</v>
      </c>
      <c r="D5506" s="259"/>
      <c r="G5506" s="490" t="s">
        <v>4093</v>
      </c>
    </row>
    <row r="5507" spans="1:25" s="88" customFormat="1" ht="12.75" customHeight="1" x14ac:dyDescent="0.25">
      <c r="A5507" s="258"/>
      <c r="B5507" s="288"/>
      <c r="C5507" s="294"/>
      <c r="D5507" s="348" t="s">
        <v>3999</v>
      </c>
      <c r="E5507" s="871"/>
      <c r="F5507" s="345"/>
      <c r="G5507" s="346" t="s">
        <v>206</v>
      </c>
      <c r="H5507" s="572"/>
      <c r="I5507" s="573"/>
      <c r="J5507" s="573"/>
      <c r="K5507" s="505"/>
      <c r="L5507" s="505"/>
      <c r="M5507" s="505"/>
      <c r="N5507" s="505"/>
      <c r="O5507" s="505"/>
      <c r="P5507" s="505"/>
      <c r="Q5507" s="505"/>
      <c r="R5507" s="505"/>
      <c r="S5507" s="505"/>
      <c r="T5507" s="505"/>
      <c r="U5507" s="505"/>
      <c r="V5507" s="505"/>
      <c r="W5507" s="505"/>
      <c r="X5507" s="505"/>
      <c r="Y5507" s="505"/>
    </row>
    <row r="5508" spans="1:25" hidden="1" x14ac:dyDescent="0.25">
      <c r="A5508" s="481"/>
      <c r="C5508" s="267"/>
      <c r="F5508" s="499">
        <v>411</v>
      </c>
      <c r="G5508" s="492" t="s">
        <v>4131</v>
      </c>
      <c r="J5508" s="556">
        <f>SUM(H5508:I5508)</f>
        <v>0</v>
      </c>
    </row>
    <row r="5509" spans="1:25" hidden="1" x14ac:dyDescent="0.25">
      <c r="C5509" s="267"/>
      <c r="F5509" s="499">
        <v>412</v>
      </c>
      <c r="G5509" s="488" t="s">
        <v>3766</v>
      </c>
      <c r="J5509" s="556">
        <f t="shared" ref="J5509:J5567" si="184">SUM(H5509:I5509)</f>
        <v>0</v>
      </c>
    </row>
    <row r="5510" spans="1:25" hidden="1" x14ac:dyDescent="0.25">
      <c r="C5510" s="267"/>
      <c r="F5510" s="499">
        <v>413</v>
      </c>
      <c r="G5510" s="492" t="s">
        <v>4132</v>
      </c>
      <c r="J5510" s="556">
        <f t="shared" si="184"/>
        <v>0</v>
      </c>
    </row>
    <row r="5511" spans="1:25" hidden="1" x14ac:dyDescent="0.25">
      <c r="C5511" s="267"/>
      <c r="F5511" s="499">
        <v>414</v>
      </c>
      <c r="G5511" s="492" t="s">
        <v>3769</v>
      </c>
      <c r="J5511" s="556">
        <f t="shared" si="184"/>
        <v>0</v>
      </c>
    </row>
    <row r="5512" spans="1:25" hidden="1" x14ac:dyDescent="0.25">
      <c r="C5512" s="267"/>
      <c r="F5512" s="499">
        <v>415</v>
      </c>
      <c r="G5512" s="492" t="s">
        <v>4141</v>
      </c>
      <c r="J5512" s="556">
        <f t="shared" si="184"/>
        <v>0</v>
      </c>
    </row>
    <row r="5513" spans="1:25" hidden="1" x14ac:dyDescent="0.25">
      <c r="C5513" s="267"/>
      <c r="F5513" s="499">
        <v>416</v>
      </c>
      <c r="G5513" s="492" t="s">
        <v>4142</v>
      </c>
      <c r="J5513" s="556">
        <f t="shared" si="184"/>
        <v>0</v>
      </c>
    </row>
    <row r="5514" spans="1:25" hidden="1" x14ac:dyDescent="0.25">
      <c r="C5514" s="267"/>
      <c r="F5514" s="499">
        <v>417</v>
      </c>
      <c r="G5514" s="492" t="s">
        <v>4143</v>
      </c>
      <c r="J5514" s="556">
        <f t="shared" si="184"/>
        <v>0</v>
      </c>
    </row>
    <row r="5515" spans="1:25" hidden="1" x14ac:dyDescent="0.25">
      <c r="C5515" s="267"/>
      <c r="F5515" s="499">
        <v>418</v>
      </c>
      <c r="G5515" s="492" t="s">
        <v>3775</v>
      </c>
      <c r="J5515" s="556">
        <f t="shared" si="184"/>
        <v>0</v>
      </c>
    </row>
    <row r="5516" spans="1:25" hidden="1" x14ac:dyDescent="0.25">
      <c r="C5516" s="267"/>
      <c r="F5516" s="499">
        <v>421</v>
      </c>
      <c r="G5516" s="492" t="s">
        <v>3779</v>
      </c>
      <c r="J5516" s="556">
        <f t="shared" si="184"/>
        <v>0</v>
      </c>
    </row>
    <row r="5517" spans="1:25" hidden="1" x14ac:dyDescent="0.25">
      <c r="C5517" s="267"/>
      <c r="F5517" s="499">
        <v>422</v>
      </c>
      <c r="G5517" s="492" t="s">
        <v>3780</v>
      </c>
      <c r="J5517" s="556">
        <f t="shared" si="184"/>
        <v>0</v>
      </c>
    </row>
    <row r="5518" spans="1:25" hidden="1" x14ac:dyDescent="0.25">
      <c r="C5518" s="267"/>
      <c r="F5518" s="499">
        <v>423</v>
      </c>
      <c r="G5518" s="492" t="s">
        <v>3781</v>
      </c>
      <c r="J5518" s="556">
        <f t="shared" si="184"/>
        <v>0</v>
      </c>
    </row>
    <row r="5519" spans="1:25" hidden="1" x14ac:dyDescent="0.25">
      <c r="C5519" s="267"/>
      <c r="F5519" s="499">
        <v>424</v>
      </c>
      <c r="G5519" s="492" t="s">
        <v>3783</v>
      </c>
      <c r="J5519" s="556">
        <f t="shared" si="184"/>
        <v>0</v>
      </c>
    </row>
    <row r="5520" spans="1:25" hidden="1" x14ac:dyDescent="0.25">
      <c r="C5520" s="267"/>
      <c r="F5520" s="499">
        <v>425</v>
      </c>
      <c r="G5520" s="492" t="s">
        <v>4144</v>
      </c>
      <c r="J5520" s="556">
        <f t="shared" si="184"/>
        <v>0</v>
      </c>
    </row>
    <row r="5521" spans="3:10" hidden="1" x14ac:dyDescent="0.25">
      <c r="C5521" s="267"/>
      <c r="F5521" s="499">
        <v>426</v>
      </c>
      <c r="G5521" s="492" t="s">
        <v>3787</v>
      </c>
      <c r="J5521" s="556">
        <f t="shared" si="184"/>
        <v>0</v>
      </c>
    </row>
    <row r="5522" spans="3:10" hidden="1" x14ac:dyDescent="0.25">
      <c r="C5522" s="267"/>
      <c r="F5522" s="499">
        <v>431</v>
      </c>
      <c r="G5522" s="492" t="s">
        <v>4145</v>
      </c>
      <c r="J5522" s="556">
        <f t="shared" si="184"/>
        <v>0</v>
      </c>
    </row>
    <row r="5523" spans="3:10" hidden="1" x14ac:dyDescent="0.25">
      <c r="C5523" s="267"/>
      <c r="F5523" s="499">
        <v>432</v>
      </c>
      <c r="G5523" s="492" t="s">
        <v>4146</v>
      </c>
      <c r="J5523" s="556">
        <f t="shared" si="184"/>
        <v>0</v>
      </c>
    </row>
    <row r="5524" spans="3:10" hidden="1" x14ac:dyDescent="0.25">
      <c r="C5524" s="267"/>
      <c r="F5524" s="499">
        <v>433</v>
      </c>
      <c r="G5524" s="492" t="s">
        <v>4147</v>
      </c>
      <c r="J5524" s="556">
        <f t="shared" si="184"/>
        <v>0</v>
      </c>
    </row>
    <row r="5525" spans="3:10" hidden="1" x14ac:dyDescent="0.25">
      <c r="C5525" s="267"/>
      <c r="F5525" s="499">
        <v>434</v>
      </c>
      <c r="G5525" s="492" t="s">
        <v>4148</v>
      </c>
      <c r="J5525" s="556">
        <f t="shared" si="184"/>
        <v>0</v>
      </c>
    </row>
    <row r="5526" spans="3:10" hidden="1" x14ac:dyDescent="0.25">
      <c r="C5526" s="267"/>
      <c r="F5526" s="499">
        <v>435</v>
      </c>
      <c r="G5526" s="492" t="s">
        <v>3794</v>
      </c>
      <c r="J5526" s="556">
        <f t="shared" si="184"/>
        <v>0</v>
      </c>
    </row>
    <row r="5527" spans="3:10" hidden="1" x14ac:dyDescent="0.25">
      <c r="C5527" s="267"/>
      <c r="F5527" s="499">
        <v>441</v>
      </c>
      <c r="G5527" s="492" t="s">
        <v>4149</v>
      </c>
      <c r="J5527" s="556">
        <f t="shared" si="184"/>
        <v>0</v>
      </c>
    </row>
    <row r="5528" spans="3:10" hidden="1" x14ac:dyDescent="0.25">
      <c r="C5528" s="267"/>
      <c r="F5528" s="499">
        <v>442</v>
      </c>
      <c r="G5528" s="492" t="s">
        <v>4150</v>
      </c>
      <c r="J5528" s="556">
        <f t="shared" si="184"/>
        <v>0</v>
      </c>
    </row>
    <row r="5529" spans="3:10" hidden="1" x14ac:dyDescent="0.25">
      <c r="C5529" s="267"/>
      <c r="F5529" s="499">
        <v>443</v>
      </c>
      <c r="G5529" s="492" t="s">
        <v>3799</v>
      </c>
      <c r="J5529" s="556">
        <f t="shared" si="184"/>
        <v>0</v>
      </c>
    </row>
    <row r="5530" spans="3:10" hidden="1" x14ac:dyDescent="0.25">
      <c r="C5530" s="267"/>
      <c r="F5530" s="499">
        <v>444</v>
      </c>
      <c r="G5530" s="492" t="s">
        <v>3800</v>
      </c>
      <c r="J5530" s="556">
        <f t="shared" si="184"/>
        <v>0</v>
      </c>
    </row>
    <row r="5531" spans="3:10" ht="30" hidden="1" x14ac:dyDescent="0.25">
      <c r="C5531" s="267"/>
      <c r="F5531" s="499">
        <v>4511</v>
      </c>
      <c r="G5531" s="771" t="s">
        <v>1690</v>
      </c>
      <c r="J5531" s="556">
        <f t="shared" si="184"/>
        <v>0</v>
      </c>
    </row>
    <row r="5532" spans="3:10" ht="16.5" hidden="1" customHeight="1" x14ac:dyDescent="0.25">
      <c r="C5532" s="267"/>
      <c r="F5532" s="499">
        <v>4512</v>
      </c>
      <c r="G5532" s="771" t="s">
        <v>1699</v>
      </c>
      <c r="J5532" s="556">
        <f t="shared" si="184"/>
        <v>0</v>
      </c>
    </row>
    <row r="5533" spans="3:10" hidden="1" x14ac:dyDescent="0.25">
      <c r="C5533" s="267"/>
      <c r="F5533" s="499">
        <v>452</v>
      </c>
      <c r="G5533" s="492" t="s">
        <v>4151</v>
      </c>
      <c r="J5533" s="556">
        <f t="shared" si="184"/>
        <v>0</v>
      </c>
    </row>
    <row r="5534" spans="3:10" hidden="1" x14ac:dyDescent="0.25">
      <c r="C5534" s="267"/>
      <c r="F5534" s="499">
        <v>453</v>
      </c>
      <c r="G5534" s="492" t="s">
        <v>4152</v>
      </c>
      <c r="J5534" s="556">
        <f t="shared" si="184"/>
        <v>0</v>
      </c>
    </row>
    <row r="5535" spans="3:10" hidden="1" x14ac:dyDescent="0.25">
      <c r="C5535" s="267"/>
      <c r="F5535" s="499">
        <v>454</v>
      </c>
      <c r="G5535" s="492" t="s">
        <v>3805</v>
      </c>
      <c r="J5535" s="556">
        <f t="shared" si="184"/>
        <v>0</v>
      </c>
    </row>
    <row r="5536" spans="3:10" hidden="1" x14ac:dyDescent="0.25">
      <c r="C5536" s="267"/>
      <c r="F5536" s="499">
        <v>461</v>
      </c>
      <c r="G5536" s="492" t="s">
        <v>4133</v>
      </c>
      <c r="J5536" s="556">
        <f t="shared" si="184"/>
        <v>0</v>
      </c>
    </row>
    <row r="5537" spans="3:10" hidden="1" x14ac:dyDescent="0.25">
      <c r="C5537" s="267"/>
      <c r="F5537" s="499">
        <v>462</v>
      </c>
      <c r="G5537" s="492" t="s">
        <v>3808</v>
      </c>
      <c r="J5537" s="556">
        <f t="shared" si="184"/>
        <v>0</v>
      </c>
    </row>
    <row r="5538" spans="3:10" hidden="1" x14ac:dyDescent="0.25">
      <c r="C5538" s="267"/>
      <c r="F5538" s="499">
        <v>4631</v>
      </c>
      <c r="G5538" s="492" t="s">
        <v>3809</v>
      </c>
      <c r="J5538" s="556">
        <f t="shared" si="184"/>
        <v>0</v>
      </c>
    </row>
    <row r="5539" spans="3:10" hidden="1" x14ac:dyDescent="0.25">
      <c r="C5539" s="267"/>
      <c r="F5539" s="499">
        <v>4632</v>
      </c>
      <c r="G5539" s="492" t="s">
        <v>3810</v>
      </c>
      <c r="J5539" s="556">
        <f t="shared" si="184"/>
        <v>0</v>
      </c>
    </row>
    <row r="5540" spans="3:10" hidden="1" x14ac:dyDescent="0.25">
      <c r="C5540" s="267"/>
      <c r="F5540" s="499">
        <v>464</v>
      </c>
      <c r="G5540" s="492" t="s">
        <v>3811</v>
      </c>
      <c r="J5540" s="556">
        <f t="shared" si="184"/>
        <v>0</v>
      </c>
    </row>
    <row r="5541" spans="3:10" hidden="1" x14ac:dyDescent="0.25">
      <c r="C5541" s="267"/>
      <c r="F5541" s="499">
        <v>465</v>
      </c>
      <c r="G5541" s="492" t="s">
        <v>4134</v>
      </c>
      <c r="J5541" s="556">
        <f t="shared" si="184"/>
        <v>0</v>
      </c>
    </row>
    <row r="5542" spans="3:10" hidden="1" x14ac:dyDescent="0.25">
      <c r="C5542" s="267"/>
      <c r="F5542" s="499">
        <v>472</v>
      </c>
      <c r="G5542" s="492" t="s">
        <v>3815</v>
      </c>
      <c r="J5542" s="556">
        <f t="shared" si="184"/>
        <v>0</v>
      </c>
    </row>
    <row r="5543" spans="3:10" ht="45.75" thickBot="1" x14ac:dyDescent="0.3">
      <c r="C5543" s="267"/>
      <c r="E5543" s="679" t="s">
        <v>5373</v>
      </c>
      <c r="F5543" s="499">
        <v>481</v>
      </c>
      <c r="G5543" s="686" t="s">
        <v>5315</v>
      </c>
      <c r="H5543" s="555">
        <v>4300000</v>
      </c>
      <c r="J5543" s="556">
        <f t="shared" si="184"/>
        <v>4300000</v>
      </c>
    </row>
    <row r="5544" spans="3:10" hidden="1" x14ac:dyDescent="0.25">
      <c r="C5544" s="267"/>
      <c r="F5544" s="499">
        <v>482</v>
      </c>
      <c r="G5544" s="492" t="s">
        <v>4154</v>
      </c>
      <c r="J5544" s="556">
        <f t="shared" si="184"/>
        <v>0</v>
      </c>
    </row>
    <row r="5545" spans="3:10" hidden="1" x14ac:dyDescent="0.25">
      <c r="C5545" s="267"/>
      <c r="F5545" s="499">
        <v>483</v>
      </c>
      <c r="G5545" s="496" t="s">
        <v>4155</v>
      </c>
      <c r="J5545" s="556">
        <f t="shared" si="184"/>
        <v>0</v>
      </c>
    </row>
    <row r="5546" spans="3:10" ht="30" hidden="1" x14ac:dyDescent="0.25">
      <c r="C5546" s="267"/>
      <c r="F5546" s="499">
        <v>484</v>
      </c>
      <c r="G5546" s="492" t="s">
        <v>4156</v>
      </c>
      <c r="J5546" s="556">
        <f t="shared" si="184"/>
        <v>0</v>
      </c>
    </row>
    <row r="5547" spans="3:10" ht="30" hidden="1" x14ac:dyDescent="0.25">
      <c r="C5547" s="267"/>
      <c r="F5547" s="499">
        <v>485</v>
      </c>
      <c r="G5547" s="492" t="s">
        <v>4157</v>
      </c>
      <c r="J5547" s="556">
        <f t="shared" si="184"/>
        <v>0</v>
      </c>
    </row>
    <row r="5548" spans="3:10" ht="30" hidden="1" x14ac:dyDescent="0.25">
      <c r="C5548" s="267"/>
      <c r="F5548" s="499">
        <v>489</v>
      </c>
      <c r="G5548" s="492" t="s">
        <v>3823</v>
      </c>
      <c r="J5548" s="556">
        <f t="shared" si="184"/>
        <v>0</v>
      </c>
    </row>
    <row r="5549" spans="3:10" hidden="1" x14ac:dyDescent="0.25">
      <c r="C5549" s="267"/>
      <c r="F5549" s="499">
        <v>494</v>
      </c>
      <c r="G5549" s="492" t="s">
        <v>4135</v>
      </c>
      <c r="J5549" s="556">
        <f t="shared" si="184"/>
        <v>0</v>
      </c>
    </row>
    <row r="5550" spans="3:10" ht="30" hidden="1" x14ac:dyDescent="0.25">
      <c r="C5550" s="267"/>
      <c r="F5550" s="499">
        <v>495</v>
      </c>
      <c r="G5550" s="492" t="s">
        <v>4136</v>
      </c>
      <c r="J5550" s="556">
        <f t="shared" si="184"/>
        <v>0</v>
      </c>
    </row>
    <row r="5551" spans="3:10" ht="30" hidden="1" x14ac:dyDescent="0.25">
      <c r="C5551" s="267"/>
      <c r="F5551" s="499">
        <v>496</v>
      </c>
      <c r="G5551" s="492" t="s">
        <v>4137</v>
      </c>
      <c r="J5551" s="556">
        <f t="shared" si="184"/>
        <v>0</v>
      </c>
    </row>
    <row r="5552" spans="3:10" ht="30" hidden="1" x14ac:dyDescent="0.25">
      <c r="C5552" s="267"/>
      <c r="F5552" s="499">
        <v>499</v>
      </c>
      <c r="G5552" s="492" t="s">
        <v>4138</v>
      </c>
      <c r="J5552" s="556">
        <f t="shared" si="184"/>
        <v>0</v>
      </c>
    </row>
    <row r="5553" spans="3:10" hidden="1" x14ac:dyDescent="0.25">
      <c r="C5553" s="267"/>
      <c r="F5553" s="499">
        <v>511</v>
      </c>
      <c r="G5553" s="496" t="s">
        <v>4158</v>
      </c>
      <c r="J5553" s="556">
        <f t="shared" si="184"/>
        <v>0</v>
      </c>
    </row>
    <row r="5554" spans="3:10" hidden="1" x14ac:dyDescent="0.25">
      <c r="C5554" s="267"/>
      <c r="F5554" s="499">
        <v>512</v>
      </c>
      <c r="G5554" s="496" t="s">
        <v>4159</v>
      </c>
      <c r="J5554" s="556">
        <f t="shared" si="184"/>
        <v>0</v>
      </c>
    </row>
    <row r="5555" spans="3:10" hidden="1" x14ac:dyDescent="0.25">
      <c r="C5555" s="267"/>
      <c r="F5555" s="499">
        <v>513</v>
      </c>
      <c r="G5555" s="496" t="s">
        <v>4160</v>
      </c>
      <c r="J5555" s="556">
        <f t="shared" si="184"/>
        <v>0</v>
      </c>
    </row>
    <row r="5556" spans="3:10" hidden="1" x14ac:dyDescent="0.25">
      <c r="C5556" s="267"/>
      <c r="F5556" s="499">
        <v>514</v>
      </c>
      <c r="G5556" s="492" t="s">
        <v>4161</v>
      </c>
      <c r="J5556" s="556">
        <f t="shared" si="184"/>
        <v>0</v>
      </c>
    </row>
    <row r="5557" spans="3:10" hidden="1" x14ac:dyDescent="0.25">
      <c r="C5557" s="267"/>
      <c r="F5557" s="499">
        <v>515</v>
      </c>
      <c r="G5557" s="492" t="s">
        <v>3834</v>
      </c>
      <c r="J5557" s="556">
        <f t="shared" si="184"/>
        <v>0</v>
      </c>
    </row>
    <row r="5558" spans="3:10" hidden="1" x14ac:dyDescent="0.25">
      <c r="C5558" s="267"/>
      <c r="F5558" s="499">
        <v>521</v>
      </c>
      <c r="G5558" s="492" t="s">
        <v>4162</v>
      </c>
      <c r="J5558" s="556">
        <f t="shared" si="184"/>
        <v>0</v>
      </c>
    </row>
    <row r="5559" spans="3:10" hidden="1" x14ac:dyDescent="0.25">
      <c r="C5559" s="267"/>
      <c r="F5559" s="499">
        <v>522</v>
      </c>
      <c r="G5559" s="492" t="s">
        <v>4163</v>
      </c>
      <c r="J5559" s="556">
        <f t="shared" si="184"/>
        <v>0</v>
      </c>
    </row>
    <row r="5560" spans="3:10" hidden="1" x14ac:dyDescent="0.25">
      <c r="C5560" s="267"/>
      <c r="F5560" s="499">
        <v>523</v>
      </c>
      <c r="G5560" s="492" t="s">
        <v>3839</v>
      </c>
      <c r="J5560" s="556">
        <f t="shared" si="184"/>
        <v>0</v>
      </c>
    </row>
    <row r="5561" spans="3:10" hidden="1" x14ac:dyDescent="0.25">
      <c r="C5561" s="267"/>
      <c r="F5561" s="499">
        <v>531</v>
      </c>
      <c r="G5561" s="488" t="s">
        <v>4139</v>
      </c>
      <c r="J5561" s="556">
        <f t="shared" si="184"/>
        <v>0</v>
      </c>
    </row>
    <row r="5562" spans="3:10" hidden="1" x14ac:dyDescent="0.25">
      <c r="C5562" s="267"/>
      <c r="F5562" s="499">
        <v>541</v>
      </c>
      <c r="G5562" s="492" t="s">
        <v>4164</v>
      </c>
      <c r="J5562" s="556">
        <f t="shared" si="184"/>
        <v>0</v>
      </c>
    </row>
    <row r="5563" spans="3:10" hidden="1" x14ac:dyDescent="0.25">
      <c r="C5563" s="267"/>
      <c r="F5563" s="499">
        <v>542</v>
      </c>
      <c r="G5563" s="492" t="s">
        <v>4165</v>
      </c>
      <c r="J5563" s="556">
        <f t="shared" si="184"/>
        <v>0</v>
      </c>
    </row>
    <row r="5564" spans="3:10" hidden="1" x14ac:dyDescent="0.25">
      <c r="C5564" s="267"/>
      <c r="F5564" s="499">
        <v>543</v>
      </c>
      <c r="G5564" s="492" t="s">
        <v>3844</v>
      </c>
      <c r="J5564" s="556">
        <f t="shared" si="184"/>
        <v>0</v>
      </c>
    </row>
    <row r="5565" spans="3:10" ht="30" hidden="1" x14ac:dyDescent="0.25">
      <c r="C5565" s="267"/>
      <c r="F5565" s="499">
        <v>551</v>
      </c>
      <c r="G5565" s="492" t="s">
        <v>4140</v>
      </c>
      <c r="J5565" s="556">
        <f t="shared" si="184"/>
        <v>0</v>
      </c>
    </row>
    <row r="5566" spans="3:10" hidden="1" x14ac:dyDescent="0.25">
      <c r="C5566" s="267"/>
      <c r="F5566" s="500">
        <v>611</v>
      </c>
      <c r="G5566" s="498" t="s">
        <v>3850</v>
      </c>
      <c r="J5566" s="556">
        <f t="shared" si="184"/>
        <v>0</v>
      </c>
    </row>
    <row r="5567" spans="3:10" ht="15.75" hidden="1" thickBot="1" x14ac:dyDescent="0.3">
      <c r="C5567" s="267"/>
      <c r="F5567" s="500">
        <v>620</v>
      </c>
      <c r="G5567" s="498" t="s">
        <v>88</v>
      </c>
      <c r="J5567" s="556">
        <f t="shared" si="184"/>
        <v>0</v>
      </c>
    </row>
    <row r="5568" spans="3:10" x14ac:dyDescent="0.25">
      <c r="C5568" s="267"/>
      <c r="E5568" s="489"/>
      <c r="F5568" s="500"/>
      <c r="G5568" s="342" t="s">
        <v>4308</v>
      </c>
      <c r="H5568" s="557"/>
      <c r="I5568" s="583"/>
      <c r="J5568" s="558"/>
    </row>
    <row r="5569" spans="3:10" ht="15.75" thickBot="1" x14ac:dyDescent="0.3">
      <c r="C5569" s="267"/>
      <c r="E5569" s="693"/>
      <c r="F5569" s="597" t="s">
        <v>234</v>
      </c>
      <c r="G5569" s="598" t="s">
        <v>235</v>
      </c>
      <c r="H5569" s="559">
        <f>SUM(H5508:H5567)</f>
        <v>4300000</v>
      </c>
      <c r="I5569" s="560"/>
      <c r="J5569" s="560">
        <f>SUM(H5569:I5569)</f>
        <v>4300000</v>
      </c>
    </row>
    <row r="5570" spans="3:10" hidden="1" x14ac:dyDescent="0.25">
      <c r="C5570" s="267"/>
      <c r="F5570" s="597" t="s">
        <v>236</v>
      </c>
      <c r="G5570" s="598" t="s">
        <v>237</v>
      </c>
      <c r="J5570" s="560">
        <f t="shared" ref="J5570:J5584" si="185">SUM(H5570:I5570)</f>
        <v>0</v>
      </c>
    </row>
    <row r="5571" spans="3:10" hidden="1" x14ac:dyDescent="0.25">
      <c r="C5571" s="267"/>
      <c r="F5571" s="597" t="s">
        <v>238</v>
      </c>
      <c r="G5571" s="598" t="s">
        <v>239</v>
      </c>
      <c r="J5571" s="560">
        <f t="shared" si="185"/>
        <v>0</v>
      </c>
    </row>
    <row r="5572" spans="3:10" hidden="1" x14ac:dyDescent="0.25">
      <c r="C5572" s="267"/>
      <c r="F5572" s="597" t="s">
        <v>240</v>
      </c>
      <c r="G5572" s="598" t="s">
        <v>241</v>
      </c>
      <c r="J5572" s="560">
        <f t="shared" si="185"/>
        <v>0</v>
      </c>
    </row>
    <row r="5573" spans="3:10" hidden="1" x14ac:dyDescent="0.25">
      <c r="C5573" s="267"/>
      <c r="F5573" s="597" t="s">
        <v>242</v>
      </c>
      <c r="G5573" s="598" t="s">
        <v>243</v>
      </c>
      <c r="J5573" s="560">
        <f t="shared" si="185"/>
        <v>0</v>
      </c>
    </row>
    <row r="5574" spans="3:10" hidden="1" x14ac:dyDescent="0.25">
      <c r="C5574" s="267"/>
      <c r="F5574" s="597" t="s">
        <v>244</v>
      </c>
      <c r="G5574" s="598" t="s">
        <v>245</v>
      </c>
      <c r="J5574" s="560">
        <f t="shared" si="185"/>
        <v>0</v>
      </c>
    </row>
    <row r="5575" spans="3:10" hidden="1" x14ac:dyDescent="0.25">
      <c r="C5575" s="267"/>
      <c r="F5575" s="597" t="s">
        <v>246</v>
      </c>
      <c r="G5575" s="598" t="s">
        <v>4996</v>
      </c>
      <c r="J5575" s="560">
        <f t="shared" si="185"/>
        <v>0</v>
      </c>
    </row>
    <row r="5576" spans="3:10" hidden="1" x14ac:dyDescent="0.25">
      <c r="C5576" s="267"/>
      <c r="F5576" s="597" t="s">
        <v>247</v>
      </c>
      <c r="G5576" s="598" t="s">
        <v>4995</v>
      </c>
      <c r="J5576" s="560">
        <f t="shared" si="185"/>
        <v>0</v>
      </c>
    </row>
    <row r="5577" spans="3:10" hidden="1" x14ac:dyDescent="0.25">
      <c r="C5577" s="267"/>
      <c r="F5577" s="597" t="s">
        <v>248</v>
      </c>
      <c r="G5577" s="598" t="s">
        <v>57</v>
      </c>
      <c r="J5577" s="560">
        <f t="shared" si="185"/>
        <v>0</v>
      </c>
    </row>
    <row r="5578" spans="3:10" hidden="1" x14ac:dyDescent="0.25">
      <c r="C5578" s="267"/>
      <c r="F5578" s="597" t="s">
        <v>249</v>
      </c>
      <c r="G5578" s="598" t="s">
        <v>250</v>
      </c>
      <c r="J5578" s="560">
        <f t="shared" si="185"/>
        <v>0</v>
      </c>
    </row>
    <row r="5579" spans="3:10" hidden="1" x14ac:dyDescent="0.25">
      <c r="C5579" s="267"/>
      <c r="F5579" s="597" t="s">
        <v>251</v>
      </c>
      <c r="G5579" s="598" t="s">
        <v>252</v>
      </c>
      <c r="J5579" s="560">
        <f t="shared" si="185"/>
        <v>0</v>
      </c>
    </row>
    <row r="5580" spans="3:10" ht="30" hidden="1" x14ac:dyDescent="0.25">
      <c r="C5580" s="267"/>
      <c r="F5580" s="597" t="s">
        <v>253</v>
      </c>
      <c r="G5580" s="598" t="s">
        <v>254</v>
      </c>
      <c r="J5580" s="560">
        <f t="shared" si="185"/>
        <v>0</v>
      </c>
    </row>
    <row r="5581" spans="3:10" hidden="1" x14ac:dyDescent="0.25">
      <c r="C5581" s="267"/>
      <c r="F5581" s="597" t="s">
        <v>255</v>
      </c>
      <c r="G5581" s="598" t="s">
        <v>256</v>
      </c>
      <c r="J5581" s="560">
        <f t="shared" si="185"/>
        <v>0</v>
      </c>
    </row>
    <row r="5582" spans="3:10" ht="30" hidden="1" x14ac:dyDescent="0.25">
      <c r="C5582" s="267"/>
      <c r="F5582" s="597" t="s">
        <v>257</v>
      </c>
      <c r="G5582" s="598" t="s">
        <v>258</v>
      </c>
      <c r="J5582" s="560">
        <f t="shared" si="185"/>
        <v>0</v>
      </c>
    </row>
    <row r="5583" spans="3:10" hidden="1" x14ac:dyDescent="0.25">
      <c r="C5583" s="267"/>
      <c r="F5583" s="597" t="s">
        <v>259</v>
      </c>
      <c r="G5583" s="598" t="s">
        <v>260</v>
      </c>
      <c r="J5583" s="560">
        <f t="shared" si="185"/>
        <v>0</v>
      </c>
    </row>
    <row r="5584" spans="3:10" ht="15.75" hidden="1" thickBot="1" x14ac:dyDescent="0.3">
      <c r="C5584" s="267"/>
      <c r="F5584" s="597" t="s">
        <v>261</v>
      </c>
      <c r="G5584" s="598" t="s">
        <v>262</v>
      </c>
      <c r="H5584" s="559"/>
      <c r="I5584" s="560"/>
      <c r="J5584" s="560">
        <f t="shared" si="185"/>
        <v>0</v>
      </c>
    </row>
    <row r="5585" spans="3:10" ht="15.75" customHeight="1" thickBot="1" x14ac:dyDescent="0.3">
      <c r="C5585" s="267"/>
      <c r="G5585" s="268" t="s">
        <v>4258</v>
      </c>
      <c r="H5585" s="561">
        <f>SUM(H5569:H5584)</f>
        <v>4300000</v>
      </c>
      <c r="I5585" s="562">
        <f>SUM(I5570:I5584)</f>
        <v>0</v>
      </c>
      <c r="J5585" s="562">
        <f>SUM(J5569:J5584)</f>
        <v>4300000</v>
      </c>
    </row>
    <row r="5586" spans="3:10" ht="28.5" collapsed="1" x14ac:dyDescent="0.25">
      <c r="C5586" s="267"/>
      <c r="E5586" s="489"/>
      <c r="F5586" s="500"/>
      <c r="G5586" s="270" t="s">
        <v>4309</v>
      </c>
      <c r="H5586" s="563"/>
      <c r="I5586" s="584"/>
      <c r="J5586" s="564"/>
    </row>
    <row r="5587" spans="3:10" ht="15.75" thickBot="1" x14ac:dyDescent="0.3">
      <c r="C5587" s="267"/>
      <c r="E5587" s="693"/>
      <c r="F5587" s="597" t="s">
        <v>234</v>
      </c>
      <c r="G5587" s="598" t="s">
        <v>235</v>
      </c>
      <c r="H5587" s="559">
        <f>SUM(H5508:H5567)</f>
        <v>4300000</v>
      </c>
      <c r="I5587" s="560"/>
      <c r="J5587" s="560">
        <f>SUM(H5587:I5587)</f>
        <v>4300000</v>
      </c>
    </row>
    <row r="5588" spans="3:10" hidden="1" x14ac:dyDescent="0.25">
      <c r="C5588" s="267"/>
      <c r="F5588" s="597" t="s">
        <v>236</v>
      </c>
      <c r="G5588" s="598" t="s">
        <v>237</v>
      </c>
      <c r="J5588" s="560">
        <f t="shared" ref="J5588:J5602" si="186">SUM(H5588:I5588)</f>
        <v>0</v>
      </c>
    </row>
    <row r="5589" spans="3:10" hidden="1" x14ac:dyDescent="0.25">
      <c r="C5589" s="267"/>
      <c r="F5589" s="597" t="s">
        <v>238</v>
      </c>
      <c r="G5589" s="598" t="s">
        <v>239</v>
      </c>
      <c r="J5589" s="560">
        <f t="shared" si="186"/>
        <v>0</v>
      </c>
    </row>
    <row r="5590" spans="3:10" hidden="1" x14ac:dyDescent="0.25">
      <c r="C5590" s="267"/>
      <c r="F5590" s="597" t="s">
        <v>240</v>
      </c>
      <c r="G5590" s="598" t="s">
        <v>241</v>
      </c>
      <c r="J5590" s="560">
        <f t="shared" si="186"/>
        <v>0</v>
      </c>
    </row>
    <row r="5591" spans="3:10" hidden="1" x14ac:dyDescent="0.25">
      <c r="C5591" s="267"/>
      <c r="F5591" s="597" t="s">
        <v>242</v>
      </c>
      <c r="G5591" s="598" t="s">
        <v>243</v>
      </c>
      <c r="J5591" s="560">
        <f t="shared" si="186"/>
        <v>0</v>
      </c>
    </row>
    <row r="5592" spans="3:10" hidden="1" x14ac:dyDescent="0.25">
      <c r="C5592" s="267"/>
      <c r="F5592" s="597" t="s">
        <v>244</v>
      </c>
      <c r="G5592" s="598" t="s">
        <v>245</v>
      </c>
      <c r="J5592" s="560">
        <f t="shared" si="186"/>
        <v>0</v>
      </c>
    </row>
    <row r="5593" spans="3:10" hidden="1" x14ac:dyDescent="0.25">
      <c r="C5593" s="267"/>
      <c r="F5593" s="597" t="s">
        <v>246</v>
      </c>
      <c r="G5593" s="598" t="s">
        <v>4996</v>
      </c>
      <c r="J5593" s="560">
        <f t="shared" si="186"/>
        <v>0</v>
      </c>
    </row>
    <row r="5594" spans="3:10" hidden="1" x14ac:dyDescent="0.25">
      <c r="C5594" s="267"/>
      <c r="F5594" s="597" t="s">
        <v>247</v>
      </c>
      <c r="G5594" s="598" t="s">
        <v>4995</v>
      </c>
      <c r="J5594" s="560">
        <f t="shared" si="186"/>
        <v>0</v>
      </c>
    </row>
    <row r="5595" spans="3:10" hidden="1" x14ac:dyDescent="0.25">
      <c r="C5595" s="267"/>
      <c r="F5595" s="597" t="s">
        <v>248</v>
      </c>
      <c r="G5595" s="598" t="s">
        <v>57</v>
      </c>
      <c r="J5595" s="560">
        <f t="shared" si="186"/>
        <v>0</v>
      </c>
    </row>
    <row r="5596" spans="3:10" hidden="1" x14ac:dyDescent="0.25">
      <c r="C5596" s="267"/>
      <c r="F5596" s="597" t="s">
        <v>249</v>
      </c>
      <c r="G5596" s="598" t="s">
        <v>250</v>
      </c>
      <c r="J5596" s="560">
        <f t="shared" si="186"/>
        <v>0</v>
      </c>
    </row>
    <row r="5597" spans="3:10" hidden="1" x14ac:dyDescent="0.25">
      <c r="C5597" s="267"/>
      <c r="F5597" s="597" t="s">
        <v>251</v>
      </c>
      <c r="G5597" s="598" t="s">
        <v>252</v>
      </c>
      <c r="J5597" s="560">
        <f t="shared" si="186"/>
        <v>0</v>
      </c>
    </row>
    <row r="5598" spans="3:10" ht="30" hidden="1" x14ac:dyDescent="0.25">
      <c r="C5598" s="267"/>
      <c r="F5598" s="597" t="s">
        <v>253</v>
      </c>
      <c r="G5598" s="598" t="s">
        <v>254</v>
      </c>
      <c r="J5598" s="560">
        <f t="shared" si="186"/>
        <v>0</v>
      </c>
    </row>
    <row r="5599" spans="3:10" hidden="1" x14ac:dyDescent="0.25">
      <c r="C5599" s="267"/>
      <c r="F5599" s="597" t="s">
        <v>255</v>
      </c>
      <c r="G5599" s="598" t="s">
        <v>256</v>
      </c>
      <c r="J5599" s="560">
        <f t="shared" si="186"/>
        <v>0</v>
      </c>
    </row>
    <row r="5600" spans="3:10" ht="30" hidden="1" x14ac:dyDescent="0.25">
      <c r="C5600" s="267"/>
      <c r="F5600" s="597" t="s">
        <v>257</v>
      </c>
      <c r="G5600" s="598" t="s">
        <v>258</v>
      </c>
      <c r="J5600" s="560">
        <f t="shared" si="186"/>
        <v>0</v>
      </c>
    </row>
    <row r="5601" spans="1:25" hidden="1" x14ac:dyDescent="0.25">
      <c r="C5601" s="267"/>
      <c r="F5601" s="597" t="s">
        <v>259</v>
      </c>
      <c r="G5601" s="598" t="s">
        <v>260</v>
      </c>
      <c r="J5601" s="560">
        <f t="shared" si="186"/>
        <v>0</v>
      </c>
    </row>
    <row r="5602" spans="1:25" ht="15.75" hidden="1" thickBot="1" x14ac:dyDescent="0.3">
      <c r="C5602" s="267"/>
      <c r="F5602" s="597" t="s">
        <v>261</v>
      </c>
      <c r="G5602" s="598" t="s">
        <v>262</v>
      </c>
      <c r="H5602" s="559"/>
      <c r="I5602" s="560"/>
      <c r="J5602" s="560">
        <f t="shared" si="186"/>
        <v>0</v>
      </c>
    </row>
    <row r="5603" spans="1:25" ht="14.25" customHeight="1" collapsed="1" thickBot="1" x14ac:dyDescent="0.3">
      <c r="C5603" s="267"/>
      <c r="G5603" s="268" t="s">
        <v>4310</v>
      </c>
      <c r="H5603" s="561">
        <f>SUM(H5587:H5602)</f>
        <v>4300000</v>
      </c>
      <c r="I5603" s="562">
        <f>SUM(I5588:I5602)</f>
        <v>0</v>
      </c>
      <c r="J5603" s="562">
        <f>SUM(J5587:J5602)</f>
        <v>4300000</v>
      </c>
    </row>
    <row r="5604" spans="1:25" x14ac:dyDescent="0.25">
      <c r="C5604" s="267"/>
      <c r="G5604" s="490"/>
    </row>
    <row r="5605" spans="1:25" ht="28.5" x14ac:dyDescent="0.25">
      <c r="C5605" s="267" t="s">
        <v>4094</v>
      </c>
      <c r="G5605" s="490" t="s">
        <v>4095</v>
      </c>
    </row>
    <row r="5606" spans="1:25" s="88" customFormat="1" x14ac:dyDescent="0.25">
      <c r="A5606" s="258"/>
      <c r="B5606" s="288"/>
      <c r="C5606" s="294"/>
      <c r="D5606" s="348" t="s">
        <v>4009</v>
      </c>
      <c r="E5606" s="871"/>
      <c r="F5606" s="345"/>
      <c r="G5606" s="346" t="s">
        <v>211</v>
      </c>
      <c r="H5606" s="572"/>
      <c r="I5606" s="573"/>
      <c r="J5606" s="573"/>
      <c r="K5606" s="505"/>
      <c r="L5606" s="505"/>
      <c r="M5606" s="505"/>
      <c r="N5606" s="505"/>
      <c r="O5606" s="505"/>
      <c r="P5606" s="505"/>
      <c r="Q5606" s="505"/>
      <c r="R5606" s="505"/>
      <c r="S5606" s="505"/>
      <c r="T5606" s="505"/>
      <c r="U5606" s="505"/>
      <c r="V5606" s="505"/>
      <c r="W5606" s="505"/>
      <c r="X5606" s="505"/>
      <c r="Y5606" s="505"/>
    </row>
    <row r="5607" spans="1:25" hidden="1" x14ac:dyDescent="0.25">
      <c r="A5607" s="481"/>
      <c r="C5607" s="267"/>
      <c r="F5607" s="499">
        <v>411</v>
      </c>
      <c r="G5607" s="492" t="s">
        <v>4131</v>
      </c>
      <c r="J5607" s="556">
        <f>SUM(H5607:I5607)</f>
        <v>0</v>
      </c>
    </row>
    <row r="5608" spans="1:25" hidden="1" x14ac:dyDescent="0.25">
      <c r="C5608" s="267"/>
      <c r="F5608" s="499">
        <v>412</v>
      </c>
      <c r="G5608" s="488" t="s">
        <v>3766</v>
      </c>
      <c r="J5608" s="556">
        <f t="shared" ref="J5608:J5666" si="187">SUM(H5608:I5608)</f>
        <v>0</v>
      </c>
    </row>
    <row r="5609" spans="1:25" hidden="1" x14ac:dyDescent="0.25">
      <c r="C5609" s="267"/>
      <c r="F5609" s="499">
        <v>413</v>
      </c>
      <c r="G5609" s="492" t="s">
        <v>4132</v>
      </c>
      <c r="J5609" s="556">
        <f t="shared" si="187"/>
        <v>0</v>
      </c>
    </row>
    <row r="5610" spans="1:25" hidden="1" x14ac:dyDescent="0.25">
      <c r="C5610" s="267"/>
      <c r="F5610" s="499">
        <v>414</v>
      </c>
      <c r="G5610" s="492" t="s">
        <v>3769</v>
      </c>
      <c r="J5610" s="556">
        <f t="shared" si="187"/>
        <v>0</v>
      </c>
    </row>
    <row r="5611" spans="1:25" hidden="1" x14ac:dyDescent="0.25">
      <c r="C5611" s="267"/>
      <c r="F5611" s="499">
        <v>415</v>
      </c>
      <c r="G5611" s="492" t="s">
        <v>4141</v>
      </c>
      <c r="J5611" s="556">
        <f t="shared" si="187"/>
        <v>0</v>
      </c>
    </row>
    <row r="5612" spans="1:25" hidden="1" x14ac:dyDescent="0.25">
      <c r="C5612" s="267"/>
      <c r="F5612" s="499">
        <v>416</v>
      </c>
      <c r="G5612" s="492" t="s">
        <v>4142</v>
      </c>
      <c r="J5612" s="556">
        <f t="shared" si="187"/>
        <v>0</v>
      </c>
    </row>
    <row r="5613" spans="1:25" hidden="1" x14ac:dyDescent="0.25">
      <c r="C5613" s="267"/>
      <c r="F5613" s="499">
        <v>417</v>
      </c>
      <c r="G5613" s="492" t="s">
        <v>4143</v>
      </c>
      <c r="J5613" s="556">
        <f t="shared" si="187"/>
        <v>0</v>
      </c>
    </row>
    <row r="5614" spans="1:25" hidden="1" x14ac:dyDescent="0.25">
      <c r="C5614" s="267"/>
      <c r="F5614" s="499">
        <v>418</v>
      </c>
      <c r="G5614" s="492" t="s">
        <v>3775</v>
      </c>
      <c r="J5614" s="556">
        <f t="shared" si="187"/>
        <v>0</v>
      </c>
    </row>
    <row r="5615" spans="1:25" hidden="1" x14ac:dyDescent="0.25">
      <c r="C5615" s="267"/>
      <c r="F5615" s="499">
        <v>421</v>
      </c>
      <c r="G5615" s="492" t="s">
        <v>3779</v>
      </c>
      <c r="J5615" s="556">
        <f t="shared" si="187"/>
        <v>0</v>
      </c>
    </row>
    <row r="5616" spans="1:25" hidden="1" x14ac:dyDescent="0.25">
      <c r="C5616" s="267"/>
      <c r="F5616" s="499">
        <v>422</v>
      </c>
      <c r="G5616" s="492" t="s">
        <v>3780</v>
      </c>
      <c r="J5616" s="556">
        <f t="shared" si="187"/>
        <v>0</v>
      </c>
    </row>
    <row r="5617" spans="3:10" hidden="1" x14ac:dyDescent="0.25">
      <c r="C5617" s="267"/>
      <c r="F5617" s="499">
        <v>423</v>
      </c>
      <c r="G5617" s="492" t="s">
        <v>3781</v>
      </c>
      <c r="J5617" s="556">
        <f t="shared" si="187"/>
        <v>0</v>
      </c>
    </row>
    <row r="5618" spans="3:10" hidden="1" x14ac:dyDescent="0.25">
      <c r="C5618" s="267"/>
      <c r="F5618" s="499">
        <v>424</v>
      </c>
      <c r="G5618" s="492" t="s">
        <v>3783</v>
      </c>
      <c r="J5618" s="556">
        <f t="shared" si="187"/>
        <v>0</v>
      </c>
    </row>
    <row r="5619" spans="3:10" hidden="1" x14ac:dyDescent="0.25">
      <c r="C5619" s="267"/>
      <c r="F5619" s="499">
        <v>425</v>
      </c>
      <c r="G5619" s="492" t="s">
        <v>4144</v>
      </c>
      <c r="J5619" s="556">
        <f t="shared" si="187"/>
        <v>0</v>
      </c>
    </row>
    <row r="5620" spans="3:10" ht="15.75" thickBot="1" x14ac:dyDescent="0.3">
      <c r="C5620" s="267"/>
      <c r="E5620" s="679">
        <v>148</v>
      </c>
      <c r="F5620" s="499">
        <v>426</v>
      </c>
      <c r="G5620" s="492" t="s">
        <v>3787</v>
      </c>
      <c r="H5620" s="555">
        <v>150000</v>
      </c>
      <c r="J5620" s="556">
        <f t="shared" si="187"/>
        <v>150000</v>
      </c>
    </row>
    <row r="5621" spans="3:10" hidden="1" x14ac:dyDescent="0.25">
      <c r="C5621" s="267"/>
      <c r="F5621" s="499">
        <v>431</v>
      </c>
      <c r="G5621" s="492" t="s">
        <v>4145</v>
      </c>
      <c r="J5621" s="556">
        <f t="shared" si="187"/>
        <v>0</v>
      </c>
    </row>
    <row r="5622" spans="3:10" hidden="1" x14ac:dyDescent="0.25">
      <c r="C5622" s="267"/>
      <c r="F5622" s="499">
        <v>432</v>
      </c>
      <c r="G5622" s="492" t="s">
        <v>4146</v>
      </c>
      <c r="J5622" s="556">
        <f t="shared" si="187"/>
        <v>0</v>
      </c>
    </row>
    <row r="5623" spans="3:10" hidden="1" x14ac:dyDescent="0.25">
      <c r="C5623" s="267"/>
      <c r="F5623" s="499">
        <v>433</v>
      </c>
      <c r="G5623" s="492" t="s">
        <v>4147</v>
      </c>
      <c r="J5623" s="556">
        <f t="shared" si="187"/>
        <v>0</v>
      </c>
    </row>
    <row r="5624" spans="3:10" hidden="1" x14ac:dyDescent="0.25">
      <c r="C5624" s="267"/>
      <c r="F5624" s="499">
        <v>434</v>
      </c>
      <c r="G5624" s="492" t="s">
        <v>4148</v>
      </c>
      <c r="J5624" s="556">
        <f t="shared" si="187"/>
        <v>0</v>
      </c>
    </row>
    <row r="5625" spans="3:10" hidden="1" x14ac:dyDescent="0.25">
      <c r="C5625" s="267"/>
      <c r="F5625" s="499">
        <v>435</v>
      </c>
      <c r="G5625" s="492" t="s">
        <v>3794</v>
      </c>
      <c r="J5625" s="556">
        <f t="shared" si="187"/>
        <v>0</v>
      </c>
    </row>
    <row r="5626" spans="3:10" hidden="1" x14ac:dyDescent="0.25">
      <c r="C5626" s="267"/>
      <c r="F5626" s="499">
        <v>441</v>
      </c>
      <c r="G5626" s="492" t="s">
        <v>4149</v>
      </c>
      <c r="J5626" s="556">
        <f t="shared" si="187"/>
        <v>0</v>
      </c>
    </row>
    <row r="5627" spans="3:10" hidden="1" x14ac:dyDescent="0.25">
      <c r="C5627" s="267"/>
      <c r="F5627" s="499">
        <v>442</v>
      </c>
      <c r="G5627" s="492" t="s">
        <v>4150</v>
      </c>
      <c r="J5627" s="556">
        <f t="shared" si="187"/>
        <v>0</v>
      </c>
    </row>
    <row r="5628" spans="3:10" hidden="1" x14ac:dyDescent="0.25">
      <c r="C5628" s="267"/>
      <c r="F5628" s="499">
        <v>443</v>
      </c>
      <c r="G5628" s="492" t="s">
        <v>3799</v>
      </c>
      <c r="J5628" s="556">
        <f t="shared" si="187"/>
        <v>0</v>
      </c>
    </row>
    <row r="5629" spans="3:10" hidden="1" x14ac:dyDescent="0.25">
      <c r="C5629" s="267"/>
      <c r="F5629" s="499">
        <v>444</v>
      </c>
      <c r="G5629" s="492" t="s">
        <v>3800</v>
      </c>
      <c r="J5629" s="556">
        <f t="shared" si="187"/>
        <v>0</v>
      </c>
    </row>
    <row r="5630" spans="3:10" ht="30" hidden="1" x14ac:dyDescent="0.25">
      <c r="C5630" s="267"/>
      <c r="F5630" s="499">
        <v>4511</v>
      </c>
      <c r="G5630" s="771" t="s">
        <v>1690</v>
      </c>
      <c r="J5630" s="556">
        <f t="shared" si="187"/>
        <v>0</v>
      </c>
    </row>
    <row r="5631" spans="3:10" ht="30" hidden="1" x14ac:dyDescent="0.25">
      <c r="C5631" s="267"/>
      <c r="F5631" s="499">
        <v>4512</v>
      </c>
      <c r="G5631" s="771" t="s">
        <v>1699</v>
      </c>
      <c r="J5631" s="556">
        <f t="shared" si="187"/>
        <v>0</v>
      </c>
    </row>
    <row r="5632" spans="3:10" hidden="1" x14ac:dyDescent="0.25">
      <c r="C5632" s="267"/>
      <c r="F5632" s="499">
        <v>452</v>
      </c>
      <c r="G5632" s="492" t="s">
        <v>4151</v>
      </c>
      <c r="J5632" s="556">
        <f t="shared" si="187"/>
        <v>0</v>
      </c>
    </row>
    <row r="5633" spans="3:10" hidden="1" x14ac:dyDescent="0.25">
      <c r="C5633" s="267"/>
      <c r="F5633" s="499">
        <v>453</v>
      </c>
      <c r="G5633" s="492" t="s">
        <v>4152</v>
      </c>
      <c r="J5633" s="556">
        <f t="shared" si="187"/>
        <v>0</v>
      </c>
    </row>
    <row r="5634" spans="3:10" hidden="1" x14ac:dyDescent="0.25">
      <c r="C5634" s="267"/>
      <c r="F5634" s="499">
        <v>454</v>
      </c>
      <c r="G5634" s="492" t="s">
        <v>3805</v>
      </c>
      <c r="J5634" s="556">
        <f t="shared" si="187"/>
        <v>0</v>
      </c>
    </row>
    <row r="5635" spans="3:10" hidden="1" x14ac:dyDescent="0.25">
      <c r="C5635" s="267"/>
      <c r="F5635" s="499">
        <v>461</v>
      </c>
      <c r="G5635" s="492" t="s">
        <v>4133</v>
      </c>
      <c r="J5635" s="556">
        <f t="shared" si="187"/>
        <v>0</v>
      </c>
    </row>
    <row r="5636" spans="3:10" hidden="1" x14ac:dyDescent="0.25">
      <c r="C5636" s="267"/>
      <c r="F5636" s="499">
        <v>462</v>
      </c>
      <c r="G5636" s="492" t="s">
        <v>3808</v>
      </c>
      <c r="J5636" s="556">
        <f t="shared" si="187"/>
        <v>0</v>
      </c>
    </row>
    <row r="5637" spans="3:10" hidden="1" x14ac:dyDescent="0.25">
      <c r="C5637" s="267"/>
      <c r="F5637" s="499">
        <v>4631</v>
      </c>
      <c r="G5637" s="492" t="s">
        <v>3809</v>
      </c>
      <c r="J5637" s="556">
        <f t="shared" si="187"/>
        <v>0</v>
      </c>
    </row>
    <row r="5638" spans="3:10" hidden="1" x14ac:dyDescent="0.25">
      <c r="C5638" s="267"/>
      <c r="F5638" s="499">
        <v>4632</v>
      </c>
      <c r="G5638" s="492" t="s">
        <v>3810</v>
      </c>
      <c r="J5638" s="556">
        <f t="shared" si="187"/>
        <v>0</v>
      </c>
    </row>
    <row r="5639" spans="3:10" hidden="1" x14ac:dyDescent="0.25">
      <c r="C5639" s="267"/>
      <c r="F5639" s="499">
        <v>464</v>
      </c>
      <c r="G5639" s="492" t="s">
        <v>3811</v>
      </c>
      <c r="J5639" s="556">
        <f t="shared" si="187"/>
        <v>0</v>
      </c>
    </row>
    <row r="5640" spans="3:10" hidden="1" x14ac:dyDescent="0.25">
      <c r="C5640" s="267"/>
      <c r="F5640" s="499">
        <v>465</v>
      </c>
      <c r="G5640" s="492" t="s">
        <v>4134</v>
      </c>
      <c r="J5640" s="556">
        <f t="shared" si="187"/>
        <v>0</v>
      </c>
    </row>
    <row r="5641" spans="3:10" hidden="1" x14ac:dyDescent="0.25">
      <c r="C5641" s="267"/>
      <c r="F5641" s="499">
        <v>472</v>
      </c>
      <c r="G5641" s="492" t="s">
        <v>3815</v>
      </c>
      <c r="J5641" s="556">
        <f t="shared" si="187"/>
        <v>0</v>
      </c>
    </row>
    <row r="5642" spans="3:10" hidden="1" x14ac:dyDescent="0.25">
      <c r="C5642" s="267"/>
      <c r="F5642" s="499">
        <v>481</v>
      </c>
      <c r="G5642" s="492" t="s">
        <v>4153</v>
      </c>
      <c r="J5642" s="556">
        <f t="shared" si="187"/>
        <v>0</v>
      </c>
    </row>
    <row r="5643" spans="3:10" hidden="1" x14ac:dyDescent="0.25">
      <c r="C5643" s="267"/>
      <c r="F5643" s="499">
        <v>482</v>
      </c>
      <c r="G5643" s="492" t="s">
        <v>4154</v>
      </c>
      <c r="J5643" s="556">
        <f t="shared" si="187"/>
        <v>0</v>
      </c>
    </row>
    <row r="5644" spans="3:10" hidden="1" x14ac:dyDescent="0.25">
      <c r="C5644" s="267"/>
      <c r="F5644" s="499">
        <v>483</v>
      </c>
      <c r="G5644" s="496" t="s">
        <v>4155</v>
      </c>
      <c r="J5644" s="556">
        <f t="shared" si="187"/>
        <v>0</v>
      </c>
    </row>
    <row r="5645" spans="3:10" ht="30" hidden="1" x14ac:dyDescent="0.25">
      <c r="C5645" s="267"/>
      <c r="F5645" s="499">
        <v>484</v>
      </c>
      <c r="G5645" s="492" t="s">
        <v>4156</v>
      </c>
      <c r="J5645" s="556">
        <f t="shared" si="187"/>
        <v>0</v>
      </c>
    </row>
    <row r="5646" spans="3:10" ht="30" hidden="1" x14ac:dyDescent="0.25">
      <c r="C5646" s="267"/>
      <c r="F5646" s="499">
        <v>485</v>
      </c>
      <c r="G5646" s="492" t="s">
        <v>4157</v>
      </c>
      <c r="J5646" s="556">
        <f t="shared" si="187"/>
        <v>0</v>
      </c>
    </row>
    <row r="5647" spans="3:10" ht="30" hidden="1" x14ac:dyDescent="0.25">
      <c r="C5647" s="267"/>
      <c r="F5647" s="499">
        <v>489</v>
      </c>
      <c r="G5647" s="492" t="s">
        <v>3823</v>
      </c>
      <c r="J5647" s="556">
        <f t="shared" si="187"/>
        <v>0</v>
      </c>
    </row>
    <row r="5648" spans="3:10" hidden="1" x14ac:dyDescent="0.25">
      <c r="C5648" s="267"/>
      <c r="F5648" s="499">
        <v>494</v>
      </c>
      <c r="G5648" s="492" t="s">
        <v>4135</v>
      </c>
      <c r="J5648" s="556">
        <f t="shared" si="187"/>
        <v>0</v>
      </c>
    </row>
    <row r="5649" spans="3:10" ht="30" hidden="1" x14ac:dyDescent="0.25">
      <c r="C5649" s="267"/>
      <c r="F5649" s="499">
        <v>495</v>
      </c>
      <c r="G5649" s="492" t="s">
        <v>4136</v>
      </c>
      <c r="J5649" s="556">
        <f t="shared" si="187"/>
        <v>0</v>
      </c>
    </row>
    <row r="5650" spans="3:10" ht="30" hidden="1" x14ac:dyDescent="0.25">
      <c r="C5650" s="267"/>
      <c r="F5650" s="499">
        <v>496</v>
      </c>
      <c r="G5650" s="492" t="s">
        <v>4137</v>
      </c>
      <c r="J5650" s="556">
        <f t="shared" si="187"/>
        <v>0</v>
      </c>
    </row>
    <row r="5651" spans="3:10" ht="30" hidden="1" x14ac:dyDescent="0.25">
      <c r="C5651" s="267"/>
      <c r="F5651" s="499">
        <v>499</v>
      </c>
      <c r="G5651" s="492" t="s">
        <v>4138</v>
      </c>
      <c r="J5651" s="556">
        <f t="shared" si="187"/>
        <v>0</v>
      </c>
    </row>
    <row r="5652" spans="3:10" hidden="1" x14ac:dyDescent="0.25">
      <c r="C5652" s="267"/>
      <c r="F5652" s="499">
        <v>511</v>
      </c>
      <c r="G5652" s="496" t="s">
        <v>4158</v>
      </c>
      <c r="J5652" s="556">
        <f t="shared" si="187"/>
        <v>0</v>
      </c>
    </row>
    <row r="5653" spans="3:10" hidden="1" x14ac:dyDescent="0.25">
      <c r="C5653" s="267"/>
      <c r="F5653" s="499">
        <v>512</v>
      </c>
      <c r="G5653" s="496" t="s">
        <v>4159</v>
      </c>
      <c r="J5653" s="556">
        <f t="shared" si="187"/>
        <v>0</v>
      </c>
    </row>
    <row r="5654" spans="3:10" hidden="1" x14ac:dyDescent="0.25">
      <c r="C5654" s="267"/>
      <c r="F5654" s="499">
        <v>513</v>
      </c>
      <c r="G5654" s="496" t="s">
        <v>4160</v>
      </c>
      <c r="J5654" s="556">
        <f t="shared" si="187"/>
        <v>0</v>
      </c>
    </row>
    <row r="5655" spans="3:10" hidden="1" x14ac:dyDescent="0.25">
      <c r="C5655" s="267"/>
      <c r="F5655" s="499">
        <v>514</v>
      </c>
      <c r="G5655" s="492" t="s">
        <v>4161</v>
      </c>
      <c r="J5655" s="556">
        <f t="shared" si="187"/>
        <v>0</v>
      </c>
    </row>
    <row r="5656" spans="3:10" hidden="1" x14ac:dyDescent="0.25">
      <c r="C5656" s="267"/>
      <c r="F5656" s="499">
        <v>515</v>
      </c>
      <c r="G5656" s="492" t="s">
        <v>3834</v>
      </c>
      <c r="J5656" s="556">
        <f t="shared" si="187"/>
        <v>0</v>
      </c>
    </row>
    <row r="5657" spans="3:10" hidden="1" x14ac:dyDescent="0.25">
      <c r="C5657" s="267"/>
      <c r="F5657" s="499">
        <v>521</v>
      </c>
      <c r="G5657" s="492" t="s">
        <v>4162</v>
      </c>
      <c r="J5657" s="556">
        <f t="shared" si="187"/>
        <v>0</v>
      </c>
    </row>
    <row r="5658" spans="3:10" hidden="1" x14ac:dyDescent="0.25">
      <c r="C5658" s="267"/>
      <c r="F5658" s="499">
        <v>522</v>
      </c>
      <c r="G5658" s="492" t="s">
        <v>4163</v>
      </c>
      <c r="J5658" s="556">
        <f t="shared" si="187"/>
        <v>0</v>
      </c>
    </row>
    <row r="5659" spans="3:10" hidden="1" x14ac:dyDescent="0.25">
      <c r="C5659" s="267"/>
      <c r="F5659" s="499">
        <v>523</v>
      </c>
      <c r="G5659" s="492" t="s">
        <v>3839</v>
      </c>
      <c r="J5659" s="556">
        <f t="shared" si="187"/>
        <v>0</v>
      </c>
    </row>
    <row r="5660" spans="3:10" hidden="1" x14ac:dyDescent="0.25">
      <c r="C5660" s="267"/>
      <c r="F5660" s="499">
        <v>531</v>
      </c>
      <c r="G5660" s="488" t="s">
        <v>4139</v>
      </c>
      <c r="J5660" s="556">
        <f t="shared" si="187"/>
        <v>0</v>
      </c>
    </row>
    <row r="5661" spans="3:10" hidden="1" x14ac:dyDescent="0.25">
      <c r="C5661" s="267"/>
      <c r="F5661" s="499">
        <v>541</v>
      </c>
      <c r="G5661" s="492" t="s">
        <v>4164</v>
      </c>
      <c r="J5661" s="556">
        <f t="shared" si="187"/>
        <v>0</v>
      </c>
    </row>
    <row r="5662" spans="3:10" hidden="1" x14ac:dyDescent="0.25">
      <c r="C5662" s="267"/>
      <c r="F5662" s="499">
        <v>542</v>
      </c>
      <c r="G5662" s="492" t="s">
        <v>4165</v>
      </c>
      <c r="J5662" s="556">
        <f t="shared" si="187"/>
        <v>0</v>
      </c>
    </row>
    <row r="5663" spans="3:10" hidden="1" x14ac:dyDescent="0.25">
      <c r="C5663" s="267"/>
      <c r="F5663" s="499">
        <v>543</v>
      </c>
      <c r="G5663" s="492" t="s">
        <v>3844</v>
      </c>
      <c r="J5663" s="556">
        <f t="shared" si="187"/>
        <v>0</v>
      </c>
    </row>
    <row r="5664" spans="3:10" ht="30" hidden="1" x14ac:dyDescent="0.25">
      <c r="C5664" s="267"/>
      <c r="F5664" s="499">
        <v>551</v>
      </c>
      <c r="G5664" s="492" t="s">
        <v>4140</v>
      </c>
      <c r="J5664" s="556">
        <f t="shared" si="187"/>
        <v>0</v>
      </c>
    </row>
    <row r="5665" spans="3:10" hidden="1" x14ac:dyDescent="0.25">
      <c r="C5665" s="267"/>
      <c r="F5665" s="500">
        <v>611</v>
      </c>
      <c r="G5665" s="498" t="s">
        <v>3850</v>
      </c>
      <c r="J5665" s="556">
        <f t="shared" si="187"/>
        <v>0</v>
      </c>
    </row>
    <row r="5666" spans="3:10" ht="15.75" hidden="1" thickBot="1" x14ac:dyDescent="0.3">
      <c r="C5666" s="267"/>
      <c r="F5666" s="500">
        <v>620</v>
      </c>
      <c r="G5666" s="498" t="s">
        <v>88</v>
      </c>
      <c r="J5666" s="556">
        <f t="shared" si="187"/>
        <v>0</v>
      </c>
    </row>
    <row r="5667" spans="3:10" x14ac:dyDescent="0.25">
      <c r="C5667" s="267"/>
      <c r="E5667" s="489"/>
      <c r="F5667" s="500"/>
      <c r="G5667" s="342" t="s">
        <v>5339</v>
      </c>
      <c r="H5667" s="557"/>
      <c r="I5667" s="583"/>
      <c r="J5667" s="558"/>
    </row>
    <row r="5668" spans="3:10" ht="15.75" thickBot="1" x14ac:dyDescent="0.3">
      <c r="C5668" s="267"/>
      <c r="E5668" s="693"/>
      <c r="F5668" s="597" t="s">
        <v>234</v>
      </c>
      <c r="G5668" s="598" t="s">
        <v>235</v>
      </c>
      <c r="H5668" s="559">
        <f>SUM(H5607:H5666)</f>
        <v>150000</v>
      </c>
      <c r="I5668" s="560"/>
      <c r="J5668" s="560">
        <f>SUM(H5668:I5668)</f>
        <v>150000</v>
      </c>
    </row>
    <row r="5669" spans="3:10" hidden="1" x14ac:dyDescent="0.25">
      <c r="C5669" s="267"/>
      <c r="F5669" s="597" t="s">
        <v>236</v>
      </c>
      <c r="G5669" s="598" t="s">
        <v>237</v>
      </c>
      <c r="J5669" s="560">
        <f t="shared" ref="J5669:J5683" si="188">SUM(H5669:I5669)</f>
        <v>0</v>
      </c>
    </row>
    <row r="5670" spans="3:10" hidden="1" x14ac:dyDescent="0.25">
      <c r="C5670" s="267"/>
      <c r="F5670" s="597" t="s">
        <v>238</v>
      </c>
      <c r="G5670" s="598" t="s">
        <v>239</v>
      </c>
      <c r="J5670" s="560">
        <f t="shared" si="188"/>
        <v>0</v>
      </c>
    </row>
    <row r="5671" spans="3:10" hidden="1" x14ac:dyDescent="0.25">
      <c r="C5671" s="267"/>
      <c r="F5671" s="597" t="s">
        <v>240</v>
      </c>
      <c r="G5671" s="598" t="s">
        <v>241</v>
      </c>
      <c r="J5671" s="560">
        <f t="shared" si="188"/>
        <v>0</v>
      </c>
    </row>
    <row r="5672" spans="3:10" hidden="1" x14ac:dyDescent="0.25">
      <c r="C5672" s="267"/>
      <c r="F5672" s="597" t="s">
        <v>242</v>
      </c>
      <c r="G5672" s="598" t="s">
        <v>243</v>
      </c>
      <c r="J5672" s="560">
        <f t="shared" si="188"/>
        <v>0</v>
      </c>
    </row>
    <row r="5673" spans="3:10" hidden="1" x14ac:dyDescent="0.25">
      <c r="C5673" s="267"/>
      <c r="F5673" s="597" t="s">
        <v>244</v>
      </c>
      <c r="G5673" s="598" t="s">
        <v>245</v>
      </c>
      <c r="J5673" s="560">
        <f t="shared" si="188"/>
        <v>0</v>
      </c>
    </row>
    <row r="5674" spans="3:10" hidden="1" x14ac:dyDescent="0.25">
      <c r="C5674" s="267"/>
      <c r="F5674" s="597" t="s">
        <v>246</v>
      </c>
      <c r="G5674" s="598" t="s">
        <v>4996</v>
      </c>
      <c r="J5674" s="560">
        <f t="shared" si="188"/>
        <v>0</v>
      </c>
    </row>
    <row r="5675" spans="3:10" hidden="1" x14ac:dyDescent="0.25">
      <c r="C5675" s="267"/>
      <c r="F5675" s="597" t="s">
        <v>247</v>
      </c>
      <c r="G5675" s="598" t="s">
        <v>4995</v>
      </c>
      <c r="J5675" s="560">
        <f t="shared" si="188"/>
        <v>0</v>
      </c>
    </row>
    <row r="5676" spans="3:10" hidden="1" x14ac:dyDescent="0.25">
      <c r="C5676" s="267"/>
      <c r="F5676" s="597" t="s">
        <v>248</v>
      </c>
      <c r="G5676" s="598" t="s">
        <v>57</v>
      </c>
      <c r="J5676" s="560">
        <f t="shared" si="188"/>
        <v>0</v>
      </c>
    </row>
    <row r="5677" spans="3:10" hidden="1" x14ac:dyDescent="0.25">
      <c r="C5677" s="267"/>
      <c r="F5677" s="597" t="s">
        <v>249</v>
      </c>
      <c r="G5677" s="598" t="s">
        <v>250</v>
      </c>
      <c r="J5677" s="560">
        <f t="shared" si="188"/>
        <v>0</v>
      </c>
    </row>
    <row r="5678" spans="3:10" hidden="1" x14ac:dyDescent="0.25">
      <c r="C5678" s="267"/>
      <c r="F5678" s="597" t="s">
        <v>251</v>
      </c>
      <c r="G5678" s="598" t="s">
        <v>252</v>
      </c>
      <c r="J5678" s="560">
        <f t="shared" si="188"/>
        <v>0</v>
      </c>
    </row>
    <row r="5679" spans="3:10" ht="30" hidden="1" x14ac:dyDescent="0.25">
      <c r="C5679" s="267"/>
      <c r="F5679" s="597" t="s">
        <v>253</v>
      </c>
      <c r="G5679" s="598" t="s">
        <v>254</v>
      </c>
      <c r="J5679" s="560">
        <f t="shared" si="188"/>
        <v>0</v>
      </c>
    </row>
    <row r="5680" spans="3:10" hidden="1" x14ac:dyDescent="0.25">
      <c r="C5680" s="267"/>
      <c r="F5680" s="597" t="s">
        <v>255</v>
      </c>
      <c r="G5680" s="598" t="s">
        <v>256</v>
      </c>
      <c r="J5680" s="560">
        <f t="shared" si="188"/>
        <v>0</v>
      </c>
    </row>
    <row r="5681" spans="3:10" ht="30" hidden="1" x14ac:dyDescent="0.25">
      <c r="C5681" s="267"/>
      <c r="F5681" s="597" t="s">
        <v>257</v>
      </c>
      <c r="G5681" s="598" t="s">
        <v>258</v>
      </c>
      <c r="J5681" s="560">
        <f t="shared" si="188"/>
        <v>0</v>
      </c>
    </row>
    <row r="5682" spans="3:10" hidden="1" x14ac:dyDescent="0.25">
      <c r="C5682" s="267"/>
      <c r="F5682" s="597" t="s">
        <v>259</v>
      </c>
      <c r="G5682" s="598" t="s">
        <v>260</v>
      </c>
      <c r="J5682" s="560">
        <f t="shared" si="188"/>
        <v>0</v>
      </c>
    </row>
    <row r="5683" spans="3:10" ht="15.75" hidden="1" thickBot="1" x14ac:dyDescent="0.3">
      <c r="C5683" s="267"/>
      <c r="F5683" s="597" t="s">
        <v>261</v>
      </c>
      <c r="G5683" s="598" t="s">
        <v>262</v>
      </c>
      <c r="H5683" s="559"/>
      <c r="I5683" s="560"/>
      <c r="J5683" s="560">
        <f t="shared" si="188"/>
        <v>0</v>
      </c>
    </row>
    <row r="5684" spans="3:10" ht="15.75" thickBot="1" x14ac:dyDescent="0.3">
      <c r="C5684" s="267"/>
      <c r="G5684" s="268" t="s">
        <v>5037</v>
      </c>
      <c r="H5684" s="561">
        <f>SUM(H5668:H5683)</f>
        <v>150000</v>
      </c>
      <c r="I5684" s="562">
        <f>SUM(I5669:I5683)</f>
        <v>0</v>
      </c>
      <c r="J5684" s="562">
        <f>SUM(J5668:J5683)</f>
        <v>150000</v>
      </c>
    </row>
    <row r="5685" spans="3:10" ht="28.5" collapsed="1" x14ac:dyDescent="0.25">
      <c r="C5685" s="267"/>
      <c r="E5685" s="489"/>
      <c r="F5685" s="500"/>
      <c r="G5685" s="270" t="s">
        <v>4311</v>
      </c>
      <c r="H5685" s="563"/>
      <c r="I5685" s="584"/>
      <c r="J5685" s="564"/>
    </row>
    <row r="5686" spans="3:10" ht="15.75" thickBot="1" x14ac:dyDescent="0.3">
      <c r="C5686" s="267"/>
      <c r="E5686" s="693"/>
      <c r="F5686" s="597" t="s">
        <v>234</v>
      </c>
      <c r="G5686" s="598" t="s">
        <v>235</v>
      </c>
      <c r="H5686" s="559">
        <f>SUM(H5607:H5666)</f>
        <v>150000</v>
      </c>
      <c r="I5686" s="560"/>
      <c r="J5686" s="560">
        <f>SUM(H5686:I5686)</f>
        <v>150000</v>
      </c>
    </row>
    <row r="5687" spans="3:10" hidden="1" x14ac:dyDescent="0.25">
      <c r="C5687" s="267"/>
      <c r="F5687" s="597" t="s">
        <v>236</v>
      </c>
      <c r="G5687" s="598" t="s">
        <v>237</v>
      </c>
      <c r="J5687" s="560">
        <f t="shared" ref="J5687:J5701" si="189">SUM(H5687:I5687)</f>
        <v>0</v>
      </c>
    </row>
    <row r="5688" spans="3:10" hidden="1" x14ac:dyDescent="0.25">
      <c r="C5688" s="267"/>
      <c r="F5688" s="597" t="s">
        <v>238</v>
      </c>
      <c r="G5688" s="598" t="s">
        <v>239</v>
      </c>
      <c r="J5688" s="560">
        <f t="shared" si="189"/>
        <v>0</v>
      </c>
    </row>
    <row r="5689" spans="3:10" hidden="1" x14ac:dyDescent="0.25">
      <c r="C5689" s="267"/>
      <c r="F5689" s="597" t="s">
        <v>240</v>
      </c>
      <c r="G5689" s="598" t="s">
        <v>241</v>
      </c>
      <c r="J5689" s="560">
        <f t="shared" si="189"/>
        <v>0</v>
      </c>
    </row>
    <row r="5690" spans="3:10" hidden="1" x14ac:dyDescent="0.25">
      <c r="C5690" s="267"/>
      <c r="F5690" s="597" t="s">
        <v>242</v>
      </c>
      <c r="G5690" s="598" t="s">
        <v>243</v>
      </c>
      <c r="J5690" s="560">
        <f t="shared" si="189"/>
        <v>0</v>
      </c>
    </row>
    <row r="5691" spans="3:10" hidden="1" x14ac:dyDescent="0.25">
      <c r="C5691" s="267"/>
      <c r="F5691" s="597" t="s">
        <v>244</v>
      </c>
      <c r="G5691" s="598" t="s">
        <v>245</v>
      </c>
      <c r="J5691" s="560">
        <f t="shared" si="189"/>
        <v>0</v>
      </c>
    </row>
    <row r="5692" spans="3:10" hidden="1" x14ac:dyDescent="0.25">
      <c r="C5692" s="267"/>
      <c r="F5692" s="597" t="s">
        <v>246</v>
      </c>
      <c r="G5692" s="598" t="s">
        <v>4996</v>
      </c>
      <c r="J5692" s="560">
        <f t="shared" si="189"/>
        <v>0</v>
      </c>
    </row>
    <row r="5693" spans="3:10" hidden="1" x14ac:dyDescent="0.25">
      <c r="C5693" s="267"/>
      <c r="F5693" s="597" t="s">
        <v>247</v>
      </c>
      <c r="G5693" s="598" t="s">
        <v>4995</v>
      </c>
      <c r="J5693" s="560">
        <f t="shared" si="189"/>
        <v>0</v>
      </c>
    </row>
    <row r="5694" spans="3:10" hidden="1" x14ac:dyDescent="0.25">
      <c r="C5694" s="267"/>
      <c r="F5694" s="597" t="s">
        <v>248</v>
      </c>
      <c r="G5694" s="598" t="s">
        <v>57</v>
      </c>
      <c r="J5694" s="560">
        <f t="shared" si="189"/>
        <v>0</v>
      </c>
    </row>
    <row r="5695" spans="3:10" hidden="1" x14ac:dyDescent="0.25">
      <c r="C5695" s="267"/>
      <c r="F5695" s="597" t="s">
        <v>249</v>
      </c>
      <c r="G5695" s="598" t="s">
        <v>250</v>
      </c>
      <c r="J5695" s="560">
        <f t="shared" si="189"/>
        <v>0</v>
      </c>
    </row>
    <row r="5696" spans="3:10" hidden="1" x14ac:dyDescent="0.25">
      <c r="C5696" s="267"/>
      <c r="F5696" s="597" t="s">
        <v>251</v>
      </c>
      <c r="G5696" s="598" t="s">
        <v>252</v>
      </c>
      <c r="J5696" s="560">
        <f t="shared" si="189"/>
        <v>0</v>
      </c>
    </row>
    <row r="5697" spans="1:25" ht="30" hidden="1" x14ac:dyDescent="0.25">
      <c r="C5697" s="267"/>
      <c r="F5697" s="597" t="s">
        <v>253</v>
      </c>
      <c r="G5697" s="598" t="s">
        <v>254</v>
      </c>
      <c r="J5697" s="560">
        <f t="shared" si="189"/>
        <v>0</v>
      </c>
    </row>
    <row r="5698" spans="1:25" hidden="1" x14ac:dyDescent="0.25">
      <c r="C5698" s="267"/>
      <c r="F5698" s="597" t="s">
        <v>255</v>
      </c>
      <c r="G5698" s="598" t="s">
        <v>256</v>
      </c>
      <c r="J5698" s="560">
        <f t="shared" si="189"/>
        <v>0</v>
      </c>
    </row>
    <row r="5699" spans="1:25" ht="30" hidden="1" x14ac:dyDescent="0.25">
      <c r="C5699" s="267"/>
      <c r="F5699" s="597" t="s">
        <v>257</v>
      </c>
      <c r="G5699" s="598" t="s">
        <v>258</v>
      </c>
      <c r="J5699" s="560">
        <f t="shared" si="189"/>
        <v>0</v>
      </c>
    </row>
    <row r="5700" spans="1:25" hidden="1" x14ac:dyDescent="0.25">
      <c r="C5700" s="267"/>
      <c r="F5700" s="597" t="s">
        <v>259</v>
      </c>
      <c r="G5700" s="598" t="s">
        <v>260</v>
      </c>
      <c r="J5700" s="560">
        <f t="shared" si="189"/>
        <v>0</v>
      </c>
    </row>
    <row r="5701" spans="1:25" ht="15.75" hidden="1" thickBot="1" x14ac:dyDescent="0.3">
      <c r="C5701" s="267"/>
      <c r="F5701" s="597" t="s">
        <v>261</v>
      </c>
      <c r="G5701" s="598" t="s">
        <v>262</v>
      </c>
      <c r="H5701" s="559"/>
      <c r="I5701" s="560"/>
      <c r="J5701" s="560">
        <f t="shared" si="189"/>
        <v>0</v>
      </c>
    </row>
    <row r="5702" spans="1:25" ht="15.75" collapsed="1" thickBot="1" x14ac:dyDescent="0.3">
      <c r="C5702" s="267"/>
      <c r="G5702" s="268" t="s">
        <v>4312</v>
      </c>
      <c r="H5702" s="561">
        <f>SUM(H5686:H5701)</f>
        <v>150000</v>
      </c>
      <c r="I5702" s="562">
        <f>SUM(I5687:I5701)</f>
        <v>0</v>
      </c>
      <c r="J5702" s="562">
        <f>SUM(J5686:J5701)</f>
        <v>150000</v>
      </c>
    </row>
    <row r="5703" spans="1:25" x14ac:dyDescent="0.25">
      <c r="C5703" s="267"/>
      <c r="G5703" s="490"/>
    </row>
    <row r="5704" spans="1:25" x14ac:dyDescent="0.25">
      <c r="C5704" s="267" t="s">
        <v>5135</v>
      </c>
      <c r="G5704" s="490" t="s">
        <v>5136</v>
      </c>
    </row>
    <row r="5705" spans="1:25" s="88" customFormat="1" x14ac:dyDescent="0.25">
      <c r="A5705" s="258"/>
      <c r="B5705" s="288"/>
      <c r="C5705" s="294"/>
      <c r="D5705" s="348" t="s">
        <v>3854</v>
      </c>
      <c r="E5705" s="871"/>
      <c r="F5705" s="345"/>
      <c r="G5705" s="346" t="s">
        <v>182</v>
      </c>
      <c r="H5705" s="572"/>
      <c r="I5705" s="573"/>
      <c r="J5705" s="573"/>
      <c r="K5705" s="505"/>
      <c r="L5705" s="505"/>
      <c r="M5705" s="505"/>
      <c r="N5705" s="505"/>
      <c r="O5705" s="505"/>
      <c r="P5705" s="505"/>
      <c r="Q5705" s="505"/>
      <c r="R5705" s="505"/>
      <c r="S5705" s="505"/>
      <c r="T5705" s="505"/>
      <c r="U5705" s="505"/>
      <c r="V5705" s="505"/>
      <c r="W5705" s="505"/>
      <c r="X5705" s="505"/>
      <c r="Y5705" s="505"/>
    </row>
    <row r="5706" spans="1:25" hidden="1" x14ac:dyDescent="0.25">
      <c r="A5706" s="481"/>
      <c r="F5706" s="499">
        <v>411</v>
      </c>
      <c r="G5706" s="492" t="s">
        <v>4131</v>
      </c>
      <c r="J5706" s="556">
        <f>SUM(H5706:I5706)</f>
        <v>0</v>
      </c>
    </row>
    <row r="5707" spans="1:25" hidden="1" x14ac:dyDescent="0.25">
      <c r="F5707" s="499">
        <v>412</v>
      </c>
      <c r="G5707" s="488" t="s">
        <v>3766</v>
      </c>
      <c r="J5707" s="556">
        <f t="shared" ref="J5707:J5765" si="190">SUM(H5707:I5707)</f>
        <v>0</v>
      </c>
    </row>
    <row r="5708" spans="1:25" hidden="1" x14ac:dyDescent="0.25">
      <c r="F5708" s="499">
        <v>413</v>
      </c>
      <c r="G5708" s="492" t="s">
        <v>4132</v>
      </c>
      <c r="J5708" s="556">
        <f t="shared" si="190"/>
        <v>0</v>
      </c>
    </row>
    <row r="5709" spans="1:25" hidden="1" x14ac:dyDescent="0.25">
      <c r="F5709" s="499">
        <v>414</v>
      </c>
      <c r="G5709" s="492" t="s">
        <v>3769</v>
      </c>
      <c r="J5709" s="556">
        <f t="shared" si="190"/>
        <v>0</v>
      </c>
    </row>
    <row r="5710" spans="1:25" hidden="1" x14ac:dyDescent="0.25">
      <c r="F5710" s="499">
        <v>415</v>
      </c>
      <c r="G5710" s="492" t="s">
        <v>4141</v>
      </c>
      <c r="J5710" s="556">
        <f t="shared" si="190"/>
        <v>0</v>
      </c>
    </row>
    <row r="5711" spans="1:25" hidden="1" x14ac:dyDescent="0.25">
      <c r="F5711" s="499">
        <v>416</v>
      </c>
      <c r="G5711" s="492" t="s">
        <v>4142</v>
      </c>
      <c r="J5711" s="556">
        <f t="shared" si="190"/>
        <v>0</v>
      </c>
    </row>
    <row r="5712" spans="1:25" hidden="1" x14ac:dyDescent="0.25">
      <c r="F5712" s="499">
        <v>417</v>
      </c>
      <c r="G5712" s="492" t="s">
        <v>4143</v>
      </c>
      <c r="J5712" s="556">
        <f t="shared" si="190"/>
        <v>0</v>
      </c>
    </row>
    <row r="5713" spans="5:10" hidden="1" x14ac:dyDescent="0.25">
      <c r="F5713" s="499">
        <v>418</v>
      </c>
      <c r="G5713" s="492" t="s">
        <v>3775</v>
      </c>
      <c r="J5713" s="556">
        <f t="shared" si="190"/>
        <v>0</v>
      </c>
    </row>
    <row r="5714" spans="5:10" hidden="1" x14ac:dyDescent="0.25">
      <c r="F5714" s="499">
        <v>421</v>
      </c>
      <c r="G5714" s="492" t="s">
        <v>3779</v>
      </c>
      <c r="J5714" s="556">
        <f t="shared" si="190"/>
        <v>0</v>
      </c>
    </row>
    <row r="5715" spans="5:10" hidden="1" x14ac:dyDescent="0.25">
      <c r="F5715" s="499">
        <v>422</v>
      </c>
      <c r="G5715" s="492" t="s">
        <v>3780</v>
      </c>
      <c r="J5715" s="556">
        <f t="shared" si="190"/>
        <v>0</v>
      </c>
    </row>
    <row r="5716" spans="5:10" x14ac:dyDescent="0.25">
      <c r="E5716" s="679">
        <v>149</v>
      </c>
      <c r="F5716" s="499">
        <v>423</v>
      </c>
      <c r="G5716" s="492" t="s">
        <v>3781</v>
      </c>
      <c r="H5716" s="555">
        <v>70000</v>
      </c>
      <c r="J5716" s="556">
        <f t="shared" si="190"/>
        <v>70000</v>
      </c>
    </row>
    <row r="5717" spans="5:10" hidden="1" x14ac:dyDescent="0.25">
      <c r="F5717" s="499">
        <v>424</v>
      </c>
      <c r="G5717" s="492" t="s">
        <v>3783</v>
      </c>
      <c r="J5717" s="556">
        <f t="shared" si="190"/>
        <v>0</v>
      </c>
    </row>
    <row r="5718" spans="5:10" hidden="1" x14ac:dyDescent="0.25">
      <c r="F5718" s="499">
        <v>425</v>
      </c>
      <c r="G5718" s="492" t="s">
        <v>4144</v>
      </c>
      <c r="J5718" s="556">
        <f t="shared" si="190"/>
        <v>0</v>
      </c>
    </row>
    <row r="5719" spans="5:10" ht="15.75" thickBot="1" x14ac:dyDescent="0.3">
      <c r="E5719" s="679">
        <v>150</v>
      </c>
      <c r="F5719" s="499">
        <v>426</v>
      </c>
      <c r="G5719" s="492" t="s">
        <v>3787</v>
      </c>
      <c r="H5719" s="555">
        <v>25000</v>
      </c>
      <c r="J5719" s="556">
        <f t="shared" si="190"/>
        <v>25000</v>
      </c>
    </row>
    <row r="5720" spans="5:10" hidden="1" x14ac:dyDescent="0.25">
      <c r="F5720" s="499">
        <v>431</v>
      </c>
      <c r="G5720" s="492" t="s">
        <v>4145</v>
      </c>
      <c r="J5720" s="556">
        <f t="shared" si="190"/>
        <v>0</v>
      </c>
    </row>
    <row r="5721" spans="5:10" hidden="1" x14ac:dyDescent="0.25">
      <c r="F5721" s="499">
        <v>432</v>
      </c>
      <c r="G5721" s="492" t="s">
        <v>4146</v>
      </c>
      <c r="J5721" s="556">
        <f t="shared" si="190"/>
        <v>0</v>
      </c>
    </row>
    <row r="5722" spans="5:10" hidden="1" x14ac:dyDescent="0.25">
      <c r="F5722" s="499">
        <v>433</v>
      </c>
      <c r="G5722" s="492" t="s">
        <v>4147</v>
      </c>
      <c r="J5722" s="556">
        <f t="shared" si="190"/>
        <v>0</v>
      </c>
    </row>
    <row r="5723" spans="5:10" hidden="1" x14ac:dyDescent="0.25">
      <c r="F5723" s="499">
        <v>434</v>
      </c>
      <c r="G5723" s="492" t="s">
        <v>4148</v>
      </c>
      <c r="J5723" s="556">
        <f t="shared" si="190"/>
        <v>0</v>
      </c>
    </row>
    <row r="5724" spans="5:10" hidden="1" x14ac:dyDescent="0.25">
      <c r="F5724" s="499">
        <v>435</v>
      </c>
      <c r="G5724" s="492" t="s">
        <v>3794</v>
      </c>
      <c r="J5724" s="556">
        <f t="shared" si="190"/>
        <v>0</v>
      </c>
    </row>
    <row r="5725" spans="5:10" hidden="1" x14ac:dyDescent="0.25">
      <c r="F5725" s="499">
        <v>441</v>
      </c>
      <c r="G5725" s="492" t="s">
        <v>4149</v>
      </c>
      <c r="J5725" s="556">
        <f t="shared" si="190"/>
        <v>0</v>
      </c>
    </row>
    <row r="5726" spans="5:10" hidden="1" x14ac:dyDescent="0.25">
      <c r="F5726" s="499">
        <v>442</v>
      </c>
      <c r="G5726" s="492" t="s">
        <v>4150</v>
      </c>
      <c r="J5726" s="556">
        <f t="shared" si="190"/>
        <v>0</v>
      </c>
    </row>
    <row r="5727" spans="5:10" hidden="1" x14ac:dyDescent="0.25">
      <c r="F5727" s="499">
        <v>443</v>
      </c>
      <c r="G5727" s="492" t="s">
        <v>3799</v>
      </c>
      <c r="J5727" s="556">
        <f t="shared" si="190"/>
        <v>0</v>
      </c>
    </row>
    <row r="5728" spans="5:10" hidden="1" x14ac:dyDescent="0.25">
      <c r="F5728" s="499">
        <v>444</v>
      </c>
      <c r="G5728" s="492" t="s">
        <v>3800</v>
      </c>
      <c r="J5728" s="556">
        <f t="shared" si="190"/>
        <v>0</v>
      </c>
    </row>
    <row r="5729" spans="6:10" ht="30" hidden="1" x14ac:dyDescent="0.25">
      <c r="F5729" s="499">
        <v>4511</v>
      </c>
      <c r="G5729" s="771" t="s">
        <v>1690</v>
      </c>
      <c r="J5729" s="556">
        <f t="shared" si="190"/>
        <v>0</v>
      </c>
    </row>
    <row r="5730" spans="6:10" ht="30" hidden="1" x14ac:dyDescent="0.25">
      <c r="F5730" s="499">
        <v>4512</v>
      </c>
      <c r="G5730" s="771" t="s">
        <v>1699</v>
      </c>
      <c r="J5730" s="556">
        <f t="shared" si="190"/>
        <v>0</v>
      </c>
    </row>
    <row r="5731" spans="6:10" hidden="1" x14ac:dyDescent="0.25">
      <c r="F5731" s="499">
        <v>452</v>
      </c>
      <c r="G5731" s="492" t="s">
        <v>4151</v>
      </c>
      <c r="J5731" s="556">
        <f t="shared" si="190"/>
        <v>0</v>
      </c>
    </row>
    <row r="5732" spans="6:10" hidden="1" x14ac:dyDescent="0.25">
      <c r="F5732" s="499">
        <v>453</v>
      </c>
      <c r="G5732" s="492" t="s">
        <v>4152</v>
      </c>
      <c r="J5732" s="556">
        <f t="shared" si="190"/>
        <v>0</v>
      </c>
    </row>
    <row r="5733" spans="6:10" hidden="1" x14ac:dyDescent="0.25">
      <c r="F5733" s="499">
        <v>454</v>
      </c>
      <c r="G5733" s="492" t="s">
        <v>3805</v>
      </c>
      <c r="J5733" s="556">
        <f t="shared" si="190"/>
        <v>0</v>
      </c>
    </row>
    <row r="5734" spans="6:10" hidden="1" x14ac:dyDescent="0.25">
      <c r="F5734" s="499">
        <v>461</v>
      </c>
      <c r="G5734" s="492" t="s">
        <v>4133</v>
      </c>
      <c r="J5734" s="556">
        <f t="shared" si="190"/>
        <v>0</v>
      </c>
    </row>
    <row r="5735" spans="6:10" hidden="1" x14ac:dyDescent="0.25">
      <c r="F5735" s="499">
        <v>462</v>
      </c>
      <c r="G5735" s="492" t="s">
        <v>3808</v>
      </c>
      <c r="J5735" s="556">
        <f t="shared" si="190"/>
        <v>0</v>
      </c>
    </row>
    <row r="5736" spans="6:10" hidden="1" x14ac:dyDescent="0.25">
      <c r="F5736" s="499">
        <v>4631</v>
      </c>
      <c r="G5736" s="492" t="s">
        <v>3809</v>
      </c>
      <c r="J5736" s="556">
        <f t="shared" si="190"/>
        <v>0</v>
      </c>
    </row>
    <row r="5737" spans="6:10" hidden="1" x14ac:dyDescent="0.25">
      <c r="F5737" s="499">
        <v>4632</v>
      </c>
      <c r="G5737" s="492" t="s">
        <v>3810</v>
      </c>
      <c r="J5737" s="556">
        <f t="shared" si="190"/>
        <v>0</v>
      </c>
    </row>
    <row r="5738" spans="6:10" hidden="1" x14ac:dyDescent="0.25">
      <c r="F5738" s="499">
        <v>464</v>
      </c>
      <c r="G5738" s="492" t="s">
        <v>3811</v>
      </c>
      <c r="J5738" s="556">
        <f t="shared" si="190"/>
        <v>0</v>
      </c>
    </row>
    <row r="5739" spans="6:10" hidden="1" x14ac:dyDescent="0.25">
      <c r="F5739" s="499">
        <v>465</v>
      </c>
      <c r="G5739" s="492" t="s">
        <v>4134</v>
      </c>
      <c r="J5739" s="556">
        <f t="shared" si="190"/>
        <v>0</v>
      </c>
    </row>
    <row r="5740" spans="6:10" hidden="1" x14ac:dyDescent="0.25">
      <c r="F5740" s="499">
        <v>472</v>
      </c>
      <c r="G5740" s="492" t="s">
        <v>3815</v>
      </c>
      <c r="J5740" s="556">
        <f t="shared" si="190"/>
        <v>0</v>
      </c>
    </row>
    <row r="5741" spans="6:10" hidden="1" x14ac:dyDescent="0.25">
      <c r="F5741" s="499">
        <v>481</v>
      </c>
      <c r="G5741" s="492" t="s">
        <v>4153</v>
      </c>
      <c r="J5741" s="556">
        <f t="shared" si="190"/>
        <v>0</v>
      </c>
    </row>
    <row r="5742" spans="6:10" hidden="1" x14ac:dyDescent="0.25">
      <c r="F5742" s="499">
        <v>482</v>
      </c>
      <c r="G5742" s="492" t="s">
        <v>4154</v>
      </c>
      <c r="J5742" s="556">
        <f t="shared" si="190"/>
        <v>0</v>
      </c>
    </row>
    <row r="5743" spans="6:10" hidden="1" x14ac:dyDescent="0.25">
      <c r="F5743" s="499">
        <v>483</v>
      </c>
      <c r="G5743" s="496" t="s">
        <v>4155</v>
      </c>
      <c r="J5743" s="556">
        <f t="shared" si="190"/>
        <v>0</v>
      </c>
    </row>
    <row r="5744" spans="6:10" ht="30" hidden="1" x14ac:dyDescent="0.25">
      <c r="F5744" s="499">
        <v>484</v>
      </c>
      <c r="G5744" s="492" t="s">
        <v>4156</v>
      </c>
      <c r="J5744" s="556">
        <f t="shared" si="190"/>
        <v>0</v>
      </c>
    </row>
    <row r="5745" spans="6:10" ht="30" hidden="1" x14ac:dyDescent="0.25">
      <c r="F5745" s="499">
        <v>485</v>
      </c>
      <c r="G5745" s="492" t="s">
        <v>4157</v>
      </c>
      <c r="J5745" s="556">
        <f t="shared" si="190"/>
        <v>0</v>
      </c>
    </row>
    <row r="5746" spans="6:10" ht="30" hidden="1" x14ac:dyDescent="0.25">
      <c r="F5746" s="499">
        <v>489</v>
      </c>
      <c r="G5746" s="492" t="s">
        <v>3823</v>
      </c>
      <c r="J5746" s="556">
        <f t="shared" si="190"/>
        <v>0</v>
      </c>
    </row>
    <row r="5747" spans="6:10" hidden="1" x14ac:dyDescent="0.25">
      <c r="F5747" s="499">
        <v>494</v>
      </c>
      <c r="G5747" s="492" t="s">
        <v>4135</v>
      </c>
      <c r="J5747" s="556">
        <f t="shared" si="190"/>
        <v>0</v>
      </c>
    </row>
    <row r="5748" spans="6:10" ht="30" hidden="1" x14ac:dyDescent="0.25">
      <c r="F5748" s="499">
        <v>495</v>
      </c>
      <c r="G5748" s="492" t="s">
        <v>4136</v>
      </c>
      <c r="J5748" s="556">
        <f t="shared" si="190"/>
        <v>0</v>
      </c>
    </row>
    <row r="5749" spans="6:10" ht="30" hidden="1" x14ac:dyDescent="0.25">
      <c r="F5749" s="499">
        <v>496</v>
      </c>
      <c r="G5749" s="492" t="s">
        <v>4137</v>
      </c>
      <c r="J5749" s="556">
        <f t="shared" si="190"/>
        <v>0</v>
      </c>
    </row>
    <row r="5750" spans="6:10" ht="30" hidden="1" x14ac:dyDescent="0.25">
      <c r="F5750" s="499">
        <v>499</v>
      </c>
      <c r="G5750" s="492" t="s">
        <v>4138</v>
      </c>
      <c r="J5750" s="556">
        <f t="shared" si="190"/>
        <v>0</v>
      </c>
    </row>
    <row r="5751" spans="6:10" hidden="1" x14ac:dyDescent="0.25">
      <c r="F5751" s="499">
        <v>511</v>
      </c>
      <c r="G5751" s="496" t="s">
        <v>4158</v>
      </c>
      <c r="J5751" s="556">
        <f t="shared" si="190"/>
        <v>0</v>
      </c>
    </row>
    <row r="5752" spans="6:10" hidden="1" x14ac:dyDescent="0.25">
      <c r="F5752" s="499">
        <v>512</v>
      </c>
      <c r="G5752" s="496" t="s">
        <v>4159</v>
      </c>
      <c r="J5752" s="556">
        <f t="shared" si="190"/>
        <v>0</v>
      </c>
    </row>
    <row r="5753" spans="6:10" hidden="1" x14ac:dyDescent="0.25">
      <c r="F5753" s="499">
        <v>513</v>
      </c>
      <c r="G5753" s="496" t="s">
        <v>4160</v>
      </c>
      <c r="J5753" s="556">
        <f t="shared" si="190"/>
        <v>0</v>
      </c>
    </row>
    <row r="5754" spans="6:10" hidden="1" x14ac:dyDescent="0.25">
      <c r="F5754" s="499">
        <v>514</v>
      </c>
      <c r="G5754" s="492" t="s">
        <v>4161</v>
      </c>
      <c r="J5754" s="556">
        <f t="shared" si="190"/>
        <v>0</v>
      </c>
    </row>
    <row r="5755" spans="6:10" hidden="1" x14ac:dyDescent="0.25">
      <c r="F5755" s="499">
        <v>515</v>
      </c>
      <c r="G5755" s="492" t="s">
        <v>3834</v>
      </c>
      <c r="J5755" s="556">
        <f t="shared" si="190"/>
        <v>0</v>
      </c>
    </row>
    <row r="5756" spans="6:10" hidden="1" x14ac:dyDescent="0.25">
      <c r="F5756" s="499">
        <v>521</v>
      </c>
      <c r="G5756" s="492" t="s">
        <v>4162</v>
      </c>
      <c r="J5756" s="556">
        <f t="shared" si="190"/>
        <v>0</v>
      </c>
    </row>
    <row r="5757" spans="6:10" hidden="1" x14ac:dyDescent="0.25">
      <c r="F5757" s="499">
        <v>522</v>
      </c>
      <c r="G5757" s="492" t="s">
        <v>4163</v>
      </c>
      <c r="J5757" s="556">
        <f t="shared" si="190"/>
        <v>0</v>
      </c>
    </row>
    <row r="5758" spans="6:10" hidden="1" x14ac:dyDescent="0.25">
      <c r="F5758" s="499">
        <v>523</v>
      </c>
      <c r="G5758" s="492" t="s">
        <v>3839</v>
      </c>
      <c r="J5758" s="556">
        <f t="shared" si="190"/>
        <v>0</v>
      </c>
    </row>
    <row r="5759" spans="6:10" hidden="1" x14ac:dyDescent="0.25">
      <c r="F5759" s="499">
        <v>531</v>
      </c>
      <c r="G5759" s="488" t="s">
        <v>4139</v>
      </c>
      <c r="J5759" s="556">
        <f t="shared" si="190"/>
        <v>0</v>
      </c>
    </row>
    <row r="5760" spans="6:10" hidden="1" x14ac:dyDescent="0.25">
      <c r="F5760" s="499">
        <v>541</v>
      </c>
      <c r="G5760" s="492" t="s">
        <v>4164</v>
      </c>
      <c r="J5760" s="556">
        <f t="shared" si="190"/>
        <v>0</v>
      </c>
    </row>
    <row r="5761" spans="5:10" hidden="1" x14ac:dyDescent="0.25">
      <c r="F5761" s="499">
        <v>542</v>
      </c>
      <c r="G5761" s="492" t="s">
        <v>4165</v>
      </c>
      <c r="J5761" s="556">
        <f t="shared" si="190"/>
        <v>0</v>
      </c>
    </row>
    <row r="5762" spans="5:10" hidden="1" x14ac:dyDescent="0.25">
      <c r="F5762" s="499">
        <v>543</v>
      </c>
      <c r="G5762" s="492" t="s">
        <v>3844</v>
      </c>
      <c r="J5762" s="556">
        <f t="shared" si="190"/>
        <v>0</v>
      </c>
    </row>
    <row r="5763" spans="5:10" ht="30" hidden="1" x14ac:dyDescent="0.25">
      <c r="F5763" s="499">
        <v>551</v>
      </c>
      <c r="G5763" s="492" t="s">
        <v>4140</v>
      </c>
      <c r="J5763" s="556">
        <f t="shared" si="190"/>
        <v>0</v>
      </c>
    </row>
    <row r="5764" spans="5:10" hidden="1" x14ac:dyDescent="0.25">
      <c r="F5764" s="500">
        <v>611</v>
      </c>
      <c r="G5764" s="498" t="s">
        <v>3850</v>
      </c>
      <c r="J5764" s="556">
        <f t="shared" si="190"/>
        <v>0</v>
      </c>
    </row>
    <row r="5765" spans="5:10" ht="15.75" hidden="1" thickBot="1" x14ac:dyDescent="0.3">
      <c r="F5765" s="500">
        <v>620</v>
      </c>
      <c r="G5765" s="498" t="s">
        <v>88</v>
      </c>
      <c r="J5765" s="556">
        <f t="shared" si="190"/>
        <v>0</v>
      </c>
    </row>
    <row r="5766" spans="5:10" x14ac:dyDescent="0.25">
      <c r="E5766" s="489"/>
      <c r="F5766" s="500"/>
      <c r="G5766" s="342" t="s">
        <v>4289</v>
      </c>
      <c r="H5766" s="557"/>
      <c r="I5766" s="583"/>
      <c r="J5766" s="558"/>
    </row>
    <row r="5767" spans="5:10" ht="15.75" thickBot="1" x14ac:dyDescent="0.3">
      <c r="E5767" s="693"/>
      <c r="F5767" s="597" t="s">
        <v>234</v>
      </c>
      <c r="G5767" s="598" t="s">
        <v>235</v>
      </c>
      <c r="H5767" s="559">
        <f>SUM(H5706:H5765)</f>
        <v>95000</v>
      </c>
      <c r="I5767" s="560"/>
      <c r="J5767" s="560">
        <f>SUM(H5767:I5767)</f>
        <v>95000</v>
      </c>
    </row>
    <row r="5768" spans="5:10" hidden="1" x14ac:dyDescent="0.25">
      <c r="F5768" s="597" t="s">
        <v>236</v>
      </c>
      <c r="G5768" s="598" t="s">
        <v>237</v>
      </c>
      <c r="J5768" s="560">
        <f t="shared" ref="J5768:J5782" si="191">SUM(H5768:I5768)</f>
        <v>0</v>
      </c>
    </row>
    <row r="5769" spans="5:10" hidden="1" x14ac:dyDescent="0.25">
      <c r="F5769" s="597" t="s">
        <v>238</v>
      </c>
      <c r="G5769" s="598" t="s">
        <v>239</v>
      </c>
      <c r="J5769" s="560">
        <f t="shared" si="191"/>
        <v>0</v>
      </c>
    </row>
    <row r="5770" spans="5:10" hidden="1" x14ac:dyDescent="0.25">
      <c r="F5770" s="597" t="s">
        <v>240</v>
      </c>
      <c r="G5770" s="598" t="s">
        <v>241</v>
      </c>
      <c r="J5770" s="560">
        <f t="shared" si="191"/>
        <v>0</v>
      </c>
    </row>
    <row r="5771" spans="5:10" hidden="1" x14ac:dyDescent="0.25">
      <c r="F5771" s="597" t="s">
        <v>242</v>
      </c>
      <c r="G5771" s="598" t="s">
        <v>243</v>
      </c>
      <c r="J5771" s="560">
        <f t="shared" si="191"/>
        <v>0</v>
      </c>
    </row>
    <row r="5772" spans="5:10" hidden="1" x14ac:dyDescent="0.25">
      <c r="F5772" s="597" t="s">
        <v>244</v>
      </c>
      <c r="G5772" s="598" t="s">
        <v>245</v>
      </c>
      <c r="J5772" s="560">
        <f t="shared" si="191"/>
        <v>0</v>
      </c>
    </row>
    <row r="5773" spans="5:10" hidden="1" x14ac:dyDescent="0.25">
      <c r="F5773" s="597" t="s">
        <v>246</v>
      </c>
      <c r="G5773" s="598" t="s">
        <v>4996</v>
      </c>
      <c r="J5773" s="560">
        <f t="shared" si="191"/>
        <v>0</v>
      </c>
    </row>
    <row r="5774" spans="5:10" hidden="1" x14ac:dyDescent="0.25">
      <c r="F5774" s="597" t="s">
        <v>247</v>
      </c>
      <c r="G5774" s="598" t="s">
        <v>4995</v>
      </c>
      <c r="J5774" s="560">
        <f t="shared" si="191"/>
        <v>0</v>
      </c>
    </row>
    <row r="5775" spans="5:10" hidden="1" x14ac:dyDescent="0.25">
      <c r="F5775" s="597" t="s">
        <v>248</v>
      </c>
      <c r="G5775" s="598" t="s">
        <v>57</v>
      </c>
      <c r="J5775" s="560">
        <f t="shared" si="191"/>
        <v>0</v>
      </c>
    </row>
    <row r="5776" spans="5:10" hidden="1" x14ac:dyDescent="0.25">
      <c r="F5776" s="597" t="s">
        <v>249</v>
      </c>
      <c r="G5776" s="598" t="s">
        <v>250</v>
      </c>
      <c r="J5776" s="560">
        <f t="shared" si="191"/>
        <v>0</v>
      </c>
    </row>
    <row r="5777" spans="5:10" hidden="1" x14ac:dyDescent="0.25">
      <c r="F5777" s="597" t="s">
        <v>251</v>
      </c>
      <c r="G5777" s="598" t="s">
        <v>252</v>
      </c>
      <c r="J5777" s="560">
        <f t="shared" si="191"/>
        <v>0</v>
      </c>
    </row>
    <row r="5778" spans="5:10" ht="30" hidden="1" x14ac:dyDescent="0.25">
      <c r="F5778" s="597" t="s">
        <v>253</v>
      </c>
      <c r="G5778" s="598" t="s">
        <v>254</v>
      </c>
      <c r="J5778" s="560">
        <f t="shared" si="191"/>
        <v>0</v>
      </c>
    </row>
    <row r="5779" spans="5:10" hidden="1" x14ac:dyDescent="0.25">
      <c r="F5779" s="597" t="s">
        <v>255</v>
      </c>
      <c r="G5779" s="598" t="s">
        <v>256</v>
      </c>
      <c r="J5779" s="560">
        <f t="shared" si="191"/>
        <v>0</v>
      </c>
    </row>
    <row r="5780" spans="5:10" ht="30" hidden="1" x14ac:dyDescent="0.25">
      <c r="F5780" s="597" t="s">
        <v>257</v>
      </c>
      <c r="G5780" s="598" t="s">
        <v>258</v>
      </c>
      <c r="J5780" s="560">
        <f t="shared" si="191"/>
        <v>0</v>
      </c>
    </row>
    <row r="5781" spans="5:10" hidden="1" x14ac:dyDescent="0.25">
      <c r="F5781" s="597" t="s">
        <v>259</v>
      </c>
      <c r="G5781" s="598" t="s">
        <v>260</v>
      </c>
      <c r="J5781" s="560">
        <f t="shared" si="191"/>
        <v>0</v>
      </c>
    </row>
    <row r="5782" spans="5:10" ht="15.75" hidden="1" thickBot="1" x14ac:dyDescent="0.3">
      <c r="F5782" s="597" t="s">
        <v>261</v>
      </c>
      <c r="G5782" s="598" t="s">
        <v>262</v>
      </c>
      <c r="H5782" s="559"/>
      <c r="I5782" s="560"/>
      <c r="J5782" s="560">
        <f t="shared" si="191"/>
        <v>0</v>
      </c>
    </row>
    <row r="5783" spans="5:10" ht="15.75" thickBot="1" x14ac:dyDescent="0.3">
      <c r="G5783" s="268" t="s">
        <v>4290</v>
      </c>
      <c r="H5783" s="561">
        <f>SUM(H5767:H5782)</f>
        <v>95000</v>
      </c>
      <c r="I5783" s="562">
        <f>SUM(I5768:I5782)</f>
        <v>0</v>
      </c>
      <c r="J5783" s="562">
        <f>SUM(J5767:J5782)</f>
        <v>95000</v>
      </c>
    </row>
    <row r="5784" spans="5:10" ht="28.5" collapsed="1" x14ac:dyDescent="0.25">
      <c r="E5784" s="489"/>
      <c r="F5784" s="500"/>
      <c r="G5784" s="270" t="s">
        <v>4313</v>
      </c>
      <c r="H5784" s="563"/>
      <c r="I5784" s="584"/>
      <c r="J5784" s="564"/>
    </row>
    <row r="5785" spans="5:10" ht="15.75" thickBot="1" x14ac:dyDescent="0.3">
      <c r="E5785" s="693"/>
      <c r="F5785" s="597" t="s">
        <v>234</v>
      </c>
      <c r="G5785" s="598" t="s">
        <v>235</v>
      </c>
      <c r="H5785" s="559">
        <f>SUM(H5706:H5765)</f>
        <v>95000</v>
      </c>
      <c r="I5785" s="560"/>
      <c r="J5785" s="560">
        <f>SUM(H5785:I5785)</f>
        <v>95000</v>
      </c>
    </row>
    <row r="5786" spans="5:10" hidden="1" x14ac:dyDescent="0.25">
      <c r="F5786" s="597" t="s">
        <v>236</v>
      </c>
      <c r="G5786" s="598" t="s">
        <v>237</v>
      </c>
      <c r="J5786" s="560">
        <f t="shared" ref="J5786:J5800" si="192">SUM(H5786:I5786)</f>
        <v>0</v>
      </c>
    </row>
    <row r="5787" spans="5:10" hidden="1" x14ac:dyDescent="0.25">
      <c r="F5787" s="597" t="s">
        <v>238</v>
      </c>
      <c r="G5787" s="598" t="s">
        <v>239</v>
      </c>
      <c r="J5787" s="560">
        <f t="shared" si="192"/>
        <v>0</v>
      </c>
    </row>
    <row r="5788" spans="5:10" hidden="1" x14ac:dyDescent="0.25">
      <c r="F5788" s="597" t="s">
        <v>240</v>
      </c>
      <c r="G5788" s="598" t="s">
        <v>241</v>
      </c>
      <c r="J5788" s="560">
        <f t="shared" si="192"/>
        <v>0</v>
      </c>
    </row>
    <row r="5789" spans="5:10" hidden="1" x14ac:dyDescent="0.25">
      <c r="F5789" s="597" t="s">
        <v>242</v>
      </c>
      <c r="G5789" s="598" t="s">
        <v>243</v>
      </c>
      <c r="J5789" s="560">
        <f t="shared" si="192"/>
        <v>0</v>
      </c>
    </row>
    <row r="5790" spans="5:10" hidden="1" x14ac:dyDescent="0.25">
      <c r="F5790" s="597" t="s">
        <v>244</v>
      </c>
      <c r="G5790" s="598" t="s">
        <v>245</v>
      </c>
      <c r="J5790" s="560">
        <f t="shared" si="192"/>
        <v>0</v>
      </c>
    </row>
    <row r="5791" spans="5:10" hidden="1" x14ac:dyDescent="0.25">
      <c r="F5791" s="597" t="s">
        <v>246</v>
      </c>
      <c r="G5791" s="598" t="s">
        <v>4996</v>
      </c>
      <c r="J5791" s="560">
        <f t="shared" si="192"/>
        <v>0</v>
      </c>
    </row>
    <row r="5792" spans="5:10" hidden="1" x14ac:dyDescent="0.25">
      <c r="F5792" s="597" t="s">
        <v>247</v>
      </c>
      <c r="G5792" s="598" t="s">
        <v>4995</v>
      </c>
      <c r="J5792" s="560">
        <f t="shared" si="192"/>
        <v>0</v>
      </c>
    </row>
    <row r="5793" spans="1:25" hidden="1" x14ac:dyDescent="0.25">
      <c r="F5793" s="597" t="s">
        <v>248</v>
      </c>
      <c r="G5793" s="598" t="s">
        <v>57</v>
      </c>
      <c r="J5793" s="560">
        <f t="shared" si="192"/>
        <v>0</v>
      </c>
    </row>
    <row r="5794" spans="1:25" hidden="1" x14ac:dyDescent="0.25">
      <c r="F5794" s="597" t="s">
        <v>249</v>
      </c>
      <c r="G5794" s="598" t="s">
        <v>250</v>
      </c>
      <c r="J5794" s="560">
        <f t="shared" si="192"/>
        <v>0</v>
      </c>
    </row>
    <row r="5795" spans="1:25" hidden="1" x14ac:dyDescent="0.25">
      <c r="F5795" s="597" t="s">
        <v>251</v>
      </c>
      <c r="G5795" s="598" t="s">
        <v>252</v>
      </c>
      <c r="J5795" s="560">
        <f t="shared" si="192"/>
        <v>0</v>
      </c>
    </row>
    <row r="5796" spans="1:25" ht="30" hidden="1" x14ac:dyDescent="0.25">
      <c r="F5796" s="597" t="s">
        <v>253</v>
      </c>
      <c r="G5796" s="598" t="s">
        <v>254</v>
      </c>
      <c r="J5796" s="560">
        <f t="shared" si="192"/>
        <v>0</v>
      </c>
    </row>
    <row r="5797" spans="1:25" hidden="1" x14ac:dyDescent="0.25">
      <c r="F5797" s="597" t="s">
        <v>255</v>
      </c>
      <c r="G5797" s="598" t="s">
        <v>256</v>
      </c>
      <c r="J5797" s="560">
        <f t="shared" si="192"/>
        <v>0</v>
      </c>
    </row>
    <row r="5798" spans="1:25" ht="30" hidden="1" x14ac:dyDescent="0.25">
      <c r="F5798" s="597" t="s">
        <v>257</v>
      </c>
      <c r="G5798" s="598" t="s">
        <v>258</v>
      </c>
      <c r="J5798" s="560">
        <f t="shared" si="192"/>
        <v>0</v>
      </c>
    </row>
    <row r="5799" spans="1:25" hidden="1" x14ac:dyDescent="0.25">
      <c r="F5799" s="597" t="s">
        <v>259</v>
      </c>
      <c r="G5799" s="598" t="s">
        <v>260</v>
      </c>
      <c r="J5799" s="560">
        <f t="shared" si="192"/>
        <v>0</v>
      </c>
    </row>
    <row r="5800" spans="1:25" ht="15.75" hidden="1" thickBot="1" x14ac:dyDescent="0.3">
      <c r="F5800" s="597" t="s">
        <v>261</v>
      </c>
      <c r="G5800" s="598" t="s">
        <v>262</v>
      </c>
      <c r="H5800" s="559"/>
      <c r="I5800" s="560"/>
      <c r="J5800" s="560">
        <f t="shared" si="192"/>
        <v>0</v>
      </c>
    </row>
    <row r="5801" spans="1:25" ht="15.75" collapsed="1" thickBot="1" x14ac:dyDescent="0.3">
      <c r="G5801" s="268" t="s">
        <v>4314</v>
      </c>
      <c r="H5801" s="561">
        <f>SUM(H5785:H5800)</f>
        <v>95000</v>
      </c>
      <c r="I5801" s="562">
        <f>SUM(I5786:I5800)</f>
        <v>0</v>
      </c>
      <c r="J5801" s="562">
        <f>SUM(J5785:J5800)</f>
        <v>95000</v>
      </c>
    </row>
    <row r="5802" spans="1:25" x14ac:dyDescent="0.25">
      <c r="G5802" s="490"/>
    </row>
    <row r="5803" spans="1:25" s="88" customFormat="1" ht="17.25" customHeight="1" x14ac:dyDescent="0.25">
      <c r="A5803" s="258"/>
      <c r="B5803" s="288"/>
      <c r="C5803" s="334"/>
      <c r="D5803" s="286"/>
      <c r="E5803" s="876"/>
      <c r="F5803" s="500"/>
      <c r="G5803" s="285" t="s">
        <v>4259</v>
      </c>
      <c r="H5803" s="567"/>
      <c r="I5803" s="585"/>
      <c r="J5803" s="568"/>
      <c r="K5803" s="505"/>
      <c r="L5803" s="505"/>
      <c r="M5803" s="505"/>
      <c r="N5803" s="505"/>
      <c r="O5803" s="505"/>
      <c r="P5803" s="505"/>
      <c r="Q5803" s="505"/>
      <c r="R5803" s="505"/>
      <c r="S5803" s="505"/>
      <c r="T5803" s="505"/>
      <c r="U5803" s="505"/>
      <c r="V5803" s="505"/>
      <c r="W5803" s="505"/>
      <c r="X5803" s="505"/>
      <c r="Y5803" s="505"/>
    </row>
    <row r="5804" spans="1:25" s="88" customFormat="1" ht="16.5" customHeight="1" thickBot="1" x14ac:dyDescent="0.3">
      <c r="A5804" s="481"/>
      <c r="B5804" s="288"/>
      <c r="C5804" s="334"/>
      <c r="D5804" s="286"/>
      <c r="E5804" s="876"/>
      <c r="F5804" s="597" t="s">
        <v>234</v>
      </c>
      <c r="G5804" s="598" t="s">
        <v>235</v>
      </c>
      <c r="H5804" s="559">
        <f>SUM(H5785,H5686,H5587)</f>
        <v>4545000</v>
      </c>
      <c r="I5804" s="560"/>
      <c r="J5804" s="560">
        <f t="shared" ref="J5804:J5819" si="193">SUM(H5804:I5804)</f>
        <v>4545000</v>
      </c>
      <c r="K5804" s="505"/>
      <c r="L5804" s="505"/>
      <c r="M5804" s="505"/>
      <c r="N5804" s="505"/>
      <c r="O5804" s="505"/>
      <c r="P5804" s="505"/>
      <c r="Q5804" s="505"/>
      <c r="R5804" s="505"/>
      <c r="S5804" s="505"/>
      <c r="T5804" s="505"/>
      <c r="U5804" s="505"/>
      <c r="V5804" s="505"/>
      <c r="W5804" s="505"/>
      <c r="X5804" s="505"/>
      <c r="Y5804" s="505"/>
    </row>
    <row r="5805" spans="1:25" s="88" customFormat="1" hidden="1" x14ac:dyDescent="0.25">
      <c r="A5805" s="481"/>
      <c r="B5805" s="288"/>
      <c r="C5805" s="334"/>
      <c r="D5805" s="286"/>
      <c r="E5805" s="876"/>
      <c r="F5805" s="597" t="s">
        <v>236</v>
      </c>
      <c r="G5805" s="598" t="s">
        <v>237</v>
      </c>
      <c r="H5805" s="555"/>
      <c r="I5805" s="556"/>
      <c r="J5805" s="560">
        <f t="shared" si="193"/>
        <v>0</v>
      </c>
      <c r="K5805" s="505"/>
      <c r="L5805" s="505"/>
      <c r="M5805" s="505"/>
      <c r="N5805" s="505"/>
      <c r="O5805" s="505"/>
      <c r="P5805" s="505"/>
      <c r="Q5805" s="505"/>
      <c r="R5805" s="505"/>
      <c r="S5805" s="505"/>
      <c r="T5805" s="505"/>
      <c r="U5805" s="505"/>
      <c r="V5805" s="505"/>
      <c r="W5805" s="505"/>
      <c r="X5805" s="505"/>
      <c r="Y5805" s="505"/>
    </row>
    <row r="5806" spans="1:25" s="88" customFormat="1" hidden="1" x14ac:dyDescent="0.25">
      <c r="A5806" s="481"/>
      <c r="B5806" s="288"/>
      <c r="C5806" s="334"/>
      <c r="D5806" s="286"/>
      <c r="E5806" s="876"/>
      <c r="F5806" s="597" t="s">
        <v>238</v>
      </c>
      <c r="G5806" s="598" t="s">
        <v>239</v>
      </c>
      <c r="H5806" s="555"/>
      <c r="I5806" s="556"/>
      <c r="J5806" s="560">
        <f t="shared" si="193"/>
        <v>0</v>
      </c>
      <c r="K5806" s="505"/>
      <c r="L5806" s="505"/>
      <c r="M5806" s="505"/>
      <c r="N5806" s="505"/>
      <c r="O5806" s="505"/>
      <c r="P5806" s="505"/>
      <c r="Q5806" s="505"/>
      <c r="R5806" s="505"/>
      <c r="S5806" s="505"/>
      <c r="T5806" s="505"/>
      <c r="U5806" s="505"/>
      <c r="V5806" s="505"/>
      <c r="W5806" s="505"/>
      <c r="X5806" s="505"/>
      <c r="Y5806" s="505"/>
    </row>
    <row r="5807" spans="1:25" s="88" customFormat="1" hidden="1" x14ac:dyDescent="0.25">
      <c r="A5807" s="481"/>
      <c r="B5807" s="288"/>
      <c r="C5807" s="334"/>
      <c r="D5807" s="286"/>
      <c r="E5807" s="876"/>
      <c r="F5807" s="597" t="s">
        <v>240</v>
      </c>
      <c r="G5807" s="598" t="s">
        <v>241</v>
      </c>
      <c r="H5807" s="555"/>
      <c r="I5807" s="556"/>
      <c r="J5807" s="560">
        <f t="shared" si="193"/>
        <v>0</v>
      </c>
      <c r="K5807" s="505"/>
      <c r="L5807" s="505"/>
      <c r="M5807" s="505"/>
      <c r="N5807" s="505"/>
      <c r="O5807" s="505"/>
      <c r="P5807" s="505"/>
      <c r="Q5807" s="505"/>
      <c r="R5807" s="505"/>
      <c r="S5807" s="505"/>
      <c r="T5807" s="505"/>
      <c r="U5807" s="505"/>
      <c r="V5807" s="505"/>
      <c r="W5807" s="505"/>
      <c r="X5807" s="505"/>
      <c r="Y5807" s="505"/>
    </row>
    <row r="5808" spans="1:25" s="88" customFormat="1" hidden="1" x14ac:dyDescent="0.25">
      <c r="A5808" s="481"/>
      <c r="B5808" s="288"/>
      <c r="C5808" s="334"/>
      <c r="D5808" s="286"/>
      <c r="E5808" s="876"/>
      <c r="F5808" s="597" t="s">
        <v>242</v>
      </c>
      <c r="G5808" s="598" t="s">
        <v>243</v>
      </c>
      <c r="H5808" s="555"/>
      <c r="I5808" s="556"/>
      <c r="J5808" s="560">
        <f t="shared" si="193"/>
        <v>0</v>
      </c>
      <c r="K5808" s="505"/>
      <c r="L5808" s="505"/>
      <c r="M5808" s="505"/>
      <c r="N5808" s="505"/>
      <c r="O5808" s="505"/>
      <c r="P5808" s="505"/>
      <c r="Q5808" s="505"/>
      <c r="R5808" s="505"/>
      <c r="S5808" s="505"/>
      <c r="T5808" s="505"/>
      <c r="U5808" s="505"/>
      <c r="V5808" s="505"/>
      <c r="W5808" s="505"/>
      <c r="X5808" s="505"/>
      <c r="Y5808" s="505"/>
    </row>
    <row r="5809" spans="1:25" s="88" customFormat="1" hidden="1" x14ac:dyDescent="0.25">
      <c r="A5809" s="481"/>
      <c r="B5809" s="288"/>
      <c r="C5809" s="334"/>
      <c r="D5809" s="286"/>
      <c r="E5809" s="876"/>
      <c r="F5809" s="597" t="s">
        <v>244</v>
      </c>
      <c r="G5809" s="598" t="s">
        <v>245</v>
      </c>
      <c r="H5809" s="555"/>
      <c r="I5809" s="556"/>
      <c r="J5809" s="560">
        <f t="shared" si="193"/>
        <v>0</v>
      </c>
      <c r="K5809" s="505"/>
      <c r="L5809" s="505"/>
      <c r="M5809" s="505"/>
      <c r="N5809" s="505"/>
      <c r="O5809" s="505"/>
      <c r="P5809" s="505"/>
      <c r="Q5809" s="505"/>
      <c r="R5809" s="505"/>
      <c r="S5809" s="505"/>
      <c r="T5809" s="505"/>
      <c r="U5809" s="505"/>
      <c r="V5809" s="505"/>
      <c r="W5809" s="505"/>
      <c r="X5809" s="505"/>
      <c r="Y5809" s="505"/>
    </row>
    <row r="5810" spans="1:25" s="88" customFormat="1" hidden="1" x14ac:dyDescent="0.25">
      <c r="A5810" s="481"/>
      <c r="B5810" s="288"/>
      <c r="C5810" s="334"/>
      <c r="D5810" s="286"/>
      <c r="E5810" s="876"/>
      <c r="F5810" s="597" t="s">
        <v>246</v>
      </c>
      <c r="G5810" s="598" t="s">
        <v>4996</v>
      </c>
      <c r="H5810" s="555"/>
      <c r="I5810" s="556"/>
      <c r="J5810" s="560">
        <f t="shared" si="193"/>
        <v>0</v>
      </c>
      <c r="K5810" s="505"/>
      <c r="L5810" s="505"/>
      <c r="M5810" s="505"/>
      <c r="N5810" s="505"/>
      <c r="O5810" s="505"/>
      <c r="P5810" s="505"/>
      <c r="Q5810" s="505"/>
      <c r="R5810" s="505"/>
      <c r="S5810" s="505"/>
      <c r="T5810" s="505"/>
      <c r="U5810" s="505"/>
      <c r="V5810" s="505"/>
      <c r="W5810" s="505"/>
      <c r="X5810" s="505"/>
      <c r="Y5810" s="505"/>
    </row>
    <row r="5811" spans="1:25" s="88" customFormat="1" hidden="1" x14ac:dyDescent="0.25">
      <c r="A5811" s="481"/>
      <c r="B5811" s="288"/>
      <c r="C5811" s="334"/>
      <c r="D5811" s="286"/>
      <c r="E5811" s="876"/>
      <c r="F5811" s="597" t="s">
        <v>247</v>
      </c>
      <c r="G5811" s="598" t="s">
        <v>4995</v>
      </c>
      <c r="H5811" s="555"/>
      <c r="I5811" s="556"/>
      <c r="J5811" s="560">
        <f t="shared" si="193"/>
        <v>0</v>
      </c>
      <c r="K5811" s="505"/>
      <c r="L5811" s="505"/>
      <c r="M5811" s="505"/>
      <c r="N5811" s="505"/>
      <c r="O5811" s="505"/>
      <c r="P5811" s="505"/>
      <c r="Q5811" s="505"/>
      <c r="R5811" s="505"/>
      <c r="S5811" s="505"/>
      <c r="T5811" s="505"/>
      <c r="U5811" s="505"/>
      <c r="V5811" s="505"/>
      <c r="W5811" s="505"/>
      <c r="X5811" s="505"/>
      <c r="Y5811" s="505"/>
    </row>
    <row r="5812" spans="1:25" s="88" customFormat="1" hidden="1" x14ac:dyDescent="0.25">
      <c r="A5812" s="481"/>
      <c r="B5812" s="288"/>
      <c r="C5812" s="334"/>
      <c r="D5812" s="286"/>
      <c r="E5812" s="876"/>
      <c r="F5812" s="597" t="s">
        <v>248</v>
      </c>
      <c r="G5812" s="598" t="s">
        <v>57</v>
      </c>
      <c r="H5812" s="555"/>
      <c r="I5812" s="556"/>
      <c r="J5812" s="560">
        <f t="shared" si="193"/>
        <v>0</v>
      </c>
      <c r="K5812" s="505"/>
      <c r="L5812" s="505"/>
      <c r="M5812" s="505"/>
      <c r="N5812" s="505"/>
      <c r="O5812" s="505"/>
      <c r="P5812" s="505"/>
      <c r="Q5812" s="505"/>
      <c r="R5812" s="505"/>
      <c r="S5812" s="505"/>
      <c r="T5812" s="505"/>
      <c r="U5812" s="505"/>
      <c r="V5812" s="505"/>
      <c r="W5812" s="505"/>
      <c r="X5812" s="505"/>
      <c r="Y5812" s="505"/>
    </row>
    <row r="5813" spans="1:25" s="88" customFormat="1" hidden="1" x14ac:dyDescent="0.25">
      <c r="A5813" s="481"/>
      <c r="B5813" s="288"/>
      <c r="C5813" s="334"/>
      <c r="D5813" s="286"/>
      <c r="E5813" s="876"/>
      <c r="F5813" s="597" t="s">
        <v>249</v>
      </c>
      <c r="G5813" s="598" t="s">
        <v>250</v>
      </c>
      <c r="H5813" s="555"/>
      <c r="I5813" s="556"/>
      <c r="J5813" s="560">
        <f t="shared" si="193"/>
        <v>0</v>
      </c>
      <c r="K5813" s="505"/>
      <c r="L5813" s="505"/>
      <c r="M5813" s="505"/>
      <c r="N5813" s="505"/>
      <c r="O5813" s="505"/>
      <c r="P5813" s="505"/>
      <c r="Q5813" s="505"/>
      <c r="R5813" s="505"/>
      <c r="S5813" s="505"/>
      <c r="T5813" s="505"/>
      <c r="U5813" s="505"/>
      <c r="V5813" s="505"/>
      <c r="W5813" s="505"/>
      <c r="X5813" s="505"/>
      <c r="Y5813" s="505"/>
    </row>
    <row r="5814" spans="1:25" s="88" customFormat="1" hidden="1" x14ac:dyDescent="0.25">
      <c r="A5814" s="481"/>
      <c r="B5814" s="288"/>
      <c r="C5814" s="334"/>
      <c r="D5814" s="286"/>
      <c r="E5814" s="876"/>
      <c r="F5814" s="597" t="s">
        <v>251</v>
      </c>
      <c r="G5814" s="598" t="s">
        <v>252</v>
      </c>
      <c r="H5814" s="555"/>
      <c r="I5814" s="556"/>
      <c r="J5814" s="560">
        <f t="shared" si="193"/>
        <v>0</v>
      </c>
      <c r="K5814" s="505"/>
      <c r="L5814" s="505"/>
      <c r="M5814" s="505"/>
      <c r="N5814" s="505"/>
      <c r="O5814" s="505"/>
      <c r="P5814" s="505"/>
      <c r="Q5814" s="505"/>
      <c r="R5814" s="505"/>
      <c r="S5814" s="505"/>
      <c r="T5814" s="505"/>
      <c r="U5814" s="505"/>
      <c r="V5814" s="505"/>
      <c r="W5814" s="505"/>
      <c r="X5814" s="505"/>
      <c r="Y5814" s="505"/>
    </row>
    <row r="5815" spans="1:25" s="88" customFormat="1" ht="30" hidden="1" x14ac:dyDescent="0.25">
      <c r="A5815" s="481"/>
      <c r="B5815" s="288"/>
      <c r="C5815" s="334"/>
      <c r="D5815" s="286"/>
      <c r="E5815" s="876"/>
      <c r="F5815" s="597" t="s">
        <v>253</v>
      </c>
      <c r="G5815" s="598" t="s">
        <v>254</v>
      </c>
      <c r="H5815" s="555"/>
      <c r="I5815" s="556"/>
      <c r="J5815" s="560">
        <f t="shared" si="193"/>
        <v>0</v>
      </c>
      <c r="K5815" s="505"/>
      <c r="L5815" s="505"/>
      <c r="M5815" s="505"/>
      <c r="N5815" s="505"/>
      <c r="O5815" s="505"/>
      <c r="P5815" s="505"/>
      <c r="Q5815" s="505"/>
      <c r="R5815" s="505"/>
      <c r="S5815" s="505"/>
      <c r="T5815" s="505"/>
      <c r="U5815" s="505"/>
      <c r="V5815" s="505"/>
      <c r="W5815" s="505"/>
      <c r="X5815" s="505"/>
      <c r="Y5815" s="505"/>
    </row>
    <row r="5816" spans="1:25" s="88" customFormat="1" hidden="1" x14ac:dyDescent="0.25">
      <c r="A5816" s="481"/>
      <c r="B5816" s="288"/>
      <c r="C5816" s="334"/>
      <c r="D5816" s="286"/>
      <c r="E5816" s="876"/>
      <c r="F5816" s="597" t="s">
        <v>255</v>
      </c>
      <c r="G5816" s="598" t="s">
        <v>256</v>
      </c>
      <c r="H5816" s="555"/>
      <c r="I5816" s="556"/>
      <c r="J5816" s="560">
        <f t="shared" si="193"/>
        <v>0</v>
      </c>
      <c r="K5816" s="505"/>
      <c r="L5816" s="505"/>
      <c r="M5816" s="505"/>
      <c r="N5816" s="505"/>
      <c r="O5816" s="505"/>
      <c r="P5816" s="505"/>
      <c r="Q5816" s="505"/>
      <c r="R5816" s="505"/>
      <c r="S5816" s="505"/>
      <c r="T5816" s="505"/>
      <c r="U5816" s="505"/>
      <c r="V5816" s="505"/>
      <c r="W5816" s="505"/>
      <c r="X5816" s="505"/>
      <c r="Y5816" s="505"/>
    </row>
    <row r="5817" spans="1:25" s="88" customFormat="1" ht="30" hidden="1" x14ac:dyDescent="0.25">
      <c r="A5817" s="481"/>
      <c r="B5817" s="288"/>
      <c r="C5817" s="334"/>
      <c r="D5817" s="286"/>
      <c r="E5817" s="876"/>
      <c r="F5817" s="597" t="s">
        <v>257</v>
      </c>
      <c r="G5817" s="598" t="s">
        <v>258</v>
      </c>
      <c r="H5817" s="555"/>
      <c r="I5817" s="556"/>
      <c r="J5817" s="560">
        <f t="shared" si="193"/>
        <v>0</v>
      </c>
      <c r="K5817" s="505"/>
      <c r="L5817" s="505"/>
      <c r="M5817" s="505"/>
      <c r="N5817" s="505"/>
      <c r="O5817" s="505"/>
      <c r="P5817" s="505"/>
      <c r="Q5817" s="505"/>
      <c r="R5817" s="505"/>
      <c r="S5817" s="505"/>
      <c r="T5817" s="505"/>
      <c r="U5817" s="505"/>
      <c r="V5817" s="505"/>
      <c r="W5817" s="505"/>
      <c r="X5817" s="505"/>
      <c r="Y5817" s="505"/>
    </row>
    <row r="5818" spans="1:25" s="88" customFormat="1" hidden="1" x14ac:dyDescent="0.25">
      <c r="A5818" s="481"/>
      <c r="B5818" s="288"/>
      <c r="C5818" s="334"/>
      <c r="D5818" s="286"/>
      <c r="E5818" s="876"/>
      <c r="F5818" s="597" t="s">
        <v>259</v>
      </c>
      <c r="G5818" s="598" t="s">
        <v>260</v>
      </c>
      <c r="H5818" s="555"/>
      <c r="I5818" s="556"/>
      <c r="J5818" s="560">
        <f t="shared" si="193"/>
        <v>0</v>
      </c>
      <c r="K5818" s="505"/>
      <c r="L5818" s="505"/>
      <c r="M5818" s="505"/>
      <c r="N5818" s="505"/>
      <c r="O5818" s="505"/>
      <c r="P5818" s="505"/>
      <c r="Q5818" s="505"/>
      <c r="R5818" s="505"/>
      <c r="S5818" s="505"/>
      <c r="T5818" s="505"/>
      <c r="U5818" s="505"/>
      <c r="V5818" s="505"/>
      <c r="W5818" s="505"/>
      <c r="X5818" s="505"/>
      <c r="Y5818" s="505"/>
    </row>
    <row r="5819" spans="1:25" s="88" customFormat="1" ht="15.75" hidden="1" thickBot="1" x14ac:dyDescent="0.3">
      <c r="A5819" s="481"/>
      <c r="B5819" s="288"/>
      <c r="C5819" s="334"/>
      <c r="D5819" s="286"/>
      <c r="E5819" s="876"/>
      <c r="F5819" s="597" t="s">
        <v>261</v>
      </c>
      <c r="G5819" s="598" t="s">
        <v>262</v>
      </c>
      <c r="H5819" s="559"/>
      <c r="I5819" s="560"/>
      <c r="J5819" s="560">
        <f t="shared" si="193"/>
        <v>0</v>
      </c>
      <c r="K5819" s="505"/>
      <c r="L5819" s="505"/>
      <c r="M5819" s="505"/>
      <c r="N5819" s="505"/>
      <c r="O5819" s="505"/>
      <c r="P5819" s="505"/>
      <c r="Q5819" s="505"/>
      <c r="R5819" s="505"/>
      <c r="S5819" s="505"/>
      <c r="T5819" s="505"/>
      <c r="U5819" s="505"/>
      <c r="V5819" s="505"/>
      <c r="W5819" s="505"/>
      <c r="X5819" s="505"/>
      <c r="Y5819" s="505"/>
    </row>
    <row r="5820" spans="1:25" s="88" customFormat="1" ht="15.75" customHeight="1" thickBot="1" x14ac:dyDescent="0.3">
      <c r="A5820" s="481"/>
      <c r="B5820" s="288"/>
      <c r="C5820" s="334"/>
      <c r="D5820" s="286"/>
      <c r="E5820" s="876"/>
      <c r="F5820" s="258"/>
      <c r="G5820" s="268" t="s">
        <v>4260</v>
      </c>
      <c r="H5820" s="561">
        <f>SUM(H5804:H5819)</f>
        <v>4545000</v>
      </c>
      <c r="I5820" s="562">
        <f>SUM(I5805:I5819)</f>
        <v>0</v>
      </c>
      <c r="J5820" s="562">
        <f>SUM(J5804:J5819)</f>
        <v>4545000</v>
      </c>
      <c r="K5820" s="505"/>
      <c r="L5820" s="505"/>
      <c r="M5820" s="505"/>
      <c r="N5820" s="505"/>
      <c r="O5820" s="505"/>
      <c r="P5820" s="505"/>
      <c r="Q5820" s="505"/>
      <c r="R5820" s="505"/>
      <c r="S5820" s="505"/>
      <c r="T5820" s="505"/>
      <c r="U5820" s="505"/>
      <c r="V5820" s="505"/>
      <c r="W5820" s="505"/>
      <c r="X5820" s="505"/>
      <c r="Y5820" s="505"/>
    </row>
    <row r="5821" spans="1:25" s="88" customFormat="1" ht="15.75" customHeight="1" x14ac:dyDescent="0.25">
      <c r="A5821" s="481"/>
      <c r="B5821" s="288"/>
      <c r="C5821" s="334"/>
      <c r="D5821" s="286"/>
      <c r="E5821" s="876"/>
      <c r="F5821" s="258"/>
      <c r="G5821" s="312"/>
      <c r="H5821" s="565"/>
      <c r="I5821" s="566"/>
      <c r="J5821" s="566"/>
      <c r="K5821" s="505"/>
      <c r="L5821" s="505"/>
      <c r="M5821" s="505"/>
      <c r="N5821" s="505"/>
      <c r="O5821" s="505"/>
      <c r="P5821" s="505"/>
      <c r="Q5821" s="505"/>
      <c r="R5821" s="505"/>
      <c r="S5821" s="505"/>
      <c r="T5821" s="505"/>
      <c r="U5821" s="505"/>
      <c r="V5821" s="505"/>
      <c r="W5821" s="505"/>
      <c r="X5821" s="505"/>
      <c r="Y5821" s="505"/>
    </row>
    <row r="5822" spans="1:25" s="88" customFormat="1" ht="12" customHeight="1" x14ac:dyDescent="0.25">
      <c r="A5822" s="745"/>
      <c r="B5822" s="779"/>
      <c r="C5822" s="780" t="s">
        <v>3569</v>
      </c>
      <c r="D5822" s="780"/>
      <c r="E5822" s="881"/>
      <c r="F5822" s="781"/>
      <c r="G5822" s="782" t="s">
        <v>5156</v>
      </c>
      <c r="H5822" s="783"/>
      <c r="I5822" s="784"/>
      <c r="J5822" s="784"/>
      <c r="K5822" s="785"/>
      <c r="L5822" s="505"/>
      <c r="M5822" s="505"/>
      <c r="N5822" s="505"/>
      <c r="O5822" s="505"/>
      <c r="P5822" s="505"/>
      <c r="Q5822" s="505"/>
      <c r="R5822" s="505"/>
      <c r="S5822" s="505"/>
      <c r="T5822" s="505"/>
      <c r="U5822" s="505"/>
      <c r="V5822" s="505"/>
      <c r="W5822" s="505"/>
      <c r="X5822" s="505"/>
      <c r="Y5822" s="505"/>
    </row>
    <row r="5823" spans="1:25" x14ac:dyDescent="0.25">
      <c r="C5823" s="267" t="s">
        <v>4073</v>
      </c>
      <c r="G5823" s="490" t="s">
        <v>5103</v>
      </c>
    </row>
    <row r="5824" spans="1:25" s="88" customFormat="1" x14ac:dyDescent="0.25">
      <c r="A5824" s="258"/>
      <c r="B5824" s="288"/>
      <c r="C5824" s="294"/>
      <c r="D5824" s="348" t="s">
        <v>3778</v>
      </c>
      <c r="E5824" s="871"/>
      <c r="F5824" s="345"/>
      <c r="G5824" s="346" t="s">
        <v>138</v>
      </c>
      <c r="H5824" s="572"/>
      <c r="I5824" s="573"/>
      <c r="J5824" s="573"/>
      <c r="K5824" s="505"/>
      <c r="L5824" s="505"/>
      <c r="M5824" s="505"/>
      <c r="N5824" s="505"/>
      <c r="O5824" s="505"/>
      <c r="P5824" s="505"/>
      <c r="Q5824" s="505"/>
      <c r="R5824" s="505"/>
      <c r="S5824" s="505"/>
      <c r="T5824" s="505"/>
      <c r="U5824" s="505"/>
      <c r="V5824" s="505"/>
      <c r="W5824" s="505"/>
      <c r="X5824" s="505"/>
      <c r="Y5824" s="505"/>
    </row>
    <row r="5825" spans="1:10" hidden="1" x14ac:dyDescent="0.25">
      <c r="A5825" s="481"/>
      <c r="F5825" s="499">
        <v>411</v>
      </c>
      <c r="G5825" s="492" t="s">
        <v>4131</v>
      </c>
      <c r="J5825" s="556">
        <f>SUM(H5825:I5825)</f>
        <v>0</v>
      </c>
    </row>
    <row r="5826" spans="1:10" hidden="1" x14ac:dyDescent="0.25">
      <c r="F5826" s="499">
        <v>412</v>
      </c>
      <c r="G5826" s="488" t="s">
        <v>3766</v>
      </c>
      <c r="J5826" s="556">
        <f t="shared" ref="J5826:J5884" si="194">SUM(H5826:I5826)</f>
        <v>0</v>
      </c>
    </row>
    <row r="5827" spans="1:10" hidden="1" x14ac:dyDescent="0.25">
      <c r="F5827" s="499">
        <v>413</v>
      </c>
      <c r="G5827" s="492" t="s">
        <v>4132</v>
      </c>
      <c r="J5827" s="556">
        <f t="shared" si="194"/>
        <v>0</v>
      </c>
    </row>
    <row r="5828" spans="1:10" hidden="1" x14ac:dyDescent="0.25">
      <c r="F5828" s="499">
        <v>414</v>
      </c>
      <c r="G5828" s="492" t="s">
        <v>3769</v>
      </c>
      <c r="J5828" s="556">
        <f t="shared" si="194"/>
        <v>0</v>
      </c>
    </row>
    <row r="5829" spans="1:10" hidden="1" x14ac:dyDescent="0.25">
      <c r="F5829" s="499">
        <v>415</v>
      </c>
      <c r="G5829" s="492" t="s">
        <v>4141</v>
      </c>
      <c r="J5829" s="556">
        <f t="shared" si="194"/>
        <v>0</v>
      </c>
    </row>
    <row r="5830" spans="1:10" hidden="1" x14ac:dyDescent="0.25">
      <c r="F5830" s="499">
        <v>416</v>
      </c>
      <c r="G5830" s="492" t="s">
        <v>4142</v>
      </c>
      <c r="J5830" s="556">
        <f t="shared" si="194"/>
        <v>0</v>
      </c>
    </row>
    <row r="5831" spans="1:10" hidden="1" x14ac:dyDescent="0.25">
      <c r="F5831" s="499">
        <v>417</v>
      </c>
      <c r="G5831" s="492" t="s">
        <v>4143</v>
      </c>
      <c r="J5831" s="556">
        <f t="shared" si="194"/>
        <v>0</v>
      </c>
    </row>
    <row r="5832" spans="1:10" hidden="1" x14ac:dyDescent="0.25">
      <c r="F5832" s="499">
        <v>418</v>
      </c>
      <c r="G5832" s="492" t="s">
        <v>3775</v>
      </c>
      <c r="J5832" s="556">
        <f t="shared" si="194"/>
        <v>0</v>
      </c>
    </row>
    <row r="5833" spans="1:10" hidden="1" x14ac:dyDescent="0.25">
      <c r="F5833" s="499">
        <v>421</v>
      </c>
      <c r="G5833" s="492" t="s">
        <v>3779</v>
      </c>
      <c r="J5833" s="556">
        <f t="shared" si="194"/>
        <v>0</v>
      </c>
    </row>
    <row r="5834" spans="1:10" hidden="1" x14ac:dyDescent="0.25">
      <c r="F5834" s="499">
        <v>422</v>
      </c>
      <c r="G5834" s="492" t="s">
        <v>3780</v>
      </c>
      <c r="J5834" s="556">
        <f t="shared" si="194"/>
        <v>0</v>
      </c>
    </row>
    <row r="5835" spans="1:10" x14ac:dyDescent="0.25">
      <c r="E5835" s="679">
        <v>151</v>
      </c>
      <c r="F5835" s="499">
        <v>423</v>
      </c>
      <c r="G5835" s="492" t="s">
        <v>3781</v>
      </c>
      <c r="H5835" s="555">
        <v>1491000</v>
      </c>
      <c r="J5835" s="556">
        <f t="shared" si="194"/>
        <v>1491000</v>
      </c>
    </row>
    <row r="5836" spans="1:10" ht="39" customHeight="1" x14ac:dyDescent="0.25">
      <c r="E5836" s="679">
        <v>152</v>
      </c>
      <c r="F5836" s="499">
        <v>424</v>
      </c>
      <c r="G5836" s="492" t="s">
        <v>5701</v>
      </c>
      <c r="H5836" s="555">
        <v>10000000</v>
      </c>
      <c r="J5836" s="556">
        <f t="shared" si="194"/>
        <v>10000000</v>
      </c>
    </row>
    <row r="5837" spans="1:10" ht="30" x14ac:dyDescent="0.25">
      <c r="E5837" s="679" t="s">
        <v>5374</v>
      </c>
      <c r="F5837" s="499">
        <v>425</v>
      </c>
      <c r="G5837" s="492" t="s">
        <v>4144</v>
      </c>
      <c r="H5837" s="555">
        <v>5300000</v>
      </c>
      <c r="J5837" s="556">
        <f t="shared" si="194"/>
        <v>5300000</v>
      </c>
    </row>
    <row r="5838" spans="1:10" x14ac:dyDescent="0.25">
      <c r="E5838" s="679">
        <v>155</v>
      </c>
      <c r="F5838" s="499">
        <v>426</v>
      </c>
      <c r="G5838" s="492" t="s">
        <v>3787</v>
      </c>
      <c r="H5838" s="555">
        <v>0</v>
      </c>
      <c r="J5838" s="556">
        <f t="shared" si="194"/>
        <v>0</v>
      </c>
    </row>
    <row r="5839" spans="1:10" hidden="1" x14ac:dyDescent="0.25">
      <c r="F5839" s="499">
        <v>431</v>
      </c>
      <c r="G5839" s="492" t="s">
        <v>4145</v>
      </c>
      <c r="J5839" s="556">
        <f t="shared" si="194"/>
        <v>0</v>
      </c>
    </row>
    <row r="5840" spans="1:10" hidden="1" x14ac:dyDescent="0.25">
      <c r="F5840" s="499">
        <v>432</v>
      </c>
      <c r="G5840" s="492" t="s">
        <v>4146</v>
      </c>
      <c r="J5840" s="556">
        <f t="shared" si="194"/>
        <v>0</v>
      </c>
    </row>
    <row r="5841" spans="6:10" hidden="1" x14ac:dyDescent="0.25">
      <c r="F5841" s="499">
        <v>433</v>
      </c>
      <c r="G5841" s="492" t="s">
        <v>4147</v>
      </c>
      <c r="J5841" s="556">
        <f t="shared" si="194"/>
        <v>0</v>
      </c>
    </row>
    <row r="5842" spans="6:10" hidden="1" x14ac:dyDescent="0.25">
      <c r="F5842" s="499">
        <v>434</v>
      </c>
      <c r="G5842" s="492" t="s">
        <v>4148</v>
      </c>
      <c r="J5842" s="556">
        <f t="shared" si="194"/>
        <v>0</v>
      </c>
    </row>
    <row r="5843" spans="6:10" hidden="1" x14ac:dyDescent="0.25">
      <c r="F5843" s="499">
        <v>435</v>
      </c>
      <c r="G5843" s="492" t="s">
        <v>3794</v>
      </c>
      <c r="J5843" s="556">
        <f t="shared" si="194"/>
        <v>0</v>
      </c>
    </row>
    <row r="5844" spans="6:10" hidden="1" x14ac:dyDescent="0.25">
      <c r="F5844" s="499">
        <v>441</v>
      </c>
      <c r="G5844" s="492" t="s">
        <v>4149</v>
      </c>
      <c r="J5844" s="556">
        <f t="shared" si="194"/>
        <v>0</v>
      </c>
    </row>
    <row r="5845" spans="6:10" hidden="1" x14ac:dyDescent="0.25">
      <c r="F5845" s="499">
        <v>442</v>
      </c>
      <c r="G5845" s="492" t="s">
        <v>4150</v>
      </c>
      <c r="J5845" s="556">
        <f t="shared" si="194"/>
        <v>0</v>
      </c>
    </row>
    <row r="5846" spans="6:10" hidden="1" x14ac:dyDescent="0.25">
      <c r="F5846" s="499">
        <v>443</v>
      </c>
      <c r="G5846" s="492" t="s">
        <v>3799</v>
      </c>
      <c r="J5846" s="556">
        <f t="shared" si="194"/>
        <v>0</v>
      </c>
    </row>
    <row r="5847" spans="6:10" hidden="1" x14ac:dyDescent="0.25">
      <c r="F5847" s="499">
        <v>444</v>
      </c>
      <c r="G5847" s="492" t="s">
        <v>3800</v>
      </c>
      <c r="J5847" s="556">
        <f t="shared" si="194"/>
        <v>0</v>
      </c>
    </row>
    <row r="5848" spans="6:10" ht="30" hidden="1" x14ac:dyDescent="0.25">
      <c r="F5848" s="499">
        <v>4511</v>
      </c>
      <c r="G5848" s="776" t="s">
        <v>1690</v>
      </c>
      <c r="J5848" s="556">
        <f t="shared" si="194"/>
        <v>0</v>
      </c>
    </row>
    <row r="5849" spans="6:10" ht="30" hidden="1" x14ac:dyDescent="0.25">
      <c r="F5849" s="499">
        <v>4512</v>
      </c>
      <c r="G5849" s="776" t="s">
        <v>1699</v>
      </c>
      <c r="J5849" s="556">
        <f t="shared" si="194"/>
        <v>0</v>
      </c>
    </row>
    <row r="5850" spans="6:10" hidden="1" x14ac:dyDescent="0.25">
      <c r="F5850" s="499">
        <v>452</v>
      </c>
      <c r="G5850" s="492" t="s">
        <v>4151</v>
      </c>
      <c r="J5850" s="556">
        <f t="shared" si="194"/>
        <v>0</v>
      </c>
    </row>
    <row r="5851" spans="6:10" hidden="1" x14ac:dyDescent="0.25">
      <c r="F5851" s="499">
        <v>453</v>
      </c>
      <c r="G5851" s="492" t="s">
        <v>4152</v>
      </c>
      <c r="J5851" s="556">
        <f t="shared" si="194"/>
        <v>0</v>
      </c>
    </row>
    <row r="5852" spans="6:10" hidden="1" x14ac:dyDescent="0.25">
      <c r="F5852" s="499">
        <v>454</v>
      </c>
      <c r="G5852" s="492" t="s">
        <v>3805</v>
      </c>
      <c r="J5852" s="556">
        <f t="shared" si="194"/>
        <v>0</v>
      </c>
    </row>
    <row r="5853" spans="6:10" hidden="1" x14ac:dyDescent="0.25">
      <c r="F5853" s="499">
        <v>461</v>
      </c>
      <c r="G5853" s="492" t="s">
        <v>4133</v>
      </c>
      <c r="J5853" s="556">
        <f t="shared" si="194"/>
        <v>0</v>
      </c>
    </row>
    <row r="5854" spans="6:10" hidden="1" x14ac:dyDescent="0.25">
      <c r="F5854" s="499">
        <v>462</v>
      </c>
      <c r="G5854" s="492" t="s">
        <v>3808</v>
      </c>
      <c r="J5854" s="556">
        <f t="shared" si="194"/>
        <v>0</v>
      </c>
    </row>
    <row r="5855" spans="6:10" hidden="1" x14ac:dyDescent="0.25">
      <c r="F5855" s="499">
        <v>4631</v>
      </c>
      <c r="G5855" s="492" t="s">
        <v>3809</v>
      </c>
      <c r="J5855" s="556">
        <f t="shared" si="194"/>
        <v>0</v>
      </c>
    </row>
    <row r="5856" spans="6:10" hidden="1" x14ac:dyDescent="0.25">
      <c r="F5856" s="499">
        <v>4632</v>
      </c>
      <c r="G5856" s="492" t="s">
        <v>3810</v>
      </c>
      <c r="J5856" s="556">
        <f t="shared" si="194"/>
        <v>0</v>
      </c>
    </row>
    <row r="5857" spans="5:10" hidden="1" x14ac:dyDescent="0.25">
      <c r="F5857" s="499">
        <v>464</v>
      </c>
      <c r="G5857" s="492" t="s">
        <v>3811</v>
      </c>
      <c r="J5857" s="556">
        <f t="shared" si="194"/>
        <v>0</v>
      </c>
    </row>
    <row r="5858" spans="5:10" hidden="1" x14ac:dyDescent="0.25">
      <c r="F5858" s="499">
        <v>465</v>
      </c>
      <c r="G5858" s="492" t="s">
        <v>4134</v>
      </c>
      <c r="J5858" s="556">
        <f t="shared" si="194"/>
        <v>0</v>
      </c>
    </row>
    <row r="5859" spans="5:10" hidden="1" x14ac:dyDescent="0.25">
      <c r="F5859" s="499">
        <v>472</v>
      </c>
      <c r="G5859" s="492" t="s">
        <v>3815</v>
      </c>
      <c r="J5859" s="556">
        <f t="shared" si="194"/>
        <v>0</v>
      </c>
    </row>
    <row r="5860" spans="5:10" hidden="1" x14ac:dyDescent="0.25">
      <c r="F5860" s="499">
        <v>481</v>
      </c>
      <c r="G5860" s="492" t="s">
        <v>4153</v>
      </c>
      <c r="J5860" s="556">
        <f t="shared" si="194"/>
        <v>0</v>
      </c>
    </row>
    <row r="5861" spans="5:10" hidden="1" x14ac:dyDescent="0.25">
      <c r="F5861" s="499">
        <v>482</v>
      </c>
      <c r="G5861" s="492" t="s">
        <v>4154</v>
      </c>
      <c r="J5861" s="556">
        <f t="shared" si="194"/>
        <v>0</v>
      </c>
    </row>
    <row r="5862" spans="5:10" hidden="1" x14ac:dyDescent="0.25">
      <c r="F5862" s="499">
        <v>483</v>
      </c>
      <c r="G5862" s="496" t="s">
        <v>4155</v>
      </c>
      <c r="J5862" s="556">
        <f t="shared" si="194"/>
        <v>0</v>
      </c>
    </row>
    <row r="5863" spans="5:10" ht="30" hidden="1" x14ac:dyDescent="0.25">
      <c r="F5863" s="499">
        <v>484</v>
      </c>
      <c r="G5863" s="492" t="s">
        <v>4156</v>
      </c>
      <c r="J5863" s="556">
        <f t="shared" si="194"/>
        <v>0</v>
      </c>
    </row>
    <row r="5864" spans="5:10" ht="30" hidden="1" x14ac:dyDescent="0.25">
      <c r="F5864" s="499">
        <v>485</v>
      </c>
      <c r="G5864" s="492" t="s">
        <v>4157</v>
      </c>
      <c r="J5864" s="556">
        <f t="shared" si="194"/>
        <v>0</v>
      </c>
    </row>
    <row r="5865" spans="5:10" ht="30" hidden="1" x14ac:dyDescent="0.25">
      <c r="F5865" s="499">
        <v>489</v>
      </c>
      <c r="G5865" s="492" t="s">
        <v>3823</v>
      </c>
      <c r="J5865" s="556">
        <f t="shared" si="194"/>
        <v>0</v>
      </c>
    </row>
    <row r="5866" spans="5:10" hidden="1" x14ac:dyDescent="0.25">
      <c r="F5866" s="499">
        <v>494</v>
      </c>
      <c r="G5866" s="492" t="s">
        <v>4135</v>
      </c>
      <c r="J5866" s="556">
        <f t="shared" si="194"/>
        <v>0</v>
      </c>
    </row>
    <row r="5867" spans="5:10" ht="30" hidden="1" x14ac:dyDescent="0.25">
      <c r="F5867" s="499">
        <v>495</v>
      </c>
      <c r="G5867" s="492" t="s">
        <v>4136</v>
      </c>
      <c r="J5867" s="556">
        <f t="shared" si="194"/>
        <v>0</v>
      </c>
    </row>
    <row r="5868" spans="5:10" ht="30" hidden="1" x14ac:dyDescent="0.25">
      <c r="F5868" s="499">
        <v>496</v>
      </c>
      <c r="G5868" s="492" t="s">
        <v>4137</v>
      </c>
      <c r="J5868" s="556">
        <f t="shared" si="194"/>
        <v>0</v>
      </c>
    </row>
    <row r="5869" spans="5:10" ht="30" hidden="1" x14ac:dyDescent="0.25">
      <c r="F5869" s="499">
        <v>499</v>
      </c>
      <c r="G5869" s="492" t="s">
        <v>4138</v>
      </c>
      <c r="J5869" s="556">
        <f t="shared" si="194"/>
        <v>0</v>
      </c>
    </row>
    <row r="5870" spans="5:10" ht="15.75" thickBot="1" x14ac:dyDescent="0.3">
      <c r="E5870" s="679">
        <v>156</v>
      </c>
      <c r="F5870" s="499">
        <v>511</v>
      </c>
      <c r="G5870" s="496" t="s">
        <v>4158</v>
      </c>
      <c r="H5870" s="555">
        <v>400000</v>
      </c>
      <c r="J5870" s="556">
        <f t="shared" si="194"/>
        <v>400000</v>
      </c>
    </row>
    <row r="5871" spans="5:10" hidden="1" x14ac:dyDescent="0.25">
      <c r="F5871" s="499">
        <v>512</v>
      </c>
      <c r="G5871" s="496" t="s">
        <v>4159</v>
      </c>
      <c r="J5871" s="556">
        <f t="shared" si="194"/>
        <v>0</v>
      </c>
    </row>
    <row r="5872" spans="5:10" hidden="1" x14ac:dyDescent="0.25">
      <c r="F5872" s="499">
        <v>513</v>
      </c>
      <c r="G5872" s="496" t="s">
        <v>4160</v>
      </c>
      <c r="J5872" s="556">
        <f t="shared" si="194"/>
        <v>0</v>
      </c>
    </row>
    <row r="5873" spans="5:10" hidden="1" x14ac:dyDescent="0.25">
      <c r="F5873" s="499">
        <v>514</v>
      </c>
      <c r="G5873" s="492" t="s">
        <v>4161</v>
      </c>
      <c r="J5873" s="556">
        <f t="shared" si="194"/>
        <v>0</v>
      </c>
    </row>
    <row r="5874" spans="5:10" hidden="1" x14ac:dyDescent="0.25">
      <c r="F5874" s="499">
        <v>515</v>
      </c>
      <c r="G5874" s="492" t="s">
        <v>3834</v>
      </c>
      <c r="J5874" s="556">
        <f t="shared" si="194"/>
        <v>0</v>
      </c>
    </row>
    <row r="5875" spans="5:10" hidden="1" x14ac:dyDescent="0.25">
      <c r="F5875" s="499">
        <v>521</v>
      </c>
      <c r="G5875" s="492" t="s">
        <v>4162</v>
      </c>
      <c r="J5875" s="556">
        <f t="shared" si="194"/>
        <v>0</v>
      </c>
    </row>
    <row r="5876" spans="5:10" hidden="1" x14ac:dyDescent="0.25">
      <c r="F5876" s="499">
        <v>522</v>
      </c>
      <c r="G5876" s="492" t="s">
        <v>4163</v>
      </c>
      <c r="J5876" s="556">
        <f t="shared" si="194"/>
        <v>0</v>
      </c>
    </row>
    <row r="5877" spans="5:10" hidden="1" x14ac:dyDescent="0.25">
      <c r="F5877" s="499">
        <v>523</v>
      </c>
      <c r="G5877" s="492" t="s">
        <v>3839</v>
      </c>
      <c r="J5877" s="556">
        <f t="shared" si="194"/>
        <v>0</v>
      </c>
    </row>
    <row r="5878" spans="5:10" hidden="1" x14ac:dyDescent="0.25">
      <c r="F5878" s="499">
        <v>531</v>
      </c>
      <c r="G5878" s="488" t="s">
        <v>4139</v>
      </c>
      <c r="J5878" s="556">
        <f t="shared" si="194"/>
        <v>0</v>
      </c>
    </row>
    <row r="5879" spans="5:10" hidden="1" x14ac:dyDescent="0.25">
      <c r="F5879" s="499">
        <v>541</v>
      </c>
      <c r="G5879" s="492" t="s">
        <v>4164</v>
      </c>
      <c r="J5879" s="556">
        <f t="shared" si="194"/>
        <v>0</v>
      </c>
    </row>
    <row r="5880" spans="5:10" hidden="1" x14ac:dyDescent="0.25">
      <c r="F5880" s="499">
        <v>542</v>
      </c>
      <c r="G5880" s="492" t="s">
        <v>4165</v>
      </c>
      <c r="J5880" s="556">
        <f t="shared" si="194"/>
        <v>0</v>
      </c>
    </row>
    <row r="5881" spans="5:10" hidden="1" x14ac:dyDescent="0.25">
      <c r="F5881" s="499">
        <v>543</v>
      </c>
      <c r="G5881" s="492" t="s">
        <v>3844</v>
      </c>
      <c r="J5881" s="556">
        <f t="shared" si="194"/>
        <v>0</v>
      </c>
    </row>
    <row r="5882" spans="5:10" ht="30" hidden="1" x14ac:dyDescent="0.25">
      <c r="F5882" s="499">
        <v>551</v>
      </c>
      <c r="G5882" s="492" t="s">
        <v>4140</v>
      </c>
      <c r="J5882" s="556">
        <f t="shared" si="194"/>
        <v>0</v>
      </c>
    </row>
    <row r="5883" spans="5:10" hidden="1" x14ac:dyDescent="0.25">
      <c r="F5883" s="500">
        <v>611</v>
      </c>
      <c r="G5883" s="498" t="s">
        <v>3850</v>
      </c>
      <c r="J5883" s="556">
        <f t="shared" si="194"/>
        <v>0</v>
      </c>
    </row>
    <row r="5884" spans="5:10" ht="15.75" hidden="1" thickBot="1" x14ac:dyDescent="0.3">
      <c r="F5884" s="500">
        <v>620</v>
      </c>
      <c r="G5884" s="498" t="s">
        <v>88</v>
      </c>
      <c r="J5884" s="556">
        <f t="shared" si="194"/>
        <v>0</v>
      </c>
    </row>
    <row r="5885" spans="5:10" x14ac:dyDescent="0.25">
      <c r="E5885" s="489"/>
      <c r="F5885" s="500"/>
      <c r="G5885" s="342" t="s">
        <v>4293</v>
      </c>
      <c r="H5885" s="557"/>
      <c r="I5885" s="583"/>
      <c r="J5885" s="558"/>
    </row>
    <row r="5886" spans="5:10" x14ac:dyDescent="0.25">
      <c r="E5886" s="693"/>
      <c r="F5886" s="597" t="s">
        <v>234</v>
      </c>
      <c r="G5886" s="598" t="s">
        <v>235</v>
      </c>
      <c r="H5886" s="559">
        <v>16996421</v>
      </c>
      <c r="I5886" s="560"/>
      <c r="J5886" s="560">
        <f>SUM(H5886:I5886)</f>
        <v>16996421</v>
      </c>
    </row>
    <row r="5887" spans="5:10" hidden="1" x14ac:dyDescent="0.25">
      <c r="F5887" s="597" t="s">
        <v>236</v>
      </c>
      <c r="G5887" s="598" t="s">
        <v>237</v>
      </c>
      <c r="J5887" s="560">
        <f t="shared" ref="J5887:J5901" si="195">SUM(H5887:I5887)</f>
        <v>0</v>
      </c>
    </row>
    <row r="5888" spans="5:10" hidden="1" x14ac:dyDescent="0.25">
      <c r="F5888" s="597" t="s">
        <v>238</v>
      </c>
      <c r="G5888" s="598" t="s">
        <v>239</v>
      </c>
      <c r="J5888" s="560">
        <f t="shared" si="195"/>
        <v>0</v>
      </c>
    </row>
    <row r="5889" spans="5:10" hidden="1" x14ac:dyDescent="0.25">
      <c r="F5889" s="597" t="s">
        <v>240</v>
      </c>
      <c r="G5889" s="598" t="s">
        <v>241</v>
      </c>
      <c r="J5889" s="560">
        <f t="shared" si="195"/>
        <v>0</v>
      </c>
    </row>
    <row r="5890" spans="5:10" hidden="1" x14ac:dyDescent="0.25">
      <c r="F5890" s="597" t="s">
        <v>242</v>
      </c>
      <c r="G5890" s="598" t="s">
        <v>243</v>
      </c>
      <c r="J5890" s="560">
        <f t="shared" si="195"/>
        <v>0</v>
      </c>
    </row>
    <row r="5891" spans="5:10" hidden="1" x14ac:dyDescent="0.25">
      <c r="F5891" s="597" t="s">
        <v>244</v>
      </c>
      <c r="G5891" s="598" t="s">
        <v>245</v>
      </c>
      <c r="J5891" s="560">
        <f t="shared" si="195"/>
        <v>0</v>
      </c>
    </row>
    <row r="5892" spans="5:10" hidden="1" x14ac:dyDescent="0.25">
      <c r="F5892" s="597" t="s">
        <v>246</v>
      </c>
      <c r="G5892" s="598" t="s">
        <v>4996</v>
      </c>
      <c r="J5892" s="560">
        <f t="shared" si="195"/>
        <v>0</v>
      </c>
    </row>
    <row r="5893" spans="5:10" hidden="1" x14ac:dyDescent="0.25">
      <c r="F5893" s="597" t="s">
        <v>247</v>
      </c>
      <c r="G5893" s="598" t="s">
        <v>4995</v>
      </c>
      <c r="J5893" s="560">
        <f t="shared" si="195"/>
        <v>0</v>
      </c>
    </row>
    <row r="5894" spans="5:10" hidden="1" x14ac:dyDescent="0.25">
      <c r="F5894" s="597" t="s">
        <v>248</v>
      </c>
      <c r="G5894" s="598" t="s">
        <v>57</v>
      </c>
      <c r="J5894" s="560">
        <f t="shared" si="195"/>
        <v>0</v>
      </c>
    </row>
    <row r="5895" spans="5:10" hidden="1" x14ac:dyDescent="0.25">
      <c r="F5895" s="597" t="s">
        <v>249</v>
      </c>
      <c r="G5895" s="598" t="s">
        <v>250</v>
      </c>
      <c r="J5895" s="560">
        <f t="shared" si="195"/>
        <v>0</v>
      </c>
    </row>
    <row r="5896" spans="5:10" hidden="1" x14ac:dyDescent="0.25">
      <c r="F5896" s="597" t="s">
        <v>251</v>
      </c>
      <c r="G5896" s="598" t="s">
        <v>252</v>
      </c>
      <c r="J5896" s="560">
        <f t="shared" si="195"/>
        <v>0</v>
      </c>
    </row>
    <row r="5897" spans="5:10" ht="30" hidden="1" x14ac:dyDescent="0.25">
      <c r="F5897" s="597" t="s">
        <v>253</v>
      </c>
      <c r="G5897" s="598" t="s">
        <v>254</v>
      </c>
      <c r="J5897" s="560">
        <f t="shared" si="195"/>
        <v>0</v>
      </c>
    </row>
    <row r="5898" spans="5:10" ht="15.75" thickBot="1" x14ac:dyDescent="0.3">
      <c r="F5898" s="597" t="s">
        <v>255</v>
      </c>
      <c r="G5898" s="598" t="s">
        <v>256</v>
      </c>
      <c r="H5898" s="555">
        <v>194579</v>
      </c>
      <c r="J5898" s="560">
        <f t="shared" si="195"/>
        <v>194579</v>
      </c>
    </row>
    <row r="5899" spans="5:10" ht="30" hidden="1" x14ac:dyDescent="0.25">
      <c r="F5899" s="597" t="s">
        <v>257</v>
      </c>
      <c r="G5899" s="598" t="s">
        <v>258</v>
      </c>
      <c r="J5899" s="560">
        <f t="shared" si="195"/>
        <v>0</v>
      </c>
    </row>
    <row r="5900" spans="5:10" hidden="1" x14ac:dyDescent="0.25">
      <c r="F5900" s="597" t="s">
        <v>259</v>
      </c>
      <c r="G5900" s="598" t="s">
        <v>260</v>
      </c>
      <c r="J5900" s="560">
        <f t="shared" si="195"/>
        <v>0</v>
      </c>
    </row>
    <row r="5901" spans="5:10" ht="15.75" hidden="1" thickBot="1" x14ac:dyDescent="0.3">
      <c r="F5901" s="597" t="s">
        <v>261</v>
      </c>
      <c r="G5901" s="598" t="s">
        <v>262</v>
      </c>
      <c r="H5901" s="559"/>
      <c r="I5901" s="560"/>
      <c r="J5901" s="560">
        <f t="shared" si="195"/>
        <v>0</v>
      </c>
    </row>
    <row r="5902" spans="5:10" ht="15.75" thickBot="1" x14ac:dyDescent="0.3">
      <c r="G5902" s="268" t="s">
        <v>4294</v>
      </c>
      <c r="H5902" s="561">
        <f>SUM(H5886:H5901)</f>
        <v>17191000</v>
      </c>
      <c r="I5902" s="562">
        <f>SUM(I5887:I5901)</f>
        <v>0</v>
      </c>
      <c r="J5902" s="562">
        <f>SUM(J5886:J5901)</f>
        <v>17191000</v>
      </c>
    </row>
    <row r="5903" spans="5:10" ht="28.5" collapsed="1" x14ac:dyDescent="0.25">
      <c r="E5903" s="489"/>
      <c r="F5903" s="500"/>
      <c r="G5903" s="270" t="s">
        <v>4194</v>
      </c>
      <c r="H5903" s="563"/>
      <c r="I5903" s="584"/>
      <c r="J5903" s="564"/>
    </row>
    <row r="5904" spans="5:10" x14ac:dyDescent="0.25">
      <c r="E5904" s="693"/>
      <c r="F5904" s="597" t="s">
        <v>234</v>
      </c>
      <c r="G5904" s="598" t="s">
        <v>235</v>
      </c>
      <c r="H5904" s="559">
        <v>16996421</v>
      </c>
      <c r="I5904" s="560"/>
      <c r="J5904" s="560">
        <f>SUM(H5904:I5904)</f>
        <v>16996421</v>
      </c>
    </row>
    <row r="5905" spans="6:10" hidden="1" x14ac:dyDescent="0.25">
      <c r="F5905" s="597" t="s">
        <v>236</v>
      </c>
      <c r="G5905" s="598" t="s">
        <v>237</v>
      </c>
      <c r="J5905" s="560">
        <f t="shared" ref="J5905:J5919" si="196">SUM(H5905:I5905)</f>
        <v>0</v>
      </c>
    </row>
    <row r="5906" spans="6:10" hidden="1" x14ac:dyDescent="0.25">
      <c r="F5906" s="597" t="s">
        <v>238</v>
      </c>
      <c r="G5906" s="598" t="s">
        <v>239</v>
      </c>
      <c r="J5906" s="560">
        <f t="shared" si="196"/>
        <v>0</v>
      </c>
    </row>
    <row r="5907" spans="6:10" hidden="1" x14ac:dyDescent="0.25">
      <c r="F5907" s="597" t="s">
        <v>240</v>
      </c>
      <c r="G5907" s="598" t="s">
        <v>241</v>
      </c>
      <c r="J5907" s="560">
        <f t="shared" si="196"/>
        <v>0</v>
      </c>
    </row>
    <row r="5908" spans="6:10" hidden="1" x14ac:dyDescent="0.25">
      <c r="F5908" s="597" t="s">
        <v>242</v>
      </c>
      <c r="G5908" s="598" t="s">
        <v>243</v>
      </c>
      <c r="J5908" s="560">
        <f t="shared" si="196"/>
        <v>0</v>
      </c>
    </row>
    <row r="5909" spans="6:10" hidden="1" x14ac:dyDescent="0.25">
      <c r="F5909" s="597" t="s">
        <v>244</v>
      </c>
      <c r="G5909" s="598" t="s">
        <v>245</v>
      </c>
      <c r="J5909" s="560">
        <f t="shared" si="196"/>
        <v>0</v>
      </c>
    </row>
    <row r="5910" spans="6:10" hidden="1" x14ac:dyDescent="0.25">
      <c r="F5910" s="597" t="s">
        <v>246</v>
      </c>
      <c r="G5910" s="598" t="s">
        <v>4996</v>
      </c>
      <c r="J5910" s="560">
        <f t="shared" si="196"/>
        <v>0</v>
      </c>
    </row>
    <row r="5911" spans="6:10" hidden="1" x14ac:dyDescent="0.25">
      <c r="F5911" s="597" t="s">
        <v>247</v>
      </c>
      <c r="G5911" s="598" t="s">
        <v>4995</v>
      </c>
      <c r="J5911" s="560">
        <f t="shared" si="196"/>
        <v>0</v>
      </c>
    </row>
    <row r="5912" spans="6:10" hidden="1" x14ac:dyDescent="0.25">
      <c r="F5912" s="597" t="s">
        <v>248</v>
      </c>
      <c r="G5912" s="598" t="s">
        <v>57</v>
      </c>
      <c r="J5912" s="560">
        <f t="shared" si="196"/>
        <v>0</v>
      </c>
    </row>
    <row r="5913" spans="6:10" hidden="1" x14ac:dyDescent="0.25">
      <c r="F5913" s="597" t="s">
        <v>249</v>
      </c>
      <c r="G5913" s="598" t="s">
        <v>250</v>
      </c>
      <c r="J5913" s="560">
        <f t="shared" si="196"/>
        <v>0</v>
      </c>
    </row>
    <row r="5914" spans="6:10" hidden="1" x14ac:dyDescent="0.25">
      <c r="F5914" s="597" t="s">
        <v>251</v>
      </c>
      <c r="G5914" s="598" t="s">
        <v>252</v>
      </c>
      <c r="J5914" s="560">
        <f t="shared" si="196"/>
        <v>0</v>
      </c>
    </row>
    <row r="5915" spans="6:10" ht="30" hidden="1" x14ac:dyDescent="0.25">
      <c r="F5915" s="597" t="s">
        <v>253</v>
      </c>
      <c r="G5915" s="598" t="s">
        <v>254</v>
      </c>
      <c r="J5915" s="560">
        <f t="shared" si="196"/>
        <v>0</v>
      </c>
    </row>
    <row r="5916" spans="6:10" ht="15.75" thickBot="1" x14ac:dyDescent="0.3">
      <c r="F5916" s="597" t="s">
        <v>255</v>
      </c>
      <c r="G5916" s="598" t="s">
        <v>256</v>
      </c>
      <c r="H5916" s="555">
        <v>194579</v>
      </c>
      <c r="J5916" s="560">
        <f t="shared" si="196"/>
        <v>194579</v>
      </c>
    </row>
    <row r="5917" spans="6:10" ht="30" hidden="1" x14ac:dyDescent="0.25">
      <c r="F5917" s="597" t="s">
        <v>257</v>
      </c>
      <c r="G5917" s="598" t="s">
        <v>258</v>
      </c>
      <c r="J5917" s="560">
        <f t="shared" si="196"/>
        <v>0</v>
      </c>
    </row>
    <row r="5918" spans="6:10" hidden="1" x14ac:dyDescent="0.25">
      <c r="F5918" s="597" t="s">
        <v>259</v>
      </c>
      <c r="G5918" s="598" t="s">
        <v>260</v>
      </c>
      <c r="J5918" s="560">
        <f t="shared" si="196"/>
        <v>0</v>
      </c>
    </row>
    <row r="5919" spans="6:10" ht="15.75" hidden="1" thickBot="1" x14ac:dyDescent="0.3">
      <c r="F5919" s="597" t="s">
        <v>261</v>
      </c>
      <c r="G5919" s="598" t="s">
        <v>262</v>
      </c>
      <c r="H5919" s="559"/>
      <c r="I5919" s="560"/>
      <c r="J5919" s="560">
        <f t="shared" si="196"/>
        <v>0</v>
      </c>
    </row>
    <row r="5920" spans="6:10" ht="15.75" collapsed="1" thickBot="1" x14ac:dyDescent="0.3">
      <c r="G5920" s="268" t="s">
        <v>4195</v>
      </c>
      <c r="H5920" s="561">
        <f>SUM(H5904:H5919)</f>
        <v>17191000</v>
      </c>
      <c r="I5920" s="562">
        <f>SUM(I5905:I5919)</f>
        <v>0</v>
      </c>
      <c r="J5920" s="562">
        <f>SUM(J5904:J5919)</f>
        <v>17191000</v>
      </c>
    </row>
    <row r="5921" spans="1:25" x14ac:dyDescent="0.25">
      <c r="C5921" s="267" t="s">
        <v>4075</v>
      </c>
      <c r="G5921" s="490" t="s">
        <v>5136</v>
      </c>
    </row>
    <row r="5922" spans="1:25" s="88" customFormat="1" x14ac:dyDescent="0.25">
      <c r="A5922" s="258"/>
      <c r="B5922" s="288"/>
      <c r="C5922" s="294"/>
      <c r="D5922" s="348" t="s">
        <v>3778</v>
      </c>
      <c r="E5922" s="871"/>
      <c r="F5922" s="345"/>
      <c r="G5922" s="346" t="s">
        <v>138</v>
      </c>
      <c r="H5922" s="572"/>
      <c r="I5922" s="573"/>
      <c r="J5922" s="573"/>
      <c r="K5922" s="505"/>
      <c r="L5922" s="505"/>
      <c r="M5922" s="505"/>
      <c r="N5922" s="505"/>
      <c r="O5922" s="505"/>
      <c r="P5922" s="505"/>
      <c r="Q5922" s="505"/>
      <c r="R5922" s="505"/>
      <c r="S5922" s="505"/>
      <c r="T5922" s="505"/>
      <c r="U5922" s="505"/>
      <c r="V5922" s="505"/>
      <c r="W5922" s="505"/>
      <c r="X5922" s="505"/>
      <c r="Y5922" s="505"/>
    </row>
    <row r="5923" spans="1:25" hidden="1" x14ac:dyDescent="0.25">
      <c r="A5923" s="481"/>
      <c r="F5923" s="499">
        <v>411</v>
      </c>
      <c r="G5923" s="492" t="s">
        <v>4131</v>
      </c>
      <c r="J5923" s="556">
        <f>SUM(H5923:I5923)</f>
        <v>0</v>
      </c>
    </row>
    <row r="5924" spans="1:25" hidden="1" x14ac:dyDescent="0.25">
      <c r="F5924" s="499">
        <v>412</v>
      </c>
      <c r="G5924" s="488" t="s">
        <v>3766</v>
      </c>
      <c r="J5924" s="556">
        <f t="shared" ref="J5924:J5982" si="197">SUM(H5924:I5924)</f>
        <v>0</v>
      </c>
    </row>
    <row r="5925" spans="1:25" hidden="1" x14ac:dyDescent="0.25">
      <c r="F5925" s="499">
        <v>413</v>
      </c>
      <c r="G5925" s="492" t="s">
        <v>4132</v>
      </c>
      <c r="J5925" s="556">
        <f t="shared" si="197"/>
        <v>0</v>
      </c>
    </row>
    <row r="5926" spans="1:25" hidden="1" x14ac:dyDescent="0.25">
      <c r="F5926" s="499">
        <v>414</v>
      </c>
      <c r="G5926" s="492" t="s">
        <v>3769</v>
      </c>
      <c r="J5926" s="556">
        <f t="shared" si="197"/>
        <v>0</v>
      </c>
    </row>
    <row r="5927" spans="1:25" hidden="1" x14ac:dyDescent="0.25">
      <c r="F5927" s="499">
        <v>415</v>
      </c>
      <c r="G5927" s="492" t="s">
        <v>4141</v>
      </c>
      <c r="J5927" s="556">
        <f t="shared" si="197"/>
        <v>0</v>
      </c>
    </row>
    <row r="5928" spans="1:25" hidden="1" x14ac:dyDescent="0.25">
      <c r="F5928" s="499">
        <v>416</v>
      </c>
      <c r="G5928" s="492" t="s">
        <v>4142</v>
      </c>
      <c r="J5928" s="556">
        <f t="shared" si="197"/>
        <v>0</v>
      </c>
    </row>
    <row r="5929" spans="1:25" hidden="1" x14ac:dyDescent="0.25">
      <c r="F5929" s="499">
        <v>417</v>
      </c>
      <c r="G5929" s="492" t="s">
        <v>4143</v>
      </c>
      <c r="J5929" s="556">
        <f t="shared" si="197"/>
        <v>0</v>
      </c>
    </row>
    <row r="5930" spans="1:25" hidden="1" x14ac:dyDescent="0.25">
      <c r="F5930" s="499">
        <v>418</v>
      </c>
      <c r="G5930" s="492" t="s">
        <v>3775</v>
      </c>
      <c r="J5930" s="556">
        <f t="shared" si="197"/>
        <v>0</v>
      </c>
    </row>
    <row r="5931" spans="1:25" hidden="1" x14ac:dyDescent="0.25">
      <c r="F5931" s="499">
        <v>421</v>
      </c>
      <c r="G5931" s="492" t="s">
        <v>3779</v>
      </c>
      <c r="J5931" s="556">
        <f t="shared" si="197"/>
        <v>0</v>
      </c>
    </row>
    <row r="5932" spans="1:25" hidden="1" x14ac:dyDescent="0.25">
      <c r="F5932" s="499">
        <v>422</v>
      </c>
      <c r="G5932" s="492" t="s">
        <v>3780</v>
      </c>
      <c r="J5932" s="556">
        <f t="shared" si="197"/>
        <v>0</v>
      </c>
    </row>
    <row r="5933" spans="1:25" hidden="1" x14ac:dyDescent="0.25">
      <c r="F5933" s="499">
        <v>423</v>
      </c>
      <c r="G5933" s="492" t="s">
        <v>3781</v>
      </c>
      <c r="H5933" s="555">
        <v>0</v>
      </c>
      <c r="J5933" s="556">
        <f t="shared" si="197"/>
        <v>0</v>
      </c>
    </row>
    <row r="5934" spans="1:25" hidden="1" x14ac:dyDescent="0.25">
      <c r="F5934" s="499">
        <v>424</v>
      </c>
      <c r="G5934" s="492" t="s">
        <v>3783</v>
      </c>
      <c r="J5934" s="556">
        <f t="shared" si="197"/>
        <v>0</v>
      </c>
    </row>
    <row r="5935" spans="1:25" hidden="1" x14ac:dyDescent="0.25">
      <c r="F5935" s="499">
        <v>425</v>
      </c>
      <c r="G5935" s="492" t="s">
        <v>4144</v>
      </c>
      <c r="J5935" s="556">
        <f t="shared" si="197"/>
        <v>0</v>
      </c>
    </row>
    <row r="5936" spans="1:25" hidden="1" x14ac:dyDescent="0.25">
      <c r="F5936" s="499">
        <v>426</v>
      </c>
      <c r="G5936" s="492" t="s">
        <v>3787</v>
      </c>
      <c r="J5936" s="556">
        <f t="shared" si="197"/>
        <v>0</v>
      </c>
    </row>
    <row r="5937" spans="5:10" hidden="1" x14ac:dyDescent="0.25">
      <c r="F5937" s="499">
        <v>431</v>
      </c>
      <c r="G5937" s="492" t="s">
        <v>4145</v>
      </c>
      <c r="J5937" s="556">
        <f t="shared" si="197"/>
        <v>0</v>
      </c>
    </row>
    <row r="5938" spans="5:10" hidden="1" x14ac:dyDescent="0.25">
      <c r="F5938" s="499">
        <v>432</v>
      </c>
      <c r="G5938" s="492" t="s">
        <v>4146</v>
      </c>
      <c r="J5938" s="556">
        <f t="shared" si="197"/>
        <v>0</v>
      </c>
    </row>
    <row r="5939" spans="5:10" hidden="1" x14ac:dyDescent="0.25">
      <c r="F5939" s="499">
        <v>433</v>
      </c>
      <c r="G5939" s="492" t="s">
        <v>4147</v>
      </c>
      <c r="J5939" s="556">
        <f t="shared" si="197"/>
        <v>0</v>
      </c>
    </row>
    <row r="5940" spans="5:10" hidden="1" x14ac:dyDescent="0.25">
      <c r="F5940" s="499">
        <v>434</v>
      </c>
      <c r="G5940" s="492" t="s">
        <v>4148</v>
      </c>
      <c r="J5940" s="556">
        <f t="shared" si="197"/>
        <v>0</v>
      </c>
    </row>
    <row r="5941" spans="5:10" hidden="1" x14ac:dyDescent="0.25">
      <c r="F5941" s="499">
        <v>435</v>
      </c>
      <c r="G5941" s="492" t="s">
        <v>3794</v>
      </c>
      <c r="J5941" s="556">
        <f t="shared" si="197"/>
        <v>0</v>
      </c>
    </row>
    <row r="5942" spans="5:10" x14ac:dyDescent="0.25">
      <c r="E5942" s="679">
        <v>157</v>
      </c>
      <c r="F5942" s="499">
        <v>441</v>
      </c>
      <c r="G5942" s="492" t="s">
        <v>4149</v>
      </c>
      <c r="H5942" s="555">
        <v>1000</v>
      </c>
      <c r="J5942" s="556">
        <f t="shared" si="197"/>
        <v>1000</v>
      </c>
    </row>
    <row r="5943" spans="5:10" hidden="1" x14ac:dyDescent="0.25">
      <c r="F5943" s="499">
        <v>442</v>
      </c>
      <c r="G5943" s="492" t="s">
        <v>4150</v>
      </c>
      <c r="J5943" s="556">
        <f t="shared" si="197"/>
        <v>0</v>
      </c>
    </row>
    <row r="5944" spans="5:10" hidden="1" x14ac:dyDescent="0.25">
      <c r="F5944" s="499">
        <v>443</v>
      </c>
      <c r="G5944" s="492" t="s">
        <v>3799</v>
      </c>
      <c r="J5944" s="556">
        <f t="shared" si="197"/>
        <v>0</v>
      </c>
    </row>
    <row r="5945" spans="5:10" hidden="1" x14ac:dyDescent="0.25">
      <c r="F5945" s="499">
        <v>444</v>
      </c>
      <c r="G5945" s="492" t="s">
        <v>3800</v>
      </c>
      <c r="J5945" s="556">
        <f t="shared" si="197"/>
        <v>0</v>
      </c>
    </row>
    <row r="5946" spans="5:10" ht="60" x14ac:dyDescent="0.25">
      <c r="E5946" s="679" t="s">
        <v>5375</v>
      </c>
      <c r="F5946" s="499">
        <v>4511</v>
      </c>
      <c r="G5946" s="687" t="s">
        <v>5436</v>
      </c>
      <c r="H5946" s="555">
        <v>7000000</v>
      </c>
      <c r="J5946" s="556">
        <f t="shared" si="197"/>
        <v>7000000</v>
      </c>
    </row>
    <row r="5947" spans="5:10" ht="30" hidden="1" x14ac:dyDescent="0.25">
      <c r="F5947" s="499">
        <v>4512</v>
      </c>
      <c r="G5947" s="776" t="s">
        <v>1699</v>
      </c>
      <c r="J5947" s="556">
        <f t="shared" si="197"/>
        <v>0</v>
      </c>
    </row>
    <row r="5948" spans="5:10" hidden="1" x14ac:dyDescent="0.25">
      <c r="F5948" s="499">
        <v>452</v>
      </c>
      <c r="G5948" s="492" t="s">
        <v>4151</v>
      </c>
      <c r="J5948" s="556">
        <f t="shared" si="197"/>
        <v>0</v>
      </c>
    </row>
    <row r="5949" spans="5:10" hidden="1" x14ac:dyDescent="0.25">
      <c r="F5949" s="499">
        <v>453</v>
      </c>
      <c r="G5949" s="492" t="s">
        <v>4152</v>
      </c>
      <c r="J5949" s="556">
        <f t="shared" si="197"/>
        <v>0</v>
      </c>
    </row>
    <row r="5950" spans="5:10" hidden="1" x14ac:dyDescent="0.25">
      <c r="F5950" s="499">
        <v>454</v>
      </c>
      <c r="G5950" s="492" t="s">
        <v>3805</v>
      </c>
      <c r="J5950" s="556">
        <f t="shared" si="197"/>
        <v>0</v>
      </c>
    </row>
    <row r="5951" spans="5:10" hidden="1" x14ac:dyDescent="0.25">
      <c r="F5951" s="499">
        <v>461</v>
      </c>
      <c r="G5951" s="492" t="s">
        <v>4133</v>
      </c>
      <c r="J5951" s="556">
        <f t="shared" si="197"/>
        <v>0</v>
      </c>
    </row>
    <row r="5952" spans="5:10" hidden="1" x14ac:dyDescent="0.25">
      <c r="F5952" s="499">
        <v>462</v>
      </c>
      <c r="G5952" s="492" t="s">
        <v>3808</v>
      </c>
      <c r="J5952" s="556">
        <f t="shared" si="197"/>
        <v>0</v>
      </c>
    </row>
    <row r="5953" spans="6:10" hidden="1" x14ac:dyDescent="0.25">
      <c r="F5953" s="499">
        <v>4631</v>
      </c>
      <c r="G5953" s="492" t="s">
        <v>3809</v>
      </c>
      <c r="J5953" s="556">
        <f t="shared" si="197"/>
        <v>0</v>
      </c>
    </row>
    <row r="5954" spans="6:10" hidden="1" x14ac:dyDescent="0.25">
      <c r="F5954" s="499">
        <v>4632</v>
      </c>
      <c r="G5954" s="492" t="s">
        <v>3810</v>
      </c>
      <c r="J5954" s="556">
        <f t="shared" si="197"/>
        <v>0</v>
      </c>
    </row>
    <row r="5955" spans="6:10" hidden="1" x14ac:dyDescent="0.25">
      <c r="F5955" s="499">
        <v>464</v>
      </c>
      <c r="G5955" s="492" t="s">
        <v>3811</v>
      </c>
      <c r="J5955" s="556">
        <f t="shared" si="197"/>
        <v>0</v>
      </c>
    </row>
    <row r="5956" spans="6:10" hidden="1" x14ac:dyDescent="0.25">
      <c r="F5956" s="499">
        <v>465</v>
      </c>
      <c r="G5956" s="492" t="s">
        <v>4134</v>
      </c>
      <c r="J5956" s="556">
        <f t="shared" si="197"/>
        <v>0</v>
      </c>
    </row>
    <row r="5957" spans="6:10" hidden="1" x14ac:dyDescent="0.25">
      <c r="F5957" s="499">
        <v>472</v>
      </c>
      <c r="G5957" s="492" t="s">
        <v>3815</v>
      </c>
      <c r="J5957" s="556">
        <f t="shared" si="197"/>
        <v>0</v>
      </c>
    </row>
    <row r="5958" spans="6:10" hidden="1" x14ac:dyDescent="0.25">
      <c r="F5958" s="499">
        <v>481</v>
      </c>
      <c r="G5958" s="492" t="s">
        <v>4153</v>
      </c>
      <c r="J5958" s="556">
        <f t="shared" si="197"/>
        <v>0</v>
      </c>
    </row>
    <row r="5959" spans="6:10" hidden="1" x14ac:dyDescent="0.25">
      <c r="F5959" s="499">
        <v>482</v>
      </c>
      <c r="G5959" s="492" t="s">
        <v>4154</v>
      </c>
      <c r="J5959" s="556">
        <f t="shared" si="197"/>
        <v>0</v>
      </c>
    </row>
    <row r="5960" spans="6:10" hidden="1" x14ac:dyDescent="0.25">
      <c r="F5960" s="499">
        <v>483</v>
      </c>
      <c r="G5960" s="496" t="s">
        <v>4155</v>
      </c>
      <c r="J5960" s="556">
        <f t="shared" si="197"/>
        <v>0</v>
      </c>
    </row>
    <row r="5961" spans="6:10" ht="30" hidden="1" x14ac:dyDescent="0.25">
      <c r="F5961" s="499">
        <v>484</v>
      </c>
      <c r="G5961" s="492" t="s">
        <v>4156</v>
      </c>
      <c r="J5961" s="556">
        <f t="shared" si="197"/>
        <v>0</v>
      </c>
    </row>
    <row r="5962" spans="6:10" ht="30" hidden="1" x14ac:dyDescent="0.25">
      <c r="F5962" s="499">
        <v>485</v>
      </c>
      <c r="G5962" s="492" t="s">
        <v>4157</v>
      </c>
      <c r="J5962" s="556">
        <f t="shared" si="197"/>
        <v>0</v>
      </c>
    </row>
    <row r="5963" spans="6:10" ht="30" hidden="1" x14ac:dyDescent="0.25">
      <c r="F5963" s="499">
        <v>489</v>
      </c>
      <c r="G5963" s="492" t="s">
        <v>3823</v>
      </c>
      <c r="J5963" s="556">
        <f t="shared" si="197"/>
        <v>0</v>
      </c>
    </row>
    <row r="5964" spans="6:10" hidden="1" x14ac:dyDescent="0.25">
      <c r="F5964" s="499">
        <v>494</v>
      </c>
      <c r="G5964" s="492" t="s">
        <v>4135</v>
      </c>
      <c r="J5964" s="556">
        <f t="shared" si="197"/>
        <v>0</v>
      </c>
    </row>
    <row r="5965" spans="6:10" ht="30" hidden="1" x14ac:dyDescent="0.25">
      <c r="F5965" s="499">
        <v>495</v>
      </c>
      <c r="G5965" s="492" t="s">
        <v>4136</v>
      </c>
      <c r="J5965" s="556">
        <f t="shared" si="197"/>
        <v>0</v>
      </c>
    </row>
    <row r="5966" spans="6:10" ht="30" hidden="1" x14ac:dyDescent="0.25">
      <c r="F5966" s="499">
        <v>496</v>
      </c>
      <c r="G5966" s="492" t="s">
        <v>4137</v>
      </c>
      <c r="J5966" s="556">
        <f t="shared" si="197"/>
        <v>0</v>
      </c>
    </row>
    <row r="5967" spans="6:10" ht="30" hidden="1" x14ac:dyDescent="0.25">
      <c r="F5967" s="499">
        <v>499</v>
      </c>
      <c r="G5967" s="492" t="s">
        <v>4138</v>
      </c>
      <c r="J5967" s="556">
        <f t="shared" si="197"/>
        <v>0</v>
      </c>
    </row>
    <row r="5968" spans="6:10" hidden="1" x14ac:dyDescent="0.25">
      <c r="F5968" s="499">
        <v>511</v>
      </c>
      <c r="G5968" s="496" t="s">
        <v>4158</v>
      </c>
      <c r="J5968" s="556">
        <f t="shared" si="197"/>
        <v>0</v>
      </c>
    </row>
    <row r="5969" spans="5:10" hidden="1" x14ac:dyDescent="0.25">
      <c r="F5969" s="499">
        <v>512</v>
      </c>
      <c r="G5969" s="496" t="s">
        <v>4159</v>
      </c>
      <c r="J5969" s="556">
        <f t="shared" si="197"/>
        <v>0</v>
      </c>
    </row>
    <row r="5970" spans="5:10" hidden="1" x14ac:dyDescent="0.25">
      <c r="F5970" s="499">
        <v>513</v>
      </c>
      <c r="G5970" s="496" t="s">
        <v>4160</v>
      </c>
      <c r="J5970" s="556">
        <f t="shared" si="197"/>
        <v>0</v>
      </c>
    </row>
    <row r="5971" spans="5:10" ht="15.75" thickBot="1" x14ac:dyDescent="0.3">
      <c r="E5971" s="679">
        <v>160</v>
      </c>
      <c r="F5971" s="499">
        <v>514</v>
      </c>
      <c r="G5971" s="492" t="s">
        <v>4161</v>
      </c>
      <c r="H5971" s="555">
        <v>4000000</v>
      </c>
      <c r="J5971" s="556">
        <f t="shared" si="197"/>
        <v>4000000</v>
      </c>
    </row>
    <row r="5972" spans="5:10" hidden="1" x14ac:dyDescent="0.25">
      <c r="F5972" s="499">
        <v>515</v>
      </c>
      <c r="G5972" s="492" t="s">
        <v>3834</v>
      </c>
      <c r="J5972" s="556">
        <f t="shared" si="197"/>
        <v>0</v>
      </c>
    </row>
    <row r="5973" spans="5:10" hidden="1" x14ac:dyDescent="0.25">
      <c r="F5973" s="499">
        <v>521</v>
      </c>
      <c r="G5973" s="492" t="s">
        <v>4162</v>
      </c>
      <c r="J5973" s="556">
        <f t="shared" si="197"/>
        <v>0</v>
      </c>
    </row>
    <row r="5974" spans="5:10" hidden="1" x14ac:dyDescent="0.25">
      <c r="F5974" s="499">
        <v>522</v>
      </c>
      <c r="G5974" s="492" t="s">
        <v>4163</v>
      </c>
      <c r="J5974" s="556">
        <f t="shared" si="197"/>
        <v>0</v>
      </c>
    </row>
    <row r="5975" spans="5:10" hidden="1" x14ac:dyDescent="0.25">
      <c r="F5975" s="499">
        <v>523</v>
      </c>
      <c r="G5975" s="492" t="s">
        <v>3839</v>
      </c>
      <c r="J5975" s="556">
        <f t="shared" si="197"/>
        <v>0</v>
      </c>
    </row>
    <row r="5976" spans="5:10" hidden="1" x14ac:dyDescent="0.25">
      <c r="F5976" s="499">
        <v>531</v>
      </c>
      <c r="G5976" s="488" t="s">
        <v>4139</v>
      </c>
      <c r="J5976" s="556">
        <f t="shared" si="197"/>
        <v>0</v>
      </c>
    </row>
    <row r="5977" spans="5:10" hidden="1" x14ac:dyDescent="0.25">
      <c r="F5977" s="499">
        <v>541</v>
      </c>
      <c r="G5977" s="492" t="s">
        <v>4164</v>
      </c>
      <c r="J5977" s="556">
        <f t="shared" si="197"/>
        <v>0</v>
      </c>
    </row>
    <row r="5978" spans="5:10" hidden="1" x14ac:dyDescent="0.25">
      <c r="F5978" s="499">
        <v>542</v>
      </c>
      <c r="G5978" s="492" t="s">
        <v>4165</v>
      </c>
      <c r="J5978" s="556">
        <f t="shared" si="197"/>
        <v>0</v>
      </c>
    </row>
    <row r="5979" spans="5:10" hidden="1" x14ac:dyDescent="0.25">
      <c r="F5979" s="499">
        <v>543</v>
      </c>
      <c r="G5979" s="492" t="s">
        <v>3844</v>
      </c>
      <c r="J5979" s="556">
        <f t="shared" si="197"/>
        <v>0</v>
      </c>
    </row>
    <row r="5980" spans="5:10" ht="30" hidden="1" x14ac:dyDescent="0.25">
      <c r="F5980" s="499">
        <v>551</v>
      </c>
      <c r="G5980" s="492" t="s">
        <v>4140</v>
      </c>
      <c r="J5980" s="556">
        <f t="shared" si="197"/>
        <v>0</v>
      </c>
    </row>
    <row r="5981" spans="5:10" hidden="1" x14ac:dyDescent="0.25">
      <c r="F5981" s="500">
        <v>611</v>
      </c>
      <c r="G5981" s="498" t="s">
        <v>3850</v>
      </c>
      <c r="J5981" s="556">
        <f t="shared" si="197"/>
        <v>0</v>
      </c>
    </row>
    <row r="5982" spans="5:10" ht="15.75" hidden="1" thickBot="1" x14ac:dyDescent="0.3">
      <c r="F5982" s="500">
        <v>620</v>
      </c>
      <c r="G5982" s="498" t="s">
        <v>88</v>
      </c>
      <c r="J5982" s="556">
        <f t="shared" si="197"/>
        <v>0</v>
      </c>
    </row>
    <row r="5983" spans="5:10" x14ac:dyDescent="0.25">
      <c r="E5983" s="489"/>
      <c r="F5983" s="500"/>
      <c r="G5983" s="342" t="s">
        <v>4293</v>
      </c>
      <c r="H5983" s="557"/>
      <c r="I5983" s="583"/>
      <c r="J5983" s="558"/>
    </row>
    <row r="5984" spans="5:10" ht="15.75" thickBot="1" x14ac:dyDescent="0.3">
      <c r="E5984" s="693"/>
      <c r="F5984" s="597" t="s">
        <v>234</v>
      </c>
      <c r="G5984" s="598" t="s">
        <v>235</v>
      </c>
      <c r="H5984" s="559">
        <f>SUM(H5923:H5982)</f>
        <v>11001000</v>
      </c>
      <c r="I5984" s="560"/>
      <c r="J5984" s="560">
        <f>SUM(H5984:I5984)</f>
        <v>11001000</v>
      </c>
    </row>
    <row r="5985" spans="6:10" hidden="1" x14ac:dyDescent="0.25">
      <c r="F5985" s="597" t="s">
        <v>236</v>
      </c>
      <c r="G5985" s="598" t="s">
        <v>237</v>
      </c>
      <c r="J5985" s="560">
        <f t="shared" ref="J5985:J5999" si="198">SUM(H5985:I5985)</f>
        <v>0</v>
      </c>
    </row>
    <row r="5986" spans="6:10" hidden="1" x14ac:dyDescent="0.25">
      <c r="F5986" s="597" t="s">
        <v>238</v>
      </c>
      <c r="G5986" s="598" t="s">
        <v>239</v>
      </c>
      <c r="J5986" s="560">
        <f t="shared" si="198"/>
        <v>0</v>
      </c>
    </row>
    <row r="5987" spans="6:10" hidden="1" x14ac:dyDescent="0.25">
      <c r="F5987" s="597" t="s">
        <v>240</v>
      </c>
      <c r="G5987" s="598" t="s">
        <v>241</v>
      </c>
      <c r="J5987" s="560">
        <f t="shared" si="198"/>
        <v>0</v>
      </c>
    </row>
    <row r="5988" spans="6:10" hidden="1" x14ac:dyDescent="0.25">
      <c r="F5988" s="597" t="s">
        <v>242</v>
      </c>
      <c r="G5988" s="598" t="s">
        <v>243</v>
      </c>
      <c r="J5988" s="560">
        <f t="shared" si="198"/>
        <v>0</v>
      </c>
    </row>
    <row r="5989" spans="6:10" hidden="1" x14ac:dyDescent="0.25">
      <c r="F5989" s="597" t="s">
        <v>244</v>
      </c>
      <c r="G5989" s="598" t="s">
        <v>245</v>
      </c>
      <c r="J5989" s="560">
        <f t="shared" si="198"/>
        <v>0</v>
      </c>
    </row>
    <row r="5990" spans="6:10" hidden="1" x14ac:dyDescent="0.25">
      <c r="F5990" s="597" t="s">
        <v>246</v>
      </c>
      <c r="G5990" s="598" t="s">
        <v>4996</v>
      </c>
      <c r="J5990" s="560">
        <f t="shared" si="198"/>
        <v>0</v>
      </c>
    </row>
    <row r="5991" spans="6:10" hidden="1" x14ac:dyDescent="0.25">
      <c r="F5991" s="597" t="s">
        <v>247</v>
      </c>
      <c r="G5991" s="598" t="s">
        <v>4995</v>
      </c>
      <c r="J5991" s="560">
        <f t="shared" si="198"/>
        <v>0</v>
      </c>
    </row>
    <row r="5992" spans="6:10" hidden="1" x14ac:dyDescent="0.25">
      <c r="F5992" s="597" t="s">
        <v>248</v>
      </c>
      <c r="G5992" s="598" t="s">
        <v>57</v>
      </c>
      <c r="J5992" s="560">
        <f t="shared" si="198"/>
        <v>0</v>
      </c>
    </row>
    <row r="5993" spans="6:10" hidden="1" x14ac:dyDescent="0.25">
      <c r="F5993" s="597" t="s">
        <v>249</v>
      </c>
      <c r="G5993" s="598" t="s">
        <v>250</v>
      </c>
      <c r="J5993" s="560">
        <f t="shared" si="198"/>
        <v>0</v>
      </c>
    </row>
    <row r="5994" spans="6:10" hidden="1" x14ac:dyDescent="0.25">
      <c r="F5994" s="597" t="s">
        <v>251</v>
      </c>
      <c r="G5994" s="598" t="s">
        <v>252</v>
      </c>
      <c r="J5994" s="560">
        <f t="shared" si="198"/>
        <v>0</v>
      </c>
    </row>
    <row r="5995" spans="6:10" ht="30" hidden="1" x14ac:dyDescent="0.25">
      <c r="F5995" s="597" t="s">
        <v>253</v>
      </c>
      <c r="G5995" s="598" t="s">
        <v>254</v>
      </c>
      <c r="J5995" s="560">
        <f t="shared" si="198"/>
        <v>0</v>
      </c>
    </row>
    <row r="5996" spans="6:10" hidden="1" x14ac:dyDescent="0.25">
      <c r="F5996" s="597" t="s">
        <v>255</v>
      </c>
      <c r="G5996" s="598" t="s">
        <v>256</v>
      </c>
      <c r="J5996" s="560">
        <f t="shared" si="198"/>
        <v>0</v>
      </c>
    </row>
    <row r="5997" spans="6:10" ht="30" hidden="1" x14ac:dyDescent="0.25">
      <c r="F5997" s="597" t="s">
        <v>257</v>
      </c>
      <c r="G5997" s="598" t="s">
        <v>258</v>
      </c>
      <c r="J5997" s="560">
        <f t="shared" si="198"/>
        <v>0</v>
      </c>
    </row>
    <row r="5998" spans="6:10" hidden="1" x14ac:dyDescent="0.25">
      <c r="F5998" s="597" t="s">
        <v>259</v>
      </c>
      <c r="G5998" s="598" t="s">
        <v>260</v>
      </c>
      <c r="J5998" s="560">
        <f t="shared" si="198"/>
        <v>0</v>
      </c>
    </row>
    <row r="5999" spans="6:10" ht="15.75" hidden="1" thickBot="1" x14ac:dyDescent="0.3">
      <c r="F5999" s="597" t="s">
        <v>261</v>
      </c>
      <c r="G5999" s="598" t="s">
        <v>262</v>
      </c>
      <c r="H5999" s="559"/>
      <c r="I5999" s="560"/>
      <c r="J5999" s="560">
        <f t="shared" si="198"/>
        <v>0</v>
      </c>
    </row>
    <row r="6000" spans="6:10" ht="15.75" thickBot="1" x14ac:dyDescent="0.3">
      <c r="G6000" s="268" t="s">
        <v>4294</v>
      </c>
      <c r="H6000" s="561">
        <f>SUM(H5984:H5999)</f>
        <v>11001000</v>
      </c>
      <c r="I6000" s="562">
        <f>SUM(I5985:I5999)</f>
        <v>0</v>
      </c>
      <c r="J6000" s="562">
        <f>SUM(J5984:J5999)</f>
        <v>11001000</v>
      </c>
    </row>
    <row r="6001" spans="5:10" ht="28.5" collapsed="1" x14ac:dyDescent="0.25">
      <c r="E6001" s="489"/>
      <c r="F6001" s="500"/>
      <c r="G6001" s="270" t="s">
        <v>4192</v>
      </c>
      <c r="H6001" s="563"/>
      <c r="I6001" s="584"/>
      <c r="J6001" s="564"/>
    </row>
    <row r="6002" spans="5:10" ht="15.75" thickBot="1" x14ac:dyDescent="0.3">
      <c r="E6002" s="693"/>
      <c r="F6002" s="597" t="s">
        <v>234</v>
      </c>
      <c r="G6002" s="598" t="s">
        <v>235</v>
      </c>
      <c r="H6002" s="559">
        <f>SUM(H5923:H5982)</f>
        <v>11001000</v>
      </c>
      <c r="I6002" s="560"/>
      <c r="J6002" s="560">
        <f>SUM(H6002:I6002)</f>
        <v>11001000</v>
      </c>
    </row>
    <row r="6003" spans="5:10" hidden="1" x14ac:dyDescent="0.25">
      <c r="F6003" s="597" t="s">
        <v>236</v>
      </c>
      <c r="G6003" s="598" t="s">
        <v>237</v>
      </c>
      <c r="J6003" s="560">
        <f t="shared" ref="J6003:J6017" si="199">SUM(H6003:I6003)</f>
        <v>0</v>
      </c>
    </row>
    <row r="6004" spans="5:10" hidden="1" x14ac:dyDescent="0.25">
      <c r="F6004" s="597" t="s">
        <v>238</v>
      </c>
      <c r="G6004" s="598" t="s">
        <v>239</v>
      </c>
      <c r="J6004" s="560">
        <f t="shared" si="199"/>
        <v>0</v>
      </c>
    </row>
    <row r="6005" spans="5:10" hidden="1" x14ac:dyDescent="0.25">
      <c r="F6005" s="597" t="s">
        <v>240</v>
      </c>
      <c r="G6005" s="598" t="s">
        <v>241</v>
      </c>
      <c r="J6005" s="560">
        <f t="shared" si="199"/>
        <v>0</v>
      </c>
    </row>
    <row r="6006" spans="5:10" hidden="1" x14ac:dyDescent="0.25">
      <c r="F6006" s="597" t="s">
        <v>242</v>
      </c>
      <c r="G6006" s="598" t="s">
        <v>243</v>
      </c>
      <c r="J6006" s="560">
        <f t="shared" si="199"/>
        <v>0</v>
      </c>
    </row>
    <row r="6007" spans="5:10" hidden="1" x14ac:dyDescent="0.25">
      <c r="F6007" s="597" t="s">
        <v>244</v>
      </c>
      <c r="G6007" s="598" t="s">
        <v>245</v>
      </c>
      <c r="J6007" s="560">
        <f t="shared" si="199"/>
        <v>0</v>
      </c>
    </row>
    <row r="6008" spans="5:10" hidden="1" x14ac:dyDescent="0.25">
      <c r="F6008" s="597" t="s">
        <v>246</v>
      </c>
      <c r="G6008" s="598" t="s">
        <v>4996</v>
      </c>
      <c r="J6008" s="560">
        <f t="shared" si="199"/>
        <v>0</v>
      </c>
    </row>
    <row r="6009" spans="5:10" hidden="1" x14ac:dyDescent="0.25">
      <c r="F6009" s="597" t="s">
        <v>247</v>
      </c>
      <c r="G6009" s="598" t="s">
        <v>4995</v>
      </c>
      <c r="J6009" s="560">
        <f t="shared" si="199"/>
        <v>0</v>
      </c>
    </row>
    <row r="6010" spans="5:10" hidden="1" x14ac:dyDescent="0.25">
      <c r="F6010" s="597" t="s">
        <v>248</v>
      </c>
      <c r="G6010" s="598" t="s">
        <v>57</v>
      </c>
      <c r="J6010" s="560">
        <f t="shared" si="199"/>
        <v>0</v>
      </c>
    </row>
    <row r="6011" spans="5:10" hidden="1" x14ac:dyDescent="0.25">
      <c r="F6011" s="597" t="s">
        <v>249</v>
      </c>
      <c r="G6011" s="598" t="s">
        <v>250</v>
      </c>
      <c r="J6011" s="560">
        <f t="shared" si="199"/>
        <v>0</v>
      </c>
    </row>
    <row r="6012" spans="5:10" hidden="1" x14ac:dyDescent="0.25">
      <c r="F6012" s="597" t="s">
        <v>251</v>
      </c>
      <c r="G6012" s="598" t="s">
        <v>252</v>
      </c>
      <c r="J6012" s="560">
        <f t="shared" si="199"/>
        <v>0</v>
      </c>
    </row>
    <row r="6013" spans="5:10" ht="30" hidden="1" x14ac:dyDescent="0.25">
      <c r="F6013" s="597" t="s">
        <v>253</v>
      </c>
      <c r="G6013" s="598" t="s">
        <v>254</v>
      </c>
      <c r="J6013" s="560">
        <f t="shared" si="199"/>
        <v>0</v>
      </c>
    </row>
    <row r="6014" spans="5:10" hidden="1" x14ac:dyDescent="0.25">
      <c r="F6014" s="597" t="s">
        <v>255</v>
      </c>
      <c r="G6014" s="598" t="s">
        <v>256</v>
      </c>
      <c r="J6014" s="560">
        <f t="shared" si="199"/>
        <v>0</v>
      </c>
    </row>
    <row r="6015" spans="5:10" ht="30" hidden="1" x14ac:dyDescent="0.25">
      <c r="F6015" s="597" t="s">
        <v>257</v>
      </c>
      <c r="G6015" s="598" t="s">
        <v>258</v>
      </c>
      <c r="J6015" s="560">
        <f t="shared" si="199"/>
        <v>0</v>
      </c>
    </row>
    <row r="6016" spans="5:10" hidden="1" x14ac:dyDescent="0.25">
      <c r="F6016" s="597" t="s">
        <v>259</v>
      </c>
      <c r="G6016" s="598" t="s">
        <v>260</v>
      </c>
      <c r="J6016" s="560">
        <f t="shared" si="199"/>
        <v>0</v>
      </c>
    </row>
    <row r="6017" spans="1:25" ht="15.75" hidden="1" thickBot="1" x14ac:dyDescent="0.3">
      <c r="F6017" s="597" t="s">
        <v>261</v>
      </c>
      <c r="G6017" s="598" t="s">
        <v>262</v>
      </c>
      <c r="H6017" s="559"/>
      <c r="I6017" s="560"/>
      <c r="J6017" s="560">
        <f t="shared" si="199"/>
        <v>0</v>
      </c>
    </row>
    <row r="6018" spans="1:25" ht="15.75" collapsed="1" thickBot="1" x14ac:dyDescent="0.3">
      <c r="G6018" s="268" t="s">
        <v>4193</v>
      </c>
      <c r="H6018" s="561">
        <f>SUM(H6002:H6017)</f>
        <v>11001000</v>
      </c>
      <c r="I6018" s="562">
        <f>SUM(I6003:I6017)</f>
        <v>0</v>
      </c>
      <c r="J6018" s="562">
        <f>SUM(J6002:J6017)</f>
        <v>11001000</v>
      </c>
    </row>
    <row r="6019" spans="1:25" s="88" customFormat="1" x14ac:dyDescent="0.25">
      <c r="A6019" s="258"/>
      <c r="B6019" s="288"/>
      <c r="C6019" s="302" t="s">
        <v>4515</v>
      </c>
      <c r="D6019" s="259"/>
      <c r="E6019" s="702"/>
      <c r="F6019" s="303"/>
      <c r="G6019" s="304" t="s">
        <v>5316</v>
      </c>
      <c r="H6019" s="588"/>
      <c r="I6019" s="571"/>
      <c r="J6019" s="589"/>
      <c r="K6019" s="505"/>
      <c r="L6019" s="505"/>
      <c r="M6019" s="505"/>
      <c r="N6019" s="505"/>
      <c r="O6019" s="505"/>
      <c r="P6019" s="505"/>
      <c r="Q6019" s="505"/>
      <c r="R6019" s="505"/>
      <c r="S6019" s="505"/>
      <c r="T6019" s="505"/>
      <c r="U6019" s="505"/>
      <c r="V6019" s="505"/>
      <c r="W6019" s="505"/>
      <c r="X6019" s="505"/>
      <c r="Y6019" s="505"/>
    </row>
    <row r="6020" spans="1:25" s="88" customFormat="1" ht="17.25" customHeight="1" x14ac:dyDescent="0.25">
      <c r="A6020" s="258"/>
      <c r="B6020" s="288"/>
      <c r="C6020" s="294"/>
      <c r="D6020" s="348" t="s">
        <v>3778</v>
      </c>
      <c r="E6020" s="871"/>
      <c r="F6020" s="345"/>
      <c r="G6020" s="346" t="s">
        <v>138</v>
      </c>
      <c r="H6020" s="555"/>
      <c r="I6020" s="556"/>
      <c r="J6020" s="556"/>
      <c r="K6020" s="505"/>
      <c r="L6020" s="505"/>
      <c r="M6020" s="505"/>
      <c r="N6020" s="505"/>
      <c r="O6020" s="505"/>
      <c r="P6020" s="505"/>
      <c r="Q6020" s="505"/>
      <c r="R6020" s="505"/>
      <c r="S6020" s="505"/>
      <c r="T6020" s="505"/>
      <c r="U6020" s="505"/>
      <c r="V6020" s="505"/>
      <c r="W6020" s="505"/>
      <c r="X6020" s="505"/>
      <c r="Y6020" s="505"/>
    </row>
    <row r="6021" spans="1:25" s="88" customFormat="1" hidden="1" x14ac:dyDescent="0.25">
      <c r="A6021" s="258"/>
      <c r="B6021" s="258"/>
      <c r="C6021" s="261"/>
      <c r="D6021" s="258"/>
      <c r="E6021" s="679"/>
      <c r="F6021" s="499">
        <v>411</v>
      </c>
      <c r="G6021" s="492" t="s">
        <v>4131</v>
      </c>
      <c r="H6021" s="555"/>
      <c r="I6021" s="556"/>
      <c r="J6021" s="556">
        <f>SUM(H6021:I6021)</f>
        <v>0</v>
      </c>
      <c r="K6021" s="505"/>
      <c r="L6021" s="505"/>
      <c r="M6021" s="505"/>
      <c r="N6021" s="505"/>
      <c r="O6021" s="505"/>
      <c r="P6021" s="505"/>
      <c r="Q6021" s="505"/>
      <c r="R6021" s="505"/>
      <c r="S6021" s="505"/>
      <c r="T6021" s="505"/>
      <c r="U6021" s="505"/>
      <c r="V6021" s="505"/>
      <c r="W6021" s="505"/>
      <c r="X6021" s="505"/>
      <c r="Y6021" s="505"/>
    </row>
    <row r="6022" spans="1:25" s="88" customFormat="1" hidden="1" x14ac:dyDescent="0.25">
      <c r="A6022" s="258"/>
      <c r="B6022" s="258"/>
      <c r="C6022" s="261"/>
      <c r="D6022" s="258"/>
      <c r="E6022" s="679"/>
      <c r="F6022" s="499">
        <v>412</v>
      </c>
      <c r="G6022" s="488" t="s">
        <v>3766</v>
      </c>
      <c r="H6022" s="555"/>
      <c r="I6022" s="556"/>
      <c r="J6022" s="556">
        <f t="shared" ref="J6022:J6080" si="200">SUM(H6022:I6022)</f>
        <v>0</v>
      </c>
      <c r="K6022" s="505"/>
      <c r="L6022" s="505"/>
      <c r="M6022" s="505"/>
      <c r="N6022" s="505"/>
      <c r="O6022" s="505"/>
      <c r="P6022" s="505"/>
      <c r="Q6022" s="505"/>
      <c r="R6022" s="505"/>
      <c r="S6022" s="505"/>
      <c r="T6022" s="505"/>
      <c r="U6022" s="505"/>
      <c r="V6022" s="505"/>
      <c r="W6022" s="505"/>
      <c r="X6022" s="505"/>
      <c r="Y6022" s="505"/>
    </row>
    <row r="6023" spans="1:25" s="88" customFormat="1" hidden="1" x14ac:dyDescent="0.25">
      <c r="A6023" s="258"/>
      <c r="B6023" s="258"/>
      <c r="C6023" s="261"/>
      <c r="D6023" s="258"/>
      <c r="E6023" s="679"/>
      <c r="F6023" s="499">
        <v>413</v>
      </c>
      <c r="G6023" s="492" t="s">
        <v>4132</v>
      </c>
      <c r="H6023" s="555"/>
      <c r="I6023" s="556"/>
      <c r="J6023" s="556">
        <f t="shared" si="200"/>
        <v>0</v>
      </c>
      <c r="K6023" s="505"/>
      <c r="L6023" s="505"/>
      <c r="M6023" s="505"/>
      <c r="N6023" s="505"/>
      <c r="O6023" s="505"/>
      <c r="P6023" s="505"/>
      <c r="Q6023" s="505"/>
      <c r="R6023" s="505"/>
      <c r="S6023" s="505"/>
      <c r="T6023" s="505"/>
      <c r="U6023" s="505"/>
      <c r="V6023" s="505"/>
      <c r="W6023" s="505"/>
      <c r="X6023" s="505"/>
      <c r="Y6023" s="505"/>
    </row>
    <row r="6024" spans="1:25" s="88" customFormat="1" hidden="1" x14ac:dyDescent="0.25">
      <c r="A6024" s="258"/>
      <c r="B6024" s="258"/>
      <c r="C6024" s="261"/>
      <c r="D6024" s="258"/>
      <c r="E6024" s="679"/>
      <c r="F6024" s="499">
        <v>414</v>
      </c>
      <c r="G6024" s="492" t="s">
        <v>3769</v>
      </c>
      <c r="H6024" s="555"/>
      <c r="I6024" s="556"/>
      <c r="J6024" s="556">
        <f t="shared" si="200"/>
        <v>0</v>
      </c>
      <c r="K6024" s="505"/>
      <c r="L6024" s="505"/>
      <c r="M6024" s="505"/>
      <c r="N6024" s="505"/>
      <c r="O6024" s="505"/>
      <c r="P6024" s="505"/>
      <c r="Q6024" s="505"/>
      <c r="R6024" s="505"/>
      <c r="S6024" s="505"/>
      <c r="T6024" s="505"/>
      <c r="U6024" s="505"/>
      <c r="V6024" s="505"/>
      <c r="W6024" s="505"/>
      <c r="X6024" s="505"/>
      <c r="Y6024" s="505"/>
    </row>
    <row r="6025" spans="1:25" s="88" customFormat="1" hidden="1" x14ac:dyDescent="0.25">
      <c r="A6025" s="258"/>
      <c r="B6025" s="258"/>
      <c r="C6025" s="261"/>
      <c r="D6025" s="258"/>
      <c r="E6025" s="679"/>
      <c r="F6025" s="499">
        <v>415</v>
      </c>
      <c r="G6025" s="492" t="s">
        <v>4141</v>
      </c>
      <c r="H6025" s="555"/>
      <c r="I6025" s="556"/>
      <c r="J6025" s="556">
        <f t="shared" si="200"/>
        <v>0</v>
      </c>
      <c r="K6025" s="505"/>
      <c r="L6025" s="505"/>
      <c r="M6025" s="505"/>
      <c r="N6025" s="505"/>
      <c r="O6025" s="505"/>
      <c r="P6025" s="505"/>
      <c r="Q6025" s="505"/>
      <c r="R6025" s="505"/>
      <c r="S6025" s="505"/>
      <c r="T6025" s="505"/>
      <c r="U6025" s="505"/>
      <c r="V6025" s="505"/>
      <c r="W6025" s="505"/>
      <c r="X6025" s="505"/>
      <c r="Y6025" s="505"/>
    </row>
    <row r="6026" spans="1:25" s="88" customFormat="1" hidden="1" x14ac:dyDescent="0.25">
      <c r="A6026" s="258"/>
      <c r="B6026" s="258"/>
      <c r="C6026" s="261"/>
      <c r="D6026" s="258"/>
      <c r="E6026" s="679"/>
      <c r="F6026" s="499">
        <v>416</v>
      </c>
      <c r="G6026" s="492" t="s">
        <v>4142</v>
      </c>
      <c r="H6026" s="555"/>
      <c r="I6026" s="556"/>
      <c r="J6026" s="556">
        <f t="shared" si="200"/>
        <v>0</v>
      </c>
      <c r="K6026" s="505"/>
      <c r="L6026" s="505"/>
      <c r="M6026" s="505"/>
      <c r="N6026" s="505"/>
      <c r="O6026" s="505"/>
      <c r="P6026" s="505"/>
      <c r="Q6026" s="505"/>
      <c r="R6026" s="505"/>
      <c r="S6026" s="505"/>
      <c r="T6026" s="505"/>
      <c r="U6026" s="505"/>
      <c r="V6026" s="505"/>
      <c r="W6026" s="505"/>
      <c r="X6026" s="505"/>
      <c r="Y6026" s="505"/>
    </row>
    <row r="6027" spans="1:25" s="88" customFormat="1" hidden="1" x14ac:dyDescent="0.25">
      <c r="A6027" s="258"/>
      <c r="B6027" s="258"/>
      <c r="C6027" s="261"/>
      <c r="D6027" s="258"/>
      <c r="E6027" s="679"/>
      <c r="F6027" s="499">
        <v>417</v>
      </c>
      <c r="G6027" s="492" t="s">
        <v>4143</v>
      </c>
      <c r="H6027" s="555"/>
      <c r="I6027" s="556"/>
      <c r="J6027" s="556">
        <f t="shared" si="200"/>
        <v>0</v>
      </c>
      <c r="K6027" s="505"/>
      <c r="L6027" s="505"/>
      <c r="M6027" s="505"/>
      <c r="N6027" s="505"/>
      <c r="O6027" s="505"/>
      <c r="P6027" s="505"/>
      <c r="Q6027" s="505"/>
      <c r="R6027" s="505"/>
      <c r="S6027" s="505"/>
      <c r="T6027" s="505"/>
      <c r="U6027" s="505"/>
      <c r="V6027" s="505"/>
      <c r="W6027" s="505"/>
      <c r="X6027" s="505"/>
      <c r="Y6027" s="505"/>
    </row>
    <row r="6028" spans="1:25" s="88" customFormat="1" hidden="1" x14ac:dyDescent="0.25">
      <c r="A6028" s="258"/>
      <c r="B6028" s="258"/>
      <c r="C6028" s="261"/>
      <c r="D6028" s="258"/>
      <c r="E6028" s="679"/>
      <c r="F6028" s="499">
        <v>418</v>
      </c>
      <c r="G6028" s="492" t="s">
        <v>3775</v>
      </c>
      <c r="H6028" s="555"/>
      <c r="I6028" s="556"/>
      <c r="J6028" s="556">
        <f t="shared" si="200"/>
        <v>0</v>
      </c>
      <c r="K6028" s="505"/>
      <c r="L6028" s="505"/>
      <c r="M6028" s="505"/>
      <c r="N6028" s="505"/>
      <c r="O6028" s="505"/>
      <c r="P6028" s="505"/>
      <c r="Q6028" s="505"/>
      <c r="R6028" s="505"/>
      <c r="S6028" s="505"/>
      <c r="T6028" s="505"/>
      <c r="U6028" s="505"/>
      <c r="V6028" s="505"/>
      <c r="W6028" s="505"/>
      <c r="X6028" s="505"/>
      <c r="Y6028" s="505"/>
    </row>
    <row r="6029" spans="1:25" s="88" customFormat="1" hidden="1" x14ac:dyDescent="0.25">
      <c r="A6029" s="258"/>
      <c r="B6029" s="258"/>
      <c r="C6029" s="261"/>
      <c r="D6029" s="258"/>
      <c r="E6029" s="679"/>
      <c r="F6029" s="499">
        <v>421</v>
      </c>
      <c r="G6029" s="492" t="s">
        <v>3779</v>
      </c>
      <c r="H6029" s="555"/>
      <c r="I6029" s="556"/>
      <c r="J6029" s="556">
        <f t="shared" si="200"/>
        <v>0</v>
      </c>
      <c r="K6029" s="505"/>
      <c r="L6029" s="505"/>
      <c r="M6029" s="505"/>
      <c r="N6029" s="505"/>
      <c r="O6029" s="505"/>
      <c r="P6029" s="505"/>
      <c r="Q6029" s="505"/>
      <c r="R6029" s="505"/>
      <c r="S6029" s="505"/>
      <c r="T6029" s="505"/>
      <c r="U6029" s="505"/>
      <c r="V6029" s="505"/>
      <c r="W6029" s="505"/>
      <c r="X6029" s="505"/>
      <c r="Y6029" s="505"/>
    </row>
    <row r="6030" spans="1:25" s="88" customFormat="1" hidden="1" x14ac:dyDescent="0.25">
      <c r="A6030" s="258"/>
      <c r="B6030" s="258"/>
      <c r="C6030" s="261"/>
      <c r="D6030" s="258"/>
      <c r="E6030" s="679"/>
      <c r="F6030" s="499">
        <v>422</v>
      </c>
      <c r="G6030" s="492" t="s">
        <v>3780</v>
      </c>
      <c r="H6030" s="555"/>
      <c r="I6030" s="556"/>
      <c r="J6030" s="556">
        <f t="shared" si="200"/>
        <v>0</v>
      </c>
      <c r="K6030" s="505"/>
      <c r="L6030" s="505"/>
      <c r="M6030" s="505"/>
      <c r="N6030" s="505"/>
      <c r="O6030" s="505"/>
      <c r="P6030" s="505"/>
      <c r="Q6030" s="505"/>
      <c r="R6030" s="505"/>
      <c r="S6030" s="505"/>
      <c r="T6030" s="505"/>
      <c r="U6030" s="505"/>
      <c r="V6030" s="505"/>
      <c r="W6030" s="505"/>
      <c r="X6030" s="505"/>
      <c r="Y6030" s="505"/>
    </row>
    <row r="6031" spans="1:25" s="88" customFormat="1" x14ac:dyDescent="0.25">
      <c r="A6031" s="258"/>
      <c r="B6031" s="258"/>
      <c r="C6031" s="261"/>
      <c r="D6031" s="258"/>
      <c r="E6031" s="679">
        <v>161</v>
      </c>
      <c r="F6031" s="499">
        <v>423</v>
      </c>
      <c r="G6031" s="492" t="s">
        <v>3781</v>
      </c>
      <c r="H6031" s="555">
        <v>400000</v>
      </c>
      <c r="I6031" s="556"/>
      <c r="J6031" s="556">
        <f t="shared" si="200"/>
        <v>400000</v>
      </c>
      <c r="K6031" s="505"/>
      <c r="L6031" s="505"/>
      <c r="M6031" s="505"/>
      <c r="N6031" s="505"/>
      <c r="O6031" s="505"/>
      <c r="P6031" s="505"/>
      <c r="Q6031" s="505"/>
      <c r="R6031" s="505"/>
      <c r="S6031" s="505"/>
      <c r="T6031" s="505"/>
      <c r="U6031" s="505"/>
      <c r="V6031" s="505"/>
      <c r="W6031" s="505"/>
      <c r="X6031" s="505"/>
      <c r="Y6031" s="505"/>
    </row>
    <row r="6032" spans="1:25" s="88" customFormat="1" hidden="1" x14ac:dyDescent="0.25">
      <c r="A6032" s="258"/>
      <c r="B6032" s="258"/>
      <c r="C6032" s="261"/>
      <c r="D6032" s="258"/>
      <c r="E6032" s="679"/>
      <c r="F6032" s="499">
        <v>424</v>
      </c>
      <c r="G6032" s="492" t="s">
        <v>3783</v>
      </c>
      <c r="H6032" s="555"/>
      <c r="I6032" s="556"/>
      <c r="J6032" s="556">
        <f t="shared" si="200"/>
        <v>0</v>
      </c>
      <c r="K6032" s="505"/>
      <c r="L6032" s="505"/>
      <c r="M6032" s="505"/>
      <c r="N6032" s="505"/>
      <c r="O6032" s="505"/>
      <c r="P6032" s="505"/>
      <c r="Q6032" s="505"/>
      <c r="R6032" s="505"/>
      <c r="S6032" s="505"/>
      <c r="T6032" s="505"/>
      <c r="U6032" s="505"/>
      <c r="V6032" s="505"/>
      <c r="W6032" s="505"/>
      <c r="X6032" s="505"/>
      <c r="Y6032" s="505"/>
    </row>
    <row r="6033" spans="1:25" s="88" customFormat="1" hidden="1" x14ac:dyDescent="0.25">
      <c r="A6033" s="258"/>
      <c r="B6033" s="258"/>
      <c r="C6033" s="261"/>
      <c r="D6033" s="258"/>
      <c r="E6033" s="679"/>
      <c r="F6033" s="499">
        <v>425</v>
      </c>
      <c r="G6033" s="492" t="s">
        <v>4144</v>
      </c>
      <c r="H6033" s="555"/>
      <c r="I6033" s="556"/>
      <c r="J6033" s="556">
        <f t="shared" si="200"/>
        <v>0</v>
      </c>
      <c r="K6033" s="505"/>
      <c r="L6033" s="505"/>
      <c r="M6033" s="505"/>
      <c r="N6033" s="505"/>
      <c r="O6033" s="505"/>
      <c r="P6033" s="505"/>
      <c r="Q6033" s="505"/>
      <c r="R6033" s="505"/>
      <c r="S6033" s="505"/>
      <c r="T6033" s="505"/>
      <c r="U6033" s="505"/>
      <c r="V6033" s="505"/>
      <c r="W6033" s="505"/>
      <c r="X6033" s="505"/>
      <c r="Y6033" s="505"/>
    </row>
    <row r="6034" spans="1:25" s="88" customFormat="1" hidden="1" x14ac:dyDescent="0.25">
      <c r="A6034" s="258"/>
      <c r="B6034" s="258"/>
      <c r="C6034" s="261"/>
      <c r="D6034" s="258"/>
      <c r="E6034" s="679"/>
      <c r="F6034" s="499">
        <v>426</v>
      </c>
      <c r="G6034" s="492" t="s">
        <v>3787</v>
      </c>
      <c r="H6034" s="555"/>
      <c r="I6034" s="556"/>
      <c r="J6034" s="556">
        <f t="shared" si="200"/>
        <v>0</v>
      </c>
      <c r="K6034" s="505"/>
      <c r="L6034" s="505"/>
      <c r="M6034" s="505"/>
      <c r="N6034" s="505"/>
      <c r="O6034" s="505"/>
      <c r="P6034" s="505"/>
      <c r="Q6034" s="505"/>
      <c r="R6034" s="505"/>
      <c r="S6034" s="505"/>
      <c r="T6034" s="505"/>
      <c r="U6034" s="505"/>
      <c r="V6034" s="505"/>
      <c r="W6034" s="505"/>
      <c r="X6034" s="505"/>
      <c r="Y6034" s="505"/>
    </row>
    <row r="6035" spans="1:25" s="88" customFormat="1" hidden="1" x14ac:dyDescent="0.25">
      <c r="A6035" s="258"/>
      <c r="B6035" s="258"/>
      <c r="C6035" s="261"/>
      <c r="D6035" s="258"/>
      <c r="E6035" s="679"/>
      <c r="F6035" s="499">
        <v>431</v>
      </c>
      <c r="G6035" s="492" t="s">
        <v>4145</v>
      </c>
      <c r="H6035" s="555"/>
      <c r="I6035" s="556"/>
      <c r="J6035" s="556">
        <f t="shared" si="200"/>
        <v>0</v>
      </c>
      <c r="K6035" s="505"/>
      <c r="L6035" s="505"/>
      <c r="M6035" s="505"/>
      <c r="N6035" s="505"/>
      <c r="O6035" s="505"/>
      <c r="P6035" s="505"/>
      <c r="Q6035" s="505"/>
      <c r="R6035" s="505"/>
      <c r="S6035" s="505"/>
      <c r="T6035" s="505"/>
      <c r="U6035" s="505"/>
      <c r="V6035" s="505"/>
      <c r="W6035" s="505"/>
      <c r="X6035" s="505"/>
      <c r="Y6035" s="505"/>
    </row>
    <row r="6036" spans="1:25" s="88" customFormat="1" hidden="1" x14ac:dyDescent="0.25">
      <c r="A6036" s="258"/>
      <c r="B6036" s="258"/>
      <c r="C6036" s="261"/>
      <c r="D6036" s="258"/>
      <c r="E6036" s="679"/>
      <c r="F6036" s="499">
        <v>432</v>
      </c>
      <c r="G6036" s="492" t="s">
        <v>4146</v>
      </c>
      <c r="H6036" s="555"/>
      <c r="I6036" s="556"/>
      <c r="J6036" s="556">
        <f t="shared" si="200"/>
        <v>0</v>
      </c>
      <c r="K6036" s="505"/>
      <c r="L6036" s="505"/>
      <c r="M6036" s="505"/>
      <c r="N6036" s="505"/>
      <c r="O6036" s="505"/>
      <c r="P6036" s="505"/>
      <c r="Q6036" s="505"/>
      <c r="R6036" s="505"/>
      <c r="S6036" s="505"/>
      <c r="T6036" s="505"/>
      <c r="U6036" s="505"/>
      <c r="V6036" s="505"/>
      <c r="W6036" s="505"/>
      <c r="X6036" s="505"/>
      <c r="Y6036" s="505"/>
    </row>
    <row r="6037" spans="1:25" s="88" customFormat="1" hidden="1" x14ac:dyDescent="0.25">
      <c r="A6037" s="258"/>
      <c r="B6037" s="258"/>
      <c r="C6037" s="261"/>
      <c r="D6037" s="258"/>
      <c r="E6037" s="679"/>
      <c r="F6037" s="499">
        <v>433</v>
      </c>
      <c r="G6037" s="492" t="s">
        <v>4147</v>
      </c>
      <c r="H6037" s="555"/>
      <c r="I6037" s="556"/>
      <c r="J6037" s="556">
        <f t="shared" si="200"/>
        <v>0</v>
      </c>
      <c r="K6037" s="505"/>
      <c r="L6037" s="505"/>
      <c r="M6037" s="505"/>
      <c r="N6037" s="505"/>
      <c r="O6037" s="505"/>
      <c r="P6037" s="505"/>
      <c r="Q6037" s="505"/>
      <c r="R6037" s="505"/>
      <c r="S6037" s="505"/>
      <c r="T6037" s="505"/>
      <c r="U6037" s="505"/>
      <c r="V6037" s="505"/>
      <c r="W6037" s="505"/>
      <c r="X6037" s="505"/>
      <c r="Y6037" s="505"/>
    </row>
    <row r="6038" spans="1:25" s="88" customFormat="1" hidden="1" x14ac:dyDescent="0.25">
      <c r="A6038" s="258"/>
      <c r="B6038" s="258"/>
      <c r="C6038" s="261"/>
      <c r="D6038" s="258"/>
      <c r="E6038" s="679"/>
      <c r="F6038" s="499">
        <v>434</v>
      </c>
      <c r="G6038" s="492" t="s">
        <v>4148</v>
      </c>
      <c r="H6038" s="555"/>
      <c r="I6038" s="556"/>
      <c r="J6038" s="556">
        <f t="shared" si="200"/>
        <v>0</v>
      </c>
      <c r="K6038" s="505"/>
      <c r="L6038" s="505"/>
      <c r="M6038" s="505"/>
      <c r="N6038" s="505"/>
      <c r="O6038" s="505"/>
      <c r="P6038" s="505"/>
      <c r="Q6038" s="505"/>
      <c r="R6038" s="505"/>
      <c r="S6038" s="505"/>
      <c r="T6038" s="505"/>
      <c r="U6038" s="505"/>
      <c r="V6038" s="505"/>
      <c r="W6038" s="505"/>
      <c r="X6038" s="505"/>
      <c r="Y6038" s="505"/>
    </row>
    <row r="6039" spans="1:25" s="88" customFormat="1" hidden="1" x14ac:dyDescent="0.25">
      <c r="A6039" s="258"/>
      <c r="B6039" s="258"/>
      <c r="C6039" s="261"/>
      <c r="D6039" s="258"/>
      <c r="E6039" s="679"/>
      <c r="F6039" s="499">
        <v>435</v>
      </c>
      <c r="G6039" s="492" t="s">
        <v>3794</v>
      </c>
      <c r="H6039" s="555"/>
      <c r="I6039" s="556"/>
      <c r="J6039" s="556">
        <f t="shared" si="200"/>
        <v>0</v>
      </c>
      <c r="K6039" s="505"/>
      <c r="L6039" s="505"/>
      <c r="M6039" s="505"/>
      <c r="N6039" s="505"/>
      <c r="O6039" s="505"/>
      <c r="P6039" s="505"/>
      <c r="Q6039" s="505"/>
      <c r="R6039" s="505"/>
      <c r="S6039" s="505"/>
      <c r="T6039" s="505"/>
      <c r="U6039" s="505"/>
      <c r="V6039" s="505"/>
      <c r="W6039" s="505"/>
      <c r="X6039" s="505"/>
      <c r="Y6039" s="505"/>
    </row>
    <row r="6040" spans="1:25" s="88" customFormat="1" hidden="1" x14ac:dyDescent="0.25">
      <c r="A6040" s="258"/>
      <c r="B6040" s="258"/>
      <c r="C6040" s="261"/>
      <c r="D6040" s="258"/>
      <c r="E6040" s="679"/>
      <c r="F6040" s="499">
        <v>441</v>
      </c>
      <c r="G6040" s="492" t="s">
        <v>4149</v>
      </c>
      <c r="H6040" s="555"/>
      <c r="I6040" s="556"/>
      <c r="J6040" s="556">
        <f t="shared" si="200"/>
        <v>0</v>
      </c>
      <c r="K6040" s="505"/>
      <c r="L6040" s="505"/>
      <c r="M6040" s="505"/>
      <c r="N6040" s="505"/>
      <c r="O6040" s="505"/>
      <c r="P6040" s="505"/>
      <c r="Q6040" s="505"/>
      <c r="R6040" s="505"/>
      <c r="S6040" s="505"/>
      <c r="T6040" s="505"/>
      <c r="U6040" s="505"/>
      <c r="V6040" s="505"/>
      <c r="W6040" s="505"/>
      <c r="X6040" s="505"/>
      <c r="Y6040" s="505"/>
    </row>
    <row r="6041" spans="1:25" s="88" customFormat="1" hidden="1" x14ac:dyDescent="0.25">
      <c r="A6041" s="258"/>
      <c r="B6041" s="258"/>
      <c r="C6041" s="261"/>
      <c r="D6041" s="258"/>
      <c r="E6041" s="679"/>
      <c r="F6041" s="499">
        <v>442</v>
      </c>
      <c r="G6041" s="492" t="s">
        <v>4150</v>
      </c>
      <c r="H6041" s="555"/>
      <c r="I6041" s="556"/>
      <c r="J6041" s="556">
        <f t="shared" si="200"/>
        <v>0</v>
      </c>
      <c r="K6041" s="505"/>
      <c r="L6041" s="505"/>
      <c r="M6041" s="505"/>
      <c r="N6041" s="505"/>
      <c r="O6041" s="505"/>
      <c r="P6041" s="505"/>
      <c r="Q6041" s="505"/>
      <c r="R6041" s="505"/>
      <c r="S6041" s="505"/>
      <c r="T6041" s="505"/>
      <c r="U6041" s="505"/>
      <c r="V6041" s="505"/>
      <c r="W6041" s="505"/>
      <c r="X6041" s="505"/>
      <c r="Y6041" s="505"/>
    </row>
    <row r="6042" spans="1:25" s="88" customFormat="1" hidden="1" x14ac:dyDescent="0.25">
      <c r="A6042" s="258"/>
      <c r="B6042" s="258"/>
      <c r="C6042" s="261"/>
      <c r="D6042" s="258"/>
      <c r="E6042" s="679"/>
      <c r="F6042" s="499">
        <v>443</v>
      </c>
      <c r="G6042" s="492" t="s">
        <v>3799</v>
      </c>
      <c r="H6042" s="555"/>
      <c r="I6042" s="556"/>
      <c r="J6042" s="556">
        <f t="shared" si="200"/>
        <v>0</v>
      </c>
      <c r="K6042" s="505"/>
      <c r="L6042" s="505"/>
      <c r="M6042" s="505"/>
      <c r="N6042" s="505"/>
      <c r="O6042" s="505"/>
      <c r="P6042" s="505"/>
      <c r="Q6042" s="505"/>
      <c r="R6042" s="505"/>
      <c r="S6042" s="505"/>
      <c r="T6042" s="505"/>
      <c r="U6042" s="505"/>
      <c r="V6042" s="505"/>
      <c r="W6042" s="505"/>
      <c r="X6042" s="505"/>
      <c r="Y6042" s="505"/>
    </row>
    <row r="6043" spans="1:25" s="88" customFormat="1" hidden="1" x14ac:dyDescent="0.25">
      <c r="A6043" s="258"/>
      <c r="B6043" s="258"/>
      <c r="C6043" s="261"/>
      <c r="D6043" s="258"/>
      <c r="E6043" s="679"/>
      <c r="F6043" s="499">
        <v>444</v>
      </c>
      <c r="G6043" s="492" t="s">
        <v>3800</v>
      </c>
      <c r="H6043" s="555"/>
      <c r="I6043" s="556"/>
      <c r="J6043" s="556">
        <f t="shared" si="200"/>
        <v>0</v>
      </c>
      <c r="K6043" s="505"/>
      <c r="L6043" s="505"/>
      <c r="M6043" s="505"/>
      <c r="N6043" s="505"/>
      <c r="O6043" s="505"/>
      <c r="P6043" s="505"/>
      <c r="Q6043" s="505"/>
      <c r="R6043" s="505"/>
      <c r="S6043" s="505"/>
      <c r="T6043" s="505"/>
      <c r="U6043" s="505"/>
      <c r="V6043" s="505"/>
      <c r="W6043" s="505"/>
      <c r="X6043" s="505"/>
      <c r="Y6043" s="505"/>
    </row>
    <row r="6044" spans="1:25" s="88" customFormat="1" ht="30" hidden="1" x14ac:dyDescent="0.25">
      <c r="A6044" s="258"/>
      <c r="B6044" s="258"/>
      <c r="C6044" s="261"/>
      <c r="D6044" s="258"/>
      <c r="E6044" s="679"/>
      <c r="F6044" s="499">
        <v>4511</v>
      </c>
      <c r="G6044" s="776" t="s">
        <v>1690</v>
      </c>
      <c r="H6044" s="555"/>
      <c r="I6044" s="556"/>
      <c r="J6044" s="556">
        <f t="shared" si="200"/>
        <v>0</v>
      </c>
      <c r="K6044" s="505"/>
      <c r="L6044" s="505"/>
      <c r="M6044" s="505"/>
      <c r="N6044" s="505"/>
      <c r="O6044" s="505"/>
      <c r="P6044" s="505"/>
      <c r="Q6044" s="505"/>
      <c r="R6044" s="505"/>
      <c r="S6044" s="505"/>
      <c r="T6044" s="505"/>
      <c r="U6044" s="505"/>
      <c r="V6044" s="505"/>
      <c r="W6044" s="505"/>
      <c r="X6044" s="505"/>
      <c r="Y6044" s="505"/>
    </row>
    <row r="6045" spans="1:25" s="88" customFormat="1" ht="15" hidden="1" customHeight="1" x14ac:dyDescent="0.25">
      <c r="A6045" s="258"/>
      <c r="B6045" s="258"/>
      <c r="C6045" s="261"/>
      <c r="D6045" s="258"/>
      <c r="E6045" s="679">
        <v>69</v>
      </c>
      <c r="F6045" s="691">
        <v>511</v>
      </c>
      <c r="G6045" s="775" t="s">
        <v>5208</v>
      </c>
      <c r="H6045" s="555">
        <v>0</v>
      </c>
      <c r="I6045" s="556"/>
      <c r="J6045" s="556">
        <f t="shared" si="200"/>
        <v>0</v>
      </c>
      <c r="K6045" s="505"/>
      <c r="L6045" s="505"/>
      <c r="M6045" s="505"/>
      <c r="N6045" s="505"/>
      <c r="O6045" s="505"/>
      <c r="P6045" s="505"/>
      <c r="Q6045" s="505"/>
      <c r="R6045" s="505"/>
      <c r="S6045" s="505"/>
      <c r="T6045" s="505"/>
      <c r="U6045" s="505"/>
      <c r="V6045" s="505"/>
      <c r="W6045" s="505"/>
      <c r="X6045" s="505"/>
      <c r="Y6045" s="505"/>
    </row>
    <row r="6046" spans="1:25" s="88" customFormat="1" hidden="1" x14ac:dyDescent="0.25">
      <c r="A6046" s="258"/>
      <c r="B6046" s="258"/>
      <c r="C6046" s="261"/>
      <c r="D6046" s="258"/>
      <c r="E6046" s="679"/>
      <c r="F6046" s="499">
        <v>452</v>
      </c>
      <c r="G6046" s="492" t="s">
        <v>4151</v>
      </c>
      <c r="H6046" s="555"/>
      <c r="I6046" s="556"/>
      <c r="J6046" s="556">
        <f t="shared" si="200"/>
        <v>0</v>
      </c>
      <c r="K6046" s="505"/>
      <c r="L6046" s="505"/>
      <c r="M6046" s="505"/>
      <c r="N6046" s="505"/>
      <c r="O6046" s="505"/>
      <c r="P6046" s="505"/>
      <c r="Q6046" s="505"/>
      <c r="R6046" s="505"/>
      <c r="S6046" s="505"/>
      <c r="T6046" s="505"/>
      <c r="U6046" s="505"/>
      <c r="V6046" s="505"/>
      <c r="W6046" s="505"/>
      <c r="X6046" s="505"/>
      <c r="Y6046" s="505"/>
    </row>
    <row r="6047" spans="1:25" s="88" customFormat="1" hidden="1" x14ac:dyDescent="0.25">
      <c r="A6047" s="258"/>
      <c r="B6047" s="258"/>
      <c r="C6047" s="261"/>
      <c r="D6047" s="258"/>
      <c r="E6047" s="679"/>
      <c r="F6047" s="499">
        <v>453</v>
      </c>
      <c r="G6047" s="492" t="s">
        <v>4152</v>
      </c>
      <c r="H6047" s="555"/>
      <c r="I6047" s="556"/>
      <c r="J6047" s="556">
        <f t="shared" si="200"/>
        <v>0</v>
      </c>
      <c r="K6047" s="505"/>
      <c r="L6047" s="505"/>
      <c r="M6047" s="505"/>
      <c r="N6047" s="505"/>
      <c r="O6047" s="505"/>
      <c r="P6047" s="505"/>
      <c r="Q6047" s="505"/>
      <c r="R6047" s="505"/>
      <c r="S6047" s="505"/>
      <c r="T6047" s="505"/>
      <c r="U6047" s="505"/>
      <c r="V6047" s="505"/>
      <c r="W6047" s="505"/>
      <c r="X6047" s="505"/>
      <c r="Y6047" s="505"/>
    </row>
    <row r="6048" spans="1:25" s="88" customFormat="1" hidden="1" x14ac:dyDescent="0.25">
      <c r="A6048" s="258"/>
      <c r="B6048" s="258"/>
      <c r="C6048" s="261"/>
      <c r="D6048" s="258"/>
      <c r="E6048" s="679"/>
      <c r="F6048" s="499">
        <v>454</v>
      </c>
      <c r="G6048" s="492" t="s">
        <v>3805</v>
      </c>
      <c r="H6048" s="555"/>
      <c r="I6048" s="556"/>
      <c r="J6048" s="556">
        <f t="shared" si="200"/>
        <v>0</v>
      </c>
      <c r="K6048" s="505"/>
      <c r="L6048" s="505"/>
      <c r="M6048" s="505"/>
      <c r="N6048" s="505"/>
      <c r="O6048" s="505"/>
      <c r="P6048" s="505"/>
      <c r="Q6048" s="505"/>
      <c r="R6048" s="505"/>
      <c r="S6048" s="505"/>
      <c r="T6048" s="505"/>
      <c r="U6048" s="505"/>
      <c r="V6048" s="505"/>
      <c r="W6048" s="505"/>
      <c r="X6048" s="505"/>
      <c r="Y6048" s="505"/>
    </row>
    <row r="6049" spans="1:25" s="88" customFormat="1" hidden="1" x14ac:dyDescent="0.25">
      <c r="A6049" s="258"/>
      <c r="B6049" s="258"/>
      <c r="C6049" s="261"/>
      <c r="D6049" s="258"/>
      <c r="E6049" s="679"/>
      <c r="F6049" s="499">
        <v>461</v>
      </c>
      <c r="G6049" s="492" t="s">
        <v>4133</v>
      </c>
      <c r="H6049" s="555"/>
      <c r="I6049" s="556"/>
      <c r="J6049" s="556">
        <f t="shared" si="200"/>
        <v>0</v>
      </c>
      <c r="K6049" s="505"/>
      <c r="L6049" s="505"/>
      <c r="M6049" s="505"/>
      <c r="N6049" s="505"/>
      <c r="O6049" s="505"/>
      <c r="P6049" s="505"/>
      <c r="Q6049" s="505"/>
      <c r="R6049" s="505"/>
      <c r="S6049" s="505"/>
      <c r="T6049" s="505"/>
      <c r="U6049" s="505"/>
      <c r="V6049" s="505"/>
      <c r="W6049" s="505"/>
      <c r="X6049" s="505"/>
      <c r="Y6049" s="505"/>
    </row>
    <row r="6050" spans="1:25" s="88" customFormat="1" hidden="1" x14ac:dyDescent="0.25">
      <c r="A6050" s="258"/>
      <c r="B6050" s="258"/>
      <c r="C6050" s="261"/>
      <c r="D6050" s="258"/>
      <c r="E6050" s="679"/>
      <c r="F6050" s="499">
        <v>462</v>
      </c>
      <c r="G6050" s="492" t="s">
        <v>3808</v>
      </c>
      <c r="H6050" s="555"/>
      <c r="I6050" s="556"/>
      <c r="J6050" s="556">
        <f t="shared" si="200"/>
        <v>0</v>
      </c>
      <c r="K6050" s="505"/>
      <c r="L6050" s="505"/>
      <c r="M6050" s="505"/>
      <c r="N6050" s="505"/>
      <c r="O6050" s="505"/>
      <c r="P6050" s="505"/>
      <c r="Q6050" s="505"/>
      <c r="R6050" s="505"/>
      <c r="S6050" s="505"/>
      <c r="T6050" s="505"/>
      <c r="U6050" s="505"/>
      <c r="V6050" s="505"/>
      <c r="W6050" s="505"/>
      <c r="X6050" s="505"/>
      <c r="Y6050" s="505"/>
    </row>
    <row r="6051" spans="1:25" s="88" customFormat="1" hidden="1" x14ac:dyDescent="0.25">
      <c r="A6051" s="258"/>
      <c r="B6051" s="258"/>
      <c r="C6051" s="261"/>
      <c r="D6051" s="258"/>
      <c r="E6051" s="679"/>
      <c r="F6051" s="499">
        <v>4631</v>
      </c>
      <c r="G6051" s="492" t="s">
        <v>3809</v>
      </c>
      <c r="H6051" s="555"/>
      <c r="I6051" s="556"/>
      <c r="J6051" s="556">
        <f t="shared" si="200"/>
        <v>0</v>
      </c>
      <c r="K6051" s="505"/>
      <c r="L6051" s="505"/>
      <c r="M6051" s="505"/>
      <c r="N6051" s="505"/>
      <c r="O6051" s="505"/>
      <c r="P6051" s="505"/>
      <c r="Q6051" s="505"/>
      <c r="R6051" s="505"/>
      <c r="S6051" s="505"/>
      <c r="T6051" s="505"/>
      <c r="U6051" s="505"/>
      <c r="V6051" s="505"/>
      <c r="W6051" s="505"/>
      <c r="X6051" s="505"/>
      <c r="Y6051" s="505"/>
    </row>
    <row r="6052" spans="1:25" s="88" customFormat="1" hidden="1" x14ac:dyDescent="0.25">
      <c r="A6052" s="258"/>
      <c r="B6052" s="258"/>
      <c r="C6052" s="261"/>
      <c r="D6052" s="258"/>
      <c r="E6052" s="679"/>
      <c r="F6052" s="499">
        <v>4632</v>
      </c>
      <c r="G6052" s="492" t="s">
        <v>3810</v>
      </c>
      <c r="H6052" s="555"/>
      <c r="I6052" s="556"/>
      <c r="J6052" s="556">
        <f t="shared" si="200"/>
        <v>0</v>
      </c>
      <c r="K6052" s="505"/>
      <c r="L6052" s="505"/>
      <c r="M6052" s="505"/>
      <c r="N6052" s="505"/>
      <c r="O6052" s="505"/>
      <c r="P6052" s="505"/>
      <c r="Q6052" s="505"/>
      <c r="R6052" s="505"/>
      <c r="S6052" s="505"/>
      <c r="T6052" s="505"/>
      <c r="U6052" s="505"/>
      <c r="V6052" s="505"/>
      <c r="W6052" s="505"/>
      <c r="X6052" s="505"/>
      <c r="Y6052" s="505"/>
    </row>
    <row r="6053" spans="1:25" s="88" customFormat="1" hidden="1" x14ac:dyDescent="0.25">
      <c r="A6053" s="258"/>
      <c r="B6053" s="258"/>
      <c r="C6053" s="261"/>
      <c r="D6053" s="258"/>
      <c r="E6053" s="679"/>
      <c r="F6053" s="499">
        <v>464</v>
      </c>
      <c r="G6053" s="492" t="s">
        <v>3811</v>
      </c>
      <c r="H6053" s="555"/>
      <c r="I6053" s="556"/>
      <c r="J6053" s="556">
        <f t="shared" si="200"/>
        <v>0</v>
      </c>
      <c r="K6053" s="505"/>
      <c r="L6053" s="505"/>
      <c r="M6053" s="505"/>
      <c r="N6053" s="505"/>
      <c r="O6053" s="505"/>
      <c r="P6053" s="505"/>
      <c r="Q6053" s="505"/>
      <c r="R6053" s="505"/>
      <c r="S6053" s="505"/>
      <c r="T6053" s="505"/>
      <c r="U6053" s="505"/>
      <c r="V6053" s="505"/>
      <c r="W6053" s="505"/>
      <c r="X6053" s="505"/>
      <c r="Y6053" s="505"/>
    </row>
    <row r="6054" spans="1:25" s="88" customFormat="1" hidden="1" x14ac:dyDescent="0.25">
      <c r="A6054" s="258"/>
      <c r="B6054" s="258"/>
      <c r="C6054" s="261"/>
      <c r="D6054" s="258"/>
      <c r="E6054" s="679"/>
      <c r="F6054" s="499">
        <v>465</v>
      </c>
      <c r="G6054" s="492" t="s">
        <v>4134</v>
      </c>
      <c r="H6054" s="555"/>
      <c r="I6054" s="556"/>
      <c r="J6054" s="556">
        <f t="shared" si="200"/>
        <v>0</v>
      </c>
      <c r="K6054" s="505"/>
      <c r="L6054" s="505"/>
      <c r="M6054" s="505"/>
      <c r="N6054" s="505"/>
      <c r="O6054" s="505"/>
      <c r="P6054" s="505"/>
      <c r="Q6054" s="505"/>
      <c r="R6054" s="505"/>
      <c r="S6054" s="505"/>
      <c r="T6054" s="505"/>
      <c r="U6054" s="505"/>
      <c r="V6054" s="505"/>
      <c r="W6054" s="505"/>
      <c r="X6054" s="505"/>
      <c r="Y6054" s="505"/>
    </row>
    <row r="6055" spans="1:25" s="88" customFormat="1" hidden="1" x14ac:dyDescent="0.25">
      <c r="A6055" s="258"/>
      <c r="B6055" s="258"/>
      <c r="C6055" s="261"/>
      <c r="D6055" s="258"/>
      <c r="E6055" s="679"/>
      <c r="F6055" s="499">
        <v>472</v>
      </c>
      <c r="G6055" s="492" t="s">
        <v>3815</v>
      </c>
      <c r="H6055" s="555"/>
      <c r="I6055" s="556"/>
      <c r="J6055" s="556">
        <f t="shared" si="200"/>
        <v>0</v>
      </c>
      <c r="K6055" s="505"/>
      <c r="L6055" s="505"/>
      <c r="M6055" s="505"/>
      <c r="N6055" s="505"/>
      <c r="O6055" s="505"/>
      <c r="P6055" s="505"/>
      <c r="Q6055" s="505"/>
      <c r="R6055" s="505"/>
      <c r="S6055" s="505"/>
      <c r="T6055" s="505"/>
      <c r="U6055" s="505"/>
      <c r="V6055" s="505"/>
      <c r="W6055" s="505"/>
      <c r="X6055" s="505"/>
      <c r="Y6055" s="505"/>
    </row>
    <row r="6056" spans="1:25" s="88" customFormat="1" hidden="1" x14ac:dyDescent="0.25">
      <c r="A6056" s="258"/>
      <c r="B6056" s="258"/>
      <c r="C6056" s="261"/>
      <c r="D6056" s="258"/>
      <c r="E6056" s="679"/>
      <c r="F6056" s="499">
        <v>481</v>
      </c>
      <c r="G6056" s="492" t="s">
        <v>4153</v>
      </c>
      <c r="H6056" s="555"/>
      <c r="I6056" s="556"/>
      <c r="J6056" s="556">
        <f t="shared" si="200"/>
        <v>0</v>
      </c>
      <c r="K6056" s="505"/>
      <c r="L6056" s="505"/>
      <c r="M6056" s="505"/>
      <c r="N6056" s="505"/>
      <c r="O6056" s="505"/>
      <c r="P6056" s="505"/>
      <c r="Q6056" s="505"/>
      <c r="R6056" s="505"/>
      <c r="S6056" s="505"/>
      <c r="T6056" s="505"/>
      <c r="U6056" s="505"/>
      <c r="V6056" s="505"/>
      <c r="W6056" s="505"/>
      <c r="X6056" s="505"/>
      <c r="Y6056" s="505"/>
    </row>
    <row r="6057" spans="1:25" s="88" customFormat="1" hidden="1" x14ac:dyDescent="0.25">
      <c r="A6057" s="258"/>
      <c r="B6057" s="258"/>
      <c r="C6057" s="261"/>
      <c r="D6057" s="258"/>
      <c r="E6057" s="679"/>
      <c r="F6057" s="499">
        <v>482</v>
      </c>
      <c r="G6057" s="492" t="s">
        <v>4154</v>
      </c>
      <c r="H6057" s="555"/>
      <c r="I6057" s="556"/>
      <c r="J6057" s="556">
        <f t="shared" si="200"/>
        <v>0</v>
      </c>
      <c r="K6057" s="505"/>
      <c r="L6057" s="505"/>
      <c r="M6057" s="505"/>
      <c r="N6057" s="505"/>
      <c r="O6057" s="505"/>
      <c r="P6057" s="505"/>
      <c r="Q6057" s="505"/>
      <c r="R6057" s="505"/>
      <c r="S6057" s="505"/>
      <c r="T6057" s="505"/>
      <c r="U6057" s="505"/>
      <c r="V6057" s="505"/>
      <c r="W6057" s="505"/>
      <c r="X6057" s="505"/>
      <c r="Y6057" s="505"/>
    </row>
    <row r="6058" spans="1:25" s="88" customFormat="1" hidden="1" x14ac:dyDescent="0.25">
      <c r="A6058" s="258"/>
      <c r="B6058" s="258"/>
      <c r="C6058" s="261"/>
      <c r="D6058" s="258"/>
      <c r="E6058" s="679"/>
      <c r="F6058" s="499">
        <v>483</v>
      </c>
      <c r="G6058" s="496" t="s">
        <v>4155</v>
      </c>
      <c r="H6058" s="555"/>
      <c r="I6058" s="556"/>
      <c r="J6058" s="556">
        <f t="shared" si="200"/>
        <v>0</v>
      </c>
      <c r="K6058" s="505"/>
      <c r="L6058" s="505"/>
      <c r="M6058" s="505"/>
      <c r="N6058" s="505"/>
      <c r="O6058" s="505"/>
      <c r="P6058" s="505"/>
      <c r="Q6058" s="505"/>
      <c r="R6058" s="505"/>
      <c r="S6058" s="505"/>
      <c r="T6058" s="505"/>
      <c r="U6058" s="505"/>
      <c r="V6058" s="505"/>
      <c r="W6058" s="505"/>
      <c r="X6058" s="505"/>
      <c r="Y6058" s="505"/>
    </row>
    <row r="6059" spans="1:25" s="88" customFormat="1" ht="30" hidden="1" x14ac:dyDescent="0.25">
      <c r="A6059" s="258"/>
      <c r="B6059" s="258"/>
      <c r="C6059" s="261"/>
      <c r="D6059" s="258"/>
      <c r="E6059" s="679"/>
      <c r="F6059" s="499">
        <v>484</v>
      </c>
      <c r="G6059" s="492" t="s">
        <v>4156</v>
      </c>
      <c r="H6059" s="555"/>
      <c r="I6059" s="556"/>
      <c r="J6059" s="556">
        <f t="shared" si="200"/>
        <v>0</v>
      </c>
      <c r="K6059" s="505"/>
      <c r="L6059" s="505"/>
      <c r="M6059" s="505"/>
      <c r="N6059" s="505"/>
      <c r="O6059" s="505"/>
      <c r="P6059" s="505"/>
      <c r="Q6059" s="505"/>
      <c r="R6059" s="505"/>
      <c r="S6059" s="505"/>
      <c r="T6059" s="505"/>
      <c r="U6059" s="505"/>
      <c r="V6059" s="505"/>
      <c r="W6059" s="505"/>
      <c r="X6059" s="505"/>
      <c r="Y6059" s="505"/>
    </row>
    <row r="6060" spans="1:25" s="88" customFormat="1" ht="30" hidden="1" x14ac:dyDescent="0.25">
      <c r="A6060" s="258"/>
      <c r="B6060" s="258"/>
      <c r="C6060" s="261"/>
      <c r="D6060" s="258"/>
      <c r="E6060" s="679"/>
      <c r="F6060" s="499">
        <v>485</v>
      </c>
      <c r="G6060" s="492" t="s">
        <v>4157</v>
      </c>
      <c r="H6060" s="555"/>
      <c r="I6060" s="556"/>
      <c r="J6060" s="556">
        <f t="shared" si="200"/>
        <v>0</v>
      </c>
      <c r="K6060" s="505"/>
      <c r="L6060" s="505"/>
      <c r="M6060" s="505"/>
      <c r="N6060" s="505"/>
      <c r="O6060" s="505"/>
      <c r="P6060" s="505"/>
      <c r="Q6060" s="505"/>
      <c r="R6060" s="505"/>
      <c r="S6060" s="505"/>
      <c r="T6060" s="505"/>
      <c r="U6060" s="505"/>
      <c r="V6060" s="505"/>
      <c r="W6060" s="505"/>
      <c r="X6060" s="505"/>
      <c r="Y6060" s="505"/>
    </row>
    <row r="6061" spans="1:25" s="88" customFormat="1" ht="30" hidden="1" x14ac:dyDescent="0.25">
      <c r="A6061" s="258"/>
      <c r="B6061" s="258"/>
      <c r="C6061" s="261"/>
      <c r="D6061" s="258"/>
      <c r="E6061" s="679"/>
      <c r="F6061" s="499">
        <v>489</v>
      </c>
      <c r="G6061" s="492" t="s">
        <v>3823</v>
      </c>
      <c r="H6061" s="555"/>
      <c r="I6061" s="556"/>
      <c r="J6061" s="556">
        <f t="shared" si="200"/>
        <v>0</v>
      </c>
      <c r="K6061" s="505"/>
      <c r="L6061" s="505"/>
      <c r="M6061" s="505"/>
      <c r="N6061" s="505"/>
      <c r="O6061" s="505"/>
      <c r="P6061" s="505"/>
      <c r="Q6061" s="505"/>
      <c r="R6061" s="505"/>
      <c r="S6061" s="505"/>
      <c r="T6061" s="505"/>
      <c r="U6061" s="505"/>
      <c r="V6061" s="505"/>
      <c r="W6061" s="505"/>
      <c r="X6061" s="505"/>
      <c r="Y6061" s="505"/>
    </row>
    <row r="6062" spans="1:25" s="88" customFormat="1" hidden="1" x14ac:dyDescent="0.25">
      <c r="A6062" s="258"/>
      <c r="B6062" s="258"/>
      <c r="C6062" s="261"/>
      <c r="D6062" s="258"/>
      <c r="E6062" s="679"/>
      <c r="F6062" s="499">
        <v>494</v>
      </c>
      <c r="G6062" s="492" t="s">
        <v>4135</v>
      </c>
      <c r="H6062" s="555"/>
      <c r="I6062" s="556"/>
      <c r="J6062" s="556">
        <f t="shared" si="200"/>
        <v>0</v>
      </c>
      <c r="K6062" s="505"/>
      <c r="L6062" s="505"/>
      <c r="M6062" s="505"/>
      <c r="N6062" s="505"/>
      <c r="O6062" s="505"/>
      <c r="P6062" s="505"/>
      <c r="Q6062" s="505"/>
      <c r="R6062" s="505"/>
      <c r="S6062" s="505"/>
      <c r="T6062" s="505"/>
      <c r="U6062" s="505"/>
      <c r="V6062" s="505"/>
      <c r="W6062" s="505"/>
      <c r="X6062" s="505"/>
      <c r="Y6062" s="505"/>
    </row>
    <row r="6063" spans="1:25" s="88" customFormat="1" ht="30" hidden="1" x14ac:dyDescent="0.25">
      <c r="A6063" s="258"/>
      <c r="B6063" s="258"/>
      <c r="C6063" s="261"/>
      <c r="D6063" s="258"/>
      <c r="E6063" s="679"/>
      <c r="F6063" s="499">
        <v>495</v>
      </c>
      <c r="G6063" s="492" t="s">
        <v>4136</v>
      </c>
      <c r="H6063" s="555"/>
      <c r="I6063" s="556"/>
      <c r="J6063" s="556">
        <f t="shared" si="200"/>
        <v>0</v>
      </c>
      <c r="K6063" s="505"/>
      <c r="L6063" s="505"/>
      <c r="M6063" s="505"/>
      <c r="N6063" s="505"/>
      <c r="O6063" s="505"/>
      <c r="P6063" s="505"/>
      <c r="Q6063" s="505"/>
      <c r="R6063" s="505"/>
      <c r="S6063" s="505"/>
      <c r="T6063" s="505"/>
      <c r="U6063" s="505"/>
      <c r="V6063" s="505"/>
      <c r="W6063" s="505"/>
      <c r="X6063" s="505"/>
      <c r="Y6063" s="505"/>
    </row>
    <row r="6064" spans="1:25" s="88" customFormat="1" ht="30" hidden="1" x14ac:dyDescent="0.25">
      <c r="A6064" s="258"/>
      <c r="B6064" s="258"/>
      <c r="C6064" s="261"/>
      <c r="D6064" s="258"/>
      <c r="E6064" s="679"/>
      <c r="F6064" s="499">
        <v>496</v>
      </c>
      <c r="G6064" s="492" t="s">
        <v>4137</v>
      </c>
      <c r="H6064" s="555"/>
      <c r="I6064" s="556"/>
      <c r="J6064" s="556">
        <f t="shared" si="200"/>
        <v>0</v>
      </c>
      <c r="K6064" s="505"/>
      <c r="L6064" s="505"/>
      <c r="M6064" s="505"/>
      <c r="N6064" s="505"/>
      <c r="O6064" s="505"/>
      <c r="P6064" s="505"/>
      <c r="Q6064" s="505"/>
      <c r="R6064" s="505"/>
      <c r="S6064" s="505"/>
      <c r="T6064" s="505"/>
      <c r="U6064" s="505"/>
      <c r="V6064" s="505"/>
      <c r="W6064" s="505"/>
      <c r="X6064" s="505"/>
      <c r="Y6064" s="505"/>
    </row>
    <row r="6065" spans="1:25" s="88" customFormat="1" ht="30" hidden="1" x14ac:dyDescent="0.25">
      <c r="A6065" s="258"/>
      <c r="B6065" s="258"/>
      <c r="C6065" s="261"/>
      <c r="D6065" s="258"/>
      <c r="E6065" s="679"/>
      <c r="F6065" s="499">
        <v>499</v>
      </c>
      <c r="G6065" s="492" t="s">
        <v>4138</v>
      </c>
      <c r="H6065" s="555"/>
      <c r="I6065" s="556"/>
      <c r="J6065" s="556">
        <f t="shared" si="200"/>
        <v>0</v>
      </c>
      <c r="K6065" s="505"/>
      <c r="L6065" s="505"/>
      <c r="M6065" s="505"/>
      <c r="N6065" s="505"/>
      <c r="O6065" s="505"/>
      <c r="P6065" s="505"/>
      <c r="Q6065" s="505"/>
      <c r="R6065" s="505"/>
      <c r="S6065" s="505"/>
      <c r="T6065" s="505"/>
      <c r="U6065" s="505"/>
      <c r="V6065" s="505"/>
      <c r="W6065" s="505"/>
      <c r="X6065" s="505"/>
      <c r="Y6065" s="505"/>
    </row>
    <row r="6066" spans="1:25" s="88" customFormat="1" hidden="1" x14ac:dyDescent="0.25">
      <c r="A6066" s="258"/>
      <c r="B6066" s="258"/>
      <c r="C6066" s="261"/>
      <c r="D6066" s="258"/>
      <c r="E6066" s="679"/>
      <c r="F6066" s="499">
        <v>511</v>
      </c>
      <c r="G6066" s="496" t="s">
        <v>4158</v>
      </c>
      <c r="H6066" s="555">
        <v>0</v>
      </c>
      <c r="I6066" s="556"/>
      <c r="J6066" s="556">
        <f t="shared" si="200"/>
        <v>0</v>
      </c>
      <c r="K6066" s="505"/>
      <c r="L6066" s="505"/>
      <c r="M6066" s="505"/>
      <c r="N6066" s="505"/>
      <c r="O6066" s="505"/>
      <c r="P6066" s="505"/>
      <c r="Q6066" s="505"/>
      <c r="R6066" s="505"/>
      <c r="S6066" s="505"/>
      <c r="T6066" s="505"/>
      <c r="U6066" s="505"/>
      <c r="V6066" s="505"/>
      <c r="W6066" s="505"/>
      <c r="X6066" s="505"/>
      <c r="Y6066" s="505"/>
    </row>
    <row r="6067" spans="1:25" s="88" customFormat="1" hidden="1" x14ac:dyDescent="0.25">
      <c r="A6067" s="258"/>
      <c r="B6067" s="258"/>
      <c r="C6067" s="261"/>
      <c r="D6067" s="258"/>
      <c r="E6067" s="679"/>
      <c r="F6067" s="499">
        <v>512</v>
      </c>
      <c r="G6067" s="496" t="s">
        <v>4159</v>
      </c>
      <c r="H6067" s="555"/>
      <c r="I6067" s="556"/>
      <c r="J6067" s="556">
        <f t="shared" si="200"/>
        <v>0</v>
      </c>
      <c r="K6067" s="505"/>
      <c r="L6067" s="505"/>
      <c r="M6067" s="505"/>
      <c r="N6067" s="505"/>
      <c r="O6067" s="505"/>
      <c r="P6067" s="505"/>
      <c r="Q6067" s="505"/>
      <c r="R6067" s="505"/>
      <c r="S6067" s="505"/>
      <c r="T6067" s="505"/>
      <c r="U6067" s="505"/>
      <c r="V6067" s="505"/>
      <c r="W6067" s="505"/>
      <c r="X6067" s="505"/>
      <c r="Y6067" s="505"/>
    </row>
    <row r="6068" spans="1:25" s="88" customFormat="1" hidden="1" x14ac:dyDescent="0.25">
      <c r="A6068" s="258"/>
      <c r="B6068" s="258"/>
      <c r="C6068" s="261"/>
      <c r="D6068" s="258"/>
      <c r="E6068" s="679"/>
      <c r="F6068" s="499">
        <v>513</v>
      </c>
      <c r="G6068" s="496" t="s">
        <v>4160</v>
      </c>
      <c r="H6068" s="555"/>
      <c r="I6068" s="556"/>
      <c r="J6068" s="556">
        <f t="shared" si="200"/>
        <v>0</v>
      </c>
      <c r="K6068" s="505"/>
      <c r="L6068" s="505"/>
      <c r="M6068" s="505"/>
      <c r="N6068" s="505"/>
      <c r="O6068" s="505"/>
      <c r="P6068" s="505"/>
      <c r="Q6068" s="505"/>
      <c r="R6068" s="505"/>
      <c r="S6068" s="505"/>
      <c r="T6068" s="505"/>
      <c r="U6068" s="505"/>
      <c r="V6068" s="505"/>
      <c r="W6068" s="505"/>
      <c r="X6068" s="505"/>
      <c r="Y6068" s="505"/>
    </row>
    <row r="6069" spans="1:25" s="88" customFormat="1" hidden="1" x14ac:dyDescent="0.25">
      <c r="A6069" s="258"/>
      <c r="B6069" s="258"/>
      <c r="C6069" s="261"/>
      <c r="D6069" s="258"/>
      <c r="E6069" s="679"/>
      <c r="F6069" s="499">
        <v>514</v>
      </c>
      <c r="G6069" s="492" t="s">
        <v>4161</v>
      </c>
      <c r="H6069" s="555"/>
      <c r="I6069" s="556"/>
      <c r="J6069" s="556">
        <f t="shared" si="200"/>
        <v>0</v>
      </c>
      <c r="K6069" s="505"/>
      <c r="L6069" s="505"/>
      <c r="M6069" s="505"/>
      <c r="N6069" s="505"/>
      <c r="O6069" s="505"/>
      <c r="P6069" s="505"/>
      <c r="Q6069" s="505"/>
      <c r="R6069" s="505"/>
      <c r="S6069" s="505"/>
      <c r="T6069" s="505"/>
      <c r="U6069" s="505"/>
      <c r="V6069" s="505"/>
      <c r="W6069" s="505"/>
      <c r="X6069" s="505"/>
      <c r="Y6069" s="505"/>
    </row>
    <row r="6070" spans="1:25" s="88" customFormat="1" hidden="1" x14ac:dyDescent="0.25">
      <c r="A6070" s="258"/>
      <c r="B6070" s="258"/>
      <c r="C6070" s="261"/>
      <c r="D6070" s="258"/>
      <c r="E6070" s="679"/>
      <c r="F6070" s="499">
        <v>515</v>
      </c>
      <c r="G6070" s="492" t="s">
        <v>3834</v>
      </c>
      <c r="H6070" s="555"/>
      <c r="I6070" s="556"/>
      <c r="J6070" s="556">
        <f t="shared" si="200"/>
        <v>0</v>
      </c>
      <c r="K6070" s="505"/>
      <c r="L6070" s="505"/>
      <c r="M6070" s="505"/>
      <c r="N6070" s="505"/>
      <c r="O6070" s="505"/>
      <c r="P6070" s="505"/>
      <c r="Q6070" s="505"/>
      <c r="R6070" s="505"/>
      <c r="S6070" s="505"/>
      <c r="T6070" s="505"/>
      <c r="U6070" s="505"/>
      <c r="V6070" s="505"/>
      <c r="W6070" s="505"/>
      <c r="X6070" s="505"/>
      <c r="Y6070" s="505"/>
    </row>
    <row r="6071" spans="1:25" s="88" customFormat="1" hidden="1" x14ac:dyDescent="0.25">
      <c r="A6071" s="258"/>
      <c r="B6071" s="258"/>
      <c r="C6071" s="261"/>
      <c r="D6071" s="258"/>
      <c r="E6071" s="679"/>
      <c r="F6071" s="499">
        <v>521</v>
      </c>
      <c r="G6071" s="492" t="s">
        <v>4162</v>
      </c>
      <c r="H6071" s="555"/>
      <c r="I6071" s="556"/>
      <c r="J6071" s="556">
        <f t="shared" si="200"/>
        <v>0</v>
      </c>
      <c r="K6071" s="505"/>
      <c r="L6071" s="505"/>
      <c r="M6071" s="505"/>
      <c r="N6071" s="505"/>
      <c r="O6071" s="505"/>
      <c r="P6071" s="505"/>
      <c r="Q6071" s="505"/>
      <c r="R6071" s="505"/>
      <c r="S6071" s="505"/>
      <c r="T6071" s="505"/>
      <c r="U6071" s="505"/>
      <c r="V6071" s="505"/>
      <c r="W6071" s="505"/>
      <c r="X6071" s="505"/>
      <c r="Y6071" s="505"/>
    </row>
    <row r="6072" spans="1:25" s="88" customFormat="1" hidden="1" x14ac:dyDescent="0.25">
      <c r="A6072" s="258"/>
      <c r="B6072" s="258"/>
      <c r="C6072" s="261"/>
      <c r="D6072" s="258"/>
      <c r="E6072" s="679"/>
      <c r="F6072" s="499">
        <v>522</v>
      </c>
      <c r="G6072" s="492" t="s">
        <v>4163</v>
      </c>
      <c r="H6072" s="555"/>
      <c r="I6072" s="556"/>
      <c r="J6072" s="556">
        <f t="shared" si="200"/>
        <v>0</v>
      </c>
      <c r="K6072" s="505"/>
      <c r="L6072" s="505"/>
      <c r="M6072" s="505"/>
      <c r="N6072" s="505"/>
      <c r="O6072" s="505"/>
      <c r="P6072" s="505"/>
      <c r="Q6072" s="505"/>
      <c r="R6072" s="505"/>
      <c r="S6072" s="505"/>
      <c r="T6072" s="505"/>
      <c r="U6072" s="505"/>
      <c r="V6072" s="505"/>
      <c r="W6072" s="505"/>
      <c r="X6072" s="505"/>
      <c r="Y6072" s="505"/>
    </row>
    <row r="6073" spans="1:25" s="88" customFormat="1" hidden="1" x14ac:dyDescent="0.25">
      <c r="A6073" s="258"/>
      <c r="B6073" s="258"/>
      <c r="C6073" s="261"/>
      <c r="D6073" s="258"/>
      <c r="E6073" s="679"/>
      <c r="F6073" s="499">
        <v>523</v>
      </c>
      <c r="G6073" s="492" t="s">
        <v>3839</v>
      </c>
      <c r="H6073" s="555"/>
      <c r="I6073" s="556"/>
      <c r="J6073" s="556">
        <f t="shared" si="200"/>
        <v>0</v>
      </c>
      <c r="K6073" s="505"/>
      <c r="L6073" s="505"/>
      <c r="M6073" s="505"/>
      <c r="N6073" s="505"/>
      <c r="O6073" s="505"/>
      <c r="P6073" s="505"/>
      <c r="Q6073" s="505"/>
      <c r="R6073" s="505"/>
      <c r="S6073" s="505"/>
      <c r="T6073" s="505"/>
      <c r="U6073" s="505"/>
      <c r="V6073" s="505"/>
      <c r="W6073" s="505"/>
      <c r="X6073" s="505"/>
      <c r="Y6073" s="505"/>
    </row>
    <row r="6074" spans="1:25" s="88" customFormat="1" hidden="1" x14ac:dyDescent="0.25">
      <c r="A6074" s="258"/>
      <c r="B6074" s="258"/>
      <c r="C6074" s="261"/>
      <c r="D6074" s="258"/>
      <c r="E6074" s="679"/>
      <c r="F6074" s="499">
        <v>531</v>
      </c>
      <c r="G6074" s="488" t="s">
        <v>4139</v>
      </c>
      <c r="H6074" s="555"/>
      <c r="I6074" s="556"/>
      <c r="J6074" s="556">
        <f t="shared" si="200"/>
        <v>0</v>
      </c>
      <c r="K6074" s="505"/>
      <c r="L6074" s="505"/>
      <c r="M6074" s="505"/>
      <c r="N6074" s="505"/>
      <c r="O6074" s="505"/>
      <c r="P6074" s="505"/>
      <c r="Q6074" s="505"/>
      <c r="R6074" s="505"/>
      <c r="S6074" s="505"/>
      <c r="T6074" s="505"/>
      <c r="U6074" s="505"/>
      <c r="V6074" s="505"/>
      <c r="W6074" s="505"/>
      <c r="X6074" s="505"/>
      <c r="Y6074" s="505"/>
    </row>
    <row r="6075" spans="1:25" s="88" customFormat="1" hidden="1" x14ac:dyDescent="0.25">
      <c r="A6075" s="258"/>
      <c r="B6075" s="258"/>
      <c r="C6075" s="261"/>
      <c r="D6075" s="258"/>
      <c r="E6075" s="679"/>
      <c r="F6075" s="499">
        <v>541</v>
      </c>
      <c r="G6075" s="492" t="s">
        <v>4164</v>
      </c>
      <c r="H6075" s="555"/>
      <c r="I6075" s="556"/>
      <c r="J6075" s="556">
        <f t="shared" si="200"/>
        <v>0</v>
      </c>
      <c r="K6075" s="505"/>
      <c r="L6075" s="505"/>
      <c r="M6075" s="505"/>
      <c r="N6075" s="505"/>
      <c r="O6075" s="505"/>
      <c r="P6075" s="505"/>
      <c r="Q6075" s="505"/>
      <c r="R6075" s="505"/>
      <c r="S6075" s="505"/>
      <c r="T6075" s="505"/>
      <c r="U6075" s="505"/>
      <c r="V6075" s="505"/>
      <c r="W6075" s="505"/>
      <c r="X6075" s="505"/>
      <c r="Y6075" s="505"/>
    </row>
    <row r="6076" spans="1:25" s="88" customFormat="1" hidden="1" x14ac:dyDescent="0.25">
      <c r="A6076" s="258"/>
      <c r="B6076" s="258"/>
      <c r="C6076" s="261"/>
      <c r="D6076" s="258"/>
      <c r="E6076" s="679"/>
      <c r="F6076" s="499">
        <v>542</v>
      </c>
      <c r="G6076" s="492" t="s">
        <v>4165</v>
      </c>
      <c r="H6076" s="555"/>
      <c r="I6076" s="556"/>
      <c r="J6076" s="556">
        <f t="shared" si="200"/>
        <v>0</v>
      </c>
      <c r="K6076" s="505"/>
      <c r="L6076" s="505"/>
      <c r="M6076" s="505"/>
      <c r="N6076" s="505"/>
      <c r="O6076" s="505"/>
      <c r="P6076" s="505"/>
      <c r="Q6076" s="505"/>
      <c r="R6076" s="505"/>
      <c r="S6076" s="505"/>
      <c r="T6076" s="505"/>
      <c r="U6076" s="505"/>
      <c r="V6076" s="505"/>
      <c r="W6076" s="505"/>
      <c r="X6076" s="505"/>
      <c r="Y6076" s="505"/>
    </row>
    <row r="6077" spans="1:25" s="88" customFormat="1" hidden="1" x14ac:dyDescent="0.25">
      <c r="A6077" s="258"/>
      <c r="B6077" s="258"/>
      <c r="C6077" s="261"/>
      <c r="D6077" s="258"/>
      <c r="E6077" s="679"/>
      <c r="F6077" s="499">
        <v>543</v>
      </c>
      <c r="G6077" s="492" t="s">
        <v>3844</v>
      </c>
      <c r="H6077" s="555"/>
      <c r="I6077" s="556"/>
      <c r="J6077" s="556">
        <f t="shared" si="200"/>
        <v>0</v>
      </c>
      <c r="K6077" s="505"/>
      <c r="L6077" s="505"/>
      <c r="M6077" s="505"/>
      <c r="N6077" s="505"/>
      <c r="O6077" s="505"/>
      <c r="P6077" s="505"/>
      <c r="Q6077" s="505"/>
      <c r="R6077" s="505"/>
      <c r="S6077" s="505"/>
      <c r="T6077" s="505"/>
      <c r="U6077" s="505"/>
      <c r="V6077" s="505"/>
      <c r="W6077" s="505"/>
      <c r="X6077" s="505"/>
      <c r="Y6077" s="505"/>
    </row>
    <row r="6078" spans="1:25" s="88" customFormat="1" ht="30" hidden="1" x14ac:dyDescent="0.25">
      <c r="A6078" s="258"/>
      <c r="B6078" s="258"/>
      <c r="C6078" s="261"/>
      <c r="D6078" s="258"/>
      <c r="E6078" s="679"/>
      <c r="F6078" s="499">
        <v>551</v>
      </c>
      <c r="G6078" s="492" t="s">
        <v>4140</v>
      </c>
      <c r="H6078" s="555"/>
      <c r="I6078" s="556"/>
      <c r="J6078" s="556">
        <f t="shared" si="200"/>
        <v>0</v>
      </c>
      <c r="K6078" s="505"/>
      <c r="L6078" s="505"/>
      <c r="M6078" s="505"/>
      <c r="N6078" s="505"/>
      <c r="O6078" s="505"/>
      <c r="P6078" s="505"/>
      <c r="Q6078" s="505"/>
      <c r="R6078" s="505"/>
      <c r="S6078" s="505"/>
      <c r="T6078" s="505"/>
      <c r="U6078" s="505"/>
      <c r="V6078" s="505"/>
      <c r="W6078" s="505"/>
      <c r="X6078" s="505"/>
      <c r="Y6078" s="505"/>
    </row>
    <row r="6079" spans="1:25" s="88" customFormat="1" hidden="1" x14ac:dyDescent="0.25">
      <c r="A6079" s="258"/>
      <c r="B6079" s="258"/>
      <c r="C6079" s="261"/>
      <c r="D6079" s="258"/>
      <c r="E6079" s="679"/>
      <c r="F6079" s="500">
        <v>611</v>
      </c>
      <c r="G6079" s="498" t="s">
        <v>3850</v>
      </c>
      <c r="H6079" s="555"/>
      <c r="I6079" s="556"/>
      <c r="J6079" s="556">
        <f t="shared" si="200"/>
        <v>0</v>
      </c>
      <c r="K6079" s="505"/>
      <c r="L6079" s="505"/>
      <c r="M6079" s="505"/>
      <c r="N6079" s="505"/>
      <c r="O6079" s="505"/>
      <c r="P6079" s="505"/>
      <c r="Q6079" s="505"/>
      <c r="R6079" s="505"/>
      <c r="S6079" s="505"/>
      <c r="T6079" s="505"/>
      <c r="U6079" s="505"/>
      <c r="V6079" s="505"/>
      <c r="W6079" s="505"/>
      <c r="X6079" s="505"/>
      <c r="Y6079" s="505"/>
    </row>
    <row r="6080" spans="1:25" s="88" customFormat="1" ht="0.75" customHeight="1" thickBot="1" x14ac:dyDescent="0.3">
      <c r="A6080" s="258"/>
      <c r="B6080" s="258"/>
      <c r="C6080" s="261"/>
      <c r="D6080" s="258"/>
      <c r="E6080" s="679"/>
      <c r="F6080" s="500">
        <v>620</v>
      </c>
      <c r="G6080" s="498" t="s">
        <v>88</v>
      </c>
      <c r="H6080" s="555"/>
      <c r="I6080" s="556"/>
      <c r="J6080" s="556">
        <f t="shared" si="200"/>
        <v>0</v>
      </c>
      <c r="K6080" s="505"/>
      <c r="L6080" s="505"/>
      <c r="M6080" s="505"/>
      <c r="N6080" s="505"/>
      <c r="O6080" s="505"/>
      <c r="P6080" s="505"/>
      <c r="Q6080" s="505"/>
      <c r="R6080" s="505"/>
      <c r="S6080" s="505"/>
      <c r="T6080" s="505"/>
      <c r="U6080" s="505"/>
      <c r="V6080" s="505"/>
      <c r="W6080" s="505"/>
      <c r="X6080" s="505"/>
      <c r="Y6080" s="505"/>
    </row>
    <row r="6081" spans="1:25" s="88" customFormat="1" x14ac:dyDescent="0.25">
      <c r="A6081" s="258"/>
      <c r="B6081" s="258"/>
      <c r="C6081" s="261"/>
      <c r="D6081" s="258"/>
      <c r="E6081" s="489"/>
      <c r="F6081" s="500"/>
      <c r="G6081" s="343" t="s">
        <v>4293</v>
      </c>
      <c r="H6081" s="557"/>
      <c r="I6081" s="583"/>
      <c r="J6081" s="558"/>
      <c r="K6081" s="505"/>
      <c r="L6081" s="505"/>
      <c r="M6081" s="505"/>
      <c r="N6081" s="505"/>
      <c r="O6081" s="505"/>
      <c r="P6081" s="505"/>
      <c r="Q6081" s="505"/>
      <c r="R6081" s="505"/>
      <c r="S6081" s="505"/>
      <c r="T6081" s="505"/>
      <c r="U6081" s="505"/>
      <c r="V6081" s="505"/>
      <c r="W6081" s="505"/>
      <c r="X6081" s="505"/>
      <c r="Y6081" s="505"/>
    </row>
    <row r="6082" spans="1:25" s="88" customFormat="1" ht="15.75" thickBot="1" x14ac:dyDescent="0.3">
      <c r="A6082" s="258"/>
      <c r="B6082" s="258"/>
      <c r="C6082" s="261"/>
      <c r="D6082" s="258"/>
      <c r="E6082" s="693"/>
      <c r="F6082" s="597" t="s">
        <v>234</v>
      </c>
      <c r="G6082" s="598" t="s">
        <v>235</v>
      </c>
      <c r="H6082" s="559">
        <f>SUM(H6021:H6080)</f>
        <v>400000</v>
      </c>
      <c r="I6082" s="560"/>
      <c r="J6082" s="560">
        <f t="shared" ref="J6082:J6097" si="201">SUM(H6082:I6082)</f>
        <v>400000</v>
      </c>
      <c r="K6082" s="505"/>
      <c r="L6082" s="505"/>
      <c r="M6082" s="505"/>
      <c r="N6082" s="505"/>
      <c r="O6082" s="505"/>
      <c r="P6082" s="505"/>
      <c r="Q6082" s="505"/>
      <c r="R6082" s="505"/>
      <c r="S6082" s="505"/>
      <c r="T6082" s="505"/>
      <c r="U6082" s="505"/>
      <c r="V6082" s="505"/>
      <c r="W6082" s="505"/>
      <c r="X6082" s="505"/>
      <c r="Y6082" s="505"/>
    </row>
    <row r="6083" spans="1:25" s="88" customFormat="1" ht="15.75" hidden="1" thickBot="1" x14ac:dyDescent="0.3">
      <c r="A6083" s="258"/>
      <c r="B6083" s="258"/>
      <c r="C6083" s="261"/>
      <c r="D6083" s="258"/>
      <c r="E6083" s="679"/>
      <c r="F6083" s="597" t="s">
        <v>236</v>
      </c>
      <c r="G6083" s="598" t="s">
        <v>237</v>
      </c>
      <c r="H6083" s="555"/>
      <c r="I6083" s="556"/>
      <c r="J6083" s="560">
        <f t="shared" si="201"/>
        <v>0</v>
      </c>
      <c r="K6083" s="505"/>
      <c r="L6083" s="505"/>
      <c r="M6083" s="505"/>
      <c r="N6083" s="505"/>
      <c r="O6083" s="505"/>
      <c r="P6083" s="505"/>
      <c r="Q6083" s="505"/>
      <c r="R6083" s="505"/>
      <c r="S6083" s="505"/>
      <c r="T6083" s="505"/>
      <c r="U6083" s="505"/>
      <c r="V6083" s="505"/>
      <c r="W6083" s="505"/>
      <c r="X6083" s="505"/>
      <c r="Y6083" s="505"/>
    </row>
    <row r="6084" spans="1:25" s="88" customFormat="1" ht="15.75" hidden="1" thickBot="1" x14ac:dyDescent="0.3">
      <c r="A6084" s="258"/>
      <c r="B6084" s="258"/>
      <c r="C6084" s="261"/>
      <c r="D6084" s="258"/>
      <c r="E6084" s="679"/>
      <c r="F6084" s="597" t="s">
        <v>238</v>
      </c>
      <c r="G6084" s="598" t="s">
        <v>239</v>
      </c>
      <c r="H6084" s="555"/>
      <c r="I6084" s="556"/>
      <c r="J6084" s="560">
        <f t="shared" si="201"/>
        <v>0</v>
      </c>
      <c r="K6084" s="505"/>
      <c r="L6084" s="505"/>
      <c r="M6084" s="505"/>
      <c r="N6084" s="505"/>
      <c r="O6084" s="505"/>
      <c r="P6084" s="505"/>
      <c r="Q6084" s="505"/>
      <c r="R6084" s="505"/>
      <c r="S6084" s="505"/>
      <c r="T6084" s="505"/>
      <c r="U6084" s="505"/>
      <c r="V6084" s="505"/>
      <c r="W6084" s="505"/>
      <c r="X6084" s="505"/>
      <c r="Y6084" s="505"/>
    </row>
    <row r="6085" spans="1:25" s="88" customFormat="1" ht="15.75" hidden="1" thickBot="1" x14ac:dyDescent="0.3">
      <c r="A6085" s="258"/>
      <c r="B6085" s="258"/>
      <c r="C6085" s="261"/>
      <c r="D6085" s="258"/>
      <c r="E6085" s="679"/>
      <c r="F6085" s="597" t="s">
        <v>240</v>
      </c>
      <c r="G6085" s="598" t="s">
        <v>241</v>
      </c>
      <c r="H6085" s="555"/>
      <c r="I6085" s="556"/>
      <c r="J6085" s="560">
        <f t="shared" si="201"/>
        <v>0</v>
      </c>
      <c r="K6085" s="505"/>
      <c r="L6085" s="505"/>
      <c r="M6085" s="505"/>
      <c r="N6085" s="505"/>
      <c r="O6085" s="505"/>
      <c r="P6085" s="505"/>
      <c r="Q6085" s="505"/>
      <c r="R6085" s="505"/>
      <c r="S6085" s="505"/>
      <c r="T6085" s="505"/>
      <c r="U6085" s="505"/>
      <c r="V6085" s="505"/>
      <c r="W6085" s="505"/>
      <c r="X6085" s="505"/>
      <c r="Y6085" s="505"/>
    </row>
    <row r="6086" spans="1:25" s="88" customFormat="1" ht="15.75" hidden="1" thickBot="1" x14ac:dyDescent="0.3">
      <c r="A6086" s="258"/>
      <c r="B6086" s="258"/>
      <c r="C6086" s="261"/>
      <c r="D6086" s="258"/>
      <c r="E6086" s="679"/>
      <c r="F6086" s="597" t="s">
        <v>242</v>
      </c>
      <c r="G6086" s="598" t="s">
        <v>243</v>
      </c>
      <c r="H6086" s="555"/>
      <c r="I6086" s="556"/>
      <c r="J6086" s="560">
        <f t="shared" si="201"/>
        <v>0</v>
      </c>
      <c r="K6086" s="505"/>
      <c r="L6086" s="505"/>
      <c r="M6086" s="505"/>
      <c r="N6086" s="505"/>
      <c r="O6086" s="505"/>
      <c r="P6086" s="505"/>
      <c r="Q6086" s="505"/>
      <c r="R6086" s="505"/>
      <c r="S6086" s="505"/>
      <c r="T6086" s="505"/>
      <c r="U6086" s="505"/>
      <c r="V6086" s="505"/>
      <c r="W6086" s="505"/>
      <c r="X6086" s="505"/>
      <c r="Y6086" s="505"/>
    </row>
    <row r="6087" spans="1:25" s="88" customFormat="1" ht="15.75" hidden="1" thickBot="1" x14ac:dyDescent="0.3">
      <c r="A6087" s="258"/>
      <c r="B6087" s="258"/>
      <c r="C6087" s="261"/>
      <c r="D6087" s="258"/>
      <c r="E6087" s="679"/>
      <c r="F6087" s="597" t="s">
        <v>244</v>
      </c>
      <c r="G6087" s="598" t="s">
        <v>245</v>
      </c>
      <c r="H6087" s="555"/>
      <c r="I6087" s="556"/>
      <c r="J6087" s="560">
        <f t="shared" si="201"/>
        <v>0</v>
      </c>
      <c r="K6087" s="505"/>
      <c r="L6087" s="505"/>
      <c r="M6087" s="505"/>
      <c r="N6087" s="505"/>
      <c r="O6087" s="505"/>
      <c r="P6087" s="505"/>
      <c r="Q6087" s="505"/>
      <c r="R6087" s="505"/>
      <c r="S6087" s="505"/>
      <c r="T6087" s="505"/>
      <c r="U6087" s="505"/>
      <c r="V6087" s="505"/>
      <c r="W6087" s="505"/>
      <c r="X6087" s="505"/>
      <c r="Y6087" s="505"/>
    </row>
    <row r="6088" spans="1:25" s="88" customFormat="1" ht="15.75" hidden="1" thickBot="1" x14ac:dyDescent="0.3">
      <c r="A6088" s="258"/>
      <c r="B6088" s="258"/>
      <c r="C6088" s="261"/>
      <c r="D6088" s="258"/>
      <c r="E6088" s="679"/>
      <c r="F6088" s="597" t="s">
        <v>246</v>
      </c>
      <c r="G6088" s="598" t="s">
        <v>4996</v>
      </c>
      <c r="H6088" s="555"/>
      <c r="I6088" s="556"/>
      <c r="J6088" s="560">
        <f t="shared" si="201"/>
        <v>0</v>
      </c>
      <c r="K6088" s="505"/>
      <c r="L6088" s="505"/>
      <c r="M6088" s="505"/>
      <c r="N6088" s="505"/>
      <c r="O6088" s="505"/>
      <c r="P6088" s="505"/>
      <c r="Q6088" s="505"/>
      <c r="R6088" s="505"/>
      <c r="S6088" s="505"/>
      <c r="T6088" s="505"/>
      <c r="U6088" s="505"/>
      <c r="V6088" s="505"/>
      <c r="W6088" s="505"/>
      <c r="X6088" s="505"/>
      <c r="Y6088" s="505"/>
    </row>
    <row r="6089" spans="1:25" s="88" customFormat="1" ht="15.75" hidden="1" thickBot="1" x14ac:dyDescent="0.3">
      <c r="A6089" s="258"/>
      <c r="B6089" s="258"/>
      <c r="C6089" s="261"/>
      <c r="D6089" s="258"/>
      <c r="E6089" s="679"/>
      <c r="F6089" s="597" t="s">
        <v>247</v>
      </c>
      <c r="G6089" s="598" t="s">
        <v>4995</v>
      </c>
      <c r="H6089" s="555"/>
      <c r="I6089" s="556"/>
      <c r="J6089" s="560">
        <f t="shared" si="201"/>
        <v>0</v>
      </c>
      <c r="K6089" s="505"/>
      <c r="L6089" s="505"/>
      <c r="M6089" s="505"/>
      <c r="N6089" s="505"/>
      <c r="O6089" s="505"/>
      <c r="P6089" s="505"/>
      <c r="Q6089" s="505"/>
      <c r="R6089" s="505"/>
      <c r="S6089" s="505"/>
      <c r="T6089" s="505"/>
      <c r="U6089" s="505"/>
      <c r="V6089" s="505"/>
      <c r="W6089" s="505"/>
      <c r="X6089" s="505"/>
      <c r="Y6089" s="505"/>
    </row>
    <row r="6090" spans="1:25" s="88" customFormat="1" ht="15.75" hidden="1" thickBot="1" x14ac:dyDescent="0.3">
      <c r="A6090" s="258"/>
      <c r="B6090" s="258"/>
      <c r="C6090" s="261"/>
      <c r="D6090" s="258"/>
      <c r="E6090" s="679"/>
      <c r="F6090" s="597" t="s">
        <v>248</v>
      </c>
      <c r="G6090" s="598" t="s">
        <v>57</v>
      </c>
      <c r="H6090" s="555"/>
      <c r="I6090" s="556"/>
      <c r="J6090" s="560">
        <f t="shared" si="201"/>
        <v>0</v>
      </c>
      <c r="K6090" s="505"/>
      <c r="L6090" s="505"/>
      <c r="M6090" s="505"/>
      <c r="N6090" s="505"/>
      <c r="O6090" s="505"/>
      <c r="P6090" s="505"/>
      <c r="Q6090" s="505"/>
      <c r="R6090" s="505"/>
      <c r="S6090" s="505"/>
      <c r="T6090" s="505"/>
      <c r="U6090" s="505"/>
      <c r="V6090" s="505"/>
      <c r="W6090" s="505"/>
      <c r="X6090" s="505"/>
      <c r="Y6090" s="505"/>
    </row>
    <row r="6091" spans="1:25" s="88" customFormat="1" ht="15.75" hidden="1" thickBot="1" x14ac:dyDescent="0.3">
      <c r="A6091" s="258"/>
      <c r="B6091" s="258"/>
      <c r="C6091" s="261"/>
      <c r="D6091" s="258"/>
      <c r="E6091" s="679"/>
      <c r="F6091" s="597" t="s">
        <v>249</v>
      </c>
      <c r="G6091" s="598" t="s">
        <v>250</v>
      </c>
      <c r="H6091" s="555"/>
      <c r="I6091" s="556"/>
      <c r="J6091" s="560">
        <f t="shared" si="201"/>
        <v>0</v>
      </c>
      <c r="K6091" s="505"/>
      <c r="L6091" s="505"/>
      <c r="M6091" s="505"/>
      <c r="N6091" s="505"/>
      <c r="O6091" s="505"/>
      <c r="P6091" s="505"/>
      <c r="Q6091" s="505"/>
      <c r="R6091" s="505"/>
      <c r="S6091" s="505"/>
      <c r="T6091" s="505"/>
      <c r="U6091" s="505"/>
      <c r="V6091" s="505"/>
      <c r="W6091" s="505"/>
      <c r="X6091" s="505"/>
      <c r="Y6091" s="505"/>
    </row>
    <row r="6092" spans="1:25" s="88" customFormat="1" ht="15.75" hidden="1" thickBot="1" x14ac:dyDescent="0.3">
      <c r="A6092" s="258"/>
      <c r="B6092" s="258"/>
      <c r="C6092" s="261"/>
      <c r="D6092" s="258"/>
      <c r="E6092" s="679"/>
      <c r="F6092" s="597" t="s">
        <v>251</v>
      </c>
      <c r="G6092" s="598" t="s">
        <v>252</v>
      </c>
      <c r="H6092" s="555"/>
      <c r="I6092" s="556"/>
      <c r="J6092" s="560">
        <f t="shared" si="201"/>
        <v>0</v>
      </c>
      <c r="K6092" s="505"/>
      <c r="L6092" s="505"/>
      <c r="M6092" s="505"/>
      <c r="N6092" s="505"/>
      <c r="O6092" s="505"/>
      <c r="P6092" s="505"/>
      <c r="Q6092" s="505"/>
      <c r="R6092" s="505"/>
      <c r="S6092" s="505"/>
      <c r="T6092" s="505"/>
      <c r="U6092" s="505"/>
      <c r="V6092" s="505"/>
      <c r="W6092" s="505"/>
      <c r="X6092" s="505"/>
      <c r="Y6092" s="505"/>
    </row>
    <row r="6093" spans="1:25" s="88" customFormat="1" ht="30.75" hidden="1" thickBot="1" x14ac:dyDescent="0.3">
      <c r="A6093" s="258"/>
      <c r="B6093" s="258"/>
      <c r="C6093" s="261"/>
      <c r="D6093" s="258"/>
      <c r="E6093" s="679"/>
      <c r="F6093" s="597" t="s">
        <v>253</v>
      </c>
      <c r="G6093" s="598" t="s">
        <v>254</v>
      </c>
      <c r="H6093" s="555"/>
      <c r="I6093" s="556"/>
      <c r="J6093" s="560">
        <f t="shared" si="201"/>
        <v>0</v>
      </c>
      <c r="K6093" s="505"/>
      <c r="L6093" s="505"/>
      <c r="M6093" s="505"/>
      <c r="N6093" s="505"/>
      <c r="O6093" s="505"/>
      <c r="P6093" s="505"/>
      <c r="Q6093" s="505"/>
      <c r="R6093" s="505"/>
      <c r="S6093" s="505"/>
      <c r="T6093" s="505"/>
      <c r="U6093" s="505"/>
      <c r="V6093" s="505"/>
      <c r="W6093" s="505"/>
      <c r="X6093" s="505"/>
      <c r="Y6093" s="505"/>
    </row>
    <row r="6094" spans="1:25" s="88" customFormat="1" ht="15.75" hidden="1" thickBot="1" x14ac:dyDescent="0.3">
      <c r="A6094" s="258"/>
      <c r="B6094" s="258"/>
      <c r="C6094" s="261"/>
      <c r="D6094" s="258"/>
      <c r="E6094" s="679"/>
      <c r="F6094" s="597" t="s">
        <v>255</v>
      </c>
      <c r="G6094" s="598" t="s">
        <v>256</v>
      </c>
      <c r="H6094" s="555"/>
      <c r="I6094" s="556"/>
      <c r="J6094" s="560">
        <f t="shared" si="201"/>
        <v>0</v>
      </c>
      <c r="K6094" s="505"/>
      <c r="L6094" s="505"/>
      <c r="M6094" s="505"/>
      <c r="N6094" s="505"/>
      <c r="O6094" s="505"/>
      <c r="P6094" s="505"/>
      <c r="Q6094" s="505"/>
      <c r="R6094" s="505"/>
      <c r="S6094" s="505"/>
      <c r="T6094" s="505"/>
      <c r="U6094" s="505"/>
      <c r="V6094" s="505"/>
      <c r="W6094" s="505"/>
      <c r="X6094" s="505"/>
      <c r="Y6094" s="505"/>
    </row>
    <row r="6095" spans="1:25" s="88" customFormat="1" ht="30.75" hidden="1" thickBot="1" x14ac:dyDescent="0.3">
      <c r="A6095" s="258"/>
      <c r="B6095" s="258"/>
      <c r="C6095" s="261"/>
      <c r="D6095" s="258"/>
      <c r="E6095" s="679"/>
      <c r="F6095" s="597" t="s">
        <v>257</v>
      </c>
      <c r="G6095" s="598" t="s">
        <v>258</v>
      </c>
      <c r="H6095" s="555"/>
      <c r="I6095" s="556"/>
      <c r="J6095" s="560">
        <f t="shared" si="201"/>
        <v>0</v>
      </c>
      <c r="K6095" s="505"/>
      <c r="L6095" s="505"/>
      <c r="M6095" s="505"/>
      <c r="N6095" s="505"/>
      <c r="O6095" s="505"/>
      <c r="P6095" s="505"/>
      <c r="Q6095" s="505"/>
      <c r="R6095" s="505"/>
      <c r="S6095" s="505"/>
      <c r="T6095" s="505"/>
      <c r="U6095" s="505"/>
      <c r="V6095" s="505"/>
      <c r="W6095" s="505"/>
      <c r="X6095" s="505"/>
      <c r="Y6095" s="505"/>
    </row>
    <row r="6096" spans="1:25" s="88" customFormat="1" ht="15.75" hidden="1" thickBot="1" x14ac:dyDescent="0.3">
      <c r="A6096" s="258"/>
      <c r="B6096" s="258"/>
      <c r="C6096" s="261"/>
      <c r="D6096" s="258"/>
      <c r="E6096" s="679"/>
      <c r="F6096" s="597" t="s">
        <v>259</v>
      </c>
      <c r="G6096" s="598" t="s">
        <v>260</v>
      </c>
      <c r="H6096" s="555"/>
      <c r="I6096" s="556"/>
      <c r="J6096" s="560">
        <f t="shared" si="201"/>
        <v>0</v>
      </c>
      <c r="K6096" s="505"/>
      <c r="L6096" s="505"/>
      <c r="M6096" s="505"/>
      <c r="N6096" s="505"/>
      <c r="O6096" s="505"/>
      <c r="P6096" s="505"/>
      <c r="Q6096" s="505"/>
      <c r="R6096" s="505"/>
      <c r="S6096" s="505"/>
      <c r="T6096" s="505"/>
      <c r="U6096" s="505"/>
      <c r="V6096" s="505"/>
      <c r="W6096" s="505"/>
      <c r="X6096" s="505"/>
      <c r="Y6096" s="505"/>
    </row>
    <row r="6097" spans="1:25" s="88" customFormat="1" ht="15.75" hidden="1" thickBot="1" x14ac:dyDescent="0.3">
      <c r="A6097" s="258"/>
      <c r="B6097" s="258"/>
      <c r="C6097" s="261"/>
      <c r="D6097" s="258"/>
      <c r="E6097" s="679"/>
      <c r="F6097" s="597" t="s">
        <v>261</v>
      </c>
      <c r="G6097" s="598" t="s">
        <v>262</v>
      </c>
      <c r="H6097" s="559"/>
      <c r="I6097" s="560"/>
      <c r="J6097" s="560">
        <f t="shared" si="201"/>
        <v>0</v>
      </c>
      <c r="K6097" s="505"/>
      <c r="L6097" s="505"/>
      <c r="M6097" s="505"/>
      <c r="N6097" s="505"/>
      <c r="O6097" s="505"/>
      <c r="P6097" s="505"/>
      <c r="Q6097" s="505"/>
      <c r="R6097" s="505"/>
      <c r="S6097" s="505"/>
      <c r="T6097" s="505"/>
      <c r="U6097" s="505"/>
      <c r="V6097" s="505"/>
      <c r="W6097" s="505"/>
      <c r="X6097" s="505"/>
      <c r="Y6097" s="505"/>
    </row>
    <row r="6098" spans="1:25" s="88" customFormat="1" ht="18" customHeight="1" thickBot="1" x14ac:dyDescent="0.3">
      <c r="A6098" s="258"/>
      <c r="B6098" s="258"/>
      <c r="C6098" s="261"/>
      <c r="D6098" s="258"/>
      <c r="E6098" s="679"/>
      <c r="F6098" s="258"/>
      <c r="G6098" s="268" t="s">
        <v>4294</v>
      </c>
      <c r="H6098" s="561">
        <f>SUM(H6082:H6097)</f>
        <v>400000</v>
      </c>
      <c r="I6098" s="562">
        <f>SUM(I6083:I6097)</f>
        <v>0</v>
      </c>
      <c r="J6098" s="562">
        <f>SUM(J6082:J6097)</f>
        <v>400000</v>
      </c>
      <c r="K6098" s="505"/>
      <c r="L6098" s="505"/>
      <c r="M6098" s="505"/>
      <c r="N6098" s="505"/>
      <c r="O6098" s="505"/>
      <c r="P6098" s="505"/>
      <c r="Q6098" s="505"/>
      <c r="R6098" s="505"/>
      <c r="S6098" s="505"/>
      <c r="T6098" s="505"/>
      <c r="U6098" s="505"/>
      <c r="V6098" s="505"/>
      <c r="W6098" s="505"/>
      <c r="X6098" s="505"/>
      <c r="Y6098" s="505"/>
    </row>
    <row r="6099" spans="1:25" s="88" customFormat="1" ht="28.5" x14ac:dyDescent="0.25">
      <c r="A6099" s="258"/>
      <c r="B6099" s="258"/>
      <c r="C6099" s="261"/>
      <c r="D6099" s="258"/>
      <c r="E6099" s="489"/>
      <c r="F6099" s="500"/>
      <c r="G6099" s="270" t="s">
        <v>5318</v>
      </c>
      <c r="H6099" s="563"/>
      <c r="I6099" s="584"/>
      <c r="J6099" s="564"/>
      <c r="K6099" s="505"/>
      <c r="L6099" s="505"/>
      <c r="M6099" s="505"/>
      <c r="N6099" s="505"/>
      <c r="O6099" s="505"/>
      <c r="P6099" s="505"/>
      <c r="Q6099" s="505"/>
      <c r="R6099" s="505"/>
      <c r="S6099" s="505"/>
      <c r="T6099" s="505"/>
      <c r="U6099" s="505"/>
      <c r="V6099" s="505"/>
      <c r="W6099" s="505"/>
      <c r="X6099" s="505"/>
      <c r="Y6099" s="505"/>
    </row>
    <row r="6100" spans="1:25" s="88" customFormat="1" ht="15.75" thickBot="1" x14ac:dyDescent="0.3">
      <c r="A6100" s="258"/>
      <c r="B6100" s="258"/>
      <c r="C6100" s="261"/>
      <c r="D6100" s="258"/>
      <c r="E6100" s="693"/>
      <c r="F6100" s="597" t="s">
        <v>234</v>
      </c>
      <c r="G6100" s="598" t="s">
        <v>235</v>
      </c>
      <c r="H6100" s="559">
        <f>SUM(H6021:H6080)</f>
        <v>400000</v>
      </c>
      <c r="I6100" s="560"/>
      <c r="J6100" s="560">
        <f>SUM(H6100:I6100)</f>
        <v>400000</v>
      </c>
      <c r="K6100" s="505"/>
      <c r="L6100" s="505"/>
      <c r="M6100" s="505"/>
      <c r="N6100" s="505"/>
      <c r="O6100" s="505"/>
      <c r="P6100" s="505"/>
      <c r="Q6100" s="505"/>
      <c r="R6100" s="505"/>
      <c r="S6100" s="505"/>
      <c r="T6100" s="505"/>
      <c r="U6100" s="505"/>
      <c r="V6100" s="505"/>
      <c r="W6100" s="505"/>
      <c r="X6100" s="505"/>
      <c r="Y6100" s="505"/>
    </row>
    <row r="6101" spans="1:25" s="88" customFormat="1" ht="15.75" hidden="1" thickBot="1" x14ac:dyDescent="0.3">
      <c r="A6101" s="258"/>
      <c r="B6101" s="258"/>
      <c r="C6101" s="261"/>
      <c r="D6101" s="258"/>
      <c r="E6101" s="679"/>
      <c r="F6101" s="597" t="s">
        <v>236</v>
      </c>
      <c r="G6101" s="598" t="s">
        <v>237</v>
      </c>
      <c r="H6101" s="555"/>
      <c r="I6101" s="556"/>
      <c r="J6101" s="560">
        <f t="shared" ref="J6101:J6115" si="202">SUM(H6101:I6101)</f>
        <v>0</v>
      </c>
      <c r="K6101" s="505"/>
      <c r="L6101" s="505"/>
      <c r="M6101" s="505"/>
      <c r="N6101" s="505"/>
      <c r="O6101" s="505"/>
      <c r="P6101" s="505"/>
      <c r="Q6101" s="505"/>
      <c r="R6101" s="505"/>
      <c r="S6101" s="505"/>
      <c r="T6101" s="505"/>
      <c r="U6101" s="505"/>
      <c r="V6101" s="505"/>
      <c r="W6101" s="505"/>
      <c r="X6101" s="505"/>
      <c r="Y6101" s="505"/>
    </row>
    <row r="6102" spans="1:25" s="88" customFormat="1" ht="15.75" hidden="1" thickBot="1" x14ac:dyDescent="0.3">
      <c r="A6102" s="258"/>
      <c r="B6102" s="258"/>
      <c r="C6102" s="261"/>
      <c r="D6102" s="258"/>
      <c r="E6102" s="679"/>
      <c r="F6102" s="597" t="s">
        <v>238</v>
      </c>
      <c r="G6102" s="598" t="s">
        <v>239</v>
      </c>
      <c r="H6102" s="555"/>
      <c r="I6102" s="556"/>
      <c r="J6102" s="560">
        <f t="shared" si="202"/>
        <v>0</v>
      </c>
      <c r="K6102" s="505"/>
      <c r="L6102" s="505"/>
      <c r="M6102" s="505"/>
      <c r="N6102" s="505"/>
      <c r="O6102" s="505"/>
      <c r="P6102" s="505"/>
      <c r="Q6102" s="505"/>
      <c r="R6102" s="505"/>
      <c r="S6102" s="505"/>
      <c r="T6102" s="505"/>
      <c r="U6102" s="505"/>
      <c r="V6102" s="505"/>
      <c r="W6102" s="505"/>
      <c r="X6102" s="505"/>
      <c r="Y6102" s="505"/>
    </row>
    <row r="6103" spans="1:25" s="88" customFormat="1" ht="15.75" hidden="1" thickBot="1" x14ac:dyDescent="0.3">
      <c r="A6103" s="258"/>
      <c r="B6103" s="258"/>
      <c r="C6103" s="261"/>
      <c r="D6103" s="258"/>
      <c r="E6103" s="679"/>
      <c r="F6103" s="597" t="s">
        <v>240</v>
      </c>
      <c r="G6103" s="598" t="s">
        <v>241</v>
      </c>
      <c r="H6103" s="555"/>
      <c r="I6103" s="556"/>
      <c r="J6103" s="560">
        <f t="shared" si="202"/>
        <v>0</v>
      </c>
      <c r="K6103" s="505"/>
      <c r="L6103" s="505"/>
      <c r="M6103" s="505"/>
      <c r="N6103" s="505"/>
      <c r="O6103" s="505"/>
      <c r="P6103" s="505"/>
      <c r="Q6103" s="505"/>
      <c r="R6103" s="505"/>
      <c r="S6103" s="505"/>
      <c r="T6103" s="505"/>
      <c r="U6103" s="505"/>
      <c r="V6103" s="505"/>
      <c r="W6103" s="505"/>
      <c r="X6103" s="505"/>
      <c r="Y6103" s="505"/>
    </row>
    <row r="6104" spans="1:25" s="88" customFormat="1" ht="15.75" hidden="1" thickBot="1" x14ac:dyDescent="0.3">
      <c r="A6104" s="258"/>
      <c r="B6104" s="258"/>
      <c r="C6104" s="261"/>
      <c r="D6104" s="258"/>
      <c r="E6104" s="679"/>
      <c r="F6104" s="597" t="s">
        <v>242</v>
      </c>
      <c r="G6104" s="598" t="s">
        <v>243</v>
      </c>
      <c r="H6104" s="555"/>
      <c r="I6104" s="556"/>
      <c r="J6104" s="560">
        <f t="shared" si="202"/>
        <v>0</v>
      </c>
      <c r="K6104" s="505"/>
      <c r="L6104" s="505"/>
      <c r="M6104" s="505"/>
      <c r="N6104" s="505"/>
      <c r="O6104" s="505"/>
      <c r="P6104" s="505"/>
      <c r="Q6104" s="505"/>
      <c r="R6104" s="505"/>
      <c r="S6104" s="505"/>
      <c r="T6104" s="505"/>
      <c r="U6104" s="505"/>
      <c r="V6104" s="505"/>
      <c r="W6104" s="505"/>
      <c r="X6104" s="505"/>
      <c r="Y6104" s="505"/>
    </row>
    <row r="6105" spans="1:25" s="88" customFormat="1" ht="15.75" hidden="1" thickBot="1" x14ac:dyDescent="0.3">
      <c r="A6105" s="258"/>
      <c r="B6105" s="258"/>
      <c r="C6105" s="261"/>
      <c r="D6105" s="258"/>
      <c r="E6105" s="679"/>
      <c r="F6105" s="597" t="s">
        <v>244</v>
      </c>
      <c r="G6105" s="598" t="s">
        <v>245</v>
      </c>
      <c r="H6105" s="555"/>
      <c r="I6105" s="556"/>
      <c r="J6105" s="560">
        <f t="shared" si="202"/>
        <v>0</v>
      </c>
      <c r="K6105" s="505"/>
      <c r="L6105" s="505"/>
      <c r="M6105" s="505"/>
      <c r="N6105" s="505"/>
      <c r="O6105" s="505"/>
      <c r="P6105" s="505"/>
      <c r="Q6105" s="505"/>
      <c r="R6105" s="505"/>
      <c r="S6105" s="505"/>
      <c r="T6105" s="505"/>
      <c r="U6105" s="505"/>
      <c r="V6105" s="505"/>
      <c r="W6105" s="505"/>
      <c r="X6105" s="505"/>
      <c r="Y6105" s="505"/>
    </row>
    <row r="6106" spans="1:25" s="88" customFormat="1" ht="15.75" hidden="1" thickBot="1" x14ac:dyDescent="0.3">
      <c r="A6106" s="258"/>
      <c r="B6106" s="258"/>
      <c r="C6106" s="261"/>
      <c r="D6106" s="258"/>
      <c r="E6106" s="679"/>
      <c r="F6106" s="597" t="s">
        <v>246</v>
      </c>
      <c r="G6106" s="598" t="s">
        <v>4996</v>
      </c>
      <c r="H6106" s="555"/>
      <c r="I6106" s="556"/>
      <c r="J6106" s="560">
        <f t="shared" si="202"/>
        <v>0</v>
      </c>
      <c r="K6106" s="505"/>
      <c r="L6106" s="505"/>
      <c r="M6106" s="505"/>
      <c r="N6106" s="505"/>
      <c r="O6106" s="505"/>
      <c r="P6106" s="505"/>
      <c r="Q6106" s="505"/>
      <c r="R6106" s="505"/>
      <c r="S6106" s="505"/>
      <c r="T6106" s="505"/>
      <c r="U6106" s="505"/>
      <c r="V6106" s="505"/>
      <c r="W6106" s="505"/>
      <c r="X6106" s="505"/>
      <c r="Y6106" s="505"/>
    </row>
    <row r="6107" spans="1:25" s="88" customFormat="1" ht="15.75" hidden="1" thickBot="1" x14ac:dyDescent="0.3">
      <c r="A6107" s="258"/>
      <c r="B6107" s="258"/>
      <c r="C6107" s="261"/>
      <c r="D6107" s="258"/>
      <c r="E6107" s="679"/>
      <c r="F6107" s="597" t="s">
        <v>247</v>
      </c>
      <c r="G6107" s="598" t="s">
        <v>4995</v>
      </c>
      <c r="H6107" s="555"/>
      <c r="I6107" s="556"/>
      <c r="J6107" s="560">
        <f t="shared" si="202"/>
        <v>0</v>
      </c>
      <c r="K6107" s="505"/>
      <c r="L6107" s="505"/>
      <c r="M6107" s="505"/>
      <c r="N6107" s="505"/>
      <c r="O6107" s="505"/>
      <c r="P6107" s="505"/>
      <c r="Q6107" s="505"/>
      <c r="R6107" s="505"/>
      <c r="S6107" s="505"/>
      <c r="T6107" s="505"/>
      <c r="U6107" s="505"/>
      <c r="V6107" s="505"/>
      <c r="W6107" s="505"/>
      <c r="X6107" s="505"/>
      <c r="Y6107" s="505"/>
    </row>
    <row r="6108" spans="1:25" s="88" customFormat="1" ht="15.75" hidden="1" thickBot="1" x14ac:dyDescent="0.3">
      <c r="A6108" s="258"/>
      <c r="B6108" s="258"/>
      <c r="C6108" s="261"/>
      <c r="D6108" s="258"/>
      <c r="E6108" s="679"/>
      <c r="F6108" s="597" t="s">
        <v>248</v>
      </c>
      <c r="G6108" s="598" t="s">
        <v>57</v>
      </c>
      <c r="H6108" s="555"/>
      <c r="I6108" s="556"/>
      <c r="J6108" s="560">
        <f t="shared" si="202"/>
        <v>0</v>
      </c>
      <c r="K6108" s="505"/>
      <c r="L6108" s="505"/>
      <c r="M6108" s="505"/>
      <c r="N6108" s="505"/>
      <c r="O6108" s="505"/>
      <c r="P6108" s="505"/>
      <c r="Q6108" s="505"/>
      <c r="R6108" s="505"/>
      <c r="S6108" s="505"/>
      <c r="T6108" s="505"/>
      <c r="U6108" s="505"/>
      <c r="V6108" s="505"/>
      <c r="W6108" s="505"/>
      <c r="X6108" s="505"/>
      <c r="Y6108" s="505"/>
    </row>
    <row r="6109" spans="1:25" s="88" customFormat="1" ht="15.75" hidden="1" thickBot="1" x14ac:dyDescent="0.3">
      <c r="A6109" s="258"/>
      <c r="B6109" s="258"/>
      <c r="C6109" s="261"/>
      <c r="D6109" s="258"/>
      <c r="E6109" s="679"/>
      <c r="F6109" s="597" t="s">
        <v>249</v>
      </c>
      <c r="G6109" s="598" t="s">
        <v>250</v>
      </c>
      <c r="H6109" s="555"/>
      <c r="I6109" s="556"/>
      <c r="J6109" s="560">
        <f t="shared" si="202"/>
        <v>0</v>
      </c>
      <c r="K6109" s="505"/>
      <c r="L6109" s="505"/>
      <c r="M6109" s="505"/>
      <c r="N6109" s="505"/>
      <c r="O6109" s="505"/>
      <c r="P6109" s="505"/>
      <c r="Q6109" s="505"/>
      <c r="R6109" s="505"/>
      <c r="S6109" s="505"/>
      <c r="T6109" s="505"/>
      <c r="U6109" s="505"/>
      <c r="V6109" s="505"/>
      <c r="W6109" s="505"/>
      <c r="X6109" s="505"/>
      <c r="Y6109" s="505"/>
    </row>
    <row r="6110" spans="1:25" s="88" customFormat="1" ht="15.75" hidden="1" thickBot="1" x14ac:dyDescent="0.3">
      <c r="A6110" s="258"/>
      <c r="B6110" s="258"/>
      <c r="C6110" s="261"/>
      <c r="D6110" s="258"/>
      <c r="E6110" s="679"/>
      <c r="F6110" s="597" t="s">
        <v>251</v>
      </c>
      <c r="G6110" s="598" t="s">
        <v>252</v>
      </c>
      <c r="H6110" s="555"/>
      <c r="I6110" s="556"/>
      <c r="J6110" s="560">
        <f t="shared" si="202"/>
        <v>0</v>
      </c>
      <c r="K6110" s="505"/>
      <c r="L6110" s="505"/>
      <c r="M6110" s="505"/>
      <c r="N6110" s="505"/>
      <c r="O6110" s="505"/>
      <c r="P6110" s="505"/>
      <c r="Q6110" s="505"/>
      <c r="R6110" s="505"/>
      <c r="S6110" s="505"/>
      <c r="T6110" s="505"/>
      <c r="U6110" s="505"/>
      <c r="V6110" s="505"/>
      <c r="W6110" s="505"/>
      <c r="X6110" s="505"/>
      <c r="Y6110" s="505"/>
    </row>
    <row r="6111" spans="1:25" s="88" customFormat="1" ht="30.75" hidden="1" thickBot="1" x14ac:dyDescent="0.3">
      <c r="A6111" s="258"/>
      <c r="B6111" s="258"/>
      <c r="C6111" s="261"/>
      <c r="D6111" s="258"/>
      <c r="E6111" s="679"/>
      <c r="F6111" s="597" t="s">
        <v>253</v>
      </c>
      <c r="G6111" s="598" t="s">
        <v>254</v>
      </c>
      <c r="H6111" s="555"/>
      <c r="I6111" s="556"/>
      <c r="J6111" s="560">
        <f t="shared" si="202"/>
        <v>0</v>
      </c>
      <c r="K6111" s="505"/>
      <c r="L6111" s="505"/>
      <c r="M6111" s="505"/>
      <c r="N6111" s="505"/>
      <c r="O6111" s="505"/>
      <c r="P6111" s="505"/>
      <c r="Q6111" s="505"/>
      <c r="R6111" s="505"/>
      <c r="S6111" s="505"/>
      <c r="T6111" s="505"/>
      <c r="U6111" s="505"/>
      <c r="V6111" s="505"/>
      <c r="W6111" s="505"/>
      <c r="X6111" s="505"/>
      <c r="Y6111" s="505"/>
    </row>
    <row r="6112" spans="1:25" s="88" customFormat="1" ht="15.75" hidden="1" thickBot="1" x14ac:dyDescent="0.3">
      <c r="A6112" s="258"/>
      <c r="B6112" s="258"/>
      <c r="C6112" s="261"/>
      <c r="D6112" s="258"/>
      <c r="E6112" s="679"/>
      <c r="F6112" s="597" t="s">
        <v>255</v>
      </c>
      <c r="G6112" s="598" t="s">
        <v>256</v>
      </c>
      <c r="H6112" s="555"/>
      <c r="I6112" s="556"/>
      <c r="J6112" s="560">
        <f t="shared" si="202"/>
        <v>0</v>
      </c>
      <c r="K6112" s="505"/>
      <c r="L6112" s="505"/>
      <c r="M6112" s="505"/>
      <c r="N6112" s="505"/>
      <c r="O6112" s="505"/>
      <c r="P6112" s="505"/>
      <c r="Q6112" s="505"/>
      <c r="R6112" s="505"/>
      <c r="S6112" s="505"/>
      <c r="T6112" s="505"/>
      <c r="U6112" s="505"/>
      <c r="V6112" s="505"/>
      <c r="W6112" s="505"/>
      <c r="X6112" s="505"/>
      <c r="Y6112" s="505"/>
    </row>
    <row r="6113" spans="1:25" s="88" customFormat="1" ht="30.75" hidden="1" thickBot="1" x14ac:dyDescent="0.3">
      <c r="A6113" s="258"/>
      <c r="B6113" s="258"/>
      <c r="C6113" s="261"/>
      <c r="D6113" s="258"/>
      <c r="E6113" s="679"/>
      <c r="F6113" s="597" t="s">
        <v>257</v>
      </c>
      <c r="G6113" s="598" t="s">
        <v>258</v>
      </c>
      <c r="H6113" s="555"/>
      <c r="I6113" s="556"/>
      <c r="J6113" s="560">
        <f t="shared" si="202"/>
        <v>0</v>
      </c>
      <c r="K6113" s="505"/>
      <c r="L6113" s="505"/>
      <c r="M6113" s="505"/>
      <c r="N6113" s="505"/>
      <c r="O6113" s="505"/>
      <c r="P6113" s="505"/>
      <c r="Q6113" s="505"/>
      <c r="R6113" s="505"/>
      <c r="S6113" s="505"/>
      <c r="T6113" s="505"/>
      <c r="U6113" s="505"/>
      <c r="V6113" s="505"/>
      <c r="W6113" s="505"/>
      <c r="X6113" s="505"/>
      <c r="Y6113" s="505"/>
    </row>
    <row r="6114" spans="1:25" s="88" customFormat="1" ht="15.75" hidden="1" thickBot="1" x14ac:dyDescent="0.3">
      <c r="A6114" s="258"/>
      <c r="B6114" s="258"/>
      <c r="C6114" s="261"/>
      <c r="D6114" s="258"/>
      <c r="E6114" s="679"/>
      <c r="F6114" s="597" t="s">
        <v>259</v>
      </c>
      <c r="G6114" s="598" t="s">
        <v>260</v>
      </c>
      <c r="H6114" s="555"/>
      <c r="I6114" s="556"/>
      <c r="J6114" s="560">
        <f t="shared" si="202"/>
        <v>0</v>
      </c>
      <c r="K6114" s="505"/>
      <c r="L6114" s="505"/>
      <c r="M6114" s="505"/>
      <c r="N6114" s="505"/>
      <c r="O6114" s="505"/>
      <c r="P6114" s="505"/>
      <c r="Q6114" s="505"/>
      <c r="R6114" s="505"/>
      <c r="S6114" s="505"/>
      <c r="T6114" s="505"/>
      <c r="U6114" s="505"/>
      <c r="V6114" s="505"/>
      <c r="W6114" s="505"/>
      <c r="X6114" s="505"/>
      <c r="Y6114" s="505"/>
    </row>
    <row r="6115" spans="1:25" s="88" customFormat="1" ht="15.75" hidden="1" thickBot="1" x14ac:dyDescent="0.3">
      <c r="A6115" s="258"/>
      <c r="B6115" s="258"/>
      <c r="C6115" s="261"/>
      <c r="D6115" s="258"/>
      <c r="E6115" s="679"/>
      <c r="F6115" s="597" t="s">
        <v>261</v>
      </c>
      <c r="G6115" s="598" t="s">
        <v>262</v>
      </c>
      <c r="H6115" s="559"/>
      <c r="I6115" s="560"/>
      <c r="J6115" s="560">
        <f t="shared" si="202"/>
        <v>0</v>
      </c>
      <c r="K6115" s="505"/>
      <c r="L6115" s="505"/>
      <c r="M6115" s="505"/>
      <c r="N6115" s="505"/>
      <c r="O6115" s="505"/>
      <c r="P6115" s="505"/>
      <c r="Q6115" s="505"/>
      <c r="R6115" s="505"/>
      <c r="S6115" s="505"/>
      <c r="T6115" s="505"/>
      <c r="U6115" s="505"/>
      <c r="V6115" s="505"/>
      <c r="W6115" s="505"/>
      <c r="X6115" s="505"/>
      <c r="Y6115" s="505"/>
    </row>
    <row r="6116" spans="1:25" s="88" customFormat="1" ht="18" customHeight="1" thickBot="1" x14ac:dyDescent="0.3">
      <c r="A6116" s="258"/>
      <c r="B6116" s="258"/>
      <c r="C6116" s="261"/>
      <c r="D6116" s="258"/>
      <c r="E6116" s="679"/>
      <c r="F6116" s="258"/>
      <c r="G6116" s="268" t="s">
        <v>5409</v>
      </c>
      <c r="H6116" s="561">
        <f>SUM(H6100:H6115)</f>
        <v>400000</v>
      </c>
      <c r="I6116" s="562">
        <f>SUM(I6101:I6115)</f>
        <v>0</v>
      </c>
      <c r="J6116" s="562">
        <f>SUM(J6100:J6115)</f>
        <v>400000</v>
      </c>
      <c r="K6116" s="505"/>
      <c r="L6116" s="505"/>
      <c r="M6116" s="505"/>
      <c r="N6116" s="505"/>
      <c r="O6116" s="505"/>
      <c r="P6116" s="505"/>
      <c r="Q6116" s="505"/>
      <c r="R6116" s="505"/>
      <c r="S6116" s="505"/>
      <c r="T6116" s="505"/>
      <c r="U6116" s="505"/>
      <c r="V6116" s="505"/>
      <c r="W6116" s="505"/>
      <c r="X6116" s="505"/>
      <c r="Y6116" s="505"/>
    </row>
    <row r="6117" spans="1:25" s="88" customFormat="1" x14ac:dyDescent="0.25">
      <c r="A6117" s="258"/>
      <c r="B6117" s="288"/>
      <c r="C6117" s="302" t="s">
        <v>4516</v>
      </c>
      <c r="D6117" s="259"/>
      <c r="E6117" s="702"/>
      <c r="F6117" s="303"/>
      <c r="G6117" s="304" t="s">
        <v>5317</v>
      </c>
      <c r="H6117" s="588"/>
      <c r="I6117" s="571"/>
      <c r="J6117" s="589"/>
      <c r="K6117" s="505"/>
      <c r="L6117" s="505"/>
      <c r="M6117" s="505"/>
      <c r="N6117" s="505"/>
      <c r="O6117" s="505"/>
      <c r="P6117" s="505"/>
      <c r="Q6117" s="505"/>
      <c r="R6117" s="505"/>
      <c r="S6117" s="505"/>
      <c r="T6117" s="505"/>
      <c r="U6117" s="505"/>
      <c r="V6117" s="505"/>
      <c r="W6117" s="505"/>
      <c r="X6117" s="505"/>
      <c r="Y6117" s="505"/>
    </row>
    <row r="6118" spans="1:25" s="88" customFormat="1" ht="17.25" customHeight="1" x14ac:dyDescent="0.25">
      <c r="A6118" s="258"/>
      <c r="B6118" s="288"/>
      <c r="C6118" s="294"/>
      <c r="D6118" s="348" t="s">
        <v>3778</v>
      </c>
      <c r="E6118" s="871"/>
      <c r="F6118" s="345"/>
      <c r="G6118" s="346" t="s">
        <v>138</v>
      </c>
      <c r="H6118" s="555"/>
      <c r="I6118" s="556"/>
      <c r="J6118" s="556"/>
      <c r="K6118" s="505"/>
      <c r="L6118" s="505"/>
      <c r="M6118" s="505"/>
      <c r="N6118" s="505"/>
      <c r="O6118" s="505"/>
      <c r="P6118" s="505"/>
      <c r="Q6118" s="505"/>
      <c r="R6118" s="505"/>
      <c r="S6118" s="505"/>
      <c r="T6118" s="505"/>
      <c r="U6118" s="505"/>
      <c r="V6118" s="505"/>
      <c r="W6118" s="505"/>
      <c r="X6118" s="505"/>
      <c r="Y6118" s="505"/>
    </row>
    <row r="6119" spans="1:25" s="88" customFormat="1" hidden="1" x14ac:dyDescent="0.25">
      <c r="A6119" s="258"/>
      <c r="B6119" s="258"/>
      <c r="C6119" s="261"/>
      <c r="D6119" s="258"/>
      <c r="E6119" s="679"/>
      <c r="F6119" s="499">
        <v>411</v>
      </c>
      <c r="G6119" s="492" t="s">
        <v>4131</v>
      </c>
      <c r="H6119" s="555"/>
      <c r="I6119" s="556"/>
      <c r="J6119" s="556">
        <f>SUM(H6119:I6119)</f>
        <v>0</v>
      </c>
      <c r="K6119" s="505"/>
      <c r="L6119" s="505"/>
      <c r="M6119" s="505"/>
      <c r="N6119" s="505"/>
      <c r="O6119" s="505"/>
      <c r="P6119" s="505"/>
      <c r="Q6119" s="505"/>
      <c r="R6119" s="505"/>
      <c r="S6119" s="505"/>
      <c r="T6119" s="505"/>
      <c r="U6119" s="505"/>
      <c r="V6119" s="505"/>
      <c r="W6119" s="505"/>
      <c r="X6119" s="505"/>
      <c r="Y6119" s="505"/>
    </row>
    <row r="6120" spans="1:25" s="88" customFormat="1" hidden="1" x14ac:dyDescent="0.25">
      <c r="A6120" s="258"/>
      <c r="B6120" s="258"/>
      <c r="C6120" s="261"/>
      <c r="D6120" s="258"/>
      <c r="E6120" s="679"/>
      <c r="F6120" s="499">
        <v>412</v>
      </c>
      <c r="G6120" s="488" t="s">
        <v>3766</v>
      </c>
      <c r="H6120" s="555"/>
      <c r="I6120" s="556"/>
      <c r="J6120" s="556">
        <f t="shared" ref="J6120:J6178" si="203">SUM(H6120:I6120)</f>
        <v>0</v>
      </c>
      <c r="K6120" s="505"/>
      <c r="L6120" s="505"/>
      <c r="M6120" s="505"/>
      <c r="N6120" s="505"/>
      <c r="O6120" s="505"/>
      <c r="P6120" s="505"/>
      <c r="Q6120" s="505"/>
      <c r="R6120" s="505"/>
      <c r="S6120" s="505"/>
      <c r="T6120" s="505"/>
      <c r="U6120" s="505"/>
      <c r="V6120" s="505"/>
      <c r="W6120" s="505"/>
      <c r="X6120" s="505"/>
      <c r="Y6120" s="505"/>
    </row>
    <row r="6121" spans="1:25" s="88" customFormat="1" hidden="1" x14ac:dyDescent="0.25">
      <c r="A6121" s="258"/>
      <c r="B6121" s="258"/>
      <c r="C6121" s="261"/>
      <c r="D6121" s="258"/>
      <c r="E6121" s="679"/>
      <c r="F6121" s="499">
        <v>413</v>
      </c>
      <c r="G6121" s="492" t="s">
        <v>4132</v>
      </c>
      <c r="H6121" s="555"/>
      <c r="I6121" s="556"/>
      <c r="J6121" s="556">
        <f t="shared" si="203"/>
        <v>0</v>
      </c>
      <c r="K6121" s="505"/>
      <c r="L6121" s="505"/>
      <c r="M6121" s="505"/>
      <c r="N6121" s="505"/>
      <c r="O6121" s="505"/>
      <c r="P6121" s="505"/>
      <c r="Q6121" s="505"/>
      <c r="R6121" s="505"/>
      <c r="S6121" s="505"/>
      <c r="T6121" s="505"/>
      <c r="U6121" s="505"/>
      <c r="V6121" s="505"/>
      <c r="W6121" s="505"/>
      <c r="X6121" s="505"/>
      <c r="Y6121" s="505"/>
    </row>
    <row r="6122" spans="1:25" s="88" customFormat="1" hidden="1" x14ac:dyDescent="0.25">
      <c r="A6122" s="258"/>
      <c r="B6122" s="258"/>
      <c r="C6122" s="261"/>
      <c r="D6122" s="258"/>
      <c r="E6122" s="679"/>
      <c r="F6122" s="499">
        <v>414</v>
      </c>
      <c r="G6122" s="492" t="s">
        <v>3769</v>
      </c>
      <c r="H6122" s="555"/>
      <c r="I6122" s="556"/>
      <c r="J6122" s="556">
        <f t="shared" si="203"/>
        <v>0</v>
      </c>
      <c r="K6122" s="505"/>
      <c r="L6122" s="505"/>
      <c r="M6122" s="505"/>
      <c r="N6122" s="505"/>
      <c r="O6122" s="505"/>
      <c r="P6122" s="505"/>
      <c r="Q6122" s="505"/>
      <c r="R6122" s="505"/>
      <c r="S6122" s="505"/>
      <c r="T6122" s="505"/>
      <c r="U6122" s="505"/>
      <c r="V6122" s="505"/>
      <c r="W6122" s="505"/>
      <c r="X6122" s="505"/>
      <c r="Y6122" s="505"/>
    </row>
    <row r="6123" spans="1:25" s="88" customFormat="1" hidden="1" x14ac:dyDescent="0.25">
      <c r="A6123" s="258"/>
      <c r="B6123" s="258"/>
      <c r="C6123" s="261"/>
      <c r="D6123" s="258"/>
      <c r="E6123" s="679"/>
      <c r="F6123" s="499">
        <v>415</v>
      </c>
      <c r="G6123" s="492" t="s">
        <v>4141</v>
      </c>
      <c r="H6123" s="555"/>
      <c r="I6123" s="556"/>
      <c r="J6123" s="556">
        <f t="shared" si="203"/>
        <v>0</v>
      </c>
      <c r="K6123" s="505"/>
      <c r="L6123" s="505"/>
      <c r="M6123" s="505"/>
      <c r="N6123" s="505"/>
      <c r="O6123" s="505"/>
      <c r="P6123" s="505"/>
      <c r="Q6123" s="505"/>
      <c r="R6123" s="505"/>
      <c r="S6123" s="505"/>
      <c r="T6123" s="505"/>
      <c r="U6123" s="505"/>
      <c r="V6123" s="505"/>
      <c r="W6123" s="505"/>
      <c r="X6123" s="505"/>
      <c r="Y6123" s="505"/>
    </row>
    <row r="6124" spans="1:25" s="88" customFormat="1" hidden="1" x14ac:dyDescent="0.25">
      <c r="A6124" s="258"/>
      <c r="B6124" s="258"/>
      <c r="C6124" s="261"/>
      <c r="D6124" s="258"/>
      <c r="E6124" s="679"/>
      <c r="F6124" s="499">
        <v>416</v>
      </c>
      <c r="G6124" s="492" t="s">
        <v>4142</v>
      </c>
      <c r="H6124" s="555"/>
      <c r="I6124" s="556"/>
      <c r="J6124" s="556">
        <f t="shared" si="203"/>
        <v>0</v>
      </c>
      <c r="K6124" s="505"/>
      <c r="L6124" s="505"/>
      <c r="M6124" s="505"/>
      <c r="N6124" s="505"/>
      <c r="O6124" s="505"/>
      <c r="P6124" s="505"/>
      <c r="Q6124" s="505"/>
      <c r="R6124" s="505"/>
      <c r="S6124" s="505"/>
      <c r="T6124" s="505"/>
      <c r="U6124" s="505"/>
      <c r="V6124" s="505"/>
      <c r="W6124" s="505"/>
      <c r="X6124" s="505"/>
      <c r="Y6124" s="505"/>
    </row>
    <row r="6125" spans="1:25" s="88" customFormat="1" hidden="1" x14ac:dyDescent="0.25">
      <c r="A6125" s="258"/>
      <c r="B6125" s="258"/>
      <c r="C6125" s="261"/>
      <c r="D6125" s="258"/>
      <c r="E6125" s="679"/>
      <c r="F6125" s="499">
        <v>417</v>
      </c>
      <c r="G6125" s="492" t="s">
        <v>4143</v>
      </c>
      <c r="H6125" s="555"/>
      <c r="I6125" s="556"/>
      <c r="J6125" s="556">
        <f t="shared" si="203"/>
        <v>0</v>
      </c>
      <c r="K6125" s="505"/>
      <c r="L6125" s="505"/>
      <c r="M6125" s="505"/>
      <c r="N6125" s="505"/>
      <c r="O6125" s="505"/>
      <c r="P6125" s="505"/>
      <c r="Q6125" s="505"/>
      <c r="R6125" s="505"/>
      <c r="S6125" s="505"/>
      <c r="T6125" s="505"/>
      <c r="U6125" s="505"/>
      <c r="V6125" s="505"/>
      <c r="W6125" s="505"/>
      <c r="X6125" s="505"/>
      <c r="Y6125" s="505"/>
    </row>
    <row r="6126" spans="1:25" s="88" customFormat="1" hidden="1" x14ac:dyDescent="0.25">
      <c r="A6126" s="258"/>
      <c r="B6126" s="258"/>
      <c r="C6126" s="261"/>
      <c r="D6126" s="258"/>
      <c r="E6126" s="679"/>
      <c r="F6126" s="499">
        <v>418</v>
      </c>
      <c r="G6126" s="492" t="s">
        <v>3775</v>
      </c>
      <c r="H6126" s="555"/>
      <c r="I6126" s="556"/>
      <c r="J6126" s="556">
        <f t="shared" si="203"/>
        <v>0</v>
      </c>
      <c r="K6126" s="505"/>
      <c r="L6126" s="505"/>
      <c r="M6126" s="505"/>
      <c r="N6126" s="505"/>
      <c r="O6126" s="505"/>
      <c r="P6126" s="505"/>
      <c r="Q6126" s="505"/>
      <c r="R6126" s="505"/>
      <c r="S6126" s="505"/>
      <c r="T6126" s="505"/>
      <c r="U6126" s="505"/>
      <c r="V6126" s="505"/>
      <c r="W6126" s="505"/>
      <c r="X6126" s="505"/>
      <c r="Y6126" s="505"/>
    </row>
    <row r="6127" spans="1:25" s="88" customFormat="1" hidden="1" x14ac:dyDescent="0.25">
      <c r="A6127" s="258"/>
      <c r="B6127" s="258"/>
      <c r="C6127" s="261"/>
      <c r="D6127" s="258"/>
      <c r="E6127" s="679"/>
      <c r="F6127" s="499">
        <v>421</v>
      </c>
      <c r="G6127" s="492" t="s">
        <v>3779</v>
      </c>
      <c r="H6127" s="555"/>
      <c r="I6127" s="556"/>
      <c r="J6127" s="556">
        <f t="shared" si="203"/>
        <v>0</v>
      </c>
      <c r="K6127" s="505"/>
      <c r="L6127" s="505"/>
      <c r="M6127" s="505"/>
      <c r="N6127" s="505"/>
      <c r="O6127" s="505"/>
      <c r="P6127" s="505"/>
      <c r="Q6127" s="505"/>
      <c r="R6127" s="505"/>
      <c r="S6127" s="505"/>
      <c r="T6127" s="505"/>
      <c r="U6127" s="505"/>
      <c r="V6127" s="505"/>
      <c r="W6127" s="505"/>
      <c r="X6127" s="505"/>
      <c r="Y6127" s="505"/>
    </row>
    <row r="6128" spans="1:25" s="88" customFormat="1" hidden="1" x14ac:dyDescent="0.25">
      <c r="A6128" s="258"/>
      <c r="B6128" s="258"/>
      <c r="C6128" s="261"/>
      <c r="D6128" s="258"/>
      <c r="E6128" s="679"/>
      <c r="F6128" s="499">
        <v>422</v>
      </c>
      <c r="G6128" s="492" t="s">
        <v>3780</v>
      </c>
      <c r="H6128" s="555"/>
      <c r="I6128" s="556"/>
      <c r="J6128" s="556">
        <f t="shared" si="203"/>
        <v>0</v>
      </c>
      <c r="K6128" s="505"/>
      <c r="L6128" s="505"/>
      <c r="M6128" s="505"/>
      <c r="N6128" s="505"/>
      <c r="O6128" s="505"/>
      <c r="P6128" s="505"/>
      <c r="Q6128" s="505"/>
      <c r="R6128" s="505"/>
      <c r="S6128" s="505"/>
      <c r="T6128" s="505"/>
      <c r="U6128" s="505"/>
      <c r="V6128" s="505"/>
      <c r="W6128" s="505"/>
      <c r="X6128" s="505"/>
      <c r="Y6128" s="505"/>
    </row>
    <row r="6129" spans="1:25" s="88" customFormat="1" ht="33.75" customHeight="1" x14ac:dyDescent="0.25">
      <c r="A6129" s="258"/>
      <c r="B6129" s="258"/>
      <c r="C6129" s="261"/>
      <c r="D6129" s="258"/>
      <c r="E6129" s="679" t="s">
        <v>5376</v>
      </c>
      <c r="F6129" s="499">
        <v>423</v>
      </c>
      <c r="G6129" s="492" t="s">
        <v>3781</v>
      </c>
      <c r="H6129" s="555">
        <v>0</v>
      </c>
      <c r="I6129" s="556"/>
      <c r="J6129" s="556">
        <f t="shared" si="203"/>
        <v>0</v>
      </c>
      <c r="K6129" s="505"/>
      <c r="L6129" s="505"/>
      <c r="M6129" s="505"/>
      <c r="N6129" s="505"/>
      <c r="O6129" s="505"/>
      <c r="P6129" s="505"/>
      <c r="Q6129" s="505"/>
      <c r="R6129" s="505"/>
      <c r="S6129" s="505"/>
      <c r="T6129" s="505"/>
      <c r="U6129" s="505"/>
      <c r="V6129" s="505"/>
      <c r="W6129" s="505"/>
      <c r="X6129" s="505"/>
      <c r="Y6129" s="505"/>
    </row>
    <row r="6130" spans="1:25" s="88" customFormat="1" ht="34.5" customHeight="1" x14ac:dyDescent="0.25">
      <c r="A6130" s="258"/>
      <c r="B6130" s="258"/>
      <c r="C6130" s="261"/>
      <c r="D6130" s="258"/>
      <c r="E6130" s="679" t="s">
        <v>5377</v>
      </c>
      <c r="F6130" s="499">
        <v>424</v>
      </c>
      <c r="G6130" s="492" t="s">
        <v>3783</v>
      </c>
      <c r="H6130" s="555">
        <v>0</v>
      </c>
      <c r="I6130" s="556"/>
      <c r="J6130" s="556">
        <f t="shared" si="203"/>
        <v>0</v>
      </c>
      <c r="K6130" s="505"/>
      <c r="L6130" s="505"/>
      <c r="M6130" s="505"/>
      <c r="N6130" s="505"/>
      <c r="O6130" s="505"/>
      <c r="P6130" s="505"/>
      <c r="Q6130" s="505"/>
      <c r="R6130" s="505"/>
      <c r="S6130" s="505"/>
      <c r="T6130" s="505"/>
      <c r="U6130" s="505"/>
      <c r="V6130" s="505"/>
      <c r="W6130" s="505"/>
      <c r="X6130" s="505"/>
      <c r="Y6130" s="505"/>
    </row>
    <row r="6131" spans="1:25" s="88" customFormat="1" hidden="1" x14ac:dyDescent="0.25">
      <c r="A6131" s="258"/>
      <c r="B6131" s="258"/>
      <c r="C6131" s="261"/>
      <c r="D6131" s="258"/>
      <c r="E6131" s="679"/>
      <c r="F6131" s="499">
        <v>425</v>
      </c>
      <c r="G6131" s="492" t="s">
        <v>4144</v>
      </c>
      <c r="H6131" s="555"/>
      <c r="I6131" s="556"/>
      <c r="J6131" s="556">
        <f t="shared" si="203"/>
        <v>0</v>
      </c>
      <c r="K6131" s="505"/>
      <c r="L6131" s="505"/>
      <c r="M6131" s="505"/>
      <c r="N6131" s="505"/>
      <c r="O6131" s="505"/>
      <c r="P6131" s="505"/>
      <c r="Q6131" s="505"/>
      <c r="R6131" s="505"/>
      <c r="S6131" s="505"/>
      <c r="T6131" s="505"/>
      <c r="U6131" s="505"/>
      <c r="V6131" s="505"/>
      <c r="W6131" s="505"/>
      <c r="X6131" s="505"/>
      <c r="Y6131" s="505"/>
    </row>
    <row r="6132" spans="1:25" s="88" customFormat="1" hidden="1" x14ac:dyDescent="0.25">
      <c r="A6132" s="258"/>
      <c r="B6132" s="258"/>
      <c r="C6132" s="261"/>
      <c r="D6132" s="258"/>
      <c r="E6132" s="679"/>
      <c r="F6132" s="499">
        <v>426</v>
      </c>
      <c r="G6132" s="492" t="s">
        <v>3787</v>
      </c>
      <c r="H6132" s="555"/>
      <c r="I6132" s="556"/>
      <c r="J6132" s="556">
        <f t="shared" si="203"/>
        <v>0</v>
      </c>
      <c r="K6132" s="505"/>
      <c r="L6132" s="505"/>
      <c r="M6132" s="505"/>
      <c r="N6132" s="505"/>
      <c r="O6132" s="505"/>
      <c r="P6132" s="505"/>
      <c r="Q6132" s="505"/>
      <c r="R6132" s="505"/>
      <c r="S6132" s="505"/>
      <c r="T6132" s="505"/>
      <c r="U6132" s="505"/>
      <c r="V6132" s="505"/>
      <c r="W6132" s="505"/>
      <c r="X6132" s="505"/>
      <c r="Y6132" s="505"/>
    </row>
    <row r="6133" spans="1:25" s="88" customFormat="1" hidden="1" x14ac:dyDescent="0.25">
      <c r="A6133" s="258"/>
      <c r="B6133" s="258"/>
      <c r="C6133" s="261"/>
      <c r="D6133" s="258"/>
      <c r="E6133" s="679"/>
      <c r="F6133" s="499">
        <v>431</v>
      </c>
      <c r="G6133" s="492" t="s">
        <v>4145</v>
      </c>
      <c r="H6133" s="555"/>
      <c r="I6133" s="556"/>
      <c r="J6133" s="556">
        <f t="shared" si="203"/>
        <v>0</v>
      </c>
      <c r="K6133" s="505"/>
      <c r="L6133" s="505"/>
      <c r="M6133" s="505"/>
      <c r="N6133" s="505"/>
      <c r="O6133" s="505"/>
      <c r="P6133" s="505"/>
      <c r="Q6133" s="505"/>
      <c r="R6133" s="505"/>
      <c r="S6133" s="505"/>
      <c r="T6133" s="505"/>
      <c r="U6133" s="505"/>
      <c r="V6133" s="505"/>
      <c r="W6133" s="505"/>
      <c r="X6133" s="505"/>
      <c r="Y6133" s="505"/>
    </row>
    <row r="6134" spans="1:25" s="88" customFormat="1" hidden="1" x14ac:dyDescent="0.25">
      <c r="A6134" s="258"/>
      <c r="B6134" s="258"/>
      <c r="C6134" s="261"/>
      <c r="D6134" s="258"/>
      <c r="E6134" s="679"/>
      <c r="F6134" s="499">
        <v>432</v>
      </c>
      <c r="G6134" s="492" t="s">
        <v>4146</v>
      </c>
      <c r="H6134" s="555"/>
      <c r="I6134" s="556"/>
      <c r="J6134" s="556">
        <f t="shared" si="203"/>
        <v>0</v>
      </c>
      <c r="K6134" s="505"/>
      <c r="L6134" s="505"/>
      <c r="M6134" s="505"/>
      <c r="N6134" s="505"/>
      <c r="O6134" s="505"/>
      <c r="P6134" s="505"/>
      <c r="Q6134" s="505"/>
      <c r="R6134" s="505"/>
      <c r="S6134" s="505"/>
      <c r="T6134" s="505"/>
      <c r="U6134" s="505"/>
      <c r="V6134" s="505"/>
      <c r="W6134" s="505"/>
      <c r="X6134" s="505"/>
      <c r="Y6134" s="505"/>
    </row>
    <row r="6135" spans="1:25" s="88" customFormat="1" hidden="1" x14ac:dyDescent="0.25">
      <c r="A6135" s="258"/>
      <c r="B6135" s="258"/>
      <c r="C6135" s="261"/>
      <c r="D6135" s="258"/>
      <c r="E6135" s="679"/>
      <c r="F6135" s="499">
        <v>433</v>
      </c>
      <c r="G6135" s="492" t="s">
        <v>4147</v>
      </c>
      <c r="H6135" s="555"/>
      <c r="I6135" s="556"/>
      <c r="J6135" s="556">
        <f t="shared" si="203"/>
        <v>0</v>
      </c>
      <c r="K6135" s="505"/>
      <c r="L6135" s="505"/>
      <c r="M6135" s="505"/>
      <c r="N6135" s="505"/>
      <c r="O6135" s="505"/>
      <c r="P6135" s="505"/>
      <c r="Q6135" s="505"/>
      <c r="R6135" s="505"/>
      <c r="S6135" s="505"/>
      <c r="T6135" s="505"/>
      <c r="U6135" s="505"/>
      <c r="V6135" s="505"/>
      <c r="W6135" s="505"/>
      <c r="X6135" s="505"/>
      <c r="Y6135" s="505"/>
    </row>
    <row r="6136" spans="1:25" s="88" customFormat="1" hidden="1" x14ac:dyDescent="0.25">
      <c r="A6136" s="258"/>
      <c r="B6136" s="258"/>
      <c r="C6136" s="261"/>
      <c r="D6136" s="258"/>
      <c r="E6136" s="679"/>
      <c r="F6136" s="499">
        <v>434</v>
      </c>
      <c r="G6136" s="492" t="s">
        <v>4148</v>
      </c>
      <c r="H6136" s="555"/>
      <c r="I6136" s="556"/>
      <c r="J6136" s="556">
        <f t="shared" si="203"/>
        <v>0</v>
      </c>
      <c r="K6136" s="505"/>
      <c r="L6136" s="505"/>
      <c r="M6136" s="505"/>
      <c r="N6136" s="505"/>
      <c r="O6136" s="505"/>
      <c r="P6136" s="505"/>
      <c r="Q6136" s="505"/>
      <c r="R6136" s="505"/>
      <c r="S6136" s="505"/>
      <c r="T6136" s="505"/>
      <c r="U6136" s="505"/>
      <c r="V6136" s="505"/>
      <c r="W6136" s="505"/>
      <c r="X6136" s="505"/>
      <c r="Y6136" s="505"/>
    </row>
    <row r="6137" spans="1:25" s="88" customFormat="1" hidden="1" x14ac:dyDescent="0.25">
      <c r="A6137" s="258"/>
      <c r="B6137" s="258"/>
      <c r="C6137" s="261"/>
      <c r="D6137" s="258"/>
      <c r="E6137" s="679"/>
      <c r="F6137" s="499">
        <v>435</v>
      </c>
      <c r="G6137" s="492" t="s">
        <v>3794</v>
      </c>
      <c r="H6137" s="555"/>
      <c r="I6137" s="556"/>
      <c r="J6137" s="556">
        <f t="shared" si="203"/>
        <v>0</v>
      </c>
      <c r="K6137" s="505"/>
      <c r="L6137" s="505"/>
      <c r="M6137" s="505"/>
      <c r="N6137" s="505"/>
      <c r="O6137" s="505"/>
      <c r="P6137" s="505"/>
      <c r="Q6137" s="505"/>
      <c r="R6137" s="505"/>
      <c r="S6137" s="505"/>
      <c r="T6137" s="505"/>
      <c r="U6137" s="505"/>
      <c r="V6137" s="505"/>
      <c r="W6137" s="505"/>
      <c r="X6137" s="505"/>
      <c r="Y6137" s="505"/>
    </row>
    <row r="6138" spans="1:25" s="88" customFormat="1" hidden="1" x14ac:dyDescent="0.25">
      <c r="A6138" s="258"/>
      <c r="B6138" s="258"/>
      <c r="C6138" s="261"/>
      <c r="D6138" s="258"/>
      <c r="E6138" s="679"/>
      <c r="F6138" s="499">
        <v>441</v>
      </c>
      <c r="G6138" s="492" t="s">
        <v>4149</v>
      </c>
      <c r="H6138" s="555"/>
      <c r="I6138" s="556"/>
      <c r="J6138" s="556">
        <f t="shared" si="203"/>
        <v>0</v>
      </c>
      <c r="K6138" s="505"/>
      <c r="L6138" s="505"/>
      <c r="M6138" s="505"/>
      <c r="N6138" s="505"/>
      <c r="O6138" s="505"/>
      <c r="P6138" s="505"/>
      <c r="Q6138" s="505"/>
      <c r="R6138" s="505"/>
      <c r="S6138" s="505"/>
      <c r="T6138" s="505"/>
      <c r="U6138" s="505"/>
      <c r="V6138" s="505"/>
      <c r="W6138" s="505"/>
      <c r="X6138" s="505"/>
      <c r="Y6138" s="505"/>
    </row>
    <row r="6139" spans="1:25" s="88" customFormat="1" hidden="1" x14ac:dyDescent="0.25">
      <c r="A6139" s="258"/>
      <c r="B6139" s="258"/>
      <c r="C6139" s="261"/>
      <c r="D6139" s="258"/>
      <c r="E6139" s="679"/>
      <c r="F6139" s="499">
        <v>442</v>
      </c>
      <c r="G6139" s="492" t="s">
        <v>4150</v>
      </c>
      <c r="H6139" s="555"/>
      <c r="I6139" s="556"/>
      <c r="J6139" s="556">
        <f t="shared" si="203"/>
        <v>0</v>
      </c>
      <c r="K6139" s="505"/>
      <c r="L6139" s="505"/>
      <c r="M6139" s="505"/>
      <c r="N6139" s="505"/>
      <c r="O6139" s="505"/>
      <c r="P6139" s="505"/>
      <c r="Q6139" s="505"/>
      <c r="R6139" s="505"/>
      <c r="S6139" s="505"/>
      <c r="T6139" s="505"/>
      <c r="U6139" s="505"/>
      <c r="V6139" s="505"/>
      <c r="W6139" s="505"/>
      <c r="X6139" s="505"/>
      <c r="Y6139" s="505"/>
    </row>
    <row r="6140" spans="1:25" s="88" customFormat="1" hidden="1" x14ac:dyDescent="0.25">
      <c r="A6140" s="258"/>
      <c r="B6140" s="258"/>
      <c r="C6140" s="261"/>
      <c r="D6140" s="258"/>
      <c r="E6140" s="679"/>
      <c r="F6140" s="499">
        <v>443</v>
      </c>
      <c r="G6140" s="492" t="s">
        <v>3799</v>
      </c>
      <c r="H6140" s="555"/>
      <c r="I6140" s="556"/>
      <c r="J6140" s="556">
        <f t="shared" si="203"/>
        <v>0</v>
      </c>
      <c r="K6140" s="505"/>
      <c r="L6140" s="505"/>
      <c r="M6140" s="505"/>
      <c r="N6140" s="505"/>
      <c r="O6140" s="505"/>
      <c r="P6140" s="505"/>
      <c r="Q6140" s="505"/>
      <c r="R6140" s="505"/>
      <c r="S6140" s="505"/>
      <c r="T6140" s="505"/>
      <c r="U6140" s="505"/>
      <c r="V6140" s="505"/>
      <c r="W6140" s="505"/>
      <c r="X6140" s="505"/>
      <c r="Y6140" s="505"/>
    </row>
    <row r="6141" spans="1:25" s="88" customFormat="1" hidden="1" x14ac:dyDescent="0.25">
      <c r="A6141" s="258"/>
      <c r="B6141" s="258"/>
      <c r="C6141" s="261"/>
      <c r="D6141" s="258"/>
      <c r="E6141" s="679"/>
      <c r="F6141" s="499">
        <v>444</v>
      </c>
      <c r="G6141" s="492" t="s">
        <v>3800</v>
      </c>
      <c r="H6141" s="555"/>
      <c r="I6141" s="556"/>
      <c r="J6141" s="556">
        <f t="shared" si="203"/>
        <v>0</v>
      </c>
      <c r="K6141" s="505"/>
      <c r="L6141" s="505"/>
      <c r="M6141" s="505"/>
      <c r="N6141" s="505"/>
      <c r="O6141" s="505"/>
      <c r="P6141" s="505"/>
      <c r="Q6141" s="505"/>
      <c r="R6141" s="505"/>
      <c r="S6141" s="505"/>
      <c r="T6141" s="505"/>
      <c r="U6141" s="505"/>
      <c r="V6141" s="505"/>
      <c r="W6141" s="505"/>
      <c r="X6141" s="505"/>
      <c r="Y6141" s="505"/>
    </row>
    <row r="6142" spans="1:25" s="88" customFormat="1" ht="30" hidden="1" x14ac:dyDescent="0.25">
      <c r="A6142" s="258"/>
      <c r="B6142" s="258"/>
      <c r="C6142" s="261"/>
      <c r="D6142" s="258"/>
      <c r="E6142" s="679"/>
      <c r="F6142" s="499">
        <v>4511</v>
      </c>
      <c r="G6142" s="776" t="s">
        <v>1690</v>
      </c>
      <c r="H6142" s="555"/>
      <c r="I6142" s="556"/>
      <c r="J6142" s="556">
        <f t="shared" si="203"/>
        <v>0</v>
      </c>
      <c r="K6142" s="505"/>
      <c r="L6142" s="505"/>
      <c r="M6142" s="505"/>
      <c r="N6142" s="505"/>
      <c r="O6142" s="505"/>
      <c r="P6142" s="505"/>
      <c r="Q6142" s="505"/>
      <c r="R6142" s="505"/>
      <c r="S6142" s="505"/>
      <c r="T6142" s="505"/>
      <c r="U6142" s="505"/>
      <c r="V6142" s="505"/>
      <c r="W6142" s="505"/>
      <c r="X6142" s="505"/>
      <c r="Y6142" s="505"/>
    </row>
    <row r="6143" spans="1:25" s="88" customFormat="1" ht="15" hidden="1" customHeight="1" x14ac:dyDescent="0.25">
      <c r="A6143" s="258"/>
      <c r="B6143" s="258"/>
      <c r="C6143" s="261"/>
      <c r="D6143" s="258"/>
      <c r="E6143" s="679">
        <v>69</v>
      </c>
      <c r="F6143" s="691">
        <v>511</v>
      </c>
      <c r="G6143" s="775" t="s">
        <v>5208</v>
      </c>
      <c r="H6143" s="555">
        <v>0</v>
      </c>
      <c r="I6143" s="556"/>
      <c r="J6143" s="556">
        <f t="shared" si="203"/>
        <v>0</v>
      </c>
      <c r="K6143" s="505"/>
      <c r="L6143" s="505"/>
      <c r="M6143" s="505"/>
      <c r="N6143" s="505"/>
      <c r="O6143" s="505"/>
      <c r="P6143" s="505"/>
      <c r="Q6143" s="505"/>
      <c r="R6143" s="505"/>
      <c r="S6143" s="505"/>
      <c r="T6143" s="505"/>
      <c r="U6143" s="505"/>
      <c r="V6143" s="505"/>
      <c r="W6143" s="505"/>
      <c r="X6143" s="505"/>
      <c r="Y6143" s="505"/>
    </row>
    <row r="6144" spans="1:25" s="88" customFormat="1" hidden="1" x14ac:dyDescent="0.25">
      <c r="A6144" s="258"/>
      <c r="B6144" s="258"/>
      <c r="C6144" s="261"/>
      <c r="D6144" s="258"/>
      <c r="E6144" s="679"/>
      <c r="F6144" s="499">
        <v>452</v>
      </c>
      <c r="G6144" s="492" t="s">
        <v>4151</v>
      </c>
      <c r="H6144" s="555"/>
      <c r="I6144" s="556"/>
      <c r="J6144" s="556">
        <f t="shared" si="203"/>
        <v>0</v>
      </c>
      <c r="K6144" s="505"/>
      <c r="L6144" s="505"/>
      <c r="M6144" s="505"/>
      <c r="N6144" s="505"/>
      <c r="O6144" s="505"/>
      <c r="P6144" s="505"/>
      <c r="Q6144" s="505"/>
      <c r="R6144" s="505"/>
      <c r="S6144" s="505"/>
      <c r="T6144" s="505"/>
      <c r="U6144" s="505"/>
      <c r="V6144" s="505"/>
      <c r="W6144" s="505"/>
      <c r="X6144" s="505"/>
      <c r="Y6144" s="505"/>
    </row>
    <row r="6145" spans="1:25" s="88" customFormat="1" hidden="1" x14ac:dyDescent="0.25">
      <c r="A6145" s="258"/>
      <c r="B6145" s="258"/>
      <c r="C6145" s="261"/>
      <c r="D6145" s="258"/>
      <c r="E6145" s="679"/>
      <c r="F6145" s="499">
        <v>453</v>
      </c>
      <c r="G6145" s="492" t="s">
        <v>4152</v>
      </c>
      <c r="H6145" s="555"/>
      <c r="I6145" s="556"/>
      <c r="J6145" s="556">
        <f t="shared" si="203"/>
        <v>0</v>
      </c>
      <c r="K6145" s="505"/>
      <c r="L6145" s="505"/>
      <c r="M6145" s="505"/>
      <c r="N6145" s="505"/>
      <c r="O6145" s="505"/>
      <c r="P6145" s="505"/>
      <c r="Q6145" s="505"/>
      <c r="R6145" s="505"/>
      <c r="S6145" s="505"/>
      <c r="T6145" s="505"/>
      <c r="U6145" s="505"/>
      <c r="V6145" s="505"/>
      <c r="W6145" s="505"/>
      <c r="X6145" s="505"/>
      <c r="Y6145" s="505"/>
    </row>
    <row r="6146" spans="1:25" s="88" customFormat="1" hidden="1" x14ac:dyDescent="0.25">
      <c r="A6146" s="258"/>
      <c r="B6146" s="258"/>
      <c r="C6146" s="261"/>
      <c r="D6146" s="258"/>
      <c r="E6146" s="679"/>
      <c r="F6146" s="499">
        <v>454</v>
      </c>
      <c r="G6146" s="492" t="s">
        <v>3805</v>
      </c>
      <c r="H6146" s="555"/>
      <c r="I6146" s="556"/>
      <c r="J6146" s="556">
        <f t="shared" si="203"/>
        <v>0</v>
      </c>
      <c r="K6146" s="505"/>
      <c r="L6146" s="505"/>
      <c r="M6146" s="505"/>
      <c r="N6146" s="505"/>
      <c r="O6146" s="505"/>
      <c r="P6146" s="505"/>
      <c r="Q6146" s="505"/>
      <c r="R6146" s="505"/>
      <c r="S6146" s="505"/>
      <c r="T6146" s="505"/>
      <c r="U6146" s="505"/>
      <c r="V6146" s="505"/>
      <c r="W6146" s="505"/>
      <c r="X6146" s="505"/>
      <c r="Y6146" s="505"/>
    </row>
    <row r="6147" spans="1:25" s="88" customFormat="1" hidden="1" x14ac:dyDescent="0.25">
      <c r="A6147" s="258"/>
      <c r="B6147" s="258"/>
      <c r="C6147" s="261"/>
      <c r="D6147" s="258"/>
      <c r="E6147" s="679"/>
      <c r="F6147" s="499">
        <v>461</v>
      </c>
      <c r="G6147" s="492" t="s">
        <v>4133</v>
      </c>
      <c r="H6147" s="555"/>
      <c r="I6147" s="556"/>
      <c r="J6147" s="556">
        <f t="shared" si="203"/>
        <v>0</v>
      </c>
      <c r="K6147" s="505"/>
      <c r="L6147" s="505"/>
      <c r="M6147" s="505"/>
      <c r="N6147" s="505"/>
      <c r="O6147" s="505"/>
      <c r="P6147" s="505"/>
      <c r="Q6147" s="505"/>
      <c r="R6147" s="505"/>
      <c r="S6147" s="505"/>
      <c r="T6147" s="505"/>
      <c r="U6147" s="505"/>
      <c r="V6147" s="505"/>
      <c r="W6147" s="505"/>
      <c r="X6147" s="505"/>
      <c r="Y6147" s="505"/>
    </row>
    <row r="6148" spans="1:25" s="88" customFormat="1" hidden="1" x14ac:dyDescent="0.25">
      <c r="A6148" s="258"/>
      <c r="B6148" s="258"/>
      <c r="C6148" s="261"/>
      <c r="D6148" s="258"/>
      <c r="E6148" s="679"/>
      <c r="F6148" s="499">
        <v>462</v>
      </c>
      <c r="G6148" s="492" t="s">
        <v>3808</v>
      </c>
      <c r="H6148" s="555"/>
      <c r="I6148" s="556"/>
      <c r="J6148" s="556">
        <f t="shared" si="203"/>
        <v>0</v>
      </c>
      <c r="K6148" s="505"/>
      <c r="L6148" s="505"/>
      <c r="M6148" s="505"/>
      <c r="N6148" s="505"/>
      <c r="O6148" s="505"/>
      <c r="P6148" s="505"/>
      <c r="Q6148" s="505"/>
      <c r="R6148" s="505"/>
      <c r="S6148" s="505"/>
      <c r="T6148" s="505"/>
      <c r="U6148" s="505"/>
      <c r="V6148" s="505"/>
      <c r="W6148" s="505"/>
      <c r="X6148" s="505"/>
      <c r="Y6148" s="505"/>
    </row>
    <row r="6149" spans="1:25" s="88" customFormat="1" hidden="1" x14ac:dyDescent="0.25">
      <c r="A6149" s="258"/>
      <c r="B6149" s="258"/>
      <c r="C6149" s="261"/>
      <c r="D6149" s="258"/>
      <c r="E6149" s="679"/>
      <c r="F6149" s="499">
        <v>4631</v>
      </c>
      <c r="G6149" s="492" t="s">
        <v>3809</v>
      </c>
      <c r="H6149" s="555"/>
      <c r="I6149" s="556"/>
      <c r="J6149" s="556">
        <f t="shared" si="203"/>
        <v>0</v>
      </c>
      <c r="K6149" s="505"/>
      <c r="L6149" s="505"/>
      <c r="M6149" s="505"/>
      <c r="N6149" s="505"/>
      <c r="O6149" s="505"/>
      <c r="P6149" s="505"/>
      <c r="Q6149" s="505"/>
      <c r="R6149" s="505"/>
      <c r="S6149" s="505"/>
      <c r="T6149" s="505"/>
      <c r="U6149" s="505"/>
      <c r="V6149" s="505"/>
      <c r="W6149" s="505"/>
      <c r="X6149" s="505"/>
      <c r="Y6149" s="505"/>
    </row>
    <row r="6150" spans="1:25" s="88" customFormat="1" hidden="1" x14ac:dyDescent="0.25">
      <c r="A6150" s="258"/>
      <c r="B6150" s="258"/>
      <c r="C6150" s="261"/>
      <c r="D6150" s="258"/>
      <c r="E6150" s="679"/>
      <c r="F6150" s="499">
        <v>4632</v>
      </c>
      <c r="G6150" s="492" t="s">
        <v>3810</v>
      </c>
      <c r="H6150" s="555"/>
      <c r="I6150" s="556"/>
      <c r="J6150" s="556">
        <f t="shared" si="203"/>
        <v>0</v>
      </c>
      <c r="K6150" s="505"/>
      <c r="L6150" s="505"/>
      <c r="M6150" s="505"/>
      <c r="N6150" s="505"/>
      <c r="O6150" s="505"/>
      <c r="P6150" s="505"/>
      <c r="Q6150" s="505"/>
      <c r="R6150" s="505"/>
      <c r="S6150" s="505"/>
      <c r="T6150" s="505"/>
      <c r="U6150" s="505"/>
      <c r="V6150" s="505"/>
      <c r="W6150" s="505"/>
      <c r="X6150" s="505"/>
      <c r="Y6150" s="505"/>
    </row>
    <row r="6151" spans="1:25" s="88" customFormat="1" hidden="1" x14ac:dyDescent="0.25">
      <c r="A6151" s="258"/>
      <c r="B6151" s="258"/>
      <c r="C6151" s="261"/>
      <c r="D6151" s="258"/>
      <c r="E6151" s="679"/>
      <c r="F6151" s="499">
        <v>464</v>
      </c>
      <c r="G6151" s="492" t="s">
        <v>3811</v>
      </c>
      <c r="H6151" s="555"/>
      <c r="I6151" s="556"/>
      <c r="J6151" s="556">
        <f t="shared" si="203"/>
        <v>0</v>
      </c>
      <c r="K6151" s="505"/>
      <c r="L6151" s="505"/>
      <c r="M6151" s="505"/>
      <c r="N6151" s="505"/>
      <c r="O6151" s="505"/>
      <c r="P6151" s="505"/>
      <c r="Q6151" s="505"/>
      <c r="R6151" s="505"/>
      <c r="S6151" s="505"/>
      <c r="T6151" s="505"/>
      <c r="U6151" s="505"/>
      <c r="V6151" s="505"/>
      <c r="W6151" s="505"/>
      <c r="X6151" s="505"/>
      <c r="Y6151" s="505"/>
    </row>
    <row r="6152" spans="1:25" s="88" customFormat="1" hidden="1" x14ac:dyDescent="0.25">
      <c r="A6152" s="258"/>
      <c r="B6152" s="258"/>
      <c r="C6152" s="261"/>
      <c r="D6152" s="258"/>
      <c r="E6152" s="679"/>
      <c r="F6152" s="499">
        <v>465</v>
      </c>
      <c r="G6152" s="492" t="s">
        <v>4134</v>
      </c>
      <c r="H6152" s="555"/>
      <c r="I6152" s="556"/>
      <c r="J6152" s="556">
        <f t="shared" si="203"/>
        <v>0</v>
      </c>
      <c r="K6152" s="505"/>
      <c r="L6152" s="505"/>
      <c r="M6152" s="505"/>
      <c r="N6152" s="505"/>
      <c r="O6152" s="505"/>
      <c r="P6152" s="505"/>
      <c r="Q6152" s="505"/>
      <c r="R6152" s="505"/>
      <c r="S6152" s="505"/>
      <c r="T6152" s="505"/>
      <c r="U6152" s="505"/>
      <c r="V6152" s="505"/>
      <c r="W6152" s="505"/>
      <c r="X6152" s="505"/>
      <c r="Y6152" s="505"/>
    </row>
    <row r="6153" spans="1:25" s="88" customFormat="1" hidden="1" x14ac:dyDescent="0.25">
      <c r="A6153" s="258"/>
      <c r="B6153" s="258"/>
      <c r="C6153" s="261"/>
      <c r="D6153" s="258"/>
      <c r="E6153" s="679"/>
      <c r="F6153" s="499">
        <v>472</v>
      </c>
      <c r="G6153" s="492" t="s">
        <v>3815</v>
      </c>
      <c r="H6153" s="555"/>
      <c r="I6153" s="556"/>
      <c r="J6153" s="556">
        <f t="shared" si="203"/>
        <v>0</v>
      </c>
      <c r="K6153" s="505"/>
      <c r="L6153" s="505"/>
      <c r="M6153" s="505"/>
      <c r="N6153" s="505"/>
      <c r="O6153" s="505"/>
      <c r="P6153" s="505"/>
      <c r="Q6153" s="505"/>
      <c r="R6153" s="505"/>
      <c r="S6153" s="505"/>
      <c r="T6153" s="505"/>
      <c r="U6153" s="505"/>
      <c r="V6153" s="505"/>
      <c r="W6153" s="505"/>
      <c r="X6153" s="505"/>
      <c r="Y6153" s="505"/>
    </row>
    <row r="6154" spans="1:25" s="88" customFormat="1" hidden="1" x14ac:dyDescent="0.25">
      <c r="A6154" s="258"/>
      <c r="B6154" s="258"/>
      <c r="C6154" s="261"/>
      <c r="D6154" s="258"/>
      <c r="E6154" s="679"/>
      <c r="F6154" s="499">
        <v>481</v>
      </c>
      <c r="G6154" s="492" t="s">
        <v>4153</v>
      </c>
      <c r="H6154" s="555"/>
      <c r="I6154" s="556"/>
      <c r="J6154" s="556">
        <f t="shared" si="203"/>
        <v>0</v>
      </c>
      <c r="K6154" s="505"/>
      <c r="L6154" s="505"/>
      <c r="M6154" s="505"/>
      <c r="N6154" s="505"/>
      <c r="O6154" s="505"/>
      <c r="P6154" s="505"/>
      <c r="Q6154" s="505"/>
      <c r="R6154" s="505"/>
      <c r="S6154" s="505"/>
      <c r="T6154" s="505"/>
      <c r="U6154" s="505"/>
      <c r="V6154" s="505"/>
      <c r="W6154" s="505"/>
      <c r="X6154" s="505"/>
      <c r="Y6154" s="505"/>
    </row>
    <row r="6155" spans="1:25" s="88" customFormat="1" hidden="1" x14ac:dyDescent="0.25">
      <c r="A6155" s="258"/>
      <c r="B6155" s="258"/>
      <c r="C6155" s="261"/>
      <c r="D6155" s="258"/>
      <c r="E6155" s="679"/>
      <c r="F6155" s="499">
        <v>482</v>
      </c>
      <c r="G6155" s="492" t="s">
        <v>4154</v>
      </c>
      <c r="H6155" s="555"/>
      <c r="I6155" s="556"/>
      <c r="J6155" s="556">
        <f t="shared" si="203"/>
        <v>0</v>
      </c>
      <c r="K6155" s="505"/>
      <c r="L6155" s="505"/>
      <c r="M6155" s="505"/>
      <c r="N6155" s="505"/>
      <c r="O6155" s="505"/>
      <c r="P6155" s="505"/>
      <c r="Q6155" s="505"/>
      <c r="R6155" s="505"/>
      <c r="S6155" s="505"/>
      <c r="T6155" s="505"/>
      <c r="U6155" s="505"/>
      <c r="V6155" s="505"/>
      <c r="W6155" s="505"/>
      <c r="X6155" s="505"/>
      <c r="Y6155" s="505"/>
    </row>
    <row r="6156" spans="1:25" s="88" customFormat="1" hidden="1" x14ac:dyDescent="0.25">
      <c r="A6156" s="258"/>
      <c r="B6156" s="258"/>
      <c r="C6156" s="261"/>
      <c r="D6156" s="258"/>
      <c r="E6156" s="679"/>
      <c r="F6156" s="499">
        <v>483</v>
      </c>
      <c r="G6156" s="496" t="s">
        <v>4155</v>
      </c>
      <c r="H6156" s="555"/>
      <c r="I6156" s="556"/>
      <c r="J6156" s="556">
        <f t="shared" si="203"/>
        <v>0</v>
      </c>
      <c r="K6156" s="505"/>
      <c r="L6156" s="505"/>
      <c r="M6156" s="505"/>
      <c r="N6156" s="505"/>
      <c r="O6156" s="505"/>
      <c r="P6156" s="505"/>
      <c r="Q6156" s="505"/>
      <c r="R6156" s="505"/>
      <c r="S6156" s="505"/>
      <c r="T6156" s="505"/>
      <c r="U6156" s="505"/>
      <c r="V6156" s="505"/>
      <c r="W6156" s="505"/>
      <c r="X6156" s="505"/>
      <c r="Y6156" s="505"/>
    </row>
    <row r="6157" spans="1:25" s="88" customFormat="1" ht="30" hidden="1" x14ac:dyDescent="0.25">
      <c r="A6157" s="258"/>
      <c r="B6157" s="258"/>
      <c r="C6157" s="261"/>
      <c r="D6157" s="258"/>
      <c r="E6157" s="679"/>
      <c r="F6157" s="499">
        <v>484</v>
      </c>
      <c r="G6157" s="492" t="s">
        <v>4156</v>
      </c>
      <c r="H6157" s="555"/>
      <c r="I6157" s="556"/>
      <c r="J6157" s="556">
        <f t="shared" si="203"/>
        <v>0</v>
      </c>
      <c r="K6157" s="505"/>
      <c r="L6157" s="505"/>
      <c r="M6157" s="505"/>
      <c r="N6157" s="505"/>
      <c r="O6157" s="505"/>
      <c r="P6157" s="505"/>
      <c r="Q6157" s="505"/>
      <c r="R6157" s="505"/>
      <c r="S6157" s="505"/>
      <c r="T6157" s="505"/>
      <c r="U6157" s="505"/>
      <c r="V6157" s="505"/>
      <c r="W6157" s="505"/>
      <c r="X6157" s="505"/>
      <c r="Y6157" s="505"/>
    </row>
    <row r="6158" spans="1:25" s="88" customFormat="1" ht="30" hidden="1" x14ac:dyDescent="0.25">
      <c r="A6158" s="258"/>
      <c r="B6158" s="258"/>
      <c r="C6158" s="261"/>
      <c r="D6158" s="258"/>
      <c r="E6158" s="679"/>
      <c r="F6158" s="499">
        <v>485</v>
      </c>
      <c r="G6158" s="492" t="s">
        <v>4157</v>
      </c>
      <c r="H6158" s="555"/>
      <c r="I6158" s="556"/>
      <c r="J6158" s="556">
        <f t="shared" si="203"/>
        <v>0</v>
      </c>
      <c r="K6158" s="505"/>
      <c r="L6158" s="505"/>
      <c r="M6158" s="505"/>
      <c r="N6158" s="505"/>
      <c r="O6158" s="505"/>
      <c r="P6158" s="505"/>
      <c r="Q6158" s="505"/>
      <c r="R6158" s="505"/>
      <c r="S6158" s="505"/>
      <c r="T6158" s="505"/>
      <c r="U6158" s="505"/>
      <c r="V6158" s="505"/>
      <c r="W6158" s="505"/>
      <c r="X6158" s="505"/>
      <c r="Y6158" s="505"/>
    </row>
    <row r="6159" spans="1:25" s="88" customFormat="1" ht="30" hidden="1" x14ac:dyDescent="0.25">
      <c r="A6159" s="258"/>
      <c r="B6159" s="258"/>
      <c r="C6159" s="261"/>
      <c r="D6159" s="258"/>
      <c r="E6159" s="679"/>
      <c r="F6159" s="499">
        <v>489</v>
      </c>
      <c r="G6159" s="492" t="s">
        <v>3823</v>
      </c>
      <c r="H6159" s="555"/>
      <c r="I6159" s="556"/>
      <c r="J6159" s="556">
        <f t="shared" si="203"/>
        <v>0</v>
      </c>
      <c r="K6159" s="505"/>
      <c r="L6159" s="505"/>
      <c r="M6159" s="505"/>
      <c r="N6159" s="505"/>
      <c r="O6159" s="505"/>
      <c r="P6159" s="505"/>
      <c r="Q6159" s="505"/>
      <c r="R6159" s="505"/>
      <c r="S6159" s="505"/>
      <c r="T6159" s="505"/>
      <c r="U6159" s="505"/>
      <c r="V6159" s="505"/>
      <c r="W6159" s="505"/>
      <c r="X6159" s="505"/>
      <c r="Y6159" s="505"/>
    </row>
    <row r="6160" spans="1:25" s="88" customFormat="1" hidden="1" x14ac:dyDescent="0.25">
      <c r="A6160" s="258"/>
      <c r="B6160" s="258"/>
      <c r="C6160" s="261"/>
      <c r="D6160" s="258"/>
      <c r="E6160" s="679"/>
      <c r="F6160" s="499">
        <v>494</v>
      </c>
      <c r="G6160" s="492" t="s">
        <v>4135</v>
      </c>
      <c r="H6160" s="555"/>
      <c r="I6160" s="556"/>
      <c r="J6160" s="556">
        <f t="shared" si="203"/>
        <v>0</v>
      </c>
      <c r="K6160" s="505"/>
      <c r="L6160" s="505"/>
      <c r="M6160" s="505"/>
      <c r="N6160" s="505"/>
      <c r="O6160" s="505"/>
      <c r="P6160" s="505"/>
      <c r="Q6160" s="505"/>
      <c r="R6160" s="505"/>
      <c r="S6160" s="505"/>
      <c r="T6160" s="505"/>
      <c r="U6160" s="505"/>
      <c r="V6160" s="505"/>
      <c r="W6160" s="505"/>
      <c r="X6160" s="505"/>
      <c r="Y6160" s="505"/>
    </row>
    <row r="6161" spans="1:25" s="88" customFormat="1" ht="30" hidden="1" x14ac:dyDescent="0.25">
      <c r="A6161" s="258"/>
      <c r="B6161" s="258"/>
      <c r="C6161" s="261"/>
      <c r="D6161" s="258"/>
      <c r="E6161" s="679"/>
      <c r="F6161" s="499">
        <v>495</v>
      </c>
      <c r="G6161" s="492" t="s">
        <v>4136</v>
      </c>
      <c r="H6161" s="555"/>
      <c r="I6161" s="556"/>
      <c r="J6161" s="556">
        <f t="shared" si="203"/>
        <v>0</v>
      </c>
      <c r="K6161" s="505"/>
      <c r="L6161" s="505"/>
      <c r="M6161" s="505"/>
      <c r="N6161" s="505"/>
      <c r="O6161" s="505"/>
      <c r="P6161" s="505"/>
      <c r="Q6161" s="505"/>
      <c r="R6161" s="505"/>
      <c r="S6161" s="505"/>
      <c r="T6161" s="505"/>
      <c r="U6161" s="505"/>
      <c r="V6161" s="505"/>
      <c r="W6161" s="505"/>
      <c r="X6161" s="505"/>
      <c r="Y6161" s="505"/>
    </row>
    <row r="6162" spans="1:25" s="88" customFormat="1" ht="30" hidden="1" x14ac:dyDescent="0.25">
      <c r="A6162" s="258"/>
      <c r="B6162" s="258"/>
      <c r="C6162" s="261"/>
      <c r="D6162" s="258"/>
      <c r="E6162" s="679"/>
      <c r="F6162" s="499">
        <v>496</v>
      </c>
      <c r="G6162" s="492" t="s">
        <v>4137</v>
      </c>
      <c r="H6162" s="555"/>
      <c r="I6162" s="556"/>
      <c r="J6162" s="556">
        <f t="shared" si="203"/>
        <v>0</v>
      </c>
      <c r="K6162" s="505"/>
      <c r="L6162" s="505"/>
      <c r="M6162" s="505"/>
      <c r="N6162" s="505"/>
      <c r="O6162" s="505"/>
      <c r="P6162" s="505"/>
      <c r="Q6162" s="505"/>
      <c r="R6162" s="505"/>
      <c r="S6162" s="505"/>
      <c r="T6162" s="505"/>
      <c r="U6162" s="505"/>
      <c r="V6162" s="505"/>
      <c r="W6162" s="505"/>
      <c r="X6162" s="505"/>
      <c r="Y6162" s="505"/>
    </row>
    <row r="6163" spans="1:25" s="88" customFormat="1" ht="30" hidden="1" x14ac:dyDescent="0.25">
      <c r="A6163" s="258"/>
      <c r="B6163" s="258"/>
      <c r="C6163" s="261"/>
      <c r="D6163" s="258"/>
      <c r="E6163" s="679"/>
      <c r="F6163" s="499">
        <v>499</v>
      </c>
      <c r="G6163" s="492" t="s">
        <v>4138</v>
      </c>
      <c r="H6163" s="555"/>
      <c r="I6163" s="556"/>
      <c r="J6163" s="556">
        <f t="shared" si="203"/>
        <v>0</v>
      </c>
      <c r="K6163" s="505"/>
      <c r="L6163" s="505"/>
      <c r="M6163" s="505"/>
      <c r="N6163" s="505"/>
      <c r="O6163" s="505"/>
      <c r="P6163" s="505"/>
      <c r="Q6163" s="505"/>
      <c r="R6163" s="505"/>
      <c r="S6163" s="505"/>
      <c r="T6163" s="505"/>
      <c r="U6163" s="505"/>
      <c r="V6163" s="505"/>
      <c r="W6163" s="505"/>
      <c r="X6163" s="505"/>
      <c r="Y6163" s="505"/>
    </row>
    <row r="6164" spans="1:25" s="88" customFormat="1" hidden="1" x14ac:dyDescent="0.25">
      <c r="A6164" s="258"/>
      <c r="B6164" s="258"/>
      <c r="C6164" s="261"/>
      <c r="D6164" s="258"/>
      <c r="E6164" s="679"/>
      <c r="F6164" s="499">
        <v>511</v>
      </c>
      <c r="G6164" s="496" t="s">
        <v>4158</v>
      </c>
      <c r="H6164" s="555">
        <v>0</v>
      </c>
      <c r="I6164" s="556"/>
      <c r="J6164" s="556">
        <f t="shared" si="203"/>
        <v>0</v>
      </c>
      <c r="K6164" s="505"/>
      <c r="L6164" s="505"/>
      <c r="M6164" s="505"/>
      <c r="N6164" s="505"/>
      <c r="O6164" s="505"/>
      <c r="P6164" s="505"/>
      <c r="Q6164" s="505"/>
      <c r="R6164" s="505"/>
      <c r="S6164" s="505"/>
      <c r="T6164" s="505"/>
      <c r="U6164" s="505"/>
      <c r="V6164" s="505"/>
      <c r="W6164" s="505"/>
      <c r="X6164" s="505"/>
      <c r="Y6164" s="505"/>
    </row>
    <row r="6165" spans="1:25" s="88" customFormat="1" hidden="1" x14ac:dyDescent="0.25">
      <c r="A6165" s="258"/>
      <c r="B6165" s="258"/>
      <c r="C6165" s="261"/>
      <c r="D6165" s="258"/>
      <c r="E6165" s="679"/>
      <c r="F6165" s="499">
        <v>512</v>
      </c>
      <c r="G6165" s="496" t="s">
        <v>4159</v>
      </c>
      <c r="H6165" s="555"/>
      <c r="I6165" s="556"/>
      <c r="J6165" s="556">
        <f t="shared" si="203"/>
        <v>0</v>
      </c>
      <c r="K6165" s="505"/>
      <c r="L6165" s="505"/>
      <c r="M6165" s="505"/>
      <c r="N6165" s="505"/>
      <c r="O6165" s="505"/>
      <c r="P6165" s="505"/>
      <c r="Q6165" s="505"/>
      <c r="R6165" s="505"/>
      <c r="S6165" s="505"/>
      <c r="T6165" s="505"/>
      <c r="U6165" s="505"/>
      <c r="V6165" s="505"/>
      <c r="W6165" s="505"/>
      <c r="X6165" s="505"/>
      <c r="Y6165" s="505"/>
    </row>
    <row r="6166" spans="1:25" s="88" customFormat="1" hidden="1" x14ac:dyDescent="0.25">
      <c r="A6166" s="258"/>
      <c r="B6166" s="258"/>
      <c r="C6166" s="261"/>
      <c r="D6166" s="258"/>
      <c r="E6166" s="679"/>
      <c r="F6166" s="499">
        <v>513</v>
      </c>
      <c r="G6166" s="496" t="s">
        <v>4160</v>
      </c>
      <c r="H6166" s="555"/>
      <c r="I6166" s="556"/>
      <c r="J6166" s="556">
        <f t="shared" si="203"/>
        <v>0</v>
      </c>
      <c r="K6166" s="505"/>
      <c r="L6166" s="505"/>
      <c r="M6166" s="505"/>
      <c r="N6166" s="505"/>
      <c r="O6166" s="505"/>
      <c r="P6166" s="505"/>
      <c r="Q6166" s="505"/>
      <c r="R6166" s="505"/>
      <c r="S6166" s="505"/>
      <c r="T6166" s="505"/>
      <c r="U6166" s="505"/>
      <c r="V6166" s="505"/>
      <c r="W6166" s="505"/>
      <c r="X6166" s="505"/>
      <c r="Y6166" s="505"/>
    </row>
    <row r="6167" spans="1:25" s="88" customFormat="1" hidden="1" x14ac:dyDescent="0.25">
      <c r="A6167" s="258"/>
      <c r="B6167" s="258"/>
      <c r="C6167" s="261"/>
      <c r="D6167" s="258"/>
      <c r="E6167" s="679"/>
      <c r="F6167" s="499">
        <v>514</v>
      </c>
      <c r="G6167" s="492" t="s">
        <v>4161</v>
      </c>
      <c r="H6167" s="555"/>
      <c r="I6167" s="556"/>
      <c r="J6167" s="556">
        <f t="shared" si="203"/>
        <v>0</v>
      </c>
      <c r="K6167" s="505"/>
      <c r="L6167" s="505"/>
      <c r="M6167" s="505"/>
      <c r="N6167" s="505"/>
      <c r="O6167" s="505"/>
      <c r="P6167" s="505"/>
      <c r="Q6167" s="505"/>
      <c r="R6167" s="505"/>
      <c r="S6167" s="505"/>
      <c r="T6167" s="505"/>
      <c r="U6167" s="505"/>
      <c r="V6167" s="505"/>
      <c r="W6167" s="505"/>
      <c r="X6167" s="505"/>
      <c r="Y6167" s="505"/>
    </row>
    <row r="6168" spans="1:25" s="88" customFormat="1" hidden="1" x14ac:dyDescent="0.25">
      <c r="A6168" s="258"/>
      <c r="B6168" s="258"/>
      <c r="C6168" s="261"/>
      <c r="D6168" s="258"/>
      <c r="E6168" s="679"/>
      <c r="F6168" s="499">
        <v>515</v>
      </c>
      <c r="G6168" s="492" t="s">
        <v>3834</v>
      </c>
      <c r="H6168" s="555"/>
      <c r="I6168" s="556"/>
      <c r="J6168" s="556">
        <f t="shared" si="203"/>
        <v>0</v>
      </c>
      <c r="K6168" s="505"/>
      <c r="L6168" s="505"/>
      <c r="M6168" s="505"/>
      <c r="N6168" s="505"/>
      <c r="O6168" s="505"/>
      <c r="P6168" s="505"/>
      <c r="Q6168" s="505"/>
      <c r="R6168" s="505"/>
      <c r="S6168" s="505"/>
      <c r="T6168" s="505"/>
      <c r="U6168" s="505"/>
      <c r="V6168" s="505"/>
      <c r="W6168" s="505"/>
      <c r="X6168" s="505"/>
      <c r="Y6168" s="505"/>
    </row>
    <row r="6169" spans="1:25" s="88" customFormat="1" hidden="1" x14ac:dyDescent="0.25">
      <c r="A6169" s="258"/>
      <c r="B6169" s="258"/>
      <c r="C6169" s="261"/>
      <c r="D6169" s="258"/>
      <c r="E6169" s="679"/>
      <c r="F6169" s="499">
        <v>521</v>
      </c>
      <c r="G6169" s="492" t="s">
        <v>4162</v>
      </c>
      <c r="H6169" s="555"/>
      <c r="I6169" s="556"/>
      <c r="J6169" s="556">
        <f t="shared" si="203"/>
        <v>0</v>
      </c>
      <c r="K6169" s="505"/>
      <c r="L6169" s="505"/>
      <c r="M6169" s="505"/>
      <c r="N6169" s="505"/>
      <c r="O6169" s="505"/>
      <c r="P6169" s="505"/>
      <c r="Q6169" s="505"/>
      <c r="R6169" s="505"/>
      <c r="S6169" s="505"/>
      <c r="T6169" s="505"/>
      <c r="U6169" s="505"/>
      <c r="V6169" s="505"/>
      <c r="W6169" s="505"/>
      <c r="X6169" s="505"/>
      <c r="Y6169" s="505"/>
    </row>
    <row r="6170" spans="1:25" s="88" customFormat="1" hidden="1" x14ac:dyDescent="0.25">
      <c r="A6170" s="258"/>
      <c r="B6170" s="258"/>
      <c r="C6170" s="261"/>
      <c r="D6170" s="258"/>
      <c r="E6170" s="679"/>
      <c r="F6170" s="499">
        <v>522</v>
      </c>
      <c r="G6170" s="492" t="s">
        <v>4163</v>
      </c>
      <c r="H6170" s="555"/>
      <c r="I6170" s="556"/>
      <c r="J6170" s="556">
        <f t="shared" si="203"/>
        <v>0</v>
      </c>
      <c r="K6170" s="505"/>
      <c r="L6170" s="505"/>
      <c r="M6170" s="505"/>
      <c r="N6170" s="505"/>
      <c r="O6170" s="505"/>
      <c r="P6170" s="505"/>
      <c r="Q6170" s="505"/>
      <c r="R6170" s="505"/>
      <c r="S6170" s="505"/>
      <c r="T6170" s="505"/>
      <c r="U6170" s="505"/>
      <c r="V6170" s="505"/>
      <c r="W6170" s="505"/>
      <c r="X6170" s="505"/>
      <c r="Y6170" s="505"/>
    </row>
    <row r="6171" spans="1:25" s="88" customFormat="1" hidden="1" x14ac:dyDescent="0.25">
      <c r="A6171" s="258"/>
      <c r="B6171" s="258"/>
      <c r="C6171" s="261"/>
      <c r="D6171" s="258"/>
      <c r="E6171" s="679"/>
      <c r="F6171" s="499">
        <v>523</v>
      </c>
      <c r="G6171" s="492" t="s">
        <v>3839</v>
      </c>
      <c r="H6171" s="555"/>
      <c r="I6171" s="556"/>
      <c r="J6171" s="556">
        <f t="shared" si="203"/>
        <v>0</v>
      </c>
      <c r="K6171" s="505"/>
      <c r="L6171" s="505"/>
      <c r="M6171" s="505"/>
      <c r="N6171" s="505"/>
      <c r="O6171" s="505"/>
      <c r="P6171" s="505"/>
      <c r="Q6171" s="505"/>
      <c r="R6171" s="505"/>
      <c r="S6171" s="505"/>
      <c r="T6171" s="505"/>
      <c r="U6171" s="505"/>
      <c r="V6171" s="505"/>
      <c r="W6171" s="505"/>
      <c r="X6171" s="505"/>
      <c r="Y6171" s="505"/>
    </row>
    <row r="6172" spans="1:25" s="88" customFormat="1" hidden="1" x14ac:dyDescent="0.25">
      <c r="A6172" s="258"/>
      <c r="B6172" s="258"/>
      <c r="C6172" s="261"/>
      <c r="D6172" s="258"/>
      <c r="E6172" s="679"/>
      <c r="F6172" s="499">
        <v>531</v>
      </c>
      <c r="G6172" s="488" t="s">
        <v>4139</v>
      </c>
      <c r="H6172" s="555"/>
      <c r="I6172" s="556"/>
      <c r="J6172" s="556">
        <f t="shared" si="203"/>
        <v>0</v>
      </c>
      <c r="K6172" s="505"/>
      <c r="L6172" s="505"/>
      <c r="M6172" s="505"/>
      <c r="N6172" s="505"/>
      <c r="O6172" s="505"/>
      <c r="P6172" s="505"/>
      <c r="Q6172" s="505"/>
      <c r="R6172" s="505"/>
      <c r="S6172" s="505"/>
      <c r="T6172" s="505"/>
      <c r="U6172" s="505"/>
      <c r="V6172" s="505"/>
      <c r="W6172" s="505"/>
      <c r="X6172" s="505"/>
      <c r="Y6172" s="505"/>
    </row>
    <row r="6173" spans="1:25" s="88" customFormat="1" hidden="1" x14ac:dyDescent="0.25">
      <c r="A6173" s="258"/>
      <c r="B6173" s="258"/>
      <c r="C6173" s="261"/>
      <c r="D6173" s="258"/>
      <c r="E6173" s="679"/>
      <c r="F6173" s="499">
        <v>541</v>
      </c>
      <c r="G6173" s="492" t="s">
        <v>4164</v>
      </c>
      <c r="H6173" s="555"/>
      <c r="I6173" s="556"/>
      <c r="J6173" s="556">
        <f t="shared" si="203"/>
        <v>0</v>
      </c>
      <c r="K6173" s="505"/>
      <c r="L6173" s="505"/>
      <c r="M6173" s="505"/>
      <c r="N6173" s="505"/>
      <c r="O6173" s="505"/>
      <c r="P6173" s="505"/>
      <c r="Q6173" s="505"/>
      <c r="R6173" s="505"/>
      <c r="S6173" s="505"/>
      <c r="T6173" s="505"/>
      <c r="U6173" s="505"/>
      <c r="V6173" s="505"/>
      <c r="W6173" s="505"/>
      <c r="X6173" s="505"/>
      <c r="Y6173" s="505"/>
    </row>
    <row r="6174" spans="1:25" s="88" customFormat="1" hidden="1" x14ac:dyDescent="0.25">
      <c r="A6174" s="258"/>
      <c r="B6174" s="258"/>
      <c r="C6174" s="261"/>
      <c r="D6174" s="258"/>
      <c r="E6174" s="679"/>
      <c r="F6174" s="499">
        <v>542</v>
      </c>
      <c r="G6174" s="492" t="s">
        <v>4165</v>
      </c>
      <c r="H6174" s="555"/>
      <c r="I6174" s="556"/>
      <c r="J6174" s="556">
        <f t="shared" si="203"/>
        <v>0</v>
      </c>
      <c r="K6174" s="505"/>
      <c r="L6174" s="505"/>
      <c r="M6174" s="505"/>
      <c r="N6174" s="505"/>
      <c r="O6174" s="505"/>
      <c r="P6174" s="505"/>
      <c r="Q6174" s="505"/>
      <c r="R6174" s="505"/>
      <c r="S6174" s="505"/>
      <c r="T6174" s="505"/>
      <c r="U6174" s="505"/>
      <c r="V6174" s="505"/>
      <c r="W6174" s="505"/>
      <c r="X6174" s="505"/>
      <c r="Y6174" s="505"/>
    </row>
    <row r="6175" spans="1:25" s="88" customFormat="1" hidden="1" x14ac:dyDescent="0.25">
      <c r="A6175" s="258"/>
      <c r="B6175" s="258"/>
      <c r="C6175" s="261"/>
      <c r="D6175" s="258"/>
      <c r="E6175" s="679"/>
      <c r="F6175" s="499">
        <v>543</v>
      </c>
      <c r="G6175" s="492" t="s">
        <v>3844</v>
      </c>
      <c r="H6175" s="555"/>
      <c r="I6175" s="556"/>
      <c r="J6175" s="556">
        <f t="shared" si="203"/>
        <v>0</v>
      </c>
      <c r="K6175" s="505"/>
      <c r="L6175" s="505"/>
      <c r="M6175" s="505"/>
      <c r="N6175" s="505"/>
      <c r="O6175" s="505"/>
      <c r="P6175" s="505"/>
      <c r="Q6175" s="505"/>
      <c r="R6175" s="505"/>
      <c r="S6175" s="505"/>
      <c r="T6175" s="505"/>
      <c r="U6175" s="505"/>
      <c r="V6175" s="505"/>
      <c r="W6175" s="505"/>
      <c r="X6175" s="505"/>
      <c r="Y6175" s="505"/>
    </row>
    <row r="6176" spans="1:25" s="88" customFormat="1" ht="30" hidden="1" x14ac:dyDescent="0.25">
      <c r="A6176" s="258"/>
      <c r="B6176" s="258"/>
      <c r="C6176" s="261"/>
      <c r="D6176" s="258"/>
      <c r="E6176" s="679"/>
      <c r="F6176" s="499">
        <v>551</v>
      </c>
      <c r="G6176" s="492" t="s">
        <v>4140</v>
      </c>
      <c r="H6176" s="555"/>
      <c r="I6176" s="556"/>
      <c r="J6176" s="556">
        <f t="shared" si="203"/>
        <v>0</v>
      </c>
      <c r="K6176" s="505"/>
      <c r="L6176" s="505"/>
      <c r="M6176" s="505"/>
      <c r="N6176" s="505"/>
      <c r="O6176" s="505"/>
      <c r="P6176" s="505"/>
      <c r="Q6176" s="505"/>
      <c r="R6176" s="505"/>
      <c r="S6176" s="505"/>
      <c r="T6176" s="505"/>
      <c r="U6176" s="505"/>
      <c r="V6176" s="505"/>
      <c r="W6176" s="505"/>
      <c r="X6176" s="505"/>
      <c r="Y6176" s="505"/>
    </row>
    <row r="6177" spans="1:25" s="88" customFormat="1" hidden="1" x14ac:dyDescent="0.25">
      <c r="A6177" s="258"/>
      <c r="B6177" s="258"/>
      <c r="C6177" s="261"/>
      <c r="D6177" s="258"/>
      <c r="E6177" s="679"/>
      <c r="F6177" s="500">
        <v>611</v>
      </c>
      <c r="G6177" s="498" t="s">
        <v>3850</v>
      </c>
      <c r="H6177" s="555"/>
      <c r="I6177" s="556"/>
      <c r="J6177" s="556">
        <f t="shared" si="203"/>
        <v>0</v>
      </c>
      <c r="K6177" s="505"/>
      <c r="L6177" s="505"/>
      <c r="M6177" s="505"/>
      <c r="N6177" s="505"/>
      <c r="O6177" s="505"/>
      <c r="P6177" s="505"/>
      <c r="Q6177" s="505"/>
      <c r="R6177" s="505"/>
      <c r="S6177" s="505"/>
      <c r="T6177" s="505"/>
      <c r="U6177" s="505"/>
      <c r="V6177" s="505"/>
      <c r="W6177" s="505"/>
      <c r="X6177" s="505"/>
      <c r="Y6177" s="505"/>
    </row>
    <row r="6178" spans="1:25" s="88" customFormat="1" ht="0.75" customHeight="1" thickBot="1" x14ac:dyDescent="0.3">
      <c r="A6178" s="258"/>
      <c r="B6178" s="258"/>
      <c r="C6178" s="261"/>
      <c r="D6178" s="258"/>
      <c r="E6178" s="679"/>
      <c r="F6178" s="500">
        <v>620</v>
      </c>
      <c r="G6178" s="498" t="s">
        <v>88</v>
      </c>
      <c r="H6178" s="555"/>
      <c r="I6178" s="556"/>
      <c r="J6178" s="556">
        <f t="shared" si="203"/>
        <v>0</v>
      </c>
      <c r="K6178" s="505"/>
      <c r="L6178" s="505"/>
      <c r="M6178" s="505"/>
      <c r="N6178" s="505"/>
      <c r="O6178" s="505"/>
      <c r="P6178" s="505"/>
      <c r="Q6178" s="505"/>
      <c r="R6178" s="505"/>
      <c r="S6178" s="505"/>
      <c r="T6178" s="505"/>
      <c r="U6178" s="505"/>
      <c r="V6178" s="505"/>
      <c r="W6178" s="505"/>
      <c r="X6178" s="505"/>
      <c r="Y6178" s="505"/>
    </row>
    <row r="6179" spans="1:25" s="88" customFormat="1" x14ac:dyDescent="0.25">
      <c r="A6179" s="258"/>
      <c r="B6179" s="258"/>
      <c r="C6179" s="261"/>
      <c r="D6179" s="258"/>
      <c r="E6179" s="489"/>
      <c r="F6179" s="500"/>
      <c r="G6179" s="343" t="s">
        <v>4293</v>
      </c>
      <c r="H6179" s="557"/>
      <c r="I6179" s="583"/>
      <c r="J6179" s="558"/>
      <c r="K6179" s="505"/>
      <c r="L6179" s="505"/>
      <c r="M6179" s="505"/>
      <c r="N6179" s="505"/>
      <c r="O6179" s="505"/>
      <c r="P6179" s="505"/>
      <c r="Q6179" s="505"/>
      <c r="R6179" s="505"/>
      <c r="S6179" s="505"/>
      <c r="T6179" s="505"/>
      <c r="U6179" s="505"/>
      <c r="V6179" s="505"/>
      <c r="W6179" s="505"/>
      <c r="X6179" s="505"/>
      <c r="Y6179" s="505"/>
    </row>
    <row r="6180" spans="1:25" s="88" customFormat="1" x14ac:dyDescent="0.25">
      <c r="A6180" s="258"/>
      <c r="B6180" s="258"/>
      <c r="C6180" s="261"/>
      <c r="D6180" s="258"/>
      <c r="E6180" s="693"/>
      <c r="F6180" s="597" t="s">
        <v>234</v>
      </c>
      <c r="G6180" s="598" t="s">
        <v>235</v>
      </c>
      <c r="H6180" s="559">
        <f>SUM(H6119:H6178)</f>
        <v>0</v>
      </c>
      <c r="I6180" s="560"/>
      <c r="J6180" s="560">
        <f t="shared" ref="J6180:J6195" si="204">SUM(H6180:I6180)</f>
        <v>0</v>
      </c>
      <c r="K6180" s="505"/>
      <c r="L6180" s="505"/>
      <c r="M6180" s="505"/>
      <c r="N6180" s="505"/>
      <c r="O6180" s="505"/>
      <c r="P6180" s="505"/>
      <c r="Q6180" s="505"/>
      <c r="R6180" s="505"/>
      <c r="S6180" s="505"/>
      <c r="T6180" s="505"/>
      <c r="U6180" s="505"/>
      <c r="V6180" s="505"/>
      <c r="W6180" s="505"/>
      <c r="X6180" s="505"/>
      <c r="Y6180" s="505"/>
    </row>
    <row r="6181" spans="1:25" s="88" customFormat="1" hidden="1" x14ac:dyDescent="0.25">
      <c r="A6181" s="258"/>
      <c r="B6181" s="258"/>
      <c r="C6181" s="261"/>
      <c r="D6181" s="258"/>
      <c r="E6181" s="679"/>
      <c r="F6181" s="597" t="s">
        <v>236</v>
      </c>
      <c r="G6181" s="598" t="s">
        <v>237</v>
      </c>
      <c r="H6181" s="555"/>
      <c r="I6181" s="556"/>
      <c r="J6181" s="560">
        <f t="shared" si="204"/>
        <v>0</v>
      </c>
      <c r="K6181" s="505"/>
      <c r="L6181" s="505"/>
      <c r="M6181" s="505"/>
      <c r="N6181" s="505"/>
      <c r="O6181" s="505"/>
      <c r="P6181" s="505"/>
      <c r="Q6181" s="505"/>
      <c r="R6181" s="505"/>
      <c r="S6181" s="505"/>
      <c r="T6181" s="505"/>
      <c r="U6181" s="505"/>
      <c r="V6181" s="505"/>
      <c r="W6181" s="505"/>
      <c r="X6181" s="505"/>
      <c r="Y6181" s="505"/>
    </row>
    <row r="6182" spans="1:25" s="88" customFormat="1" hidden="1" x14ac:dyDescent="0.25">
      <c r="A6182" s="258"/>
      <c r="B6182" s="258"/>
      <c r="C6182" s="261"/>
      <c r="D6182" s="258"/>
      <c r="E6182" s="679"/>
      <c r="F6182" s="597" t="s">
        <v>238</v>
      </c>
      <c r="G6182" s="598" t="s">
        <v>239</v>
      </c>
      <c r="H6182" s="555"/>
      <c r="I6182" s="556"/>
      <c r="J6182" s="560">
        <f t="shared" si="204"/>
        <v>0</v>
      </c>
      <c r="K6182" s="505"/>
      <c r="L6182" s="505"/>
      <c r="M6182" s="505"/>
      <c r="N6182" s="505"/>
      <c r="O6182" s="505"/>
      <c r="P6182" s="505"/>
      <c r="Q6182" s="505"/>
      <c r="R6182" s="505"/>
      <c r="S6182" s="505"/>
      <c r="T6182" s="505"/>
      <c r="U6182" s="505"/>
      <c r="V6182" s="505"/>
      <c r="W6182" s="505"/>
      <c r="X6182" s="505"/>
      <c r="Y6182" s="505"/>
    </row>
    <row r="6183" spans="1:25" s="88" customFormat="1" hidden="1" x14ac:dyDescent="0.25">
      <c r="A6183" s="258"/>
      <c r="B6183" s="258"/>
      <c r="C6183" s="261"/>
      <c r="D6183" s="258"/>
      <c r="E6183" s="679"/>
      <c r="F6183" s="597" t="s">
        <v>240</v>
      </c>
      <c r="G6183" s="598" t="s">
        <v>241</v>
      </c>
      <c r="H6183" s="555"/>
      <c r="I6183" s="556"/>
      <c r="J6183" s="560">
        <f t="shared" si="204"/>
        <v>0</v>
      </c>
      <c r="K6183" s="505"/>
      <c r="L6183" s="505"/>
      <c r="M6183" s="505"/>
      <c r="N6183" s="505"/>
      <c r="O6183" s="505"/>
      <c r="P6183" s="505"/>
      <c r="Q6183" s="505"/>
      <c r="R6183" s="505"/>
      <c r="S6183" s="505"/>
      <c r="T6183" s="505"/>
      <c r="U6183" s="505"/>
      <c r="V6183" s="505"/>
      <c r="W6183" s="505"/>
      <c r="X6183" s="505"/>
      <c r="Y6183" s="505"/>
    </row>
    <row r="6184" spans="1:25" s="88" customFormat="1" hidden="1" x14ac:dyDescent="0.25">
      <c r="A6184" s="258"/>
      <c r="B6184" s="258"/>
      <c r="C6184" s="261"/>
      <c r="D6184" s="258"/>
      <c r="E6184" s="679"/>
      <c r="F6184" s="597" t="s">
        <v>242</v>
      </c>
      <c r="G6184" s="598" t="s">
        <v>243</v>
      </c>
      <c r="H6184" s="555"/>
      <c r="I6184" s="556"/>
      <c r="J6184" s="560">
        <f t="shared" si="204"/>
        <v>0</v>
      </c>
      <c r="K6184" s="505"/>
      <c r="L6184" s="505"/>
      <c r="M6184" s="505"/>
      <c r="N6184" s="505"/>
      <c r="O6184" s="505"/>
      <c r="P6184" s="505"/>
      <c r="Q6184" s="505"/>
      <c r="R6184" s="505"/>
      <c r="S6184" s="505"/>
      <c r="T6184" s="505"/>
      <c r="U6184" s="505"/>
      <c r="V6184" s="505"/>
      <c r="W6184" s="505"/>
      <c r="X6184" s="505"/>
      <c r="Y6184" s="505"/>
    </row>
    <row r="6185" spans="1:25" s="88" customFormat="1" hidden="1" x14ac:dyDescent="0.25">
      <c r="A6185" s="258"/>
      <c r="B6185" s="258"/>
      <c r="C6185" s="261"/>
      <c r="D6185" s="258"/>
      <c r="E6185" s="679"/>
      <c r="F6185" s="597" t="s">
        <v>244</v>
      </c>
      <c r="G6185" s="598" t="s">
        <v>245</v>
      </c>
      <c r="H6185" s="555"/>
      <c r="I6185" s="556"/>
      <c r="J6185" s="560">
        <f t="shared" si="204"/>
        <v>0</v>
      </c>
      <c r="K6185" s="505"/>
      <c r="L6185" s="505"/>
      <c r="M6185" s="505"/>
      <c r="N6185" s="505"/>
      <c r="O6185" s="505"/>
      <c r="P6185" s="505"/>
      <c r="Q6185" s="505"/>
      <c r="R6185" s="505"/>
      <c r="S6185" s="505"/>
      <c r="T6185" s="505"/>
      <c r="U6185" s="505"/>
      <c r="V6185" s="505"/>
      <c r="W6185" s="505"/>
      <c r="X6185" s="505"/>
      <c r="Y6185" s="505"/>
    </row>
    <row r="6186" spans="1:25" s="88" customFormat="1" x14ac:dyDescent="0.25">
      <c r="A6186" s="258"/>
      <c r="B6186" s="258"/>
      <c r="C6186" s="261"/>
      <c r="D6186" s="258"/>
      <c r="E6186" s="679"/>
      <c r="F6186" s="597" t="s">
        <v>246</v>
      </c>
      <c r="G6186" s="598" t="s">
        <v>4996</v>
      </c>
      <c r="H6186" s="555"/>
      <c r="I6186" s="556"/>
      <c r="J6186" s="560">
        <f t="shared" si="204"/>
        <v>0</v>
      </c>
      <c r="K6186" s="505"/>
      <c r="L6186" s="505"/>
      <c r="M6186" s="505"/>
      <c r="N6186" s="505"/>
      <c r="O6186" s="505"/>
      <c r="P6186" s="505"/>
      <c r="Q6186" s="505"/>
      <c r="R6186" s="505"/>
      <c r="S6186" s="505"/>
      <c r="T6186" s="505"/>
      <c r="U6186" s="505"/>
      <c r="V6186" s="505"/>
      <c r="W6186" s="505"/>
      <c r="X6186" s="505"/>
      <c r="Y6186" s="505"/>
    </row>
    <row r="6187" spans="1:25" s="88" customFormat="1" ht="15.75" thickBot="1" x14ac:dyDescent="0.3">
      <c r="A6187" s="258"/>
      <c r="B6187" s="258"/>
      <c r="C6187" s="261"/>
      <c r="D6187" s="258"/>
      <c r="E6187" s="679"/>
      <c r="F6187" s="597" t="s">
        <v>247</v>
      </c>
      <c r="G6187" s="598" t="s">
        <v>4995</v>
      </c>
      <c r="H6187" s="555"/>
      <c r="I6187" s="556"/>
      <c r="J6187" s="560">
        <f t="shared" si="204"/>
        <v>0</v>
      </c>
      <c r="K6187" s="505"/>
      <c r="L6187" s="505"/>
      <c r="M6187" s="505"/>
      <c r="N6187" s="505"/>
      <c r="O6187" s="505"/>
      <c r="P6187" s="505"/>
      <c r="Q6187" s="505"/>
      <c r="R6187" s="505"/>
      <c r="S6187" s="505"/>
      <c r="T6187" s="505"/>
      <c r="U6187" s="505"/>
      <c r="V6187" s="505"/>
      <c r="W6187" s="505"/>
      <c r="X6187" s="505"/>
      <c r="Y6187" s="505"/>
    </row>
    <row r="6188" spans="1:25" s="88" customFormat="1" hidden="1" x14ac:dyDescent="0.25">
      <c r="A6188" s="258"/>
      <c r="B6188" s="258"/>
      <c r="C6188" s="261"/>
      <c r="D6188" s="258"/>
      <c r="E6188" s="679"/>
      <c r="F6188" s="597" t="s">
        <v>248</v>
      </c>
      <c r="G6188" s="598" t="s">
        <v>57</v>
      </c>
      <c r="H6188" s="555"/>
      <c r="I6188" s="556"/>
      <c r="J6188" s="560">
        <f t="shared" si="204"/>
        <v>0</v>
      </c>
      <c r="K6188" s="505"/>
      <c r="L6188" s="505"/>
      <c r="M6188" s="505"/>
      <c r="N6188" s="505"/>
      <c r="O6188" s="505"/>
      <c r="P6188" s="505"/>
      <c r="Q6188" s="505"/>
      <c r="R6188" s="505"/>
      <c r="S6188" s="505"/>
      <c r="T6188" s="505"/>
      <c r="U6188" s="505"/>
      <c r="V6188" s="505"/>
      <c r="W6188" s="505"/>
      <c r="X6188" s="505"/>
      <c r="Y6188" s="505"/>
    </row>
    <row r="6189" spans="1:25" s="88" customFormat="1" hidden="1" x14ac:dyDescent="0.25">
      <c r="A6189" s="258"/>
      <c r="B6189" s="258"/>
      <c r="C6189" s="261"/>
      <c r="D6189" s="258"/>
      <c r="E6189" s="679"/>
      <c r="F6189" s="597" t="s">
        <v>249</v>
      </c>
      <c r="G6189" s="598" t="s">
        <v>250</v>
      </c>
      <c r="H6189" s="555"/>
      <c r="I6189" s="556"/>
      <c r="J6189" s="560">
        <f t="shared" si="204"/>
        <v>0</v>
      </c>
      <c r="K6189" s="505"/>
      <c r="L6189" s="505"/>
      <c r="M6189" s="505"/>
      <c r="N6189" s="505"/>
      <c r="O6189" s="505"/>
      <c r="P6189" s="505"/>
      <c r="Q6189" s="505"/>
      <c r="R6189" s="505"/>
      <c r="S6189" s="505"/>
      <c r="T6189" s="505"/>
      <c r="U6189" s="505"/>
      <c r="V6189" s="505"/>
      <c r="W6189" s="505"/>
      <c r="X6189" s="505"/>
      <c r="Y6189" s="505"/>
    </row>
    <row r="6190" spans="1:25" s="88" customFormat="1" hidden="1" x14ac:dyDescent="0.25">
      <c r="A6190" s="258"/>
      <c r="B6190" s="258"/>
      <c r="C6190" s="261"/>
      <c r="D6190" s="258"/>
      <c r="E6190" s="679"/>
      <c r="F6190" s="597" t="s">
        <v>251</v>
      </c>
      <c r="G6190" s="598" t="s">
        <v>252</v>
      </c>
      <c r="H6190" s="555"/>
      <c r="I6190" s="556"/>
      <c r="J6190" s="560">
        <f t="shared" si="204"/>
        <v>0</v>
      </c>
      <c r="K6190" s="505"/>
      <c r="L6190" s="505"/>
      <c r="M6190" s="505"/>
      <c r="N6190" s="505"/>
      <c r="O6190" s="505"/>
      <c r="P6190" s="505"/>
      <c r="Q6190" s="505"/>
      <c r="R6190" s="505"/>
      <c r="S6190" s="505"/>
      <c r="T6190" s="505"/>
      <c r="U6190" s="505"/>
      <c r="V6190" s="505"/>
      <c r="W6190" s="505"/>
      <c r="X6190" s="505"/>
      <c r="Y6190" s="505"/>
    </row>
    <row r="6191" spans="1:25" s="88" customFormat="1" ht="30" hidden="1" x14ac:dyDescent="0.25">
      <c r="A6191" s="258"/>
      <c r="B6191" s="258"/>
      <c r="C6191" s="261"/>
      <c r="D6191" s="258"/>
      <c r="E6191" s="679"/>
      <c r="F6191" s="597" t="s">
        <v>253</v>
      </c>
      <c r="G6191" s="598" t="s">
        <v>254</v>
      </c>
      <c r="H6191" s="555"/>
      <c r="I6191" s="556"/>
      <c r="J6191" s="560">
        <f t="shared" si="204"/>
        <v>0</v>
      </c>
      <c r="K6191" s="505"/>
      <c r="L6191" s="505"/>
      <c r="M6191" s="505"/>
      <c r="N6191" s="505"/>
      <c r="O6191" s="505"/>
      <c r="P6191" s="505"/>
      <c r="Q6191" s="505"/>
      <c r="R6191" s="505"/>
      <c r="S6191" s="505"/>
      <c r="T6191" s="505"/>
      <c r="U6191" s="505"/>
      <c r="V6191" s="505"/>
      <c r="W6191" s="505"/>
      <c r="X6191" s="505"/>
      <c r="Y6191" s="505"/>
    </row>
    <row r="6192" spans="1:25" s="88" customFormat="1" hidden="1" x14ac:dyDescent="0.25">
      <c r="A6192" s="258"/>
      <c r="B6192" s="258"/>
      <c r="C6192" s="261"/>
      <c r="D6192" s="258"/>
      <c r="E6192" s="679"/>
      <c r="F6192" s="597" t="s">
        <v>255</v>
      </c>
      <c r="G6192" s="598" t="s">
        <v>256</v>
      </c>
      <c r="H6192" s="555"/>
      <c r="I6192" s="556"/>
      <c r="J6192" s="560">
        <f t="shared" si="204"/>
        <v>0</v>
      </c>
      <c r="K6192" s="505"/>
      <c r="L6192" s="505"/>
      <c r="M6192" s="505"/>
      <c r="N6192" s="505"/>
      <c r="O6192" s="505"/>
      <c r="P6192" s="505"/>
      <c r="Q6192" s="505"/>
      <c r="R6192" s="505"/>
      <c r="S6192" s="505"/>
      <c r="T6192" s="505"/>
      <c r="U6192" s="505"/>
      <c r="V6192" s="505"/>
      <c r="W6192" s="505"/>
      <c r="X6192" s="505"/>
      <c r="Y6192" s="505"/>
    </row>
    <row r="6193" spans="1:25" s="88" customFormat="1" ht="30" hidden="1" x14ac:dyDescent="0.25">
      <c r="A6193" s="258"/>
      <c r="B6193" s="258"/>
      <c r="C6193" s="261"/>
      <c r="D6193" s="258"/>
      <c r="E6193" s="679"/>
      <c r="F6193" s="597" t="s">
        <v>257</v>
      </c>
      <c r="G6193" s="598" t="s">
        <v>258</v>
      </c>
      <c r="H6193" s="555"/>
      <c r="I6193" s="556"/>
      <c r="J6193" s="560">
        <f t="shared" si="204"/>
        <v>0</v>
      </c>
      <c r="K6193" s="505"/>
      <c r="L6193" s="505"/>
      <c r="M6193" s="505"/>
      <c r="N6193" s="505"/>
      <c r="O6193" s="505"/>
      <c r="P6193" s="505"/>
      <c r="Q6193" s="505"/>
      <c r="R6193" s="505"/>
      <c r="S6193" s="505"/>
      <c r="T6193" s="505"/>
      <c r="U6193" s="505"/>
      <c r="V6193" s="505"/>
      <c r="W6193" s="505"/>
      <c r="X6193" s="505"/>
      <c r="Y6193" s="505"/>
    </row>
    <row r="6194" spans="1:25" s="88" customFormat="1" hidden="1" x14ac:dyDescent="0.25">
      <c r="A6194" s="258"/>
      <c r="B6194" s="258"/>
      <c r="C6194" s="261"/>
      <c r="D6194" s="258"/>
      <c r="E6194" s="679"/>
      <c r="F6194" s="597" t="s">
        <v>259</v>
      </c>
      <c r="G6194" s="598" t="s">
        <v>260</v>
      </c>
      <c r="H6194" s="555"/>
      <c r="I6194" s="556"/>
      <c r="J6194" s="560">
        <f t="shared" si="204"/>
        <v>0</v>
      </c>
      <c r="K6194" s="505"/>
      <c r="L6194" s="505"/>
      <c r="M6194" s="505"/>
      <c r="N6194" s="505"/>
      <c r="O6194" s="505"/>
      <c r="P6194" s="505"/>
      <c r="Q6194" s="505"/>
      <c r="R6194" s="505"/>
      <c r="S6194" s="505"/>
      <c r="T6194" s="505"/>
      <c r="U6194" s="505"/>
      <c r="V6194" s="505"/>
      <c r="W6194" s="505"/>
      <c r="X6194" s="505"/>
      <c r="Y6194" s="505"/>
    </row>
    <row r="6195" spans="1:25" s="88" customFormat="1" ht="15.75" hidden="1" thickBot="1" x14ac:dyDescent="0.3">
      <c r="A6195" s="258"/>
      <c r="B6195" s="258"/>
      <c r="C6195" s="261"/>
      <c r="D6195" s="258"/>
      <c r="E6195" s="679"/>
      <c r="F6195" s="597" t="s">
        <v>261</v>
      </c>
      <c r="G6195" s="598" t="s">
        <v>262</v>
      </c>
      <c r="H6195" s="559"/>
      <c r="I6195" s="560"/>
      <c r="J6195" s="560">
        <f t="shared" si="204"/>
        <v>0</v>
      </c>
      <c r="K6195" s="505"/>
      <c r="L6195" s="505"/>
      <c r="M6195" s="505"/>
      <c r="N6195" s="505"/>
      <c r="O6195" s="505"/>
      <c r="P6195" s="505"/>
      <c r="Q6195" s="505"/>
      <c r="R6195" s="505"/>
      <c r="S6195" s="505"/>
      <c r="T6195" s="505"/>
      <c r="U6195" s="505"/>
      <c r="V6195" s="505"/>
      <c r="W6195" s="505"/>
      <c r="X6195" s="505"/>
      <c r="Y6195" s="505"/>
    </row>
    <row r="6196" spans="1:25" s="88" customFormat="1" ht="18" customHeight="1" thickBot="1" x14ac:dyDescent="0.3">
      <c r="A6196" s="258"/>
      <c r="B6196" s="258"/>
      <c r="C6196" s="261"/>
      <c r="D6196" s="258"/>
      <c r="E6196" s="679"/>
      <c r="F6196" s="258"/>
      <c r="G6196" s="268" t="s">
        <v>4294</v>
      </c>
      <c r="H6196" s="561">
        <f>SUM(H6180:H6195)</f>
        <v>0</v>
      </c>
      <c r="I6196" s="562">
        <f>SUM(I6181:I6195)</f>
        <v>0</v>
      </c>
      <c r="J6196" s="562">
        <f>SUM(J6180:J6195)</f>
        <v>0</v>
      </c>
      <c r="K6196" s="505"/>
      <c r="L6196" s="505"/>
      <c r="M6196" s="505"/>
      <c r="N6196" s="505"/>
      <c r="O6196" s="505"/>
      <c r="P6196" s="505"/>
      <c r="Q6196" s="505"/>
      <c r="R6196" s="505"/>
      <c r="S6196" s="505"/>
      <c r="T6196" s="505"/>
      <c r="U6196" s="505"/>
      <c r="V6196" s="505"/>
      <c r="W6196" s="505"/>
      <c r="X6196" s="505"/>
      <c r="Y6196" s="505"/>
    </row>
    <row r="6197" spans="1:25" s="88" customFormat="1" ht="28.5" x14ac:dyDescent="0.25">
      <c r="A6197" s="258"/>
      <c r="B6197" s="258"/>
      <c r="C6197" s="261"/>
      <c r="D6197" s="258"/>
      <c r="E6197" s="489"/>
      <c r="F6197" s="500"/>
      <c r="G6197" s="270" t="s">
        <v>5319</v>
      </c>
      <c r="H6197" s="563"/>
      <c r="I6197" s="584"/>
      <c r="J6197" s="564"/>
      <c r="K6197" s="505"/>
      <c r="L6197" s="505"/>
      <c r="M6197" s="505"/>
      <c r="N6197" s="505"/>
      <c r="O6197" s="505"/>
      <c r="P6197" s="505"/>
      <c r="Q6197" s="505"/>
      <c r="R6197" s="505"/>
      <c r="S6197" s="505"/>
      <c r="T6197" s="505"/>
      <c r="U6197" s="505"/>
      <c r="V6197" s="505"/>
      <c r="W6197" s="505"/>
      <c r="X6197" s="505"/>
      <c r="Y6197" s="505"/>
    </row>
    <row r="6198" spans="1:25" s="88" customFormat="1" ht="15.75" thickBot="1" x14ac:dyDescent="0.3">
      <c r="A6198" s="258"/>
      <c r="B6198" s="258"/>
      <c r="C6198" s="261"/>
      <c r="D6198" s="258"/>
      <c r="E6198" s="693"/>
      <c r="F6198" s="597" t="s">
        <v>234</v>
      </c>
      <c r="G6198" s="598" t="s">
        <v>235</v>
      </c>
      <c r="H6198" s="559">
        <f>SUM(H6119:H6178)</f>
        <v>0</v>
      </c>
      <c r="I6198" s="560"/>
      <c r="J6198" s="560">
        <f>SUM(H6198:I6198)</f>
        <v>0</v>
      </c>
      <c r="K6198" s="505"/>
      <c r="L6198" s="505"/>
      <c r="M6198" s="505"/>
      <c r="N6198" s="505"/>
      <c r="O6198" s="505"/>
      <c r="P6198" s="505"/>
      <c r="Q6198" s="505"/>
      <c r="R6198" s="505"/>
      <c r="S6198" s="505"/>
      <c r="T6198" s="505"/>
      <c r="U6198" s="505"/>
      <c r="V6198" s="505"/>
      <c r="W6198" s="505"/>
      <c r="X6198" s="505"/>
      <c r="Y6198" s="505"/>
    </row>
    <row r="6199" spans="1:25" s="88" customFormat="1" ht="15.75" hidden="1" thickBot="1" x14ac:dyDescent="0.3">
      <c r="A6199" s="258"/>
      <c r="B6199" s="258"/>
      <c r="C6199" s="261"/>
      <c r="D6199" s="258"/>
      <c r="E6199" s="679"/>
      <c r="F6199" s="597" t="s">
        <v>236</v>
      </c>
      <c r="G6199" s="598" t="s">
        <v>237</v>
      </c>
      <c r="H6199" s="555"/>
      <c r="I6199" s="556"/>
      <c r="J6199" s="560">
        <f t="shared" ref="J6199:J6213" si="205">SUM(H6199:I6199)</f>
        <v>0</v>
      </c>
      <c r="K6199" s="505"/>
      <c r="L6199" s="505"/>
      <c r="M6199" s="505"/>
      <c r="N6199" s="505"/>
      <c r="O6199" s="505"/>
      <c r="P6199" s="505"/>
      <c r="Q6199" s="505"/>
      <c r="R6199" s="505"/>
      <c r="S6199" s="505"/>
      <c r="T6199" s="505"/>
      <c r="U6199" s="505"/>
      <c r="V6199" s="505"/>
      <c r="W6199" s="505"/>
      <c r="X6199" s="505"/>
      <c r="Y6199" s="505"/>
    </row>
    <row r="6200" spans="1:25" s="88" customFormat="1" ht="15.75" hidden="1" thickBot="1" x14ac:dyDescent="0.3">
      <c r="A6200" s="258"/>
      <c r="B6200" s="258"/>
      <c r="C6200" s="261"/>
      <c r="D6200" s="258"/>
      <c r="E6200" s="679"/>
      <c r="F6200" s="597" t="s">
        <v>238</v>
      </c>
      <c r="G6200" s="598" t="s">
        <v>239</v>
      </c>
      <c r="H6200" s="555"/>
      <c r="I6200" s="556"/>
      <c r="J6200" s="560">
        <f t="shared" si="205"/>
        <v>0</v>
      </c>
      <c r="K6200" s="505"/>
      <c r="L6200" s="505"/>
      <c r="M6200" s="505"/>
      <c r="N6200" s="505"/>
      <c r="O6200" s="505"/>
      <c r="P6200" s="505"/>
      <c r="Q6200" s="505"/>
      <c r="R6200" s="505"/>
      <c r="S6200" s="505"/>
      <c r="T6200" s="505"/>
      <c r="U6200" s="505"/>
      <c r="V6200" s="505"/>
      <c r="W6200" s="505"/>
      <c r="X6200" s="505"/>
      <c r="Y6200" s="505"/>
    </row>
    <row r="6201" spans="1:25" s="88" customFormat="1" ht="15.75" hidden="1" thickBot="1" x14ac:dyDescent="0.3">
      <c r="A6201" s="258"/>
      <c r="B6201" s="258"/>
      <c r="C6201" s="261"/>
      <c r="D6201" s="258"/>
      <c r="E6201" s="679"/>
      <c r="F6201" s="597" t="s">
        <v>240</v>
      </c>
      <c r="G6201" s="598" t="s">
        <v>241</v>
      </c>
      <c r="H6201" s="555"/>
      <c r="I6201" s="556"/>
      <c r="J6201" s="560">
        <f t="shared" si="205"/>
        <v>0</v>
      </c>
      <c r="K6201" s="505"/>
      <c r="L6201" s="505"/>
      <c r="M6201" s="505"/>
      <c r="N6201" s="505"/>
      <c r="O6201" s="505"/>
      <c r="P6201" s="505"/>
      <c r="Q6201" s="505"/>
      <c r="R6201" s="505"/>
      <c r="S6201" s="505"/>
      <c r="T6201" s="505"/>
      <c r="U6201" s="505"/>
      <c r="V6201" s="505"/>
      <c r="W6201" s="505"/>
      <c r="X6201" s="505"/>
      <c r="Y6201" s="505"/>
    </row>
    <row r="6202" spans="1:25" s="88" customFormat="1" ht="15.75" hidden="1" thickBot="1" x14ac:dyDescent="0.3">
      <c r="A6202" s="258"/>
      <c r="B6202" s="258"/>
      <c r="C6202" s="261"/>
      <c r="D6202" s="258"/>
      <c r="E6202" s="679"/>
      <c r="F6202" s="597" t="s">
        <v>242</v>
      </c>
      <c r="G6202" s="598" t="s">
        <v>243</v>
      </c>
      <c r="H6202" s="555"/>
      <c r="I6202" s="556"/>
      <c r="J6202" s="560">
        <f t="shared" si="205"/>
        <v>0</v>
      </c>
      <c r="K6202" s="505"/>
      <c r="L6202" s="505"/>
      <c r="M6202" s="505"/>
      <c r="N6202" s="505"/>
      <c r="O6202" s="505"/>
      <c r="P6202" s="505"/>
      <c r="Q6202" s="505"/>
      <c r="R6202" s="505"/>
      <c r="S6202" s="505"/>
      <c r="T6202" s="505"/>
      <c r="U6202" s="505"/>
      <c r="V6202" s="505"/>
      <c r="W6202" s="505"/>
      <c r="X6202" s="505"/>
      <c r="Y6202" s="505"/>
    </row>
    <row r="6203" spans="1:25" s="88" customFormat="1" ht="15.75" hidden="1" thickBot="1" x14ac:dyDescent="0.3">
      <c r="A6203" s="258"/>
      <c r="B6203" s="258"/>
      <c r="C6203" s="261"/>
      <c r="D6203" s="258"/>
      <c r="E6203" s="679"/>
      <c r="F6203" s="597" t="s">
        <v>244</v>
      </c>
      <c r="G6203" s="598" t="s">
        <v>245</v>
      </c>
      <c r="H6203" s="555"/>
      <c r="I6203" s="556"/>
      <c r="J6203" s="560">
        <f t="shared" si="205"/>
        <v>0</v>
      </c>
      <c r="K6203" s="505"/>
      <c r="L6203" s="505"/>
      <c r="M6203" s="505"/>
      <c r="N6203" s="505"/>
      <c r="O6203" s="505"/>
      <c r="P6203" s="505"/>
      <c r="Q6203" s="505"/>
      <c r="R6203" s="505"/>
      <c r="S6203" s="505"/>
      <c r="T6203" s="505"/>
      <c r="U6203" s="505"/>
      <c r="V6203" s="505"/>
      <c r="W6203" s="505"/>
      <c r="X6203" s="505"/>
      <c r="Y6203" s="505"/>
    </row>
    <row r="6204" spans="1:25" s="88" customFormat="1" ht="15.75" hidden="1" thickBot="1" x14ac:dyDescent="0.3">
      <c r="A6204" s="258"/>
      <c r="B6204" s="258"/>
      <c r="C6204" s="261"/>
      <c r="D6204" s="258"/>
      <c r="E6204" s="679"/>
      <c r="F6204" s="597" t="s">
        <v>246</v>
      </c>
      <c r="G6204" s="598" t="s">
        <v>4996</v>
      </c>
      <c r="H6204" s="555"/>
      <c r="I6204" s="556"/>
      <c r="J6204" s="560">
        <f t="shared" si="205"/>
        <v>0</v>
      </c>
      <c r="K6204" s="505"/>
      <c r="L6204" s="505"/>
      <c r="M6204" s="505"/>
      <c r="N6204" s="505"/>
      <c r="O6204" s="505"/>
      <c r="P6204" s="505"/>
      <c r="Q6204" s="505"/>
      <c r="R6204" s="505"/>
      <c r="S6204" s="505"/>
      <c r="T6204" s="505"/>
      <c r="U6204" s="505"/>
      <c r="V6204" s="505"/>
      <c r="W6204" s="505"/>
      <c r="X6204" s="505"/>
      <c r="Y6204" s="505"/>
    </row>
    <row r="6205" spans="1:25" s="88" customFormat="1" ht="15.75" hidden="1" thickBot="1" x14ac:dyDescent="0.3">
      <c r="A6205" s="258"/>
      <c r="B6205" s="258"/>
      <c r="C6205" s="261"/>
      <c r="D6205" s="258"/>
      <c r="E6205" s="679"/>
      <c r="F6205" s="597" t="s">
        <v>247</v>
      </c>
      <c r="G6205" s="598" t="s">
        <v>4995</v>
      </c>
      <c r="H6205" s="555"/>
      <c r="I6205" s="556"/>
      <c r="J6205" s="560">
        <f t="shared" si="205"/>
        <v>0</v>
      </c>
      <c r="K6205" s="505"/>
      <c r="L6205" s="505"/>
      <c r="M6205" s="505"/>
      <c r="N6205" s="505"/>
      <c r="O6205" s="505"/>
      <c r="P6205" s="505"/>
      <c r="Q6205" s="505"/>
      <c r="R6205" s="505"/>
      <c r="S6205" s="505"/>
      <c r="T6205" s="505"/>
      <c r="U6205" s="505"/>
      <c r="V6205" s="505"/>
      <c r="W6205" s="505"/>
      <c r="X6205" s="505"/>
      <c r="Y6205" s="505"/>
    </row>
    <row r="6206" spans="1:25" s="88" customFormat="1" ht="15.75" hidden="1" thickBot="1" x14ac:dyDescent="0.3">
      <c r="A6206" s="258"/>
      <c r="B6206" s="258"/>
      <c r="C6206" s="261"/>
      <c r="D6206" s="258"/>
      <c r="E6206" s="679"/>
      <c r="F6206" s="597" t="s">
        <v>248</v>
      </c>
      <c r="G6206" s="598" t="s">
        <v>57</v>
      </c>
      <c r="H6206" s="555"/>
      <c r="I6206" s="556"/>
      <c r="J6206" s="560">
        <f t="shared" si="205"/>
        <v>0</v>
      </c>
      <c r="K6206" s="505"/>
      <c r="L6206" s="505"/>
      <c r="M6206" s="505"/>
      <c r="N6206" s="505"/>
      <c r="O6206" s="505"/>
      <c r="P6206" s="505"/>
      <c r="Q6206" s="505"/>
      <c r="R6206" s="505"/>
      <c r="S6206" s="505"/>
      <c r="T6206" s="505"/>
      <c r="U6206" s="505"/>
      <c r="V6206" s="505"/>
      <c r="W6206" s="505"/>
      <c r="X6206" s="505"/>
      <c r="Y6206" s="505"/>
    </row>
    <row r="6207" spans="1:25" s="88" customFormat="1" ht="15.75" hidden="1" thickBot="1" x14ac:dyDescent="0.3">
      <c r="A6207" s="258"/>
      <c r="B6207" s="258"/>
      <c r="C6207" s="261"/>
      <c r="D6207" s="258"/>
      <c r="E6207" s="679"/>
      <c r="F6207" s="597" t="s">
        <v>249</v>
      </c>
      <c r="G6207" s="598" t="s">
        <v>250</v>
      </c>
      <c r="H6207" s="555"/>
      <c r="I6207" s="556"/>
      <c r="J6207" s="560">
        <f t="shared" si="205"/>
        <v>0</v>
      </c>
      <c r="K6207" s="505"/>
      <c r="L6207" s="505"/>
      <c r="M6207" s="505"/>
      <c r="N6207" s="505"/>
      <c r="O6207" s="505"/>
      <c r="P6207" s="505"/>
      <c r="Q6207" s="505"/>
      <c r="R6207" s="505"/>
      <c r="S6207" s="505"/>
      <c r="T6207" s="505"/>
      <c r="U6207" s="505"/>
      <c r="V6207" s="505"/>
      <c r="W6207" s="505"/>
      <c r="X6207" s="505"/>
      <c r="Y6207" s="505"/>
    </row>
    <row r="6208" spans="1:25" s="88" customFormat="1" ht="15.75" hidden="1" thickBot="1" x14ac:dyDescent="0.3">
      <c r="A6208" s="258"/>
      <c r="B6208" s="258"/>
      <c r="C6208" s="261"/>
      <c r="D6208" s="258"/>
      <c r="E6208" s="679"/>
      <c r="F6208" s="597" t="s">
        <v>251</v>
      </c>
      <c r="G6208" s="598" t="s">
        <v>252</v>
      </c>
      <c r="H6208" s="555"/>
      <c r="I6208" s="556"/>
      <c r="J6208" s="560">
        <f t="shared" si="205"/>
        <v>0</v>
      </c>
      <c r="K6208" s="505"/>
      <c r="L6208" s="505"/>
      <c r="M6208" s="505"/>
      <c r="N6208" s="505"/>
      <c r="O6208" s="505"/>
      <c r="P6208" s="505"/>
      <c r="Q6208" s="505"/>
      <c r="R6208" s="505"/>
      <c r="S6208" s="505"/>
      <c r="T6208" s="505"/>
      <c r="U6208" s="505"/>
      <c r="V6208" s="505"/>
      <c r="W6208" s="505"/>
      <c r="X6208" s="505"/>
      <c r="Y6208" s="505"/>
    </row>
    <row r="6209" spans="1:25" s="88" customFormat="1" ht="30.75" hidden="1" thickBot="1" x14ac:dyDescent="0.3">
      <c r="A6209" s="258"/>
      <c r="B6209" s="258"/>
      <c r="C6209" s="261"/>
      <c r="D6209" s="258"/>
      <c r="E6209" s="679"/>
      <c r="F6209" s="597" t="s">
        <v>253</v>
      </c>
      <c r="G6209" s="598" t="s">
        <v>254</v>
      </c>
      <c r="H6209" s="555"/>
      <c r="I6209" s="556"/>
      <c r="J6209" s="560">
        <f t="shared" si="205"/>
        <v>0</v>
      </c>
      <c r="K6209" s="505"/>
      <c r="L6209" s="505"/>
      <c r="M6209" s="505"/>
      <c r="N6209" s="505"/>
      <c r="O6209" s="505"/>
      <c r="P6209" s="505"/>
      <c r="Q6209" s="505"/>
      <c r="R6209" s="505"/>
      <c r="S6209" s="505"/>
      <c r="T6209" s="505"/>
      <c r="U6209" s="505"/>
      <c r="V6209" s="505"/>
      <c r="W6209" s="505"/>
      <c r="X6209" s="505"/>
      <c r="Y6209" s="505"/>
    </row>
    <row r="6210" spans="1:25" s="88" customFormat="1" ht="15.75" hidden="1" thickBot="1" x14ac:dyDescent="0.3">
      <c r="A6210" s="258"/>
      <c r="B6210" s="258"/>
      <c r="C6210" s="261"/>
      <c r="D6210" s="258"/>
      <c r="E6210" s="679"/>
      <c r="F6210" s="597" t="s">
        <v>255</v>
      </c>
      <c r="G6210" s="598" t="s">
        <v>256</v>
      </c>
      <c r="H6210" s="555"/>
      <c r="I6210" s="556"/>
      <c r="J6210" s="560">
        <f t="shared" si="205"/>
        <v>0</v>
      </c>
      <c r="K6210" s="505"/>
      <c r="L6210" s="505"/>
      <c r="M6210" s="505"/>
      <c r="N6210" s="505"/>
      <c r="O6210" s="505"/>
      <c r="P6210" s="505"/>
      <c r="Q6210" s="505"/>
      <c r="R6210" s="505"/>
      <c r="S6210" s="505"/>
      <c r="T6210" s="505"/>
      <c r="U6210" s="505"/>
      <c r="V6210" s="505"/>
      <c r="W6210" s="505"/>
      <c r="X6210" s="505"/>
      <c r="Y6210" s="505"/>
    </row>
    <row r="6211" spans="1:25" s="88" customFormat="1" ht="30.75" hidden="1" thickBot="1" x14ac:dyDescent="0.3">
      <c r="A6211" s="258"/>
      <c r="B6211" s="258"/>
      <c r="C6211" s="261"/>
      <c r="D6211" s="258"/>
      <c r="E6211" s="679"/>
      <c r="F6211" s="597" t="s">
        <v>257</v>
      </c>
      <c r="G6211" s="598" t="s">
        <v>258</v>
      </c>
      <c r="H6211" s="555"/>
      <c r="I6211" s="556"/>
      <c r="J6211" s="560">
        <f t="shared" si="205"/>
        <v>0</v>
      </c>
      <c r="K6211" s="505"/>
      <c r="L6211" s="505"/>
      <c r="M6211" s="505"/>
      <c r="N6211" s="505"/>
      <c r="O6211" s="505"/>
      <c r="P6211" s="505"/>
      <c r="Q6211" s="505"/>
      <c r="R6211" s="505"/>
      <c r="S6211" s="505"/>
      <c r="T6211" s="505"/>
      <c r="U6211" s="505"/>
      <c r="V6211" s="505"/>
      <c r="W6211" s="505"/>
      <c r="X6211" s="505"/>
      <c r="Y6211" s="505"/>
    </row>
    <row r="6212" spans="1:25" s="88" customFormat="1" ht="15.75" hidden="1" thickBot="1" x14ac:dyDescent="0.3">
      <c r="A6212" s="258"/>
      <c r="B6212" s="258"/>
      <c r="C6212" s="261"/>
      <c r="D6212" s="258"/>
      <c r="E6212" s="679"/>
      <c r="F6212" s="597" t="s">
        <v>259</v>
      </c>
      <c r="G6212" s="598" t="s">
        <v>260</v>
      </c>
      <c r="H6212" s="555"/>
      <c r="I6212" s="556"/>
      <c r="J6212" s="560">
        <f t="shared" si="205"/>
        <v>0</v>
      </c>
      <c r="K6212" s="505"/>
      <c r="L6212" s="505"/>
      <c r="M6212" s="505"/>
      <c r="N6212" s="505"/>
      <c r="O6212" s="505"/>
      <c r="P6212" s="505"/>
      <c r="Q6212" s="505"/>
      <c r="R6212" s="505"/>
      <c r="S6212" s="505"/>
      <c r="T6212" s="505"/>
      <c r="U6212" s="505"/>
      <c r="V6212" s="505"/>
      <c r="W6212" s="505"/>
      <c r="X6212" s="505"/>
      <c r="Y6212" s="505"/>
    </row>
    <row r="6213" spans="1:25" s="88" customFormat="1" ht="15.75" hidden="1" thickBot="1" x14ac:dyDescent="0.3">
      <c r="A6213" s="258"/>
      <c r="B6213" s="258"/>
      <c r="C6213" s="261"/>
      <c r="D6213" s="258"/>
      <c r="E6213" s="679"/>
      <c r="F6213" s="597" t="s">
        <v>261</v>
      </c>
      <c r="G6213" s="598" t="s">
        <v>262</v>
      </c>
      <c r="H6213" s="559"/>
      <c r="I6213" s="560"/>
      <c r="J6213" s="560">
        <f t="shared" si="205"/>
        <v>0</v>
      </c>
      <c r="K6213" s="505"/>
      <c r="L6213" s="505"/>
      <c r="M6213" s="505"/>
      <c r="N6213" s="505"/>
      <c r="O6213" s="505"/>
      <c r="P6213" s="505"/>
      <c r="Q6213" s="505"/>
      <c r="R6213" s="505"/>
      <c r="S6213" s="505"/>
      <c r="T6213" s="505"/>
      <c r="U6213" s="505"/>
      <c r="V6213" s="505"/>
      <c r="W6213" s="505"/>
      <c r="X6213" s="505"/>
      <c r="Y6213" s="505"/>
    </row>
    <row r="6214" spans="1:25" s="88" customFormat="1" ht="18" customHeight="1" thickBot="1" x14ac:dyDescent="0.3">
      <c r="A6214" s="258"/>
      <c r="B6214" s="258"/>
      <c r="C6214" s="261"/>
      <c r="D6214" s="258"/>
      <c r="E6214" s="679"/>
      <c r="F6214" s="258"/>
      <c r="G6214" s="268" t="s">
        <v>5408</v>
      </c>
      <c r="H6214" s="561">
        <f>SUM(H6198:H6213)</f>
        <v>0</v>
      </c>
      <c r="I6214" s="562">
        <f>SUM(I6199:I6213)</f>
        <v>0</v>
      </c>
      <c r="J6214" s="562">
        <f>SUM(J6198:J6213)</f>
        <v>0</v>
      </c>
      <c r="K6214" s="505"/>
      <c r="L6214" s="505"/>
      <c r="M6214" s="505"/>
      <c r="N6214" s="505"/>
      <c r="O6214" s="505"/>
      <c r="P6214" s="505"/>
      <c r="Q6214" s="505"/>
      <c r="R6214" s="505"/>
      <c r="S6214" s="505"/>
      <c r="T6214" s="505"/>
      <c r="U6214" s="505"/>
      <c r="V6214" s="505"/>
      <c r="W6214" s="505"/>
      <c r="X6214" s="505"/>
      <c r="Y6214" s="505"/>
    </row>
    <row r="6215" spans="1:25" s="88" customFormat="1" ht="15" customHeight="1" x14ac:dyDescent="0.25">
      <c r="A6215" s="258"/>
      <c r="B6215" s="288"/>
      <c r="C6215" s="334"/>
      <c r="D6215" s="286"/>
      <c r="E6215" s="876"/>
      <c r="F6215" s="500"/>
      <c r="G6215" s="285" t="s">
        <v>4197</v>
      </c>
      <c r="H6215" s="567"/>
      <c r="I6215" s="585"/>
      <c r="J6215" s="568"/>
      <c r="K6215" s="505"/>
      <c r="L6215" s="505"/>
      <c r="M6215" s="505"/>
      <c r="N6215" s="505"/>
      <c r="O6215" s="505"/>
      <c r="P6215" s="505"/>
      <c r="Q6215" s="505"/>
      <c r="R6215" s="505"/>
      <c r="S6215" s="505"/>
      <c r="T6215" s="505"/>
      <c r="U6215" s="505"/>
      <c r="V6215" s="505"/>
      <c r="W6215" s="505"/>
      <c r="X6215" s="505"/>
      <c r="Y6215" s="505"/>
    </row>
    <row r="6216" spans="1:25" s="88" customFormat="1" ht="15" customHeight="1" thickBot="1" x14ac:dyDescent="0.3">
      <c r="A6216" s="481"/>
      <c r="B6216" s="288"/>
      <c r="C6216" s="334"/>
      <c r="D6216" s="286"/>
      <c r="E6216" s="876"/>
      <c r="F6216" s="597" t="s">
        <v>234</v>
      </c>
      <c r="G6216" s="598" t="s">
        <v>235</v>
      </c>
      <c r="H6216" s="559">
        <f>SUM(H6198,H6100,H6002,H5904)</f>
        <v>28397421</v>
      </c>
      <c r="I6216" s="560"/>
      <c r="J6216" s="560">
        <f>SUM(H6216:I6216)</f>
        <v>28397421</v>
      </c>
      <c r="K6216" s="505"/>
      <c r="L6216" s="505"/>
      <c r="M6216" s="505"/>
      <c r="N6216" s="505"/>
      <c r="O6216" s="505"/>
      <c r="P6216" s="505"/>
      <c r="Q6216" s="505"/>
      <c r="R6216" s="505"/>
      <c r="S6216" s="505"/>
      <c r="T6216" s="505"/>
      <c r="U6216" s="505"/>
      <c r="V6216" s="505"/>
      <c r="W6216" s="505"/>
      <c r="X6216" s="505"/>
      <c r="Y6216" s="505"/>
    </row>
    <row r="6217" spans="1:25" s="88" customFormat="1" ht="15" customHeight="1" thickBot="1" x14ac:dyDescent="0.3">
      <c r="A6217" s="481"/>
      <c r="B6217" s="288"/>
      <c r="C6217" s="334"/>
      <c r="D6217" s="286"/>
      <c r="E6217" s="876"/>
      <c r="F6217" s="258"/>
      <c r="G6217" s="268" t="s">
        <v>4198</v>
      </c>
      <c r="H6217" s="561">
        <f>SUM(H6216)</f>
        <v>28397421</v>
      </c>
      <c r="I6217" s="562">
        <f>SUM(I6216)</f>
        <v>0</v>
      </c>
      <c r="J6217" s="562">
        <f>SUM(J6216)</f>
        <v>28397421</v>
      </c>
      <c r="K6217" s="505"/>
      <c r="L6217" s="505"/>
      <c r="M6217" s="505"/>
      <c r="N6217" s="505"/>
      <c r="O6217" s="505"/>
      <c r="P6217" s="505"/>
      <c r="Q6217" s="505"/>
      <c r="R6217" s="505"/>
      <c r="S6217" s="505"/>
      <c r="T6217" s="505"/>
      <c r="U6217" s="505"/>
      <c r="V6217" s="505"/>
      <c r="W6217" s="505"/>
      <c r="X6217" s="505"/>
      <c r="Y6217" s="505"/>
    </row>
    <row r="6218" spans="1:25" s="88" customFormat="1" ht="15" customHeight="1" x14ac:dyDescent="0.25">
      <c r="A6218" s="481"/>
      <c r="B6218" s="288"/>
      <c r="C6218" s="334"/>
      <c r="D6218" s="286"/>
      <c r="E6218" s="876"/>
      <c r="F6218" s="258"/>
      <c r="G6218" s="312"/>
      <c r="H6218" s="565"/>
      <c r="I6218" s="566"/>
      <c r="J6218" s="566"/>
      <c r="K6218" s="505"/>
      <c r="L6218" s="505"/>
      <c r="M6218" s="505"/>
      <c r="N6218" s="505"/>
      <c r="O6218" s="505"/>
      <c r="P6218" s="505"/>
      <c r="Q6218" s="505"/>
      <c r="R6218" s="505"/>
      <c r="S6218" s="505"/>
      <c r="T6218" s="505"/>
      <c r="U6218" s="505"/>
      <c r="V6218" s="505"/>
      <c r="W6218" s="505"/>
      <c r="X6218" s="505"/>
      <c r="Y6218" s="505"/>
    </row>
    <row r="6219" spans="1:25" s="88" customFormat="1" x14ac:dyDescent="0.25">
      <c r="A6219" s="258"/>
      <c r="B6219" s="258"/>
      <c r="C6219" s="261"/>
      <c r="D6219" s="258"/>
      <c r="E6219" s="489"/>
      <c r="F6219" s="500"/>
      <c r="G6219" s="285" t="s">
        <v>4170</v>
      </c>
      <c r="H6219" s="567"/>
      <c r="I6219" s="585"/>
      <c r="J6219" s="568"/>
      <c r="K6219" s="505"/>
      <c r="L6219" s="505"/>
      <c r="M6219" s="505"/>
      <c r="N6219" s="505"/>
      <c r="O6219" s="505"/>
      <c r="P6219" s="505"/>
      <c r="Q6219" s="505"/>
      <c r="R6219" s="505"/>
      <c r="S6219" s="505"/>
      <c r="T6219" s="505"/>
      <c r="U6219" s="505"/>
      <c r="V6219" s="505"/>
      <c r="W6219" s="505"/>
      <c r="X6219" s="505"/>
      <c r="Y6219" s="505"/>
    </row>
    <row r="6220" spans="1:25" s="88" customFormat="1" ht="15.75" customHeight="1" x14ac:dyDescent="0.25">
      <c r="A6220" s="258"/>
      <c r="B6220" s="258"/>
      <c r="C6220" s="261"/>
      <c r="D6220" s="258"/>
      <c r="E6220" s="693"/>
      <c r="F6220" s="597" t="s">
        <v>234</v>
      </c>
      <c r="G6220" s="598" t="s">
        <v>235</v>
      </c>
      <c r="H6220" s="559">
        <f>SUM(H6216+H5804+H5487+H5269+H4717+H4304+H4087+H3086+H2829+H2514+H2297)</f>
        <v>235396971</v>
      </c>
      <c r="I6220" s="560"/>
      <c r="J6220" s="560">
        <f>SUM(H6220:I6220)</f>
        <v>235396971</v>
      </c>
      <c r="K6220" s="505"/>
      <c r="L6220" s="505"/>
      <c r="M6220" s="505"/>
      <c r="N6220" s="505"/>
      <c r="O6220" s="505"/>
      <c r="P6220" s="505"/>
      <c r="Q6220" s="505"/>
      <c r="R6220" s="505"/>
      <c r="S6220" s="505"/>
      <c r="T6220" s="505"/>
      <c r="U6220" s="505"/>
      <c r="V6220" s="505"/>
      <c r="W6220" s="505"/>
      <c r="X6220" s="505"/>
      <c r="Y6220" s="505"/>
    </row>
    <row r="6221" spans="1:25" s="88" customFormat="1" hidden="1" x14ac:dyDescent="0.25">
      <c r="A6221" s="258"/>
      <c r="B6221" s="258"/>
      <c r="C6221" s="261"/>
      <c r="D6221" s="258"/>
      <c r="E6221" s="679"/>
      <c r="F6221" s="597" t="s">
        <v>236</v>
      </c>
      <c r="G6221" s="598" t="s">
        <v>237</v>
      </c>
      <c r="H6221" s="555"/>
      <c r="I6221" s="556"/>
      <c r="J6221" s="560">
        <f t="shared" ref="J6221:J6235" si="206">SUM(H6221:I6221)</f>
        <v>0</v>
      </c>
      <c r="K6221" s="505"/>
      <c r="L6221" s="505"/>
      <c r="M6221" s="505"/>
      <c r="N6221" s="505"/>
      <c r="O6221" s="505"/>
      <c r="P6221" s="505"/>
      <c r="Q6221" s="505"/>
      <c r="R6221" s="505"/>
      <c r="S6221" s="505"/>
      <c r="T6221" s="505"/>
      <c r="U6221" s="505"/>
      <c r="V6221" s="505"/>
      <c r="W6221" s="505"/>
      <c r="X6221" s="505"/>
      <c r="Y6221" s="505"/>
    </row>
    <row r="6222" spans="1:25" s="88" customFormat="1" hidden="1" x14ac:dyDescent="0.25">
      <c r="A6222" s="258"/>
      <c r="B6222" s="258"/>
      <c r="C6222" s="261"/>
      <c r="D6222" s="258"/>
      <c r="E6222" s="679"/>
      <c r="F6222" s="597" t="s">
        <v>238</v>
      </c>
      <c r="G6222" s="598" t="s">
        <v>239</v>
      </c>
      <c r="H6222" s="555"/>
      <c r="I6222" s="556"/>
      <c r="J6222" s="560">
        <f t="shared" si="206"/>
        <v>0</v>
      </c>
      <c r="K6222" s="505"/>
      <c r="L6222" s="505"/>
      <c r="M6222" s="505"/>
      <c r="N6222" s="505"/>
      <c r="O6222" s="505"/>
      <c r="P6222" s="505"/>
      <c r="Q6222" s="505"/>
      <c r="R6222" s="505"/>
      <c r="S6222" s="505"/>
      <c r="T6222" s="505"/>
      <c r="U6222" s="505"/>
      <c r="V6222" s="505"/>
      <c r="W6222" s="505"/>
      <c r="X6222" s="505"/>
      <c r="Y6222" s="505"/>
    </row>
    <row r="6223" spans="1:25" s="88" customFormat="1" hidden="1" x14ac:dyDescent="0.25">
      <c r="A6223" s="258"/>
      <c r="B6223" s="258"/>
      <c r="C6223" s="261"/>
      <c r="D6223" s="258"/>
      <c r="E6223" s="679"/>
      <c r="F6223" s="597" t="s">
        <v>240</v>
      </c>
      <c r="G6223" s="598" t="s">
        <v>241</v>
      </c>
      <c r="H6223" s="555"/>
      <c r="I6223" s="556"/>
      <c r="J6223" s="560">
        <f t="shared" si="206"/>
        <v>0</v>
      </c>
      <c r="K6223" s="505"/>
      <c r="L6223" s="505"/>
      <c r="M6223" s="505"/>
      <c r="N6223" s="505"/>
      <c r="O6223" s="505"/>
      <c r="P6223" s="505"/>
      <c r="Q6223" s="505"/>
      <c r="R6223" s="505"/>
      <c r="S6223" s="505"/>
      <c r="T6223" s="505"/>
      <c r="U6223" s="505"/>
      <c r="V6223" s="505"/>
      <c r="W6223" s="505"/>
      <c r="X6223" s="505"/>
      <c r="Y6223" s="505"/>
    </row>
    <row r="6224" spans="1:25" s="88" customFormat="1" hidden="1" x14ac:dyDescent="0.25">
      <c r="A6224" s="258"/>
      <c r="B6224" s="258"/>
      <c r="C6224" s="261"/>
      <c r="D6224" s="258"/>
      <c r="E6224" s="679"/>
      <c r="F6224" s="597" t="s">
        <v>242</v>
      </c>
      <c r="G6224" s="598" t="s">
        <v>243</v>
      </c>
      <c r="H6224" s="555"/>
      <c r="I6224" s="556"/>
      <c r="J6224" s="560">
        <f t="shared" si="206"/>
        <v>0</v>
      </c>
      <c r="K6224" s="505"/>
      <c r="L6224" s="505"/>
      <c r="M6224" s="505"/>
      <c r="N6224" s="505"/>
      <c r="O6224" s="505"/>
      <c r="P6224" s="505"/>
      <c r="Q6224" s="505"/>
      <c r="R6224" s="505"/>
      <c r="S6224" s="505"/>
      <c r="T6224" s="505"/>
      <c r="U6224" s="505"/>
      <c r="V6224" s="505"/>
      <c r="W6224" s="505"/>
      <c r="X6224" s="505"/>
      <c r="Y6224" s="505"/>
    </row>
    <row r="6225" spans="1:25" s="88" customFormat="1" hidden="1" x14ac:dyDescent="0.25">
      <c r="A6225" s="258"/>
      <c r="B6225" s="258"/>
      <c r="C6225" s="261"/>
      <c r="D6225" s="258"/>
      <c r="E6225" s="679"/>
      <c r="F6225" s="597" t="s">
        <v>244</v>
      </c>
      <c r="G6225" s="598" t="s">
        <v>245</v>
      </c>
      <c r="H6225" s="555"/>
      <c r="I6225" s="556"/>
      <c r="J6225" s="560">
        <f t="shared" si="206"/>
        <v>0</v>
      </c>
      <c r="K6225" s="505"/>
      <c r="L6225" s="505"/>
      <c r="M6225" s="505"/>
      <c r="N6225" s="505"/>
      <c r="O6225" s="505"/>
      <c r="P6225" s="505"/>
      <c r="Q6225" s="505"/>
      <c r="R6225" s="505"/>
      <c r="S6225" s="505"/>
      <c r="T6225" s="505"/>
      <c r="U6225" s="505"/>
      <c r="V6225" s="505"/>
      <c r="W6225" s="505"/>
      <c r="X6225" s="505"/>
      <c r="Y6225" s="505"/>
    </row>
    <row r="6226" spans="1:25" s="88" customFormat="1" x14ac:dyDescent="0.25">
      <c r="A6226" s="258"/>
      <c r="B6226" s="258"/>
      <c r="C6226" s="261"/>
      <c r="D6226" s="258"/>
      <c r="E6226" s="679"/>
      <c r="F6226" s="597" t="s">
        <v>246</v>
      </c>
      <c r="G6226" s="598" t="s">
        <v>4996</v>
      </c>
      <c r="H6226" s="555"/>
      <c r="I6226" s="556">
        <f>SUM(I5275,I2303,I2520)</f>
        <v>4008745</v>
      </c>
      <c r="J6226" s="560">
        <f t="shared" si="206"/>
        <v>4008745</v>
      </c>
      <c r="K6226" s="505"/>
      <c r="L6226" s="505"/>
      <c r="M6226" s="505"/>
      <c r="N6226" s="505"/>
      <c r="O6226" s="505"/>
      <c r="P6226" s="505"/>
      <c r="Q6226" s="505"/>
      <c r="R6226" s="505"/>
      <c r="S6226" s="505"/>
      <c r="T6226" s="505"/>
      <c r="U6226" s="505"/>
      <c r="V6226" s="505"/>
      <c r="W6226" s="505"/>
      <c r="X6226" s="505"/>
      <c r="Y6226" s="505"/>
    </row>
    <row r="6227" spans="1:25" s="88" customFormat="1" x14ac:dyDescent="0.25">
      <c r="A6227" s="258"/>
      <c r="B6227" s="258"/>
      <c r="C6227" s="261"/>
      <c r="D6227" s="258"/>
      <c r="E6227" s="679"/>
      <c r="F6227" s="597" t="s">
        <v>247</v>
      </c>
      <c r="G6227" s="598" t="s">
        <v>4995</v>
      </c>
      <c r="H6227" s="555"/>
      <c r="I6227" s="556">
        <v>3265528</v>
      </c>
      <c r="J6227" s="560">
        <f t="shared" si="206"/>
        <v>3265528</v>
      </c>
      <c r="K6227" s="505"/>
      <c r="L6227" s="505"/>
      <c r="M6227" s="505"/>
      <c r="N6227" s="505"/>
      <c r="O6227" s="505"/>
      <c r="P6227" s="505"/>
      <c r="Q6227" s="505"/>
      <c r="R6227" s="505"/>
      <c r="S6227" s="505"/>
      <c r="T6227" s="505"/>
      <c r="U6227" s="505"/>
      <c r="V6227" s="505"/>
      <c r="W6227" s="505"/>
      <c r="X6227" s="505"/>
      <c r="Y6227" s="505"/>
    </row>
    <row r="6228" spans="1:25" s="88" customFormat="1" hidden="1" x14ac:dyDescent="0.25">
      <c r="A6228" s="258"/>
      <c r="B6228" s="258"/>
      <c r="C6228" s="261"/>
      <c r="D6228" s="258"/>
      <c r="E6228" s="679"/>
      <c r="F6228" s="597" t="s">
        <v>248</v>
      </c>
      <c r="G6228" s="598" t="s">
        <v>57</v>
      </c>
      <c r="H6228" s="555"/>
      <c r="I6228" s="556"/>
      <c r="J6228" s="560">
        <f t="shared" si="206"/>
        <v>0</v>
      </c>
      <c r="K6228" s="505"/>
      <c r="L6228" s="505"/>
      <c r="M6228" s="505"/>
      <c r="N6228" s="505"/>
      <c r="O6228" s="505"/>
      <c r="P6228" s="505"/>
      <c r="Q6228" s="505"/>
      <c r="R6228" s="505"/>
      <c r="S6228" s="505"/>
      <c r="T6228" s="505"/>
      <c r="U6228" s="505"/>
      <c r="V6228" s="505"/>
      <c r="W6228" s="505"/>
      <c r="X6228" s="505"/>
      <c r="Y6228" s="505"/>
    </row>
    <row r="6229" spans="1:25" s="88" customFormat="1" hidden="1" x14ac:dyDescent="0.25">
      <c r="A6229" s="258"/>
      <c r="B6229" s="258"/>
      <c r="C6229" s="261"/>
      <c r="D6229" s="258"/>
      <c r="E6229" s="679"/>
      <c r="F6229" s="597" t="s">
        <v>249</v>
      </c>
      <c r="G6229" s="598" t="s">
        <v>250</v>
      </c>
      <c r="H6229" s="555"/>
      <c r="I6229" s="556"/>
      <c r="J6229" s="560">
        <f t="shared" si="206"/>
        <v>0</v>
      </c>
      <c r="K6229" s="505"/>
      <c r="L6229" s="505"/>
      <c r="M6229" s="505"/>
      <c r="N6229" s="505"/>
      <c r="O6229" s="505"/>
      <c r="P6229" s="505"/>
      <c r="Q6229" s="505"/>
      <c r="R6229" s="505"/>
      <c r="S6229" s="505"/>
      <c r="T6229" s="505"/>
      <c r="U6229" s="505"/>
      <c r="V6229" s="505"/>
      <c r="W6229" s="505"/>
      <c r="X6229" s="505"/>
      <c r="Y6229" s="505"/>
    </row>
    <row r="6230" spans="1:25" s="88" customFormat="1" hidden="1" x14ac:dyDescent="0.25">
      <c r="A6230" s="258"/>
      <c r="B6230" s="258"/>
      <c r="C6230" s="261"/>
      <c r="D6230" s="258"/>
      <c r="E6230" s="679"/>
      <c r="F6230" s="597" t="s">
        <v>251</v>
      </c>
      <c r="G6230" s="598" t="s">
        <v>252</v>
      </c>
      <c r="H6230" s="555"/>
      <c r="I6230" s="556"/>
      <c r="J6230" s="560">
        <f t="shared" si="206"/>
        <v>0</v>
      </c>
      <c r="K6230" s="505"/>
      <c r="L6230" s="505"/>
      <c r="M6230" s="505"/>
      <c r="N6230" s="505"/>
      <c r="O6230" s="505"/>
      <c r="P6230" s="505"/>
      <c r="Q6230" s="505"/>
      <c r="R6230" s="505"/>
      <c r="S6230" s="505"/>
      <c r="T6230" s="505"/>
      <c r="U6230" s="505"/>
      <c r="V6230" s="505"/>
      <c r="W6230" s="505"/>
      <c r="X6230" s="505"/>
      <c r="Y6230" s="505"/>
    </row>
    <row r="6231" spans="1:25" s="88" customFormat="1" ht="30" hidden="1" x14ac:dyDescent="0.25">
      <c r="A6231" s="258"/>
      <c r="B6231" s="258"/>
      <c r="C6231" s="261"/>
      <c r="D6231" s="258"/>
      <c r="E6231" s="679"/>
      <c r="F6231" s="597" t="s">
        <v>253</v>
      </c>
      <c r="G6231" s="598" t="s">
        <v>254</v>
      </c>
      <c r="H6231" s="555"/>
      <c r="I6231" s="556"/>
      <c r="J6231" s="560">
        <f t="shared" si="206"/>
        <v>0</v>
      </c>
      <c r="K6231" s="505"/>
      <c r="L6231" s="505"/>
      <c r="M6231" s="505"/>
      <c r="N6231" s="505"/>
      <c r="O6231" s="505"/>
      <c r="P6231" s="505"/>
      <c r="Q6231" s="505"/>
      <c r="R6231" s="505"/>
      <c r="S6231" s="505"/>
      <c r="T6231" s="505"/>
      <c r="U6231" s="505"/>
      <c r="V6231" s="505"/>
      <c r="W6231" s="505"/>
      <c r="X6231" s="505"/>
      <c r="Y6231" s="505"/>
    </row>
    <row r="6232" spans="1:25" s="88" customFormat="1" ht="15.75" thickBot="1" x14ac:dyDescent="0.3">
      <c r="A6232" s="258"/>
      <c r="B6232" s="258"/>
      <c r="C6232" s="261"/>
      <c r="D6232" s="258"/>
      <c r="E6232" s="679"/>
      <c r="F6232" s="597" t="s">
        <v>255</v>
      </c>
      <c r="G6232" s="598" t="s">
        <v>256</v>
      </c>
      <c r="H6232" s="555">
        <f>SUM(H5916,H4099,H2841,H2526,H2309)</f>
        <v>101266419</v>
      </c>
      <c r="I6232" s="556"/>
      <c r="J6232" s="560">
        <f t="shared" si="206"/>
        <v>101266419</v>
      </c>
      <c r="K6232" s="505"/>
      <c r="L6232" s="505"/>
      <c r="M6232" s="505"/>
      <c r="N6232" s="505"/>
      <c r="O6232" s="505"/>
      <c r="P6232" s="505"/>
      <c r="Q6232" s="505"/>
      <c r="R6232" s="505"/>
      <c r="S6232" s="505"/>
      <c r="T6232" s="505"/>
      <c r="U6232" s="505"/>
      <c r="V6232" s="505"/>
      <c r="W6232" s="505"/>
      <c r="X6232" s="505"/>
      <c r="Y6232" s="505"/>
    </row>
    <row r="6233" spans="1:25" s="88" customFormat="1" ht="30" hidden="1" x14ac:dyDescent="0.25">
      <c r="A6233" s="258"/>
      <c r="B6233" s="258"/>
      <c r="C6233" s="261"/>
      <c r="D6233" s="258"/>
      <c r="E6233" s="679"/>
      <c r="F6233" s="597" t="s">
        <v>257</v>
      </c>
      <c r="G6233" s="598" t="s">
        <v>258</v>
      </c>
      <c r="H6233" s="555"/>
      <c r="I6233" s="556"/>
      <c r="J6233" s="560">
        <f t="shared" si="206"/>
        <v>0</v>
      </c>
      <c r="K6233" s="505"/>
      <c r="L6233" s="505"/>
      <c r="M6233" s="505"/>
      <c r="N6233" s="505"/>
      <c r="O6233" s="505"/>
      <c r="P6233" s="505"/>
      <c r="Q6233" s="505"/>
      <c r="R6233" s="505"/>
      <c r="S6233" s="505"/>
      <c r="T6233" s="505"/>
      <c r="U6233" s="505"/>
      <c r="V6233" s="505"/>
      <c r="W6233" s="505"/>
      <c r="X6233" s="505"/>
      <c r="Y6233" s="505"/>
    </row>
    <row r="6234" spans="1:25" s="88" customFormat="1" hidden="1" x14ac:dyDescent="0.25">
      <c r="A6234" s="258"/>
      <c r="B6234" s="258"/>
      <c r="C6234" s="261"/>
      <c r="D6234" s="258"/>
      <c r="E6234" s="679"/>
      <c r="F6234" s="597" t="s">
        <v>259</v>
      </c>
      <c r="G6234" s="598" t="s">
        <v>260</v>
      </c>
      <c r="H6234" s="555"/>
      <c r="I6234" s="556"/>
      <c r="J6234" s="560">
        <f t="shared" si="206"/>
        <v>0</v>
      </c>
      <c r="K6234" s="505"/>
      <c r="L6234" s="505"/>
      <c r="M6234" s="505"/>
      <c r="N6234" s="505"/>
      <c r="O6234" s="505"/>
      <c r="P6234" s="505"/>
      <c r="Q6234" s="505"/>
      <c r="R6234" s="505"/>
      <c r="S6234" s="505"/>
      <c r="T6234" s="505"/>
      <c r="U6234" s="505"/>
      <c r="V6234" s="505"/>
      <c r="W6234" s="505"/>
      <c r="X6234" s="505"/>
      <c r="Y6234" s="505"/>
    </row>
    <row r="6235" spans="1:25" s="88" customFormat="1" ht="15.75" hidden="1" thickBot="1" x14ac:dyDescent="0.3">
      <c r="A6235" s="258"/>
      <c r="B6235" s="258"/>
      <c r="C6235" s="261"/>
      <c r="D6235" s="258"/>
      <c r="E6235" s="679"/>
      <c r="F6235" s="597" t="s">
        <v>261</v>
      </c>
      <c r="G6235" s="598" t="s">
        <v>262</v>
      </c>
      <c r="H6235" s="559"/>
      <c r="I6235" s="560"/>
      <c r="J6235" s="560">
        <f t="shared" si="206"/>
        <v>0</v>
      </c>
      <c r="K6235" s="505"/>
      <c r="L6235" s="505"/>
      <c r="M6235" s="505"/>
      <c r="N6235" s="505"/>
      <c r="O6235" s="505"/>
      <c r="P6235" s="505"/>
      <c r="Q6235" s="505"/>
      <c r="R6235" s="505"/>
      <c r="S6235" s="505"/>
      <c r="T6235" s="505"/>
      <c r="U6235" s="505"/>
      <c r="V6235" s="505"/>
      <c r="W6235" s="505"/>
      <c r="X6235" s="505"/>
      <c r="Y6235" s="505"/>
    </row>
    <row r="6236" spans="1:25" s="88" customFormat="1" ht="14.25" customHeight="1" thickBot="1" x14ac:dyDescent="0.3">
      <c r="A6236" s="258"/>
      <c r="B6236" s="258"/>
      <c r="C6236" s="261"/>
      <c r="D6236" s="258"/>
      <c r="E6236" s="679"/>
      <c r="F6236" s="258"/>
      <c r="G6236" s="268" t="s">
        <v>4171</v>
      </c>
      <c r="H6236" s="561">
        <f>SUM(H6220:H6235)</f>
        <v>336663390</v>
      </c>
      <c r="I6236" s="562">
        <f>SUM(I6221:I6235)</f>
        <v>7274273</v>
      </c>
      <c r="J6236" s="562">
        <f>SUM(J6220:J6235)</f>
        <v>343937663</v>
      </c>
      <c r="K6236" s="505"/>
      <c r="L6236" s="505"/>
      <c r="M6236" s="505"/>
      <c r="N6236" s="505"/>
      <c r="O6236" s="505"/>
      <c r="P6236" s="505"/>
      <c r="Q6236" s="505"/>
      <c r="R6236" s="505"/>
      <c r="S6236" s="505"/>
      <c r="T6236" s="505"/>
      <c r="U6236" s="505"/>
      <c r="V6236" s="505"/>
      <c r="W6236" s="505"/>
      <c r="X6236" s="505"/>
      <c r="Y6236" s="505"/>
    </row>
    <row r="6237" spans="1:25" s="88" customFormat="1" ht="28.5" x14ac:dyDescent="0.25">
      <c r="A6237" s="481"/>
      <c r="B6237" s="288"/>
      <c r="C6237" s="267" t="s">
        <v>3593</v>
      </c>
      <c r="D6237" s="259"/>
      <c r="E6237" s="679"/>
      <c r="F6237" s="258"/>
      <c r="G6237" s="490" t="s">
        <v>5063</v>
      </c>
      <c r="H6237" s="555"/>
      <c r="I6237" s="556"/>
      <c r="J6237" s="556"/>
      <c r="K6237" s="505"/>
      <c r="L6237" s="505"/>
      <c r="M6237" s="505"/>
      <c r="N6237" s="505"/>
      <c r="O6237" s="505"/>
      <c r="P6237" s="505"/>
      <c r="Q6237" s="505"/>
      <c r="R6237" s="505"/>
      <c r="S6237" s="505"/>
      <c r="T6237" s="505"/>
      <c r="U6237" s="505"/>
      <c r="V6237" s="505"/>
      <c r="W6237" s="505"/>
      <c r="X6237" s="505"/>
      <c r="Y6237" s="505"/>
    </row>
    <row r="6238" spans="1:25" s="839" customFormat="1" x14ac:dyDescent="0.25">
      <c r="A6238" s="829"/>
      <c r="B6238" s="830">
        <v>2</v>
      </c>
      <c r="C6238" s="840"/>
      <c r="D6238" s="841"/>
      <c r="E6238" s="882"/>
      <c r="F6238" s="842"/>
      <c r="G6238" s="834" t="s">
        <v>5320</v>
      </c>
      <c r="H6238" s="843"/>
      <c r="I6238" s="836"/>
      <c r="J6238" s="836"/>
      <c r="K6238" s="838"/>
      <c r="L6238" s="838"/>
      <c r="M6238" s="838"/>
      <c r="N6238" s="838"/>
      <c r="O6238" s="838"/>
      <c r="P6238" s="838"/>
      <c r="Q6238" s="838"/>
      <c r="R6238" s="838"/>
      <c r="S6238" s="838"/>
      <c r="T6238" s="838"/>
      <c r="U6238" s="838"/>
      <c r="V6238" s="838"/>
      <c r="W6238" s="838"/>
      <c r="X6238" s="838"/>
      <c r="Y6238" s="838"/>
    </row>
    <row r="6239" spans="1:25" s="88" customFormat="1" ht="27.75" customHeight="1" x14ac:dyDescent="0.25">
      <c r="A6239" s="481"/>
      <c r="B6239" s="288"/>
      <c r="C6239" s="267" t="s">
        <v>4089</v>
      </c>
      <c r="D6239" s="259"/>
      <c r="E6239" s="679"/>
      <c r="F6239" s="258"/>
      <c r="G6239" s="727" t="s">
        <v>5130</v>
      </c>
      <c r="H6239" s="555"/>
      <c r="I6239" s="556"/>
      <c r="J6239" s="556"/>
      <c r="K6239" s="505"/>
      <c r="L6239" s="505"/>
      <c r="M6239" s="505"/>
      <c r="N6239" s="505"/>
      <c r="O6239" s="505"/>
      <c r="P6239" s="505"/>
      <c r="Q6239" s="505"/>
      <c r="R6239" s="505"/>
      <c r="S6239" s="505"/>
      <c r="T6239" s="505"/>
      <c r="U6239" s="505"/>
      <c r="V6239" s="505"/>
      <c r="W6239" s="505"/>
      <c r="X6239" s="505"/>
      <c r="Y6239" s="505"/>
    </row>
    <row r="6240" spans="1:25" s="88" customFormat="1" x14ac:dyDescent="0.25">
      <c r="A6240" s="481"/>
      <c r="B6240" s="288"/>
      <c r="C6240" s="294"/>
      <c r="D6240" s="348" t="s">
        <v>4001</v>
      </c>
      <c r="E6240" s="871"/>
      <c r="F6240" s="345"/>
      <c r="G6240" s="346" t="s">
        <v>207</v>
      </c>
      <c r="H6240" s="572"/>
      <c r="I6240" s="573"/>
      <c r="J6240" s="573"/>
      <c r="K6240" s="505"/>
      <c r="L6240" s="505"/>
      <c r="M6240" s="505"/>
      <c r="N6240" s="505"/>
      <c r="O6240" s="505"/>
      <c r="P6240" s="505"/>
      <c r="Q6240" s="505"/>
      <c r="R6240" s="505"/>
      <c r="S6240" s="505"/>
      <c r="T6240" s="505"/>
      <c r="U6240" s="505"/>
      <c r="V6240" s="505"/>
      <c r="W6240" s="505"/>
      <c r="X6240" s="505"/>
      <c r="Y6240" s="505"/>
    </row>
    <row r="6241" spans="1:25" s="88" customFormat="1" x14ac:dyDescent="0.25">
      <c r="A6241" s="481"/>
      <c r="B6241" s="288"/>
      <c r="C6241" s="267"/>
      <c r="D6241" s="258"/>
      <c r="E6241" s="679">
        <v>167</v>
      </c>
      <c r="F6241" s="499">
        <v>411</v>
      </c>
      <c r="G6241" s="492" t="s">
        <v>4131</v>
      </c>
      <c r="H6241" s="555">
        <v>1400000</v>
      </c>
      <c r="I6241" s="556"/>
      <c r="J6241" s="556">
        <f>SUM(H6241:I6241)</f>
        <v>1400000</v>
      </c>
      <c r="K6241" s="505"/>
      <c r="L6241" s="505"/>
      <c r="M6241" s="505"/>
      <c r="N6241" s="505"/>
      <c r="O6241" s="505"/>
      <c r="P6241" s="505"/>
      <c r="Q6241" s="505"/>
      <c r="R6241" s="505"/>
      <c r="S6241" s="505"/>
      <c r="T6241" s="505"/>
      <c r="U6241" s="505"/>
      <c r="V6241" s="505"/>
      <c r="W6241" s="505"/>
      <c r="X6241" s="505"/>
      <c r="Y6241" s="505"/>
    </row>
    <row r="6242" spans="1:25" s="88" customFormat="1" x14ac:dyDescent="0.25">
      <c r="A6242" s="481"/>
      <c r="B6242" s="288"/>
      <c r="C6242" s="267"/>
      <c r="D6242" s="258"/>
      <c r="E6242" s="679">
        <v>168</v>
      </c>
      <c r="F6242" s="499">
        <v>412</v>
      </c>
      <c r="G6242" s="488" t="s">
        <v>3766</v>
      </c>
      <c r="H6242" s="555">
        <v>250000</v>
      </c>
      <c r="I6242" s="556"/>
      <c r="J6242" s="556">
        <f t="shared" ref="J6242:J6277" si="207">SUM(H6242:I6242)</f>
        <v>250000</v>
      </c>
      <c r="K6242" s="505"/>
      <c r="L6242" s="505"/>
      <c r="M6242" s="505"/>
      <c r="N6242" s="505"/>
      <c r="O6242" s="505"/>
      <c r="P6242" s="505"/>
      <c r="Q6242" s="505"/>
      <c r="R6242" s="505"/>
      <c r="S6242" s="505"/>
      <c r="T6242" s="505"/>
      <c r="U6242" s="505"/>
      <c r="V6242" s="505"/>
      <c r="W6242" s="505"/>
      <c r="X6242" s="505"/>
      <c r="Y6242" s="505"/>
    </row>
    <row r="6243" spans="1:25" s="88" customFormat="1" x14ac:dyDescent="0.25">
      <c r="A6243" s="481"/>
      <c r="B6243" s="288"/>
      <c r="C6243" s="267"/>
      <c r="D6243" s="258"/>
      <c r="E6243" s="679">
        <v>169</v>
      </c>
      <c r="F6243" s="499">
        <v>413</v>
      </c>
      <c r="G6243" s="492" t="s">
        <v>4132</v>
      </c>
      <c r="H6243" s="555">
        <v>0</v>
      </c>
      <c r="I6243" s="556"/>
      <c r="J6243" s="556">
        <f t="shared" si="207"/>
        <v>0</v>
      </c>
      <c r="K6243" s="505"/>
      <c r="L6243" s="505"/>
      <c r="M6243" s="505"/>
      <c r="N6243" s="505"/>
      <c r="O6243" s="505"/>
      <c r="P6243" s="505"/>
      <c r="Q6243" s="505"/>
      <c r="R6243" s="505"/>
      <c r="S6243" s="505"/>
      <c r="T6243" s="505"/>
      <c r="U6243" s="505"/>
      <c r="V6243" s="505"/>
      <c r="W6243" s="505"/>
      <c r="X6243" s="505"/>
      <c r="Y6243" s="505"/>
    </row>
    <row r="6244" spans="1:25" s="88" customFormat="1" x14ac:dyDescent="0.25">
      <c r="A6244" s="481"/>
      <c r="B6244" s="288"/>
      <c r="C6244" s="267"/>
      <c r="D6244" s="258"/>
      <c r="E6244" s="679">
        <v>170</v>
      </c>
      <c r="F6244" s="499">
        <v>414</v>
      </c>
      <c r="G6244" s="492" t="s">
        <v>3769</v>
      </c>
      <c r="H6244" s="555">
        <v>50000</v>
      </c>
      <c r="I6244" s="556"/>
      <c r="J6244" s="556">
        <f t="shared" si="207"/>
        <v>50000</v>
      </c>
      <c r="K6244" s="505"/>
      <c r="L6244" s="505"/>
      <c r="M6244" s="505"/>
      <c r="N6244" s="505"/>
      <c r="O6244" s="505"/>
      <c r="P6244" s="505"/>
      <c r="Q6244" s="505"/>
      <c r="R6244" s="505"/>
      <c r="S6244" s="505"/>
      <c r="T6244" s="505"/>
      <c r="U6244" s="505"/>
      <c r="V6244" s="505"/>
      <c r="W6244" s="505"/>
      <c r="X6244" s="505"/>
      <c r="Y6244" s="505"/>
    </row>
    <row r="6245" spans="1:25" s="88" customFormat="1" x14ac:dyDescent="0.25">
      <c r="A6245" s="481"/>
      <c r="B6245" s="288"/>
      <c r="C6245" s="267"/>
      <c r="D6245" s="258"/>
      <c r="E6245" s="679">
        <v>171</v>
      </c>
      <c r="F6245" s="499">
        <v>415</v>
      </c>
      <c r="G6245" s="492" t="s">
        <v>4141</v>
      </c>
      <c r="H6245" s="555">
        <v>240000</v>
      </c>
      <c r="I6245" s="556"/>
      <c r="J6245" s="556">
        <f t="shared" si="207"/>
        <v>240000</v>
      </c>
      <c r="K6245" s="505"/>
      <c r="L6245" s="505"/>
      <c r="M6245" s="505"/>
      <c r="N6245" s="505"/>
      <c r="O6245" s="505"/>
      <c r="P6245" s="505"/>
      <c r="Q6245" s="505"/>
      <c r="R6245" s="505"/>
      <c r="S6245" s="505"/>
      <c r="T6245" s="505"/>
      <c r="U6245" s="505"/>
      <c r="V6245" s="505"/>
      <c r="W6245" s="505"/>
      <c r="X6245" s="505"/>
      <c r="Y6245" s="505"/>
    </row>
    <row r="6246" spans="1:25" s="88" customFormat="1" x14ac:dyDescent="0.25">
      <c r="A6246" s="481"/>
      <c r="B6246" s="288"/>
      <c r="C6246" s="267"/>
      <c r="D6246" s="258"/>
      <c r="E6246" s="679">
        <v>172</v>
      </c>
      <c r="F6246" s="499">
        <v>416</v>
      </c>
      <c r="G6246" s="492" t="s">
        <v>4142</v>
      </c>
      <c r="H6246" s="555">
        <v>0</v>
      </c>
      <c r="I6246" s="556"/>
      <c r="J6246" s="556">
        <f t="shared" si="207"/>
        <v>0</v>
      </c>
      <c r="K6246" s="505"/>
      <c r="L6246" s="505"/>
      <c r="M6246" s="505"/>
      <c r="N6246" s="505"/>
      <c r="O6246" s="505"/>
      <c r="P6246" s="505"/>
      <c r="Q6246" s="505"/>
      <c r="R6246" s="505"/>
      <c r="S6246" s="505"/>
      <c r="T6246" s="505"/>
      <c r="U6246" s="505"/>
      <c r="V6246" s="505"/>
      <c r="W6246" s="505"/>
      <c r="X6246" s="505"/>
      <c r="Y6246" s="505"/>
    </row>
    <row r="6247" spans="1:25" s="88" customFormat="1" hidden="1" x14ac:dyDescent="0.25">
      <c r="A6247" s="481"/>
      <c r="B6247" s="288"/>
      <c r="C6247" s="267"/>
      <c r="D6247" s="258"/>
      <c r="E6247" s="679"/>
      <c r="F6247" s="499">
        <v>417</v>
      </c>
      <c r="G6247" s="492" t="s">
        <v>4143</v>
      </c>
      <c r="H6247" s="555"/>
      <c r="I6247" s="556"/>
      <c r="J6247" s="556">
        <f t="shared" si="207"/>
        <v>0</v>
      </c>
      <c r="K6247" s="505"/>
      <c r="L6247" s="505"/>
      <c r="M6247" s="505"/>
      <c r="N6247" s="505"/>
      <c r="O6247" s="505"/>
      <c r="P6247" s="505"/>
      <c r="Q6247" s="505"/>
      <c r="R6247" s="505"/>
      <c r="S6247" s="505"/>
      <c r="T6247" s="505"/>
      <c r="U6247" s="505"/>
      <c r="V6247" s="505"/>
      <c r="W6247" s="505"/>
      <c r="X6247" s="505"/>
      <c r="Y6247" s="505"/>
    </row>
    <row r="6248" spans="1:25" s="88" customFormat="1" hidden="1" x14ac:dyDescent="0.25">
      <c r="A6248" s="481"/>
      <c r="B6248" s="288"/>
      <c r="C6248" s="267"/>
      <c r="D6248" s="258"/>
      <c r="E6248" s="679"/>
      <c r="F6248" s="499">
        <v>418</v>
      </c>
      <c r="G6248" s="492" t="s">
        <v>3775</v>
      </c>
      <c r="H6248" s="555"/>
      <c r="I6248" s="556"/>
      <c r="J6248" s="556">
        <f t="shared" si="207"/>
        <v>0</v>
      </c>
      <c r="K6248" s="505"/>
      <c r="L6248" s="505"/>
      <c r="M6248" s="505"/>
      <c r="N6248" s="505"/>
      <c r="O6248" s="505"/>
      <c r="P6248" s="505"/>
      <c r="Q6248" s="505"/>
      <c r="R6248" s="505"/>
      <c r="S6248" s="505"/>
      <c r="T6248" s="505"/>
      <c r="U6248" s="505"/>
      <c r="V6248" s="505"/>
      <c r="W6248" s="505"/>
      <c r="X6248" s="505"/>
      <c r="Y6248" s="505"/>
    </row>
    <row r="6249" spans="1:25" s="88" customFormat="1" x14ac:dyDescent="0.25">
      <c r="A6249" s="481"/>
      <c r="B6249" s="288"/>
      <c r="C6249" s="267"/>
      <c r="D6249" s="258"/>
      <c r="E6249" s="679">
        <v>173</v>
      </c>
      <c r="F6249" s="499">
        <v>421</v>
      </c>
      <c r="G6249" s="492" t="s">
        <v>3779</v>
      </c>
      <c r="H6249" s="555">
        <v>411000</v>
      </c>
      <c r="I6249" s="556"/>
      <c r="J6249" s="556">
        <f t="shared" si="207"/>
        <v>411000</v>
      </c>
      <c r="K6249" s="505"/>
      <c r="L6249" s="505"/>
      <c r="M6249" s="505"/>
      <c r="N6249" s="505"/>
      <c r="O6249" s="505"/>
      <c r="P6249" s="505"/>
      <c r="Q6249" s="505"/>
      <c r="R6249" s="505"/>
      <c r="S6249" s="505"/>
      <c r="T6249" s="505"/>
      <c r="U6249" s="505"/>
      <c r="V6249" s="505"/>
      <c r="W6249" s="505"/>
      <c r="X6249" s="505"/>
      <c r="Y6249" s="505"/>
    </row>
    <row r="6250" spans="1:25" s="88" customFormat="1" x14ac:dyDescent="0.25">
      <c r="A6250" s="481"/>
      <c r="B6250" s="288"/>
      <c r="C6250" s="267"/>
      <c r="D6250" s="258"/>
      <c r="E6250" s="679">
        <v>174</v>
      </c>
      <c r="F6250" s="499">
        <v>422</v>
      </c>
      <c r="G6250" s="492" t="s">
        <v>3780</v>
      </c>
      <c r="H6250" s="555">
        <v>50000</v>
      </c>
      <c r="I6250" s="556"/>
      <c r="J6250" s="556">
        <f t="shared" si="207"/>
        <v>50000</v>
      </c>
      <c r="K6250" s="505"/>
      <c r="L6250" s="505"/>
      <c r="M6250" s="505"/>
      <c r="N6250" s="505"/>
      <c r="O6250" s="505"/>
      <c r="P6250" s="505"/>
      <c r="Q6250" s="505"/>
      <c r="R6250" s="505"/>
      <c r="S6250" s="505"/>
      <c r="T6250" s="505"/>
      <c r="U6250" s="505"/>
      <c r="V6250" s="505"/>
      <c r="W6250" s="505"/>
      <c r="X6250" s="505"/>
      <c r="Y6250" s="505"/>
    </row>
    <row r="6251" spans="1:25" s="88" customFormat="1" x14ac:dyDescent="0.25">
      <c r="A6251" s="481"/>
      <c r="B6251" s="288"/>
      <c r="C6251" s="267"/>
      <c r="D6251" s="258"/>
      <c r="E6251" s="679">
        <v>175</v>
      </c>
      <c r="F6251" s="499">
        <v>423</v>
      </c>
      <c r="G6251" s="492" t="s">
        <v>3781</v>
      </c>
      <c r="H6251" s="555">
        <v>990000</v>
      </c>
      <c r="I6251" s="556"/>
      <c r="J6251" s="556">
        <f t="shared" si="207"/>
        <v>990000</v>
      </c>
      <c r="K6251" s="505"/>
      <c r="L6251" s="505"/>
      <c r="M6251" s="505"/>
      <c r="N6251" s="505"/>
      <c r="O6251" s="505"/>
      <c r="P6251" s="505"/>
      <c r="Q6251" s="505"/>
      <c r="R6251" s="505"/>
      <c r="S6251" s="505"/>
      <c r="T6251" s="505"/>
      <c r="U6251" s="505"/>
      <c r="V6251" s="505"/>
      <c r="W6251" s="505"/>
      <c r="X6251" s="505"/>
      <c r="Y6251" s="505"/>
    </row>
    <row r="6252" spans="1:25" s="88" customFormat="1" x14ac:dyDescent="0.25">
      <c r="A6252" s="481"/>
      <c r="B6252" s="288"/>
      <c r="C6252" s="267"/>
      <c r="D6252" s="258"/>
      <c r="E6252" s="679">
        <v>176</v>
      </c>
      <c r="F6252" s="499">
        <v>424</v>
      </c>
      <c r="G6252" s="492" t="s">
        <v>3783</v>
      </c>
      <c r="H6252" s="555">
        <v>40000</v>
      </c>
      <c r="I6252" s="556"/>
      <c r="J6252" s="556">
        <f t="shared" si="207"/>
        <v>40000</v>
      </c>
      <c r="K6252" s="505"/>
      <c r="L6252" s="505"/>
      <c r="M6252" s="505"/>
      <c r="N6252" s="505"/>
      <c r="O6252" s="505"/>
      <c r="P6252" s="505"/>
      <c r="Q6252" s="505"/>
      <c r="R6252" s="505"/>
      <c r="S6252" s="505"/>
      <c r="T6252" s="505"/>
      <c r="U6252" s="505"/>
      <c r="V6252" s="505"/>
      <c r="W6252" s="505"/>
      <c r="X6252" s="505"/>
      <c r="Y6252" s="505"/>
    </row>
    <row r="6253" spans="1:25" s="88" customFormat="1" x14ac:dyDescent="0.25">
      <c r="A6253" s="481"/>
      <c r="B6253" s="288"/>
      <c r="C6253" s="267"/>
      <c r="D6253" s="258"/>
      <c r="E6253" s="679">
        <v>177</v>
      </c>
      <c r="F6253" s="499">
        <v>425</v>
      </c>
      <c r="G6253" s="492" t="s">
        <v>4144</v>
      </c>
      <c r="H6253" s="555">
        <v>30000</v>
      </c>
      <c r="I6253" s="556"/>
      <c r="J6253" s="556">
        <f t="shared" si="207"/>
        <v>30000</v>
      </c>
      <c r="K6253" s="505"/>
      <c r="L6253" s="505"/>
      <c r="M6253" s="505"/>
      <c r="N6253" s="505"/>
      <c r="O6253" s="505"/>
      <c r="P6253" s="505"/>
      <c r="Q6253" s="505"/>
      <c r="R6253" s="505"/>
      <c r="S6253" s="505"/>
      <c r="T6253" s="505"/>
      <c r="U6253" s="505"/>
      <c r="V6253" s="505"/>
      <c r="W6253" s="505"/>
      <c r="X6253" s="505"/>
      <c r="Y6253" s="505"/>
    </row>
    <row r="6254" spans="1:25" s="88" customFormat="1" x14ac:dyDescent="0.25">
      <c r="A6254" s="481"/>
      <c r="B6254" s="288"/>
      <c r="C6254" s="267"/>
      <c r="D6254" s="258"/>
      <c r="E6254" s="679">
        <v>178</v>
      </c>
      <c r="F6254" s="499">
        <v>426</v>
      </c>
      <c r="G6254" s="492" t="s">
        <v>3787</v>
      </c>
      <c r="H6254" s="555">
        <v>90000</v>
      </c>
      <c r="I6254" s="556"/>
      <c r="J6254" s="556">
        <f t="shared" si="207"/>
        <v>90000</v>
      </c>
      <c r="K6254" s="505"/>
      <c r="L6254" s="505"/>
      <c r="M6254" s="505"/>
      <c r="N6254" s="505"/>
      <c r="O6254" s="505"/>
      <c r="P6254" s="505"/>
      <c r="Q6254" s="505"/>
      <c r="R6254" s="505"/>
      <c r="S6254" s="505"/>
      <c r="T6254" s="505"/>
      <c r="U6254" s="505"/>
      <c r="V6254" s="505"/>
      <c r="W6254" s="505"/>
      <c r="X6254" s="505"/>
      <c r="Y6254" s="505"/>
    </row>
    <row r="6255" spans="1:25" s="88" customFormat="1" hidden="1" x14ac:dyDescent="0.25">
      <c r="A6255" s="481"/>
      <c r="B6255" s="288"/>
      <c r="C6255" s="267"/>
      <c r="D6255" s="258"/>
      <c r="E6255" s="679"/>
      <c r="F6255" s="499">
        <v>431</v>
      </c>
      <c r="G6255" s="492" t="s">
        <v>4145</v>
      </c>
      <c r="H6255" s="555"/>
      <c r="I6255" s="556"/>
      <c r="J6255" s="556">
        <f t="shared" si="207"/>
        <v>0</v>
      </c>
      <c r="K6255" s="505"/>
      <c r="L6255" s="505"/>
      <c r="M6255" s="505"/>
      <c r="N6255" s="505"/>
      <c r="O6255" s="505"/>
      <c r="P6255" s="505"/>
      <c r="Q6255" s="505"/>
      <c r="R6255" s="505"/>
      <c r="S6255" s="505"/>
      <c r="T6255" s="505"/>
      <c r="U6255" s="505"/>
      <c r="V6255" s="505"/>
      <c r="W6255" s="505"/>
      <c r="X6255" s="505"/>
      <c r="Y6255" s="505"/>
    </row>
    <row r="6256" spans="1:25" s="88" customFormat="1" hidden="1" x14ac:dyDescent="0.25">
      <c r="A6256" s="481"/>
      <c r="B6256" s="288"/>
      <c r="C6256" s="267"/>
      <c r="D6256" s="258"/>
      <c r="E6256" s="679"/>
      <c r="F6256" s="499">
        <v>432</v>
      </c>
      <c r="G6256" s="492" t="s">
        <v>4146</v>
      </c>
      <c r="H6256" s="555"/>
      <c r="I6256" s="556"/>
      <c r="J6256" s="556">
        <f t="shared" si="207"/>
        <v>0</v>
      </c>
      <c r="K6256" s="505"/>
      <c r="L6256" s="505"/>
      <c r="M6256" s="505"/>
      <c r="N6256" s="505"/>
      <c r="O6256" s="505"/>
      <c r="P6256" s="505"/>
      <c r="Q6256" s="505"/>
      <c r="R6256" s="505"/>
      <c r="S6256" s="505"/>
      <c r="T6256" s="505"/>
      <c r="U6256" s="505"/>
      <c r="V6256" s="505"/>
      <c r="W6256" s="505"/>
      <c r="X6256" s="505"/>
      <c r="Y6256" s="505"/>
    </row>
    <row r="6257" spans="1:25" s="88" customFormat="1" hidden="1" x14ac:dyDescent="0.25">
      <c r="A6257" s="481"/>
      <c r="B6257" s="288"/>
      <c r="C6257" s="267"/>
      <c r="D6257" s="258"/>
      <c r="E6257" s="679"/>
      <c r="F6257" s="499">
        <v>433</v>
      </c>
      <c r="G6257" s="492" t="s">
        <v>4147</v>
      </c>
      <c r="H6257" s="555"/>
      <c r="I6257" s="556"/>
      <c r="J6257" s="556">
        <f t="shared" si="207"/>
        <v>0</v>
      </c>
      <c r="K6257" s="505"/>
      <c r="L6257" s="505"/>
      <c r="M6257" s="505"/>
      <c r="N6257" s="505"/>
      <c r="O6257" s="505"/>
      <c r="P6257" s="505"/>
      <c r="Q6257" s="505"/>
      <c r="R6257" s="505"/>
      <c r="S6257" s="505"/>
      <c r="T6257" s="505"/>
      <c r="U6257" s="505"/>
      <c r="V6257" s="505"/>
      <c r="W6257" s="505"/>
      <c r="X6257" s="505"/>
      <c r="Y6257" s="505"/>
    </row>
    <row r="6258" spans="1:25" s="88" customFormat="1" hidden="1" x14ac:dyDescent="0.25">
      <c r="A6258" s="481"/>
      <c r="B6258" s="288"/>
      <c r="C6258" s="267"/>
      <c r="D6258" s="258"/>
      <c r="E6258" s="679"/>
      <c r="F6258" s="499">
        <v>434</v>
      </c>
      <c r="G6258" s="492" t="s">
        <v>4148</v>
      </c>
      <c r="H6258" s="555"/>
      <c r="I6258" s="556"/>
      <c r="J6258" s="556">
        <f t="shared" si="207"/>
        <v>0</v>
      </c>
      <c r="K6258" s="505"/>
      <c r="L6258" s="505"/>
      <c r="M6258" s="505"/>
      <c r="N6258" s="505"/>
      <c r="O6258" s="505"/>
      <c r="P6258" s="505"/>
      <c r="Q6258" s="505"/>
      <c r="R6258" s="505"/>
      <c r="S6258" s="505"/>
      <c r="T6258" s="505"/>
      <c r="U6258" s="505"/>
      <c r="V6258" s="505"/>
      <c r="W6258" s="505"/>
      <c r="X6258" s="505"/>
      <c r="Y6258" s="505"/>
    </row>
    <row r="6259" spans="1:25" s="88" customFormat="1" hidden="1" x14ac:dyDescent="0.25">
      <c r="A6259" s="481"/>
      <c r="B6259" s="288"/>
      <c r="C6259" s="267"/>
      <c r="D6259" s="258"/>
      <c r="E6259" s="679"/>
      <c r="F6259" s="499">
        <v>435</v>
      </c>
      <c r="G6259" s="492" t="s">
        <v>3794</v>
      </c>
      <c r="H6259" s="555"/>
      <c r="I6259" s="556"/>
      <c r="J6259" s="556">
        <f t="shared" si="207"/>
        <v>0</v>
      </c>
      <c r="K6259" s="505"/>
      <c r="L6259" s="505"/>
      <c r="M6259" s="505"/>
      <c r="N6259" s="505"/>
      <c r="O6259" s="505"/>
      <c r="P6259" s="505"/>
      <c r="Q6259" s="505"/>
      <c r="R6259" s="505"/>
      <c r="S6259" s="505"/>
      <c r="T6259" s="505"/>
      <c r="U6259" s="505"/>
      <c r="V6259" s="505"/>
      <c r="W6259" s="505"/>
      <c r="X6259" s="505"/>
      <c r="Y6259" s="505"/>
    </row>
    <row r="6260" spans="1:25" s="88" customFormat="1" hidden="1" x14ac:dyDescent="0.25">
      <c r="A6260" s="481"/>
      <c r="B6260" s="288"/>
      <c r="C6260" s="267"/>
      <c r="D6260" s="258"/>
      <c r="E6260" s="679"/>
      <c r="F6260" s="499">
        <v>441</v>
      </c>
      <c r="G6260" s="492" t="s">
        <v>4149</v>
      </c>
      <c r="H6260" s="555"/>
      <c r="I6260" s="556"/>
      <c r="J6260" s="556">
        <f t="shared" si="207"/>
        <v>0</v>
      </c>
      <c r="K6260" s="505"/>
      <c r="L6260" s="505"/>
      <c r="M6260" s="505"/>
      <c r="N6260" s="505"/>
      <c r="O6260" s="505"/>
      <c r="P6260" s="505"/>
      <c r="Q6260" s="505"/>
      <c r="R6260" s="505"/>
      <c r="S6260" s="505"/>
      <c r="T6260" s="505"/>
      <c r="U6260" s="505"/>
      <c r="V6260" s="505"/>
      <c r="W6260" s="505"/>
      <c r="X6260" s="505"/>
      <c r="Y6260" s="505"/>
    </row>
    <row r="6261" spans="1:25" s="88" customFormat="1" hidden="1" x14ac:dyDescent="0.25">
      <c r="A6261" s="481"/>
      <c r="B6261" s="288"/>
      <c r="C6261" s="267"/>
      <c r="D6261" s="258"/>
      <c r="E6261" s="679"/>
      <c r="F6261" s="499">
        <v>442</v>
      </c>
      <c r="G6261" s="492" t="s">
        <v>4150</v>
      </c>
      <c r="H6261" s="555"/>
      <c r="I6261" s="556"/>
      <c r="J6261" s="556">
        <f t="shared" si="207"/>
        <v>0</v>
      </c>
      <c r="K6261" s="505"/>
      <c r="L6261" s="505"/>
      <c r="M6261" s="505"/>
      <c r="N6261" s="505"/>
      <c r="O6261" s="505"/>
      <c r="P6261" s="505"/>
      <c r="Q6261" s="505"/>
      <c r="R6261" s="505"/>
      <c r="S6261" s="505"/>
      <c r="T6261" s="505"/>
      <c r="U6261" s="505"/>
      <c r="V6261" s="505"/>
      <c r="W6261" s="505"/>
      <c r="X6261" s="505"/>
      <c r="Y6261" s="505"/>
    </row>
    <row r="6262" spans="1:25" s="88" customFormat="1" hidden="1" x14ac:dyDescent="0.25">
      <c r="A6262" s="481"/>
      <c r="B6262" s="288"/>
      <c r="C6262" s="267"/>
      <c r="D6262" s="258"/>
      <c r="E6262" s="679"/>
      <c r="F6262" s="499">
        <v>443</v>
      </c>
      <c r="G6262" s="492" t="s">
        <v>3799</v>
      </c>
      <c r="H6262" s="555"/>
      <c r="I6262" s="556"/>
      <c r="J6262" s="556">
        <f t="shared" si="207"/>
        <v>0</v>
      </c>
      <c r="K6262" s="505"/>
      <c r="L6262" s="505"/>
      <c r="M6262" s="505"/>
      <c r="N6262" s="505"/>
      <c r="O6262" s="505"/>
      <c r="P6262" s="505"/>
      <c r="Q6262" s="505"/>
      <c r="R6262" s="505"/>
      <c r="S6262" s="505"/>
      <c r="T6262" s="505"/>
      <c r="U6262" s="505"/>
      <c r="V6262" s="505"/>
      <c r="W6262" s="505"/>
      <c r="X6262" s="505"/>
      <c r="Y6262" s="505"/>
    </row>
    <row r="6263" spans="1:25" s="88" customFormat="1" hidden="1" x14ac:dyDescent="0.25">
      <c r="A6263" s="481"/>
      <c r="B6263" s="288"/>
      <c r="C6263" s="267"/>
      <c r="D6263" s="258"/>
      <c r="E6263" s="679"/>
      <c r="F6263" s="499">
        <v>444</v>
      </c>
      <c r="G6263" s="492" t="s">
        <v>3800</v>
      </c>
      <c r="H6263" s="555"/>
      <c r="I6263" s="556"/>
      <c r="J6263" s="556">
        <f t="shared" si="207"/>
        <v>0</v>
      </c>
      <c r="K6263" s="505"/>
      <c r="L6263" s="505"/>
      <c r="M6263" s="505"/>
      <c r="N6263" s="505"/>
      <c r="O6263" s="505"/>
      <c r="P6263" s="505"/>
      <c r="Q6263" s="505"/>
      <c r="R6263" s="505"/>
      <c r="S6263" s="505"/>
      <c r="T6263" s="505"/>
      <c r="U6263" s="505"/>
      <c r="V6263" s="505"/>
      <c r="W6263" s="505"/>
      <c r="X6263" s="505"/>
      <c r="Y6263" s="505"/>
    </row>
    <row r="6264" spans="1:25" s="88" customFormat="1" ht="30" hidden="1" x14ac:dyDescent="0.25">
      <c r="A6264" s="481"/>
      <c r="B6264" s="288"/>
      <c r="C6264" s="267"/>
      <c r="D6264" s="258"/>
      <c r="E6264" s="679"/>
      <c r="F6264" s="499">
        <v>4511</v>
      </c>
      <c r="G6264" s="263" t="s">
        <v>1690</v>
      </c>
      <c r="H6264" s="555"/>
      <c r="I6264" s="556"/>
      <c r="J6264" s="556">
        <f t="shared" si="207"/>
        <v>0</v>
      </c>
      <c r="K6264" s="505"/>
      <c r="L6264" s="505"/>
      <c r="M6264" s="505"/>
      <c r="N6264" s="505"/>
      <c r="O6264" s="505"/>
      <c r="P6264" s="505"/>
      <c r="Q6264" s="505"/>
      <c r="R6264" s="505"/>
      <c r="S6264" s="505"/>
      <c r="T6264" s="505"/>
      <c r="U6264" s="505"/>
      <c r="V6264" s="505"/>
      <c r="W6264" s="505"/>
      <c r="X6264" s="505"/>
      <c r="Y6264" s="505"/>
    </row>
    <row r="6265" spans="1:25" s="88" customFormat="1" ht="30" hidden="1" x14ac:dyDescent="0.25">
      <c r="A6265" s="481"/>
      <c r="B6265" s="288"/>
      <c r="C6265" s="267"/>
      <c r="D6265" s="258"/>
      <c r="E6265" s="679"/>
      <c r="F6265" s="499">
        <v>4512</v>
      </c>
      <c r="G6265" s="263" t="s">
        <v>1699</v>
      </c>
      <c r="H6265" s="555"/>
      <c r="I6265" s="556"/>
      <c r="J6265" s="556">
        <f t="shared" si="207"/>
        <v>0</v>
      </c>
      <c r="K6265" s="505"/>
      <c r="L6265" s="505"/>
      <c r="M6265" s="505"/>
      <c r="N6265" s="505"/>
      <c r="O6265" s="505"/>
      <c r="P6265" s="505"/>
      <c r="Q6265" s="505"/>
      <c r="R6265" s="505"/>
      <c r="S6265" s="505"/>
      <c r="T6265" s="505"/>
      <c r="U6265" s="505"/>
      <c r="V6265" s="505"/>
      <c r="W6265" s="505"/>
      <c r="X6265" s="505"/>
      <c r="Y6265" s="505"/>
    </row>
    <row r="6266" spans="1:25" s="88" customFormat="1" hidden="1" x14ac:dyDescent="0.25">
      <c r="A6266" s="481"/>
      <c r="B6266" s="288"/>
      <c r="C6266" s="267"/>
      <c r="D6266" s="258"/>
      <c r="E6266" s="679"/>
      <c r="F6266" s="499">
        <v>452</v>
      </c>
      <c r="G6266" s="492" t="s">
        <v>4151</v>
      </c>
      <c r="H6266" s="555"/>
      <c r="I6266" s="556"/>
      <c r="J6266" s="556">
        <f t="shared" si="207"/>
        <v>0</v>
      </c>
      <c r="K6266" s="505"/>
      <c r="L6266" s="505"/>
      <c r="M6266" s="505"/>
      <c r="N6266" s="505"/>
      <c r="O6266" s="505"/>
      <c r="P6266" s="505"/>
      <c r="Q6266" s="505"/>
      <c r="R6266" s="505"/>
      <c r="S6266" s="505"/>
      <c r="T6266" s="505"/>
      <c r="U6266" s="505"/>
      <c r="V6266" s="505"/>
      <c r="W6266" s="505"/>
      <c r="X6266" s="505"/>
      <c r="Y6266" s="505"/>
    </row>
    <row r="6267" spans="1:25" s="88" customFormat="1" hidden="1" x14ac:dyDescent="0.25">
      <c r="A6267" s="481"/>
      <c r="B6267" s="288"/>
      <c r="C6267" s="267"/>
      <c r="D6267" s="258"/>
      <c r="E6267" s="679"/>
      <c r="F6267" s="499">
        <v>453</v>
      </c>
      <c r="G6267" s="492" t="s">
        <v>4152</v>
      </c>
      <c r="H6267" s="555"/>
      <c r="I6267" s="556"/>
      <c r="J6267" s="556">
        <f t="shared" si="207"/>
        <v>0</v>
      </c>
      <c r="K6267" s="505"/>
      <c r="L6267" s="505"/>
      <c r="M6267" s="505"/>
      <c r="N6267" s="505"/>
      <c r="O6267" s="505"/>
      <c r="P6267" s="505"/>
      <c r="Q6267" s="505"/>
      <c r="R6267" s="505"/>
      <c r="S6267" s="505"/>
      <c r="T6267" s="505"/>
      <c r="U6267" s="505"/>
      <c r="V6267" s="505"/>
      <c r="W6267" s="505"/>
      <c r="X6267" s="505"/>
      <c r="Y6267" s="505"/>
    </row>
    <row r="6268" spans="1:25" s="88" customFormat="1" hidden="1" x14ac:dyDescent="0.25">
      <c r="A6268" s="481"/>
      <c r="B6268" s="288"/>
      <c r="C6268" s="267"/>
      <c r="D6268" s="258"/>
      <c r="E6268" s="679"/>
      <c r="F6268" s="499">
        <v>454</v>
      </c>
      <c r="G6268" s="492" t="s">
        <v>3805</v>
      </c>
      <c r="H6268" s="555"/>
      <c r="I6268" s="556"/>
      <c r="J6268" s="556">
        <f t="shared" si="207"/>
        <v>0</v>
      </c>
      <c r="K6268" s="505"/>
      <c r="L6268" s="505"/>
      <c r="M6268" s="505"/>
      <c r="N6268" s="505"/>
      <c r="O6268" s="505"/>
      <c r="P6268" s="505"/>
      <c r="Q6268" s="505"/>
      <c r="R6268" s="505"/>
      <c r="S6268" s="505"/>
      <c r="T6268" s="505"/>
      <c r="U6268" s="505"/>
      <c r="V6268" s="505"/>
      <c r="W6268" s="505"/>
      <c r="X6268" s="505"/>
      <c r="Y6268" s="505"/>
    </row>
    <row r="6269" spans="1:25" s="88" customFormat="1" hidden="1" x14ac:dyDescent="0.25">
      <c r="A6269" s="481"/>
      <c r="B6269" s="288"/>
      <c r="C6269" s="267"/>
      <c r="D6269" s="258"/>
      <c r="E6269" s="679"/>
      <c r="F6269" s="499">
        <v>461</v>
      </c>
      <c r="G6269" s="492" t="s">
        <v>4133</v>
      </c>
      <c r="H6269" s="555"/>
      <c r="I6269" s="556"/>
      <c r="J6269" s="556">
        <f t="shared" si="207"/>
        <v>0</v>
      </c>
      <c r="K6269" s="505"/>
      <c r="L6269" s="505"/>
      <c r="M6269" s="505"/>
      <c r="N6269" s="505"/>
      <c r="O6269" s="505"/>
      <c r="P6269" s="505"/>
      <c r="Q6269" s="505"/>
      <c r="R6269" s="505"/>
      <c r="S6269" s="505"/>
      <c r="T6269" s="505"/>
      <c r="U6269" s="505"/>
      <c r="V6269" s="505"/>
      <c r="W6269" s="505"/>
      <c r="X6269" s="505"/>
      <c r="Y6269" s="505"/>
    </row>
    <row r="6270" spans="1:25" s="88" customFormat="1" hidden="1" x14ac:dyDescent="0.25">
      <c r="A6270" s="481"/>
      <c r="B6270" s="288"/>
      <c r="C6270" s="267"/>
      <c r="D6270" s="258"/>
      <c r="E6270" s="679"/>
      <c r="F6270" s="499">
        <v>462</v>
      </c>
      <c r="G6270" s="492" t="s">
        <v>3808</v>
      </c>
      <c r="H6270" s="555"/>
      <c r="I6270" s="556"/>
      <c r="J6270" s="556">
        <f t="shared" si="207"/>
        <v>0</v>
      </c>
      <c r="K6270" s="505"/>
      <c r="L6270" s="505"/>
      <c r="M6270" s="505"/>
      <c r="N6270" s="505"/>
      <c r="O6270" s="505"/>
      <c r="P6270" s="505"/>
      <c r="Q6270" s="505"/>
      <c r="R6270" s="505"/>
      <c r="S6270" s="505"/>
      <c r="T6270" s="505"/>
      <c r="U6270" s="505"/>
      <c r="V6270" s="505"/>
      <c r="W6270" s="505"/>
      <c r="X6270" s="505"/>
      <c r="Y6270" s="505"/>
    </row>
    <row r="6271" spans="1:25" s="88" customFormat="1" hidden="1" x14ac:dyDescent="0.25">
      <c r="A6271" s="481"/>
      <c r="B6271" s="288"/>
      <c r="C6271" s="267"/>
      <c r="D6271" s="258"/>
      <c r="E6271" s="679"/>
      <c r="F6271" s="499">
        <v>4631</v>
      </c>
      <c r="G6271" s="492" t="s">
        <v>3809</v>
      </c>
      <c r="H6271" s="555"/>
      <c r="I6271" s="556"/>
      <c r="J6271" s="556">
        <f t="shared" si="207"/>
        <v>0</v>
      </c>
      <c r="K6271" s="505"/>
      <c r="L6271" s="505"/>
      <c r="M6271" s="505"/>
      <c r="N6271" s="505"/>
      <c r="O6271" s="505"/>
      <c r="P6271" s="505"/>
      <c r="Q6271" s="505"/>
      <c r="R6271" s="505"/>
      <c r="S6271" s="505"/>
      <c r="T6271" s="505"/>
      <c r="U6271" s="505"/>
      <c r="V6271" s="505"/>
      <c r="W6271" s="505"/>
      <c r="X6271" s="505"/>
      <c r="Y6271" s="505"/>
    </row>
    <row r="6272" spans="1:25" s="88" customFormat="1" hidden="1" x14ac:dyDescent="0.25">
      <c r="A6272" s="481"/>
      <c r="B6272" s="288"/>
      <c r="C6272" s="267"/>
      <c r="D6272" s="258"/>
      <c r="E6272" s="679"/>
      <c r="F6272" s="499">
        <v>4632</v>
      </c>
      <c r="G6272" s="492" t="s">
        <v>3810</v>
      </c>
      <c r="H6272" s="555"/>
      <c r="I6272" s="556"/>
      <c r="J6272" s="556">
        <f t="shared" si="207"/>
        <v>0</v>
      </c>
      <c r="K6272" s="505"/>
      <c r="L6272" s="505"/>
      <c r="M6272" s="505"/>
      <c r="N6272" s="505"/>
      <c r="O6272" s="505"/>
      <c r="P6272" s="505"/>
      <c r="Q6272" s="505"/>
      <c r="R6272" s="505"/>
      <c r="S6272" s="505"/>
      <c r="T6272" s="505"/>
      <c r="U6272" s="505"/>
      <c r="V6272" s="505"/>
      <c r="W6272" s="505"/>
      <c r="X6272" s="505"/>
      <c r="Y6272" s="505"/>
    </row>
    <row r="6273" spans="1:25" s="88" customFormat="1" hidden="1" x14ac:dyDescent="0.25">
      <c r="A6273" s="481"/>
      <c r="B6273" s="288"/>
      <c r="C6273" s="267"/>
      <c r="D6273" s="258"/>
      <c r="E6273" s="679"/>
      <c r="F6273" s="499">
        <v>464</v>
      </c>
      <c r="G6273" s="492" t="s">
        <v>3811</v>
      </c>
      <c r="H6273" s="555"/>
      <c r="I6273" s="556"/>
      <c r="J6273" s="556">
        <f t="shared" si="207"/>
        <v>0</v>
      </c>
      <c r="K6273" s="505"/>
      <c r="L6273" s="505"/>
      <c r="M6273" s="505"/>
      <c r="N6273" s="505"/>
      <c r="O6273" s="505"/>
      <c r="P6273" s="505"/>
      <c r="Q6273" s="505"/>
      <c r="R6273" s="505"/>
      <c r="S6273" s="505"/>
      <c r="T6273" s="505"/>
      <c r="U6273" s="505"/>
      <c r="V6273" s="505"/>
      <c r="W6273" s="505"/>
      <c r="X6273" s="505"/>
      <c r="Y6273" s="505"/>
    </row>
    <row r="6274" spans="1:25" s="88" customFormat="1" x14ac:dyDescent="0.25">
      <c r="A6274" s="481"/>
      <c r="B6274" s="288"/>
      <c r="C6274" s="267"/>
      <c r="D6274" s="258"/>
      <c r="E6274" s="679">
        <v>179</v>
      </c>
      <c r="F6274" s="499">
        <v>465</v>
      </c>
      <c r="G6274" s="492" t="s">
        <v>4134</v>
      </c>
      <c r="H6274" s="555">
        <v>200000</v>
      </c>
      <c r="I6274" s="556"/>
      <c r="J6274" s="556">
        <f t="shared" si="207"/>
        <v>200000</v>
      </c>
      <c r="K6274" s="505"/>
      <c r="L6274" s="505"/>
      <c r="M6274" s="505"/>
      <c r="N6274" s="505"/>
      <c r="O6274" s="505"/>
      <c r="P6274" s="505"/>
      <c r="Q6274" s="505"/>
      <c r="R6274" s="505"/>
      <c r="S6274" s="505"/>
      <c r="T6274" s="505"/>
      <c r="U6274" s="505"/>
      <c r="V6274" s="505"/>
      <c r="W6274" s="505"/>
      <c r="X6274" s="505"/>
      <c r="Y6274" s="505"/>
    </row>
    <row r="6275" spans="1:25" s="88" customFormat="1" hidden="1" x14ac:dyDescent="0.25">
      <c r="A6275" s="481"/>
      <c r="B6275" s="288"/>
      <c r="C6275" s="267"/>
      <c r="D6275" s="258"/>
      <c r="E6275" s="679"/>
      <c r="F6275" s="499">
        <v>472</v>
      </c>
      <c r="G6275" s="492" t="s">
        <v>3815</v>
      </c>
      <c r="H6275" s="555"/>
      <c r="I6275" s="556"/>
      <c r="J6275" s="556">
        <f t="shared" si="207"/>
        <v>0</v>
      </c>
      <c r="K6275" s="505"/>
      <c r="L6275" s="505"/>
      <c r="M6275" s="505"/>
      <c r="N6275" s="505"/>
      <c r="O6275" s="505"/>
      <c r="P6275" s="505"/>
      <c r="Q6275" s="505"/>
      <c r="R6275" s="505"/>
      <c r="S6275" s="505"/>
      <c r="T6275" s="505"/>
      <c r="U6275" s="505"/>
      <c r="V6275" s="505"/>
      <c r="W6275" s="505"/>
      <c r="X6275" s="505"/>
      <c r="Y6275" s="505"/>
    </row>
    <row r="6276" spans="1:25" s="88" customFormat="1" hidden="1" x14ac:dyDescent="0.25">
      <c r="A6276" s="481"/>
      <c r="B6276" s="288"/>
      <c r="C6276" s="267"/>
      <c r="D6276" s="258"/>
      <c r="E6276" s="679"/>
      <c r="F6276" s="499"/>
      <c r="G6276" s="492"/>
      <c r="H6276" s="555"/>
      <c r="I6276" s="556"/>
      <c r="J6276" s="556"/>
      <c r="K6276" s="505"/>
      <c r="L6276" s="505"/>
      <c r="M6276" s="505"/>
      <c r="N6276" s="505"/>
      <c r="O6276" s="505"/>
      <c r="P6276" s="505"/>
      <c r="Q6276" s="505"/>
      <c r="R6276" s="505"/>
      <c r="S6276" s="505"/>
      <c r="T6276" s="505"/>
      <c r="U6276" s="505"/>
      <c r="V6276" s="505"/>
      <c r="W6276" s="505"/>
      <c r="X6276" s="505"/>
      <c r="Y6276" s="505"/>
    </row>
    <row r="6277" spans="1:25" s="88" customFormat="1" ht="47.25" hidden="1" customHeight="1" x14ac:dyDescent="0.25">
      <c r="A6277" s="481"/>
      <c r="B6277" s="288"/>
      <c r="C6277" s="267"/>
      <c r="D6277" s="258"/>
      <c r="E6277" s="679">
        <v>68</v>
      </c>
      <c r="F6277" s="499">
        <v>481</v>
      </c>
      <c r="G6277" s="492" t="s">
        <v>5223</v>
      </c>
      <c r="H6277" s="555">
        <v>0</v>
      </c>
      <c r="I6277" s="556"/>
      <c r="J6277" s="556">
        <f t="shared" si="207"/>
        <v>0</v>
      </c>
      <c r="K6277" s="505"/>
      <c r="L6277" s="505"/>
      <c r="M6277" s="505"/>
      <c r="N6277" s="505"/>
      <c r="O6277" s="505"/>
      <c r="P6277" s="505"/>
      <c r="Q6277" s="505"/>
      <c r="R6277" s="505"/>
      <c r="S6277" s="505"/>
      <c r="T6277" s="505"/>
      <c r="U6277" s="505"/>
      <c r="V6277" s="505"/>
      <c r="W6277" s="505"/>
      <c r="X6277" s="505"/>
      <c r="Y6277" s="505"/>
    </row>
    <row r="6278" spans="1:25" s="88" customFormat="1" ht="14.25" customHeight="1" x14ac:dyDescent="0.25">
      <c r="A6278" s="481"/>
      <c r="B6278" s="288"/>
      <c r="C6278" s="267"/>
      <c r="D6278" s="258"/>
      <c r="E6278" s="679">
        <v>180</v>
      </c>
      <c r="F6278" s="499">
        <v>482</v>
      </c>
      <c r="G6278" s="492" t="s">
        <v>5321</v>
      </c>
      <c r="H6278" s="555">
        <v>15000</v>
      </c>
      <c r="I6278" s="556"/>
      <c r="J6278" s="556">
        <f>SUM(H6278:I6278)</f>
        <v>15000</v>
      </c>
      <c r="K6278" s="505"/>
      <c r="L6278" s="505"/>
      <c r="M6278" s="505"/>
      <c r="N6278" s="505"/>
      <c r="O6278" s="505"/>
      <c r="P6278" s="505"/>
      <c r="Q6278" s="505"/>
      <c r="R6278" s="505"/>
      <c r="S6278" s="505"/>
      <c r="T6278" s="505"/>
      <c r="U6278" s="505"/>
      <c r="V6278" s="505"/>
      <c r="W6278" s="505"/>
      <c r="X6278" s="505"/>
      <c r="Y6278" s="505"/>
    </row>
    <row r="6279" spans="1:25" s="88" customFormat="1" ht="17.25" customHeight="1" x14ac:dyDescent="0.25">
      <c r="A6279" s="481"/>
      <c r="B6279" s="288"/>
      <c r="C6279" s="267"/>
      <c r="D6279" s="258"/>
      <c r="E6279" s="679">
        <v>181</v>
      </c>
      <c r="F6279" s="499">
        <v>511</v>
      </c>
      <c r="G6279" s="492" t="s">
        <v>5322</v>
      </c>
      <c r="H6279" s="555">
        <v>30000</v>
      </c>
      <c r="I6279" s="556"/>
      <c r="J6279" s="556">
        <f>SUM(H6279:I6279)</f>
        <v>30000</v>
      </c>
      <c r="K6279" s="505"/>
      <c r="L6279" s="505"/>
      <c r="M6279" s="505"/>
      <c r="N6279" s="505"/>
      <c r="O6279" s="505"/>
      <c r="P6279" s="505"/>
      <c r="Q6279" s="505"/>
      <c r="R6279" s="505"/>
      <c r="S6279" s="505"/>
      <c r="T6279" s="505"/>
      <c r="U6279" s="505"/>
      <c r="V6279" s="505"/>
      <c r="W6279" s="505"/>
      <c r="X6279" s="505"/>
      <c r="Y6279" s="505"/>
    </row>
    <row r="6280" spans="1:25" s="88" customFormat="1" ht="17.25" customHeight="1" x14ac:dyDescent="0.25">
      <c r="A6280" s="481"/>
      <c r="B6280" s="288"/>
      <c r="C6280" s="267"/>
      <c r="D6280" s="258"/>
      <c r="E6280" s="679">
        <v>182</v>
      </c>
      <c r="F6280" s="499">
        <v>512</v>
      </c>
      <c r="G6280" s="492" t="s">
        <v>5040</v>
      </c>
      <c r="H6280" s="555">
        <v>30000</v>
      </c>
      <c r="I6280" s="556"/>
      <c r="J6280" s="556">
        <f>SUM(H6280:I6280)</f>
        <v>30000</v>
      </c>
      <c r="K6280" s="505"/>
      <c r="L6280" s="505"/>
      <c r="M6280" s="505"/>
      <c r="N6280" s="505"/>
      <c r="O6280" s="505"/>
      <c r="P6280" s="505"/>
      <c r="Q6280" s="505"/>
      <c r="R6280" s="505"/>
      <c r="S6280" s="505"/>
      <c r="T6280" s="505"/>
      <c r="U6280" s="505"/>
      <c r="V6280" s="505"/>
      <c r="W6280" s="505"/>
      <c r="X6280" s="505"/>
      <c r="Y6280" s="505"/>
    </row>
    <row r="6281" spans="1:25" s="88" customFormat="1" ht="30" customHeight="1" thickBot="1" x14ac:dyDescent="0.3">
      <c r="A6281" s="481"/>
      <c r="B6281" s="288"/>
      <c r="C6281" s="267"/>
      <c r="D6281" s="258"/>
      <c r="E6281" s="679" t="s">
        <v>5378</v>
      </c>
      <c r="F6281" s="499">
        <v>515</v>
      </c>
      <c r="G6281" s="492" t="s">
        <v>3834</v>
      </c>
      <c r="H6281" s="555">
        <v>300000</v>
      </c>
      <c r="I6281" s="556">
        <v>25000</v>
      </c>
      <c r="J6281" s="556">
        <f>SUM(H6281:I6281)</f>
        <v>325000</v>
      </c>
      <c r="K6281" s="505"/>
      <c r="L6281" s="505"/>
      <c r="M6281" s="505"/>
      <c r="N6281" s="505"/>
      <c r="O6281" s="505"/>
      <c r="P6281" s="505"/>
      <c r="Q6281" s="505"/>
      <c r="R6281" s="505"/>
      <c r="S6281" s="505"/>
      <c r="T6281" s="505"/>
      <c r="U6281" s="505"/>
      <c r="V6281" s="505"/>
      <c r="W6281" s="505"/>
      <c r="X6281" s="505"/>
      <c r="Y6281" s="505"/>
    </row>
    <row r="6282" spans="1:25" s="88" customFormat="1" ht="13.5" customHeight="1" x14ac:dyDescent="0.25">
      <c r="A6282" s="481"/>
      <c r="B6282" s="288"/>
      <c r="C6282" s="334"/>
      <c r="D6282" s="258"/>
      <c r="E6282" s="489"/>
      <c r="F6282" s="500"/>
      <c r="G6282" s="342" t="s">
        <v>4356</v>
      </c>
      <c r="H6282" s="557"/>
      <c r="I6282" s="583"/>
      <c r="J6282" s="558"/>
      <c r="K6282" s="505"/>
      <c r="L6282" s="505"/>
      <c r="M6282" s="505"/>
      <c r="N6282" s="505"/>
      <c r="O6282" s="505"/>
      <c r="P6282" s="505"/>
      <c r="Q6282" s="505"/>
      <c r="R6282" s="505"/>
      <c r="S6282" s="505"/>
      <c r="T6282" s="505"/>
      <c r="U6282" s="505"/>
      <c r="V6282" s="505"/>
      <c r="W6282" s="505"/>
      <c r="X6282" s="505"/>
      <c r="Y6282" s="505"/>
    </row>
    <row r="6283" spans="1:25" s="88" customFormat="1" ht="17.25" customHeight="1" x14ac:dyDescent="0.25">
      <c r="A6283" s="481"/>
      <c r="B6283" s="288"/>
      <c r="C6283" s="334"/>
      <c r="D6283" s="258"/>
      <c r="E6283" s="693"/>
      <c r="F6283" s="597" t="s">
        <v>234</v>
      </c>
      <c r="G6283" s="598" t="s">
        <v>235</v>
      </c>
      <c r="H6283" s="559">
        <f>SUM(H6241:H6281)</f>
        <v>4126000</v>
      </c>
      <c r="I6283" s="560"/>
      <c r="J6283" s="560">
        <f>SUM(H6283:I6283)</f>
        <v>4126000</v>
      </c>
      <c r="K6283" s="505"/>
      <c r="L6283" s="505"/>
      <c r="M6283" s="505"/>
      <c r="N6283" s="505"/>
      <c r="O6283" s="505"/>
      <c r="P6283" s="505"/>
      <c r="Q6283" s="505"/>
      <c r="R6283" s="505"/>
      <c r="S6283" s="505"/>
      <c r="T6283" s="505"/>
      <c r="U6283" s="505"/>
      <c r="V6283" s="505"/>
      <c r="W6283" s="505"/>
      <c r="X6283" s="505"/>
      <c r="Y6283" s="505"/>
    </row>
    <row r="6284" spans="1:25" s="88" customFormat="1" hidden="1" x14ac:dyDescent="0.25">
      <c r="A6284" s="481"/>
      <c r="B6284" s="288"/>
      <c r="C6284" s="334"/>
      <c r="D6284" s="258"/>
      <c r="E6284" s="679"/>
      <c r="F6284" s="597" t="s">
        <v>236</v>
      </c>
      <c r="G6284" s="598" t="s">
        <v>237</v>
      </c>
      <c r="H6284" s="555"/>
      <c r="I6284" s="556"/>
      <c r="J6284" s="560">
        <f t="shared" ref="J6284:J6298" si="208">SUM(H6284:I6284)</f>
        <v>0</v>
      </c>
      <c r="K6284" s="505"/>
      <c r="L6284" s="505"/>
      <c r="M6284" s="505"/>
      <c r="N6284" s="505"/>
      <c r="O6284" s="505"/>
      <c r="P6284" s="505"/>
      <c r="Q6284" s="505"/>
      <c r="R6284" s="505"/>
      <c r="S6284" s="505"/>
      <c r="T6284" s="505"/>
      <c r="U6284" s="505"/>
      <c r="V6284" s="505"/>
      <c r="W6284" s="505"/>
      <c r="X6284" s="505"/>
      <c r="Y6284" s="505"/>
    </row>
    <row r="6285" spans="1:25" s="88" customFormat="1" hidden="1" x14ac:dyDescent="0.25">
      <c r="A6285" s="481"/>
      <c r="B6285" s="288"/>
      <c r="C6285" s="334"/>
      <c r="D6285" s="258"/>
      <c r="E6285" s="679"/>
      <c r="F6285" s="597" t="s">
        <v>238</v>
      </c>
      <c r="G6285" s="598" t="s">
        <v>239</v>
      </c>
      <c r="H6285" s="555"/>
      <c r="I6285" s="556"/>
      <c r="J6285" s="560">
        <f t="shared" si="208"/>
        <v>0</v>
      </c>
      <c r="K6285" s="505"/>
      <c r="L6285" s="505"/>
      <c r="M6285" s="505"/>
      <c r="N6285" s="505"/>
      <c r="O6285" s="505"/>
      <c r="P6285" s="505"/>
      <c r="Q6285" s="505"/>
      <c r="R6285" s="505"/>
      <c r="S6285" s="505"/>
      <c r="T6285" s="505"/>
      <c r="U6285" s="505"/>
      <c r="V6285" s="505"/>
      <c r="W6285" s="505"/>
      <c r="X6285" s="505"/>
      <c r="Y6285" s="505"/>
    </row>
    <row r="6286" spans="1:25" s="88" customFormat="1" ht="15.75" thickBot="1" x14ac:dyDescent="0.3">
      <c r="A6286" s="481"/>
      <c r="B6286" s="288"/>
      <c r="C6286" s="334"/>
      <c r="D6286" s="258"/>
      <c r="E6286" s="679"/>
      <c r="F6286" s="597" t="s">
        <v>240</v>
      </c>
      <c r="G6286" s="598" t="s">
        <v>241</v>
      </c>
      <c r="H6286" s="555"/>
      <c r="I6286" s="556">
        <f>SUM(I6241:I6281)</f>
        <v>25000</v>
      </c>
      <c r="J6286" s="560">
        <f t="shared" si="208"/>
        <v>25000</v>
      </c>
      <c r="K6286" s="505"/>
      <c r="L6286" s="505"/>
      <c r="M6286" s="505"/>
      <c r="N6286" s="505"/>
      <c r="O6286" s="505"/>
      <c r="P6286" s="505"/>
      <c r="Q6286" s="505"/>
      <c r="R6286" s="505"/>
      <c r="S6286" s="505"/>
      <c r="T6286" s="505"/>
      <c r="U6286" s="505"/>
      <c r="V6286" s="505"/>
      <c r="W6286" s="505"/>
      <c r="X6286" s="505"/>
      <c r="Y6286" s="505"/>
    </row>
    <row r="6287" spans="1:25" s="88" customFormat="1" hidden="1" x14ac:dyDescent="0.25">
      <c r="A6287" s="481"/>
      <c r="B6287" s="288"/>
      <c r="C6287" s="334"/>
      <c r="D6287" s="258"/>
      <c r="E6287" s="679"/>
      <c r="F6287" s="597" t="s">
        <v>242</v>
      </c>
      <c r="G6287" s="598" t="s">
        <v>243</v>
      </c>
      <c r="H6287" s="555"/>
      <c r="I6287" s="556"/>
      <c r="J6287" s="560">
        <f t="shared" si="208"/>
        <v>0</v>
      </c>
      <c r="K6287" s="505"/>
      <c r="L6287" s="505"/>
      <c r="M6287" s="505"/>
      <c r="N6287" s="505"/>
      <c r="O6287" s="505"/>
      <c r="P6287" s="505"/>
      <c r="Q6287" s="505"/>
      <c r="R6287" s="505"/>
      <c r="S6287" s="505"/>
      <c r="T6287" s="505"/>
      <c r="U6287" s="505"/>
      <c r="V6287" s="505"/>
      <c r="W6287" s="505"/>
      <c r="X6287" s="505"/>
      <c r="Y6287" s="505"/>
    </row>
    <row r="6288" spans="1:25" s="88" customFormat="1" hidden="1" x14ac:dyDescent="0.25">
      <c r="A6288" s="481"/>
      <c r="B6288" s="288"/>
      <c r="C6288" s="334"/>
      <c r="D6288" s="258"/>
      <c r="E6288" s="679"/>
      <c r="F6288" s="597" t="s">
        <v>244</v>
      </c>
      <c r="G6288" s="598" t="s">
        <v>245</v>
      </c>
      <c r="H6288" s="555"/>
      <c r="I6288" s="556"/>
      <c r="J6288" s="560">
        <f t="shared" si="208"/>
        <v>0</v>
      </c>
      <c r="K6288" s="505"/>
      <c r="L6288" s="505"/>
      <c r="M6288" s="505"/>
      <c r="N6288" s="505"/>
      <c r="O6288" s="505"/>
      <c r="P6288" s="505"/>
      <c r="Q6288" s="505"/>
      <c r="R6288" s="505"/>
      <c r="S6288" s="505"/>
      <c r="T6288" s="505"/>
      <c r="U6288" s="505"/>
      <c r="V6288" s="505"/>
      <c r="W6288" s="505"/>
      <c r="X6288" s="505"/>
      <c r="Y6288" s="505"/>
    </row>
    <row r="6289" spans="1:25" s="88" customFormat="1" hidden="1" x14ac:dyDescent="0.25">
      <c r="A6289" s="481"/>
      <c r="B6289" s="288"/>
      <c r="C6289" s="334"/>
      <c r="D6289" s="258"/>
      <c r="E6289" s="679"/>
      <c r="F6289" s="597" t="s">
        <v>246</v>
      </c>
      <c r="G6289" s="598" t="s">
        <v>4996</v>
      </c>
      <c r="H6289" s="555"/>
      <c r="I6289" s="556"/>
      <c r="J6289" s="560">
        <f t="shared" si="208"/>
        <v>0</v>
      </c>
      <c r="K6289" s="505"/>
      <c r="L6289" s="505"/>
      <c r="M6289" s="505"/>
      <c r="N6289" s="505"/>
      <c r="O6289" s="505"/>
      <c r="P6289" s="505"/>
      <c r="Q6289" s="505"/>
      <c r="R6289" s="505"/>
      <c r="S6289" s="505"/>
      <c r="T6289" s="505"/>
      <c r="U6289" s="505"/>
      <c r="V6289" s="505"/>
      <c r="W6289" s="505"/>
      <c r="X6289" s="505"/>
      <c r="Y6289" s="505"/>
    </row>
    <row r="6290" spans="1:25" s="88" customFormat="1" hidden="1" x14ac:dyDescent="0.25">
      <c r="A6290" s="481"/>
      <c r="B6290" s="288"/>
      <c r="C6290" s="334"/>
      <c r="D6290" s="258"/>
      <c r="E6290" s="679"/>
      <c r="F6290" s="597" t="s">
        <v>247</v>
      </c>
      <c r="G6290" s="598" t="s">
        <v>4995</v>
      </c>
      <c r="H6290" s="555"/>
      <c r="I6290" s="556"/>
      <c r="J6290" s="560">
        <f t="shared" si="208"/>
        <v>0</v>
      </c>
      <c r="K6290" s="505"/>
      <c r="L6290" s="505"/>
      <c r="M6290" s="505"/>
      <c r="N6290" s="505"/>
      <c r="O6290" s="505"/>
      <c r="P6290" s="505"/>
      <c r="Q6290" s="505"/>
      <c r="R6290" s="505"/>
      <c r="S6290" s="505"/>
      <c r="T6290" s="505"/>
      <c r="U6290" s="505"/>
      <c r="V6290" s="505"/>
      <c r="W6290" s="505"/>
      <c r="X6290" s="505"/>
      <c r="Y6290" s="505"/>
    </row>
    <row r="6291" spans="1:25" s="88" customFormat="1" hidden="1" x14ac:dyDescent="0.25">
      <c r="A6291" s="481"/>
      <c r="B6291" s="288"/>
      <c r="C6291" s="334"/>
      <c r="D6291" s="258"/>
      <c r="E6291" s="679"/>
      <c r="F6291" s="597" t="s">
        <v>248</v>
      </c>
      <c r="G6291" s="598" t="s">
        <v>57</v>
      </c>
      <c r="H6291" s="555"/>
      <c r="I6291" s="556"/>
      <c r="J6291" s="560">
        <f t="shared" si="208"/>
        <v>0</v>
      </c>
      <c r="K6291" s="505"/>
      <c r="L6291" s="505"/>
      <c r="M6291" s="505"/>
      <c r="N6291" s="505"/>
      <c r="O6291" s="505"/>
      <c r="P6291" s="505"/>
      <c r="Q6291" s="505"/>
      <c r="R6291" s="505"/>
      <c r="S6291" s="505"/>
      <c r="T6291" s="505"/>
      <c r="U6291" s="505"/>
      <c r="V6291" s="505"/>
      <c r="W6291" s="505"/>
      <c r="X6291" s="505"/>
      <c r="Y6291" s="505"/>
    </row>
    <row r="6292" spans="1:25" s="88" customFormat="1" hidden="1" x14ac:dyDescent="0.25">
      <c r="A6292" s="481"/>
      <c r="B6292" s="288"/>
      <c r="C6292" s="334"/>
      <c r="D6292" s="258"/>
      <c r="E6292" s="679"/>
      <c r="F6292" s="597" t="s">
        <v>249</v>
      </c>
      <c r="G6292" s="598" t="s">
        <v>250</v>
      </c>
      <c r="H6292" s="555"/>
      <c r="I6292" s="556"/>
      <c r="J6292" s="560">
        <f t="shared" si="208"/>
        <v>0</v>
      </c>
      <c r="K6292" s="505"/>
      <c r="L6292" s="505"/>
      <c r="M6292" s="505"/>
      <c r="N6292" s="505"/>
      <c r="O6292" s="505"/>
      <c r="P6292" s="505"/>
      <c r="Q6292" s="505"/>
      <c r="R6292" s="505"/>
      <c r="S6292" s="505"/>
      <c r="T6292" s="505"/>
      <c r="U6292" s="505"/>
      <c r="V6292" s="505"/>
      <c r="W6292" s="505"/>
      <c r="X6292" s="505"/>
      <c r="Y6292" s="505"/>
    </row>
    <row r="6293" spans="1:25" s="88" customFormat="1" hidden="1" x14ac:dyDescent="0.25">
      <c r="A6293" s="481"/>
      <c r="B6293" s="288"/>
      <c r="C6293" s="334"/>
      <c r="D6293" s="258"/>
      <c r="E6293" s="679"/>
      <c r="F6293" s="597" t="s">
        <v>251</v>
      </c>
      <c r="G6293" s="598" t="s">
        <v>252</v>
      </c>
      <c r="H6293" s="555"/>
      <c r="I6293" s="556"/>
      <c r="J6293" s="560">
        <f t="shared" si="208"/>
        <v>0</v>
      </c>
      <c r="K6293" s="505"/>
      <c r="L6293" s="505"/>
      <c r="M6293" s="505"/>
      <c r="N6293" s="505"/>
      <c r="O6293" s="505"/>
      <c r="P6293" s="505"/>
      <c r="Q6293" s="505"/>
      <c r="R6293" s="505"/>
      <c r="S6293" s="505"/>
      <c r="T6293" s="505"/>
      <c r="U6293" s="505"/>
      <c r="V6293" s="505"/>
      <c r="W6293" s="505"/>
      <c r="X6293" s="505"/>
      <c r="Y6293" s="505"/>
    </row>
    <row r="6294" spans="1:25" s="88" customFormat="1" ht="30" hidden="1" x14ac:dyDescent="0.25">
      <c r="A6294" s="481"/>
      <c r="B6294" s="288"/>
      <c r="C6294" s="334"/>
      <c r="D6294" s="258"/>
      <c r="E6294" s="679"/>
      <c r="F6294" s="597" t="s">
        <v>253</v>
      </c>
      <c r="G6294" s="598" t="s">
        <v>254</v>
      </c>
      <c r="H6294" s="555"/>
      <c r="I6294" s="556"/>
      <c r="J6294" s="560">
        <f t="shared" si="208"/>
        <v>0</v>
      </c>
      <c r="K6294" s="505"/>
      <c r="L6294" s="505"/>
      <c r="M6294" s="505"/>
      <c r="N6294" s="505"/>
      <c r="O6294" s="505"/>
      <c r="P6294" s="505"/>
      <c r="Q6294" s="505"/>
      <c r="R6294" s="505"/>
      <c r="S6294" s="505"/>
      <c r="T6294" s="505"/>
      <c r="U6294" s="505"/>
      <c r="V6294" s="505"/>
      <c r="W6294" s="505"/>
      <c r="X6294" s="505"/>
      <c r="Y6294" s="505"/>
    </row>
    <row r="6295" spans="1:25" s="88" customFormat="1" hidden="1" x14ac:dyDescent="0.25">
      <c r="A6295" s="481"/>
      <c r="B6295" s="288"/>
      <c r="C6295" s="334"/>
      <c r="D6295" s="258"/>
      <c r="E6295" s="679"/>
      <c r="F6295" s="597" t="s">
        <v>255</v>
      </c>
      <c r="G6295" s="598" t="s">
        <v>256</v>
      </c>
      <c r="H6295" s="555"/>
      <c r="I6295" s="556"/>
      <c r="J6295" s="560">
        <f t="shared" si="208"/>
        <v>0</v>
      </c>
      <c r="K6295" s="505"/>
      <c r="L6295" s="505"/>
      <c r="M6295" s="505"/>
      <c r="N6295" s="505"/>
      <c r="O6295" s="505"/>
      <c r="P6295" s="505"/>
      <c r="Q6295" s="505"/>
      <c r="R6295" s="505"/>
      <c r="S6295" s="505"/>
      <c r="T6295" s="505"/>
      <c r="U6295" s="505"/>
      <c r="V6295" s="505"/>
      <c r="W6295" s="505"/>
      <c r="X6295" s="505"/>
      <c r="Y6295" s="505"/>
    </row>
    <row r="6296" spans="1:25" s="88" customFormat="1" ht="30" hidden="1" x14ac:dyDescent="0.25">
      <c r="A6296" s="481"/>
      <c r="B6296" s="288"/>
      <c r="C6296" s="334"/>
      <c r="D6296" s="258"/>
      <c r="E6296" s="679"/>
      <c r="F6296" s="597" t="s">
        <v>257</v>
      </c>
      <c r="G6296" s="598" t="s">
        <v>258</v>
      </c>
      <c r="H6296" s="555"/>
      <c r="I6296" s="556"/>
      <c r="J6296" s="560">
        <f t="shared" si="208"/>
        <v>0</v>
      </c>
      <c r="K6296" s="505"/>
      <c r="L6296" s="505"/>
      <c r="M6296" s="505"/>
      <c r="N6296" s="505"/>
      <c r="O6296" s="505"/>
      <c r="P6296" s="505"/>
      <c r="Q6296" s="505"/>
      <c r="R6296" s="505"/>
      <c r="S6296" s="505"/>
      <c r="T6296" s="505"/>
      <c r="U6296" s="505"/>
      <c r="V6296" s="505"/>
      <c r="W6296" s="505"/>
      <c r="X6296" s="505"/>
      <c r="Y6296" s="505"/>
    </row>
    <row r="6297" spans="1:25" s="88" customFormat="1" hidden="1" x14ac:dyDescent="0.25">
      <c r="A6297" s="481"/>
      <c r="B6297" s="288"/>
      <c r="C6297" s="334"/>
      <c r="D6297" s="258"/>
      <c r="E6297" s="679"/>
      <c r="F6297" s="597" t="s">
        <v>259</v>
      </c>
      <c r="G6297" s="598" t="s">
        <v>260</v>
      </c>
      <c r="H6297" s="555"/>
      <c r="I6297" s="556"/>
      <c r="J6297" s="560">
        <f t="shared" si="208"/>
        <v>0</v>
      </c>
      <c r="K6297" s="505"/>
      <c r="L6297" s="505"/>
      <c r="M6297" s="505"/>
      <c r="N6297" s="505"/>
      <c r="O6297" s="505"/>
      <c r="P6297" s="505"/>
      <c r="Q6297" s="505"/>
      <c r="R6297" s="505"/>
      <c r="S6297" s="505"/>
      <c r="T6297" s="505"/>
      <c r="U6297" s="505"/>
      <c r="V6297" s="505"/>
      <c r="W6297" s="505"/>
      <c r="X6297" s="505"/>
      <c r="Y6297" s="505"/>
    </row>
    <row r="6298" spans="1:25" s="88" customFormat="1" ht="15.75" hidden="1" thickBot="1" x14ac:dyDescent="0.3">
      <c r="A6298" s="481"/>
      <c r="B6298" s="288"/>
      <c r="C6298" s="334"/>
      <c r="D6298" s="258"/>
      <c r="E6298" s="679"/>
      <c r="F6298" s="597" t="s">
        <v>261</v>
      </c>
      <c r="G6298" s="598" t="s">
        <v>262</v>
      </c>
      <c r="H6298" s="559"/>
      <c r="I6298" s="560"/>
      <c r="J6298" s="560">
        <f t="shared" si="208"/>
        <v>0</v>
      </c>
      <c r="K6298" s="505"/>
      <c r="L6298" s="505"/>
      <c r="M6298" s="505"/>
      <c r="N6298" s="505"/>
      <c r="O6298" s="505"/>
      <c r="P6298" s="505"/>
      <c r="Q6298" s="505"/>
      <c r="R6298" s="505"/>
      <c r="S6298" s="505"/>
      <c r="T6298" s="505"/>
      <c r="U6298" s="505"/>
      <c r="V6298" s="505"/>
      <c r="W6298" s="505"/>
      <c r="X6298" s="505"/>
      <c r="Y6298" s="505"/>
    </row>
    <row r="6299" spans="1:25" s="88" customFormat="1" ht="13.5" customHeight="1" thickBot="1" x14ac:dyDescent="0.3">
      <c r="A6299" s="481"/>
      <c r="B6299" s="288"/>
      <c r="C6299" s="334"/>
      <c r="D6299" s="258"/>
      <c r="E6299" s="679"/>
      <c r="F6299" s="258"/>
      <c r="G6299" s="268" t="s">
        <v>4357</v>
      </c>
      <c r="H6299" s="561">
        <f>SUM(H6283:H6298)</f>
        <v>4126000</v>
      </c>
      <c r="I6299" s="562">
        <f>SUM(I6284:I6298)</f>
        <v>25000</v>
      </c>
      <c r="J6299" s="562">
        <f>SUM(J6283:J6298)</f>
        <v>4151000</v>
      </c>
      <c r="K6299" s="505"/>
      <c r="L6299" s="505"/>
      <c r="M6299" s="505"/>
      <c r="N6299" s="505"/>
      <c r="O6299" s="505"/>
      <c r="P6299" s="505"/>
      <c r="Q6299" s="505"/>
      <c r="R6299" s="505"/>
      <c r="S6299" s="505"/>
      <c r="T6299" s="505"/>
      <c r="U6299" s="505"/>
      <c r="V6299" s="505"/>
      <c r="W6299" s="505"/>
      <c r="X6299" s="505"/>
      <c r="Y6299" s="505"/>
    </row>
    <row r="6300" spans="1:25" s="88" customFormat="1" ht="28.5" x14ac:dyDescent="0.25">
      <c r="A6300" s="481"/>
      <c r="B6300" s="288"/>
      <c r="C6300" s="334"/>
      <c r="D6300" s="258"/>
      <c r="E6300" s="489"/>
      <c r="F6300" s="500"/>
      <c r="G6300" s="270" t="s">
        <v>5324</v>
      </c>
      <c r="H6300" s="563"/>
      <c r="I6300" s="584"/>
      <c r="J6300" s="564"/>
      <c r="K6300" s="505"/>
      <c r="L6300" s="505"/>
      <c r="M6300" s="505"/>
      <c r="N6300" s="505"/>
      <c r="O6300" s="505"/>
      <c r="P6300" s="505"/>
      <c r="Q6300" s="505"/>
      <c r="R6300" s="505"/>
      <c r="S6300" s="505"/>
      <c r="T6300" s="505"/>
      <c r="U6300" s="505"/>
      <c r="V6300" s="505"/>
      <c r="W6300" s="505"/>
      <c r="X6300" s="505"/>
      <c r="Y6300" s="505"/>
    </row>
    <row r="6301" spans="1:25" s="88" customFormat="1" ht="15.75" thickBot="1" x14ac:dyDescent="0.3">
      <c r="A6301" s="481"/>
      <c r="B6301" s="288"/>
      <c r="C6301" s="334"/>
      <c r="D6301" s="258"/>
      <c r="E6301" s="693"/>
      <c r="F6301" s="597" t="s">
        <v>234</v>
      </c>
      <c r="G6301" s="598" t="s">
        <v>235</v>
      </c>
      <c r="H6301" s="559">
        <f>SUM(H6299)</f>
        <v>4126000</v>
      </c>
      <c r="I6301" s="560"/>
      <c r="J6301" s="560">
        <f>SUM(H6301:I6301)</f>
        <v>4126000</v>
      </c>
      <c r="K6301" s="505"/>
      <c r="L6301" s="505"/>
      <c r="M6301" s="505"/>
      <c r="N6301" s="505"/>
      <c r="O6301" s="505"/>
      <c r="P6301" s="505"/>
      <c r="Q6301" s="505"/>
      <c r="R6301" s="505"/>
      <c r="S6301" s="505"/>
      <c r="T6301" s="505"/>
      <c r="U6301" s="505"/>
      <c r="V6301" s="505"/>
      <c r="W6301" s="505"/>
      <c r="X6301" s="505"/>
      <c r="Y6301" s="505"/>
    </row>
    <row r="6302" spans="1:25" s="88" customFormat="1" ht="15.75" thickBot="1" x14ac:dyDescent="0.3">
      <c r="A6302" s="481"/>
      <c r="B6302" s="288"/>
      <c r="C6302" s="334"/>
      <c r="D6302" s="286"/>
      <c r="E6302" s="876"/>
      <c r="F6302" s="258"/>
      <c r="G6302" s="268" t="s">
        <v>5325</v>
      </c>
      <c r="H6302" s="561">
        <f>SUM(H6301)</f>
        <v>4126000</v>
      </c>
      <c r="I6302" s="562">
        <f>SUM(I6287:I6301)</f>
        <v>25000</v>
      </c>
      <c r="J6302" s="562">
        <f>SUM(H6302:I6302)</f>
        <v>4151000</v>
      </c>
      <c r="K6302" s="505"/>
      <c r="L6302" s="505"/>
      <c r="M6302" s="505"/>
      <c r="N6302" s="505"/>
      <c r="O6302" s="505"/>
      <c r="P6302" s="505"/>
      <c r="Q6302" s="505"/>
      <c r="R6302" s="505"/>
      <c r="S6302" s="505"/>
      <c r="T6302" s="505"/>
      <c r="U6302" s="505"/>
      <c r="V6302" s="505"/>
      <c r="W6302" s="505"/>
      <c r="X6302" s="505"/>
      <c r="Y6302" s="505"/>
    </row>
    <row r="6303" spans="1:25" s="88" customFormat="1" x14ac:dyDescent="0.25">
      <c r="A6303" s="258"/>
      <c r="B6303" s="288"/>
      <c r="C6303" s="302" t="s">
        <v>4743</v>
      </c>
      <c r="D6303" s="259"/>
      <c r="E6303" s="702"/>
      <c r="F6303" s="303"/>
      <c r="G6303" s="304" t="s">
        <v>5323</v>
      </c>
      <c r="H6303" s="588"/>
      <c r="I6303" s="571"/>
      <c r="J6303" s="589"/>
      <c r="K6303" s="505"/>
      <c r="L6303" s="505"/>
      <c r="M6303" s="505"/>
      <c r="N6303" s="505"/>
      <c r="O6303" s="505"/>
      <c r="P6303" s="505"/>
      <c r="Q6303" s="505"/>
      <c r="R6303" s="505"/>
      <c r="S6303" s="505"/>
      <c r="T6303" s="505"/>
      <c r="U6303" s="505"/>
      <c r="V6303" s="505"/>
      <c r="W6303" s="505"/>
      <c r="X6303" s="505"/>
      <c r="Y6303" s="505"/>
    </row>
    <row r="6304" spans="1:25" s="88" customFormat="1" ht="17.25" customHeight="1" x14ac:dyDescent="0.25">
      <c r="A6304" s="258"/>
      <c r="B6304" s="288"/>
      <c r="C6304" s="294"/>
      <c r="D6304" s="348" t="s">
        <v>4001</v>
      </c>
      <c r="E6304" s="871"/>
      <c r="F6304" s="345"/>
      <c r="G6304" s="346" t="s">
        <v>207</v>
      </c>
      <c r="H6304" s="555"/>
      <c r="I6304" s="556"/>
      <c r="J6304" s="556"/>
      <c r="K6304" s="505"/>
      <c r="L6304" s="505"/>
      <c r="M6304" s="505"/>
      <c r="N6304" s="505"/>
      <c r="O6304" s="505"/>
      <c r="P6304" s="505"/>
      <c r="Q6304" s="505"/>
      <c r="R6304" s="505"/>
      <c r="S6304" s="505"/>
      <c r="T6304" s="505"/>
      <c r="U6304" s="505"/>
      <c r="V6304" s="505"/>
      <c r="W6304" s="505"/>
      <c r="X6304" s="505"/>
      <c r="Y6304" s="505"/>
    </row>
    <row r="6305" spans="1:25" s="88" customFormat="1" hidden="1" x14ac:dyDescent="0.25">
      <c r="A6305" s="258"/>
      <c r="B6305" s="258"/>
      <c r="C6305" s="261"/>
      <c r="D6305" s="258"/>
      <c r="E6305" s="679"/>
      <c r="F6305" s="499">
        <v>411</v>
      </c>
      <c r="G6305" s="492" t="s">
        <v>4131</v>
      </c>
      <c r="H6305" s="555"/>
      <c r="I6305" s="556"/>
      <c r="J6305" s="556">
        <f>SUM(H6305:I6305)</f>
        <v>0</v>
      </c>
      <c r="K6305" s="505"/>
      <c r="L6305" s="505"/>
      <c r="M6305" s="505"/>
      <c r="N6305" s="505"/>
      <c r="O6305" s="505"/>
      <c r="P6305" s="505"/>
      <c r="Q6305" s="505"/>
      <c r="R6305" s="505"/>
      <c r="S6305" s="505"/>
      <c r="T6305" s="505"/>
      <c r="U6305" s="505"/>
      <c r="V6305" s="505"/>
      <c r="W6305" s="505"/>
      <c r="X6305" s="505"/>
      <c r="Y6305" s="505"/>
    </row>
    <row r="6306" spans="1:25" s="88" customFormat="1" hidden="1" x14ac:dyDescent="0.25">
      <c r="A6306" s="258"/>
      <c r="B6306" s="258"/>
      <c r="C6306" s="261"/>
      <c r="D6306" s="258"/>
      <c r="E6306" s="679"/>
      <c r="F6306" s="499">
        <v>412</v>
      </c>
      <c r="G6306" s="488" t="s">
        <v>3766</v>
      </c>
      <c r="H6306" s="555"/>
      <c r="I6306" s="556"/>
      <c r="J6306" s="556">
        <f t="shared" ref="J6306:J6364" si="209">SUM(H6306:I6306)</f>
        <v>0</v>
      </c>
      <c r="K6306" s="505"/>
      <c r="L6306" s="505"/>
      <c r="M6306" s="505"/>
      <c r="N6306" s="505"/>
      <c r="O6306" s="505"/>
      <c r="P6306" s="505"/>
      <c r="Q6306" s="505"/>
      <c r="R6306" s="505"/>
      <c r="S6306" s="505"/>
      <c r="T6306" s="505"/>
      <c r="U6306" s="505"/>
      <c r="V6306" s="505"/>
      <c r="W6306" s="505"/>
      <c r="X6306" s="505"/>
      <c r="Y6306" s="505"/>
    </row>
    <row r="6307" spans="1:25" s="88" customFormat="1" hidden="1" x14ac:dyDescent="0.25">
      <c r="A6307" s="258"/>
      <c r="B6307" s="258"/>
      <c r="C6307" s="261"/>
      <c r="D6307" s="258"/>
      <c r="E6307" s="679"/>
      <c r="F6307" s="499">
        <v>413</v>
      </c>
      <c r="G6307" s="492" t="s">
        <v>4132</v>
      </c>
      <c r="H6307" s="555"/>
      <c r="I6307" s="556"/>
      <c r="J6307" s="556">
        <f t="shared" si="209"/>
        <v>0</v>
      </c>
      <c r="K6307" s="505"/>
      <c r="L6307" s="505"/>
      <c r="M6307" s="505"/>
      <c r="N6307" s="505"/>
      <c r="O6307" s="505"/>
      <c r="P6307" s="505"/>
      <c r="Q6307" s="505"/>
      <c r="R6307" s="505"/>
      <c r="S6307" s="505"/>
      <c r="T6307" s="505"/>
      <c r="U6307" s="505"/>
      <c r="V6307" s="505"/>
      <c r="W6307" s="505"/>
      <c r="X6307" s="505"/>
      <c r="Y6307" s="505"/>
    </row>
    <row r="6308" spans="1:25" s="88" customFormat="1" hidden="1" x14ac:dyDescent="0.25">
      <c r="A6308" s="258"/>
      <c r="B6308" s="258"/>
      <c r="C6308" s="261"/>
      <c r="D6308" s="258"/>
      <c r="E6308" s="679"/>
      <c r="F6308" s="499">
        <v>414</v>
      </c>
      <c r="G6308" s="492" t="s">
        <v>3769</v>
      </c>
      <c r="H6308" s="555"/>
      <c r="I6308" s="556"/>
      <c r="J6308" s="556">
        <f t="shared" si="209"/>
        <v>0</v>
      </c>
      <c r="K6308" s="505"/>
      <c r="L6308" s="505"/>
      <c r="M6308" s="505"/>
      <c r="N6308" s="505"/>
      <c r="O6308" s="505"/>
      <c r="P6308" s="505"/>
      <c r="Q6308" s="505"/>
      <c r="R6308" s="505"/>
      <c r="S6308" s="505"/>
      <c r="T6308" s="505"/>
      <c r="U6308" s="505"/>
      <c r="V6308" s="505"/>
      <c r="W6308" s="505"/>
      <c r="X6308" s="505"/>
      <c r="Y6308" s="505"/>
    </row>
    <row r="6309" spans="1:25" s="88" customFormat="1" hidden="1" x14ac:dyDescent="0.25">
      <c r="A6309" s="258"/>
      <c r="B6309" s="258"/>
      <c r="C6309" s="261"/>
      <c r="D6309" s="258"/>
      <c r="E6309" s="679"/>
      <c r="F6309" s="499">
        <v>415</v>
      </c>
      <c r="G6309" s="492" t="s">
        <v>4141</v>
      </c>
      <c r="H6309" s="555"/>
      <c r="I6309" s="556"/>
      <c r="J6309" s="556">
        <f t="shared" si="209"/>
        <v>0</v>
      </c>
      <c r="K6309" s="505"/>
      <c r="L6309" s="505"/>
      <c r="M6309" s="505"/>
      <c r="N6309" s="505"/>
      <c r="O6309" s="505"/>
      <c r="P6309" s="505"/>
      <c r="Q6309" s="505"/>
      <c r="R6309" s="505"/>
      <c r="S6309" s="505"/>
      <c r="T6309" s="505"/>
      <c r="U6309" s="505"/>
      <c r="V6309" s="505"/>
      <c r="W6309" s="505"/>
      <c r="X6309" s="505"/>
      <c r="Y6309" s="505"/>
    </row>
    <row r="6310" spans="1:25" s="88" customFormat="1" hidden="1" x14ac:dyDescent="0.25">
      <c r="A6310" s="258"/>
      <c r="B6310" s="258"/>
      <c r="C6310" s="261"/>
      <c r="D6310" s="258"/>
      <c r="E6310" s="679"/>
      <c r="F6310" s="499">
        <v>416</v>
      </c>
      <c r="G6310" s="492" t="s">
        <v>4142</v>
      </c>
      <c r="H6310" s="555"/>
      <c r="I6310" s="556"/>
      <c r="J6310" s="556">
        <f t="shared" si="209"/>
        <v>0</v>
      </c>
      <c r="K6310" s="505"/>
      <c r="L6310" s="505"/>
      <c r="M6310" s="505"/>
      <c r="N6310" s="505"/>
      <c r="O6310" s="505"/>
      <c r="P6310" s="505"/>
      <c r="Q6310" s="505"/>
      <c r="R6310" s="505"/>
      <c r="S6310" s="505"/>
      <c r="T6310" s="505"/>
      <c r="U6310" s="505"/>
      <c r="V6310" s="505"/>
      <c r="W6310" s="505"/>
      <c r="X6310" s="505"/>
      <c r="Y6310" s="505"/>
    </row>
    <row r="6311" spans="1:25" s="88" customFormat="1" hidden="1" x14ac:dyDescent="0.25">
      <c r="A6311" s="258"/>
      <c r="B6311" s="258"/>
      <c r="C6311" s="261"/>
      <c r="D6311" s="258"/>
      <c r="E6311" s="679"/>
      <c r="F6311" s="499">
        <v>417</v>
      </c>
      <c r="G6311" s="492" t="s">
        <v>4143</v>
      </c>
      <c r="H6311" s="555"/>
      <c r="I6311" s="556"/>
      <c r="J6311" s="556">
        <f t="shared" si="209"/>
        <v>0</v>
      </c>
      <c r="K6311" s="505"/>
      <c r="L6311" s="505"/>
      <c r="M6311" s="505"/>
      <c r="N6311" s="505"/>
      <c r="O6311" s="505"/>
      <c r="P6311" s="505"/>
      <c r="Q6311" s="505"/>
      <c r="R6311" s="505"/>
      <c r="S6311" s="505"/>
      <c r="T6311" s="505"/>
      <c r="U6311" s="505"/>
      <c r="V6311" s="505"/>
      <c r="W6311" s="505"/>
      <c r="X6311" s="505"/>
      <c r="Y6311" s="505"/>
    </row>
    <row r="6312" spans="1:25" s="88" customFormat="1" hidden="1" x14ac:dyDescent="0.25">
      <c r="A6312" s="258"/>
      <c r="B6312" s="258"/>
      <c r="C6312" s="261"/>
      <c r="D6312" s="258"/>
      <c r="E6312" s="679"/>
      <c r="F6312" s="499">
        <v>418</v>
      </c>
      <c r="G6312" s="492" t="s">
        <v>3775</v>
      </c>
      <c r="H6312" s="555"/>
      <c r="I6312" s="556"/>
      <c r="J6312" s="556">
        <f t="shared" si="209"/>
        <v>0</v>
      </c>
      <c r="K6312" s="505"/>
      <c r="L6312" s="505"/>
      <c r="M6312" s="505"/>
      <c r="N6312" s="505"/>
      <c r="O6312" s="505"/>
      <c r="P6312" s="505"/>
      <c r="Q6312" s="505"/>
      <c r="R6312" s="505"/>
      <c r="S6312" s="505"/>
      <c r="T6312" s="505"/>
      <c r="U6312" s="505"/>
      <c r="V6312" s="505"/>
      <c r="W6312" s="505"/>
      <c r="X6312" s="505"/>
      <c r="Y6312" s="505"/>
    </row>
    <row r="6313" spans="1:25" s="88" customFormat="1" hidden="1" x14ac:dyDescent="0.25">
      <c r="A6313" s="258"/>
      <c r="B6313" s="258"/>
      <c r="C6313" s="261"/>
      <c r="D6313" s="258"/>
      <c r="E6313" s="679"/>
      <c r="F6313" s="499">
        <v>421</v>
      </c>
      <c r="G6313" s="492" t="s">
        <v>3779</v>
      </c>
      <c r="H6313" s="555">
        <v>0</v>
      </c>
      <c r="I6313" s="556"/>
      <c r="J6313" s="556">
        <f t="shared" si="209"/>
        <v>0</v>
      </c>
      <c r="K6313" s="505"/>
      <c r="L6313" s="505"/>
      <c r="M6313" s="505"/>
      <c r="N6313" s="505"/>
      <c r="O6313" s="505"/>
      <c r="P6313" s="505"/>
      <c r="Q6313" s="505"/>
      <c r="R6313" s="505"/>
      <c r="S6313" s="505"/>
      <c r="T6313" s="505"/>
      <c r="U6313" s="505"/>
      <c r="V6313" s="505"/>
      <c r="W6313" s="505"/>
      <c r="X6313" s="505"/>
      <c r="Y6313" s="505"/>
    </row>
    <row r="6314" spans="1:25" s="88" customFormat="1" x14ac:dyDescent="0.25">
      <c r="A6314" s="258"/>
      <c r="B6314" s="258"/>
      <c r="C6314" s="261"/>
      <c r="D6314" s="258"/>
      <c r="E6314" s="679">
        <v>185</v>
      </c>
      <c r="F6314" s="499">
        <v>422</v>
      </c>
      <c r="G6314" s="492" t="s">
        <v>3780</v>
      </c>
      <c r="H6314" s="555">
        <v>30000</v>
      </c>
      <c r="I6314" s="556"/>
      <c r="J6314" s="556">
        <f t="shared" si="209"/>
        <v>30000</v>
      </c>
      <c r="K6314" s="505"/>
      <c r="L6314" s="505"/>
      <c r="M6314" s="505"/>
      <c r="N6314" s="505"/>
      <c r="O6314" s="505"/>
      <c r="P6314" s="505"/>
      <c r="Q6314" s="505"/>
      <c r="R6314" s="505"/>
      <c r="S6314" s="505"/>
      <c r="T6314" s="505"/>
      <c r="U6314" s="505"/>
      <c r="V6314" s="505"/>
      <c r="W6314" s="505"/>
      <c r="X6314" s="505"/>
      <c r="Y6314" s="505"/>
    </row>
    <row r="6315" spans="1:25" s="88" customFormat="1" x14ac:dyDescent="0.25">
      <c r="A6315" s="258"/>
      <c r="B6315" s="258"/>
      <c r="C6315" s="261"/>
      <c r="D6315" s="258"/>
      <c r="E6315" s="679">
        <v>186</v>
      </c>
      <c r="F6315" s="499">
        <v>423</v>
      </c>
      <c r="G6315" s="492" t="s">
        <v>3781</v>
      </c>
      <c r="H6315" s="555">
        <v>310000</v>
      </c>
      <c r="I6315" s="556"/>
      <c r="J6315" s="556">
        <f t="shared" si="209"/>
        <v>310000</v>
      </c>
      <c r="K6315" s="505"/>
      <c r="L6315" s="505"/>
      <c r="M6315" s="505"/>
      <c r="N6315" s="505"/>
      <c r="O6315" s="505"/>
      <c r="P6315" s="505"/>
      <c r="Q6315" s="505"/>
      <c r="R6315" s="505"/>
      <c r="S6315" s="505"/>
      <c r="T6315" s="505"/>
      <c r="U6315" s="505"/>
      <c r="V6315" s="505"/>
      <c r="W6315" s="505"/>
      <c r="X6315" s="505"/>
      <c r="Y6315" s="505"/>
    </row>
    <row r="6316" spans="1:25" s="88" customFormat="1" x14ac:dyDescent="0.25">
      <c r="A6316" s="258"/>
      <c r="B6316" s="258"/>
      <c r="C6316" s="261"/>
      <c r="D6316" s="258"/>
      <c r="E6316" s="679">
        <v>187</v>
      </c>
      <c r="F6316" s="499">
        <v>424</v>
      </c>
      <c r="G6316" s="492" t="s">
        <v>3783</v>
      </c>
      <c r="H6316" s="555">
        <v>0</v>
      </c>
      <c r="I6316" s="556"/>
      <c r="J6316" s="556">
        <f t="shared" si="209"/>
        <v>0</v>
      </c>
      <c r="K6316" s="505"/>
      <c r="L6316" s="505"/>
      <c r="M6316" s="505"/>
      <c r="N6316" s="505"/>
      <c r="O6316" s="505"/>
      <c r="P6316" s="505"/>
      <c r="Q6316" s="505"/>
      <c r="R6316" s="505"/>
      <c r="S6316" s="505"/>
      <c r="T6316" s="505"/>
      <c r="U6316" s="505"/>
      <c r="V6316" s="505"/>
      <c r="W6316" s="505"/>
      <c r="X6316" s="505"/>
      <c r="Y6316" s="505"/>
    </row>
    <row r="6317" spans="1:25" s="88" customFormat="1" hidden="1" x14ac:dyDescent="0.25">
      <c r="A6317" s="258"/>
      <c r="B6317" s="258"/>
      <c r="C6317" s="261"/>
      <c r="D6317" s="258"/>
      <c r="E6317" s="679"/>
      <c r="F6317" s="499">
        <v>425</v>
      </c>
      <c r="G6317" s="492" t="s">
        <v>4144</v>
      </c>
      <c r="H6317" s="555"/>
      <c r="I6317" s="556"/>
      <c r="J6317" s="556">
        <f t="shared" si="209"/>
        <v>0</v>
      </c>
      <c r="K6317" s="505"/>
      <c r="L6317" s="505"/>
      <c r="M6317" s="505"/>
      <c r="N6317" s="505"/>
      <c r="O6317" s="505"/>
      <c r="P6317" s="505"/>
      <c r="Q6317" s="505"/>
      <c r="R6317" s="505"/>
      <c r="S6317" s="505"/>
      <c r="T6317" s="505"/>
      <c r="U6317" s="505"/>
      <c r="V6317" s="505"/>
      <c r="W6317" s="505"/>
      <c r="X6317" s="505"/>
      <c r="Y6317" s="505"/>
    </row>
    <row r="6318" spans="1:25" s="88" customFormat="1" x14ac:dyDescent="0.25">
      <c r="A6318" s="258"/>
      <c r="B6318" s="258"/>
      <c r="C6318" s="261"/>
      <c r="D6318" s="258"/>
      <c r="E6318" s="679">
        <v>188</v>
      </c>
      <c r="F6318" s="499">
        <v>426</v>
      </c>
      <c r="G6318" s="492" t="s">
        <v>3787</v>
      </c>
      <c r="H6318" s="555">
        <v>10000</v>
      </c>
      <c r="I6318" s="556"/>
      <c r="J6318" s="556">
        <f t="shared" si="209"/>
        <v>10000</v>
      </c>
      <c r="K6318" s="505"/>
      <c r="L6318" s="505"/>
      <c r="M6318" s="505"/>
      <c r="N6318" s="505"/>
      <c r="O6318" s="505"/>
      <c r="P6318" s="505"/>
      <c r="Q6318" s="505"/>
      <c r="R6318" s="505"/>
      <c r="S6318" s="505"/>
      <c r="T6318" s="505"/>
      <c r="U6318" s="505"/>
      <c r="V6318" s="505"/>
      <c r="W6318" s="505"/>
      <c r="X6318" s="505"/>
      <c r="Y6318" s="505"/>
    </row>
    <row r="6319" spans="1:25" s="88" customFormat="1" hidden="1" x14ac:dyDescent="0.25">
      <c r="A6319" s="258"/>
      <c r="B6319" s="258"/>
      <c r="C6319" s="261"/>
      <c r="D6319" s="258"/>
      <c r="E6319" s="679"/>
      <c r="F6319" s="499">
        <v>431</v>
      </c>
      <c r="G6319" s="492" t="s">
        <v>4145</v>
      </c>
      <c r="H6319" s="555"/>
      <c r="I6319" s="556"/>
      <c r="J6319" s="556">
        <f t="shared" si="209"/>
        <v>0</v>
      </c>
      <c r="K6319" s="505"/>
      <c r="L6319" s="505"/>
      <c r="M6319" s="505"/>
      <c r="N6319" s="505"/>
      <c r="O6319" s="505"/>
      <c r="P6319" s="505"/>
      <c r="Q6319" s="505"/>
      <c r="R6319" s="505"/>
      <c r="S6319" s="505"/>
      <c r="T6319" s="505"/>
      <c r="U6319" s="505"/>
      <c r="V6319" s="505"/>
      <c r="W6319" s="505"/>
      <c r="X6319" s="505"/>
      <c r="Y6319" s="505"/>
    </row>
    <row r="6320" spans="1:25" s="88" customFormat="1" hidden="1" x14ac:dyDescent="0.25">
      <c r="A6320" s="258"/>
      <c r="B6320" s="258"/>
      <c r="C6320" s="261"/>
      <c r="D6320" s="258"/>
      <c r="E6320" s="679"/>
      <c r="F6320" s="499">
        <v>432</v>
      </c>
      <c r="G6320" s="492" t="s">
        <v>4146</v>
      </c>
      <c r="H6320" s="555"/>
      <c r="I6320" s="556"/>
      <c r="J6320" s="556">
        <f t="shared" si="209"/>
        <v>0</v>
      </c>
      <c r="K6320" s="505"/>
      <c r="L6320" s="505"/>
      <c r="M6320" s="505"/>
      <c r="N6320" s="505"/>
      <c r="O6320" s="505"/>
      <c r="P6320" s="505"/>
      <c r="Q6320" s="505"/>
      <c r="R6320" s="505"/>
      <c r="S6320" s="505"/>
      <c r="T6320" s="505"/>
      <c r="U6320" s="505"/>
      <c r="V6320" s="505"/>
      <c r="W6320" s="505"/>
      <c r="X6320" s="505"/>
      <c r="Y6320" s="505"/>
    </row>
    <row r="6321" spans="1:25" s="88" customFormat="1" hidden="1" x14ac:dyDescent="0.25">
      <c r="A6321" s="258"/>
      <c r="B6321" s="258"/>
      <c r="C6321" s="261"/>
      <c r="D6321" s="258"/>
      <c r="E6321" s="679"/>
      <c r="F6321" s="499">
        <v>433</v>
      </c>
      <c r="G6321" s="492" t="s">
        <v>4147</v>
      </c>
      <c r="H6321" s="555"/>
      <c r="I6321" s="556"/>
      <c r="J6321" s="556">
        <f t="shared" si="209"/>
        <v>0</v>
      </c>
      <c r="K6321" s="505"/>
      <c r="L6321" s="505"/>
      <c r="M6321" s="505"/>
      <c r="N6321" s="505"/>
      <c r="O6321" s="505"/>
      <c r="P6321" s="505"/>
      <c r="Q6321" s="505"/>
      <c r="R6321" s="505"/>
      <c r="S6321" s="505"/>
      <c r="T6321" s="505"/>
      <c r="U6321" s="505"/>
      <c r="V6321" s="505"/>
      <c r="W6321" s="505"/>
      <c r="X6321" s="505"/>
      <c r="Y6321" s="505"/>
    </row>
    <row r="6322" spans="1:25" s="88" customFormat="1" hidden="1" x14ac:dyDescent="0.25">
      <c r="A6322" s="258"/>
      <c r="B6322" s="258"/>
      <c r="C6322" s="261"/>
      <c r="D6322" s="258"/>
      <c r="E6322" s="679"/>
      <c r="F6322" s="499">
        <v>434</v>
      </c>
      <c r="G6322" s="492" t="s">
        <v>4148</v>
      </c>
      <c r="H6322" s="555"/>
      <c r="I6322" s="556"/>
      <c r="J6322" s="556">
        <f t="shared" si="209"/>
        <v>0</v>
      </c>
      <c r="K6322" s="505"/>
      <c r="L6322" s="505"/>
      <c r="M6322" s="505"/>
      <c r="N6322" s="505"/>
      <c r="O6322" s="505"/>
      <c r="P6322" s="505"/>
      <c r="Q6322" s="505"/>
      <c r="R6322" s="505"/>
      <c r="S6322" s="505"/>
      <c r="T6322" s="505"/>
      <c r="U6322" s="505"/>
      <c r="V6322" s="505"/>
      <c r="W6322" s="505"/>
      <c r="X6322" s="505"/>
      <c r="Y6322" s="505"/>
    </row>
    <row r="6323" spans="1:25" s="88" customFormat="1" hidden="1" x14ac:dyDescent="0.25">
      <c r="A6323" s="258"/>
      <c r="B6323" s="258"/>
      <c r="C6323" s="261"/>
      <c r="D6323" s="258"/>
      <c r="E6323" s="679"/>
      <c r="F6323" s="499">
        <v>435</v>
      </c>
      <c r="G6323" s="492" t="s">
        <v>3794</v>
      </c>
      <c r="H6323" s="555"/>
      <c r="I6323" s="556"/>
      <c r="J6323" s="556">
        <f t="shared" si="209"/>
        <v>0</v>
      </c>
      <c r="K6323" s="505"/>
      <c r="L6323" s="505"/>
      <c r="M6323" s="505"/>
      <c r="N6323" s="505"/>
      <c r="O6323" s="505"/>
      <c r="P6323" s="505"/>
      <c r="Q6323" s="505"/>
      <c r="R6323" s="505"/>
      <c r="S6323" s="505"/>
      <c r="T6323" s="505"/>
      <c r="U6323" s="505"/>
      <c r="V6323" s="505"/>
      <c r="W6323" s="505"/>
      <c r="X6323" s="505"/>
      <c r="Y6323" s="505"/>
    </row>
    <row r="6324" spans="1:25" s="88" customFormat="1" hidden="1" x14ac:dyDescent="0.25">
      <c r="A6324" s="258"/>
      <c r="B6324" s="258"/>
      <c r="C6324" s="261"/>
      <c r="D6324" s="258"/>
      <c r="E6324" s="679"/>
      <c r="F6324" s="499">
        <v>441</v>
      </c>
      <c r="G6324" s="492" t="s">
        <v>4149</v>
      </c>
      <c r="H6324" s="555"/>
      <c r="I6324" s="556"/>
      <c r="J6324" s="556">
        <f t="shared" si="209"/>
        <v>0</v>
      </c>
      <c r="K6324" s="505"/>
      <c r="L6324" s="505"/>
      <c r="M6324" s="505"/>
      <c r="N6324" s="505"/>
      <c r="O6324" s="505"/>
      <c r="P6324" s="505"/>
      <c r="Q6324" s="505"/>
      <c r="R6324" s="505"/>
      <c r="S6324" s="505"/>
      <c r="T6324" s="505"/>
      <c r="U6324" s="505"/>
      <c r="V6324" s="505"/>
      <c r="W6324" s="505"/>
      <c r="X6324" s="505"/>
      <c r="Y6324" s="505"/>
    </row>
    <row r="6325" spans="1:25" s="88" customFormat="1" hidden="1" x14ac:dyDescent="0.25">
      <c r="A6325" s="258"/>
      <c r="B6325" s="258"/>
      <c r="C6325" s="261"/>
      <c r="D6325" s="258"/>
      <c r="E6325" s="679"/>
      <c r="F6325" s="499">
        <v>442</v>
      </c>
      <c r="G6325" s="492" t="s">
        <v>4150</v>
      </c>
      <c r="H6325" s="555"/>
      <c r="I6325" s="556"/>
      <c r="J6325" s="556">
        <f t="shared" si="209"/>
        <v>0</v>
      </c>
      <c r="K6325" s="505"/>
      <c r="L6325" s="505"/>
      <c r="M6325" s="505"/>
      <c r="N6325" s="505"/>
      <c r="O6325" s="505"/>
      <c r="P6325" s="505"/>
      <c r="Q6325" s="505"/>
      <c r="R6325" s="505"/>
      <c r="S6325" s="505"/>
      <c r="T6325" s="505"/>
      <c r="U6325" s="505"/>
      <c r="V6325" s="505"/>
      <c r="W6325" s="505"/>
      <c r="X6325" s="505"/>
      <c r="Y6325" s="505"/>
    </row>
    <row r="6326" spans="1:25" s="88" customFormat="1" hidden="1" x14ac:dyDescent="0.25">
      <c r="A6326" s="258"/>
      <c r="B6326" s="258"/>
      <c r="C6326" s="261"/>
      <c r="D6326" s="258"/>
      <c r="E6326" s="679"/>
      <c r="F6326" s="499">
        <v>443</v>
      </c>
      <c r="G6326" s="492" t="s">
        <v>3799</v>
      </c>
      <c r="H6326" s="555"/>
      <c r="I6326" s="556"/>
      <c r="J6326" s="556">
        <f t="shared" si="209"/>
        <v>0</v>
      </c>
      <c r="K6326" s="505"/>
      <c r="L6326" s="505"/>
      <c r="M6326" s="505"/>
      <c r="N6326" s="505"/>
      <c r="O6326" s="505"/>
      <c r="P6326" s="505"/>
      <c r="Q6326" s="505"/>
      <c r="R6326" s="505"/>
      <c r="S6326" s="505"/>
      <c r="T6326" s="505"/>
      <c r="U6326" s="505"/>
      <c r="V6326" s="505"/>
      <c r="W6326" s="505"/>
      <c r="X6326" s="505"/>
      <c r="Y6326" s="505"/>
    </row>
    <row r="6327" spans="1:25" s="88" customFormat="1" hidden="1" x14ac:dyDescent="0.25">
      <c r="A6327" s="258"/>
      <c r="B6327" s="258"/>
      <c r="C6327" s="261"/>
      <c r="D6327" s="258"/>
      <c r="E6327" s="679"/>
      <c r="F6327" s="499">
        <v>444</v>
      </c>
      <c r="G6327" s="492" t="s">
        <v>3800</v>
      </c>
      <c r="H6327" s="555"/>
      <c r="I6327" s="556"/>
      <c r="J6327" s="556">
        <f t="shared" si="209"/>
        <v>0</v>
      </c>
      <c r="K6327" s="505"/>
      <c r="L6327" s="505"/>
      <c r="M6327" s="505"/>
      <c r="N6327" s="505"/>
      <c r="O6327" s="505"/>
      <c r="P6327" s="505"/>
      <c r="Q6327" s="505"/>
      <c r="R6327" s="505"/>
      <c r="S6327" s="505"/>
      <c r="T6327" s="505"/>
      <c r="U6327" s="505"/>
      <c r="V6327" s="505"/>
      <c r="W6327" s="505"/>
      <c r="X6327" s="505"/>
      <c r="Y6327" s="505"/>
    </row>
    <row r="6328" spans="1:25" s="88" customFormat="1" ht="30" hidden="1" x14ac:dyDescent="0.25">
      <c r="A6328" s="258"/>
      <c r="B6328" s="258"/>
      <c r="C6328" s="261"/>
      <c r="D6328" s="258"/>
      <c r="E6328" s="679"/>
      <c r="F6328" s="499">
        <v>4511</v>
      </c>
      <c r="G6328" s="776" t="s">
        <v>1690</v>
      </c>
      <c r="H6328" s="555"/>
      <c r="I6328" s="556"/>
      <c r="J6328" s="556">
        <f t="shared" si="209"/>
        <v>0</v>
      </c>
      <c r="K6328" s="505"/>
      <c r="L6328" s="505"/>
      <c r="M6328" s="505"/>
      <c r="N6328" s="505"/>
      <c r="O6328" s="505"/>
      <c r="P6328" s="505"/>
      <c r="Q6328" s="505"/>
      <c r="R6328" s="505"/>
      <c r="S6328" s="505"/>
      <c r="T6328" s="505"/>
      <c r="U6328" s="505"/>
      <c r="V6328" s="505"/>
      <c r="W6328" s="505"/>
      <c r="X6328" s="505"/>
      <c r="Y6328" s="505"/>
    </row>
    <row r="6329" spans="1:25" s="88" customFormat="1" ht="15" hidden="1" customHeight="1" x14ac:dyDescent="0.25">
      <c r="A6329" s="258"/>
      <c r="B6329" s="258"/>
      <c r="C6329" s="261"/>
      <c r="D6329" s="258"/>
      <c r="E6329" s="679">
        <v>69</v>
      </c>
      <c r="F6329" s="691">
        <v>511</v>
      </c>
      <c r="G6329" s="775" t="s">
        <v>5208</v>
      </c>
      <c r="H6329" s="555">
        <v>0</v>
      </c>
      <c r="I6329" s="556"/>
      <c r="J6329" s="556">
        <f t="shared" si="209"/>
        <v>0</v>
      </c>
      <c r="K6329" s="505"/>
      <c r="L6329" s="505"/>
      <c r="M6329" s="505"/>
      <c r="N6329" s="505"/>
      <c r="O6329" s="505"/>
      <c r="P6329" s="505"/>
      <c r="Q6329" s="505"/>
      <c r="R6329" s="505"/>
      <c r="S6329" s="505"/>
      <c r="T6329" s="505"/>
      <c r="U6329" s="505"/>
      <c r="V6329" s="505"/>
      <c r="W6329" s="505"/>
      <c r="X6329" s="505"/>
      <c r="Y6329" s="505"/>
    </row>
    <row r="6330" spans="1:25" s="88" customFormat="1" hidden="1" x14ac:dyDescent="0.25">
      <c r="A6330" s="258"/>
      <c r="B6330" s="258"/>
      <c r="C6330" s="261"/>
      <c r="D6330" s="258"/>
      <c r="E6330" s="679"/>
      <c r="F6330" s="499">
        <v>452</v>
      </c>
      <c r="G6330" s="492" t="s">
        <v>4151</v>
      </c>
      <c r="H6330" s="555"/>
      <c r="I6330" s="556"/>
      <c r="J6330" s="556">
        <f t="shared" si="209"/>
        <v>0</v>
      </c>
      <c r="K6330" s="505"/>
      <c r="L6330" s="505"/>
      <c r="M6330" s="505"/>
      <c r="N6330" s="505"/>
      <c r="O6330" s="505"/>
      <c r="P6330" s="505"/>
      <c r="Q6330" s="505"/>
      <c r="R6330" s="505"/>
      <c r="S6330" s="505"/>
      <c r="T6330" s="505"/>
      <c r="U6330" s="505"/>
      <c r="V6330" s="505"/>
      <c r="W6330" s="505"/>
      <c r="X6330" s="505"/>
      <c r="Y6330" s="505"/>
    </row>
    <row r="6331" spans="1:25" s="88" customFormat="1" hidden="1" x14ac:dyDescent="0.25">
      <c r="A6331" s="258"/>
      <c r="B6331" s="258"/>
      <c r="C6331" s="261"/>
      <c r="D6331" s="258"/>
      <c r="E6331" s="679"/>
      <c r="F6331" s="499">
        <v>453</v>
      </c>
      <c r="G6331" s="492" t="s">
        <v>4152</v>
      </c>
      <c r="H6331" s="555"/>
      <c r="I6331" s="556"/>
      <c r="J6331" s="556">
        <f t="shared" si="209"/>
        <v>0</v>
      </c>
      <c r="K6331" s="505"/>
      <c r="L6331" s="505"/>
      <c r="M6331" s="505"/>
      <c r="N6331" s="505"/>
      <c r="O6331" s="505"/>
      <c r="P6331" s="505"/>
      <c r="Q6331" s="505"/>
      <c r="R6331" s="505"/>
      <c r="S6331" s="505"/>
      <c r="T6331" s="505"/>
      <c r="U6331" s="505"/>
      <c r="V6331" s="505"/>
      <c r="W6331" s="505"/>
      <c r="X6331" s="505"/>
      <c r="Y6331" s="505"/>
    </row>
    <row r="6332" spans="1:25" s="88" customFormat="1" hidden="1" x14ac:dyDescent="0.25">
      <c r="A6332" s="258"/>
      <c r="B6332" s="258"/>
      <c r="C6332" s="261"/>
      <c r="D6332" s="258"/>
      <c r="E6332" s="679"/>
      <c r="F6332" s="499">
        <v>454</v>
      </c>
      <c r="G6332" s="492" t="s">
        <v>3805</v>
      </c>
      <c r="H6332" s="555"/>
      <c r="I6332" s="556"/>
      <c r="J6332" s="556">
        <f t="shared" si="209"/>
        <v>0</v>
      </c>
      <c r="K6332" s="505"/>
      <c r="L6332" s="505"/>
      <c r="M6332" s="505"/>
      <c r="N6332" s="505"/>
      <c r="O6332" s="505"/>
      <c r="P6332" s="505"/>
      <c r="Q6332" s="505"/>
      <c r="R6332" s="505"/>
      <c r="S6332" s="505"/>
      <c r="T6332" s="505"/>
      <c r="U6332" s="505"/>
      <c r="V6332" s="505"/>
      <c r="W6332" s="505"/>
      <c r="X6332" s="505"/>
      <c r="Y6332" s="505"/>
    </row>
    <row r="6333" spans="1:25" s="88" customFormat="1" hidden="1" x14ac:dyDescent="0.25">
      <c r="A6333" s="258"/>
      <c r="B6333" s="258"/>
      <c r="C6333" s="261"/>
      <c r="D6333" s="258"/>
      <c r="E6333" s="679"/>
      <c r="F6333" s="499">
        <v>461</v>
      </c>
      <c r="G6333" s="492" t="s">
        <v>4133</v>
      </c>
      <c r="H6333" s="555"/>
      <c r="I6333" s="556"/>
      <c r="J6333" s="556">
        <f t="shared" si="209"/>
        <v>0</v>
      </c>
      <c r="K6333" s="505"/>
      <c r="L6333" s="505"/>
      <c r="M6333" s="505"/>
      <c r="N6333" s="505"/>
      <c r="O6333" s="505"/>
      <c r="P6333" s="505"/>
      <c r="Q6333" s="505"/>
      <c r="R6333" s="505"/>
      <c r="S6333" s="505"/>
      <c r="T6333" s="505"/>
      <c r="U6333" s="505"/>
      <c r="V6333" s="505"/>
      <c r="W6333" s="505"/>
      <c r="X6333" s="505"/>
      <c r="Y6333" s="505"/>
    </row>
    <row r="6334" spans="1:25" s="88" customFormat="1" hidden="1" x14ac:dyDescent="0.25">
      <c r="A6334" s="258"/>
      <c r="B6334" s="258"/>
      <c r="C6334" s="261"/>
      <c r="D6334" s="258"/>
      <c r="E6334" s="679"/>
      <c r="F6334" s="499">
        <v>462</v>
      </c>
      <c r="G6334" s="492" t="s">
        <v>3808</v>
      </c>
      <c r="H6334" s="555"/>
      <c r="I6334" s="556"/>
      <c r="J6334" s="556">
        <f t="shared" si="209"/>
        <v>0</v>
      </c>
      <c r="K6334" s="505"/>
      <c r="L6334" s="505"/>
      <c r="M6334" s="505"/>
      <c r="N6334" s="505"/>
      <c r="O6334" s="505"/>
      <c r="P6334" s="505"/>
      <c r="Q6334" s="505"/>
      <c r="R6334" s="505"/>
      <c r="S6334" s="505"/>
      <c r="T6334" s="505"/>
      <c r="U6334" s="505"/>
      <c r="V6334" s="505"/>
      <c r="W6334" s="505"/>
      <c r="X6334" s="505"/>
      <c r="Y6334" s="505"/>
    </row>
    <row r="6335" spans="1:25" s="88" customFormat="1" hidden="1" x14ac:dyDescent="0.25">
      <c r="A6335" s="258"/>
      <c r="B6335" s="258"/>
      <c r="C6335" s="261"/>
      <c r="D6335" s="258"/>
      <c r="E6335" s="679"/>
      <c r="F6335" s="499">
        <v>4631</v>
      </c>
      <c r="G6335" s="492" t="s">
        <v>3809</v>
      </c>
      <c r="H6335" s="555"/>
      <c r="I6335" s="556"/>
      <c r="J6335" s="556">
        <f t="shared" si="209"/>
        <v>0</v>
      </c>
      <c r="K6335" s="505"/>
      <c r="L6335" s="505"/>
      <c r="M6335" s="505"/>
      <c r="N6335" s="505"/>
      <c r="O6335" s="505"/>
      <c r="P6335" s="505"/>
      <c r="Q6335" s="505"/>
      <c r="R6335" s="505"/>
      <c r="S6335" s="505"/>
      <c r="T6335" s="505"/>
      <c r="U6335" s="505"/>
      <c r="V6335" s="505"/>
      <c r="W6335" s="505"/>
      <c r="X6335" s="505"/>
      <c r="Y6335" s="505"/>
    </row>
    <row r="6336" spans="1:25" s="88" customFormat="1" hidden="1" x14ac:dyDescent="0.25">
      <c r="A6336" s="258"/>
      <c r="B6336" s="258"/>
      <c r="C6336" s="261"/>
      <c r="D6336" s="258"/>
      <c r="E6336" s="679"/>
      <c r="F6336" s="499">
        <v>4632</v>
      </c>
      <c r="G6336" s="492" t="s">
        <v>3810</v>
      </c>
      <c r="H6336" s="555"/>
      <c r="I6336" s="556"/>
      <c r="J6336" s="556">
        <f t="shared" si="209"/>
        <v>0</v>
      </c>
      <c r="K6336" s="505"/>
      <c r="L6336" s="505"/>
      <c r="M6336" s="505"/>
      <c r="N6336" s="505"/>
      <c r="O6336" s="505"/>
      <c r="P6336" s="505"/>
      <c r="Q6336" s="505"/>
      <c r="R6336" s="505"/>
      <c r="S6336" s="505"/>
      <c r="T6336" s="505"/>
      <c r="U6336" s="505"/>
      <c r="V6336" s="505"/>
      <c r="W6336" s="505"/>
      <c r="X6336" s="505"/>
      <c r="Y6336" s="505"/>
    </row>
    <row r="6337" spans="1:25" s="88" customFormat="1" hidden="1" x14ac:dyDescent="0.25">
      <c r="A6337" s="258"/>
      <c r="B6337" s="258"/>
      <c r="C6337" s="261"/>
      <c r="D6337" s="258"/>
      <c r="E6337" s="679"/>
      <c r="F6337" s="499">
        <v>464</v>
      </c>
      <c r="G6337" s="492" t="s">
        <v>3811</v>
      </c>
      <c r="H6337" s="555"/>
      <c r="I6337" s="556"/>
      <c r="J6337" s="556">
        <f t="shared" si="209"/>
        <v>0</v>
      </c>
      <c r="K6337" s="505"/>
      <c r="L6337" s="505"/>
      <c r="M6337" s="505"/>
      <c r="N6337" s="505"/>
      <c r="O6337" s="505"/>
      <c r="P6337" s="505"/>
      <c r="Q6337" s="505"/>
      <c r="R6337" s="505"/>
      <c r="S6337" s="505"/>
      <c r="T6337" s="505"/>
      <c r="U6337" s="505"/>
      <c r="V6337" s="505"/>
      <c r="W6337" s="505"/>
      <c r="X6337" s="505"/>
      <c r="Y6337" s="505"/>
    </row>
    <row r="6338" spans="1:25" s="88" customFormat="1" hidden="1" x14ac:dyDescent="0.25">
      <c r="A6338" s="258"/>
      <c r="B6338" s="258"/>
      <c r="C6338" s="261"/>
      <c r="D6338" s="258"/>
      <c r="E6338" s="679"/>
      <c r="F6338" s="499">
        <v>465</v>
      </c>
      <c r="G6338" s="492" t="s">
        <v>4134</v>
      </c>
      <c r="H6338" s="555"/>
      <c r="I6338" s="556"/>
      <c r="J6338" s="556">
        <f t="shared" si="209"/>
        <v>0</v>
      </c>
      <c r="K6338" s="505"/>
      <c r="L6338" s="505"/>
      <c r="M6338" s="505"/>
      <c r="N6338" s="505"/>
      <c r="O6338" s="505"/>
      <c r="P6338" s="505"/>
      <c r="Q6338" s="505"/>
      <c r="R6338" s="505"/>
      <c r="S6338" s="505"/>
      <c r="T6338" s="505"/>
      <c r="U6338" s="505"/>
      <c r="V6338" s="505"/>
      <c r="W6338" s="505"/>
      <c r="X6338" s="505"/>
      <c r="Y6338" s="505"/>
    </row>
    <row r="6339" spans="1:25" s="88" customFormat="1" x14ac:dyDescent="0.25">
      <c r="A6339" s="258"/>
      <c r="B6339" s="258"/>
      <c r="C6339" s="261"/>
      <c r="D6339" s="258"/>
      <c r="E6339" s="679">
        <v>189</v>
      </c>
      <c r="F6339" s="499">
        <v>472</v>
      </c>
      <c r="G6339" s="492" t="s">
        <v>3815</v>
      </c>
      <c r="H6339" s="555">
        <v>50000</v>
      </c>
      <c r="I6339" s="556"/>
      <c r="J6339" s="556">
        <f t="shared" si="209"/>
        <v>50000</v>
      </c>
      <c r="K6339" s="505"/>
      <c r="L6339" s="505"/>
      <c r="M6339" s="505"/>
      <c r="N6339" s="505"/>
      <c r="O6339" s="505"/>
      <c r="P6339" s="505"/>
      <c r="Q6339" s="505"/>
      <c r="R6339" s="505"/>
      <c r="S6339" s="505"/>
      <c r="T6339" s="505"/>
      <c r="U6339" s="505"/>
      <c r="V6339" s="505"/>
      <c r="W6339" s="505"/>
      <c r="X6339" s="505"/>
      <c r="Y6339" s="505"/>
    </row>
    <row r="6340" spans="1:25" s="88" customFormat="1" hidden="1" x14ac:dyDescent="0.25">
      <c r="A6340" s="258"/>
      <c r="B6340" s="258"/>
      <c r="C6340" s="261"/>
      <c r="D6340" s="258"/>
      <c r="E6340" s="679"/>
      <c r="F6340" s="499">
        <v>481</v>
      </c>
      <c r="G6340" s="492" t="s">
        <v>4153</v>
      </c>
      <c r="H6340" s="555"/>
      <c r="I6340" s="556"/>
      <c r="J6340" s="556">
        <f t="shared" si="209"/>
        <v>0</v>
      </c>
      <c r="K6340" s="505"/>
      <c r="L6340" s="505"/>
      <c r="M6340" s="505"/>
      <c r="N6340" s="505"/>
      <c r="O6340" s="505"/>
      <c r="P6340" s="505"/>
      <c r="Q6340" s="505"/>
      <c r="R6340" s="505"/>
      <c r="S6340" s="505"/>
      <c r="T6340" s="505"/>
      <c r="U6340" s="505"/>
      <c r="V6340" s="505"/>
      <c r="W6340" s="505"/>
      <c r="X6340" s="505"/>
      <c r="Y6340" s="505"/>
    </row>
    <row r="6341" spans="1:25" s="88" customFormat="1" hidden="1" x14ac:dyDescent="0.25">
      <c r="A6341" s="258"/>
      <c r="B6341" s="258"/>
      <c r="C6341" s="261"/>
      <c r="D6341" s="258"/>
      <c r="E6341" s="679"/>
      <c r="F6341" s="499">
        <v>482</v>
      </c>
      <c r="G6341" s="492" t="s">
        <v>4154</v>
      </c>
      <c r="H6341" s="555"/>
      <c r="I6341" s="556"/>
      <c r="J6341" s="556">
        <f t="shared" si="209"/>
        <v>0</v>
      </c>
      <c r="K6341" s="505"/>
      <c r="L6341" s="505"/>
      <c r="M6341" s="505"/>
      <c r="N6341" s="505"/>
      <c r="O6341" s="505"/>
      <c r="P6341" s="505"/>
      <c r="Q6341" s="505"/>
      <c r="R6341" s="505"/>
      <c r="S6341" s="505"/>
      <c r="T6341" s="505"/>
      <c r="U6341" s="505"/>
      <c r="V6341" s="505"/>
      <c r="W6341" s="505"/>
      <c r="X6341" s="505"/>
      <c r="Y6341" s="505"/>
    </row>
    <row r="6342" spans="1:25" s="88" customFormat="1" hidden="1" x14ac:dyDescent="0.25">
      <c r="A6342" s="258"/>
      <c r="B6342" s="258"/>
      <c r="C6342" s="261"/>
      <c r="D6342" s="258"/>
      <c r="E6342" s="679"/>
      <c r="F6342" s="499">
        <v>483</v>
      </c>
      <c r="G6342" s="496" t="s">
        <v>4155</v>
      </c>
      <c r="H6342" s="555"/>
      <c r="I6342" s="556"/>
      <c r="J6342" s="556">
        <f t="shared" si="209"/>
        <v>0</v>
      </c>
      <c r="K6342" s="505"/>
      <c r="L6342" s="505"/>
      <c r="M6342" s="505"/>
      <c r="N6342" s="505"/>
      <c r="O6342" s="505"/>
      <c r="P6342" s="505"/>
      <c r="Q6342" s="505"/>
      <c r="R6342" s="505"/>
      <c r="S6342" s="505"/>
      <c r="T6342" s="505"/>
      <c r="U6342" s="505"/>
      <c r="V6342" s="505"/>
      <c r="W6342" s="505"/>
      <c r="X6342" s="505"/>
      <c r="Y6342" s="505"/>
    </row>
    <row r="6343" spans="1:25" s="88" customFormat="1" ht="30" hidden="1" x14ac:dyDescent="0.25">
      <c r="A6343" s="258"/>
      <c r="B6343" s="258"/>
      <c r="C6343" s="261"/>
      <c r="D6343" s="258"/>
      <c r="E6343" s="679"/>
      <c r="F6343" s="499">
        <v>484</v>
      </c>
      <c r="G6343" s="492" t="s">
        <v>4156</v>
      </c>
      <c r="H6343" s="555"/>
      <c r="I6343" s="556"/>
      <c r="J6343" s="556">
        <f t="shared" si="209"/>
        <v>0</v>
      </c>
      <c r="K6343" s="505"/>
      <c r="L6343" s="505"/>
      <c r="M6343" s="505"/>
      <c r="N6343" s="505"/>
      <c r="O6343" s="505"/>
      <c r="P6343" s="505"/>
      <c r="Q6343" s="505"/>
      <c r="R6343" s="505"/>
      <c r="S6343" s="505"/>
      <c r="T6343" s="505"/>
      <c r="U6343" s="505"/>
      <c r="V6343" s="505"/>
      <c r="W6343" s="505"/>
      <c r="X6343" s="505"/>
      <c r="Y6343" s="505"/>
    </row>
    <row r="6344" spans="1:25" s="88" customFormat="1" ht="30" hidden="1" x14ac:dyDescent="0.25">
      <c r="A6344" s="258"/>
      <c r="B6344" s="258"/>
      <c r="C6344" s="261"/>
      <c r="D6344" s="258"/>
      <c r="E6344" s="679"/>
      <c r="F6344" s="499">
        <v>485</v>
      </c>
      <c r="G6344" s="492" t="s">
        <v>4157</v>
      </c>
      <c r="H6344" s="555"/>
      <c r="I6344" s="556"/>
      <c r="J6344" s="556">
        <f t="shared" si="209"/>
        <v>0</v>
      </c>
      <c r="K6344" s="505"/>
      <c r="L6344" s="505"/>
      <c r="M6344" s="505"/>
      <c r="N6344" s="505"/>
      <c r="O6344" s="505"/>
      <c r="P6344" s="505"/>
      <c r="Q6344" s="505"/>
      <c r="R6344" s="505"/>
      <c r="S6344" s="505"/>
      <c r="T6344" s="505"/>
      <c r="U6344" s="505"/>
      <c r="V6344" s="505"/>
      <c r="W6344" s="505"/>
      <c r="X6344" s="505"/>
      <c r="Y6344" s="505"/>
    </row>
    <row r="6345" spans="1:25" s="88" customFormat="1" ht="30" hidden="1" x14ac:dyDescent="0.25">
      <c r="A6345" s="258"/>
      <c r="B6345" s="258"/>
      <c r="C6345" s="261"/>
      <c r="D6345" s="258"/>
      <c r="E6345" s="679"/>
      <c r="F6345" s="499">
        <v>489</v>
      </c>
      <c r="G6345" s="492" t="s">
        <v>3823</v>
      </c>
      <c r="H6345" s="555"/>
      <c r="I6345" s="556"/>
      <c r="J6345" s="556">
        <f t="shared" si="209"/>
        <v>0</v>
      </c>
      <c r="K6345" s="505"/>
      <c r="L6345" s="505"/>
      <c r="M6345" s="505"/>
      <c r="N6345" s="505"/>
      <c r="O6345" s="505"/>
      <c r="P6345" s="505"/>
      <c r="Q6345" s="505"/>
      <c r="R6345" s="505"/>
      <c r="S6345" s="505"/>
      <c r="T6345" s="505"/>
      <c r="U6345" s="505"/>
      <c r="V6345" s="505"/>
      <c r="W6345" s="505"/>
      <c r="X6345" s="505"/>
      <c r="Y6345" s="505"/>
    </row>
    <row r="6346" spans="1:25" s="88" customFormat="1" hidden="1" x14ac:dyDescent="0.25">
      <c r="A6346" s="258"/>
      <c r="B6346" s="258"/>
      <c r="C6346" s="261"/>
      <c r="D6346" s="258"/>
      <c r="E6346" s="679"/>
      <c r="F6346" s="499">
        <v>494</v>
      </c>
      <c r="G6346" s="492" t="s">
        <v>4135</v>
      </c>
      <c r="H6346" s="555"/>
      <c r="I6346" s="556"/>
      <c r="J6346" s="556">
        <f t="shared" si="209"/>
        <v>0</v>
      </c>
      <c r="K6346" s="505"/>
      <c r="L6346" s="505"/>
      <c r="M6346" s="505"/>
      <c r="N6346" s="505"/>
      <c r="O6346" s="505"/>
      <c r="P6346" s="505"/>
      <c r="Q6346" s="505"/>
      <c r="R6346" s="505"/>
      <c r="S6346" s="505"/>
      <c r="T6346" s="505"/>
      <c r="U6346" s="505"/>
      <c r="V6346" s="505"/>
      <c r="W6346" s="505"/>
      <c r="X6346" s="505"/>
      <c r="Y6346" s="505"/>
    </row>
    <row r="6347" spans="1:25" s="88" customFormat="1" ht="30" hidden="1" x14ac:dyDescent="0.25">
      <c r="A6347" s="258"/>
      <c r="B6347" s="258"/>
      <c r="C6347" s="261"/>
      <c r="D6347" s="258"/>
      <c r="E6347" s="679"/>
      <c r="F6347" s="499">
        <v>495</v>
      </c>
      <c r="G6347" s="492" t="s">
        <v>4136</v>
      </c>
      <c r="H6347" s="555"/>
      <c r="I6347" s="556"/>
      <c r="J6347" s="556">
        <f t="shared" si="209"/>
        <v>0</v>
      </c>
      <c r="K6347" s="505"/>
      <c r="L6347" s="505"/>
      <c r="M6347" s="505"/>
      <c r="N6347" s="505"/>
      <c r="O6347" s="505"/>
      <c r="P6347" s="505"/>
      <c r="Q6347" s="505"/>
      <c r="R6347" s="505"/>
      <c r="S6347" s="505"/>
      <c r="T6347" s="505"/>
      <c r="U6347" s="505"/>
      <c r="V6347" s="505"/>
      <c r="W6347" s="505"/>
      <c r="X6347" s="505"/>
      <c r="Y6347" s="505"/>
    </row>
    <row r="6348" spans="1:25" s="88" customFormat="1" ht="30" hidden="1" x14ac:dyDescent="0.25">
      <c r="A6348" s="258"/>
      <c r="B6348" s="258"/>
      <c r="C6348" s="261"/>
      <c r="D6348" s="258"/>
      <c r="E6348" s="679"/>
      <c r="F6348" s="499">
        <v>496</v>
      </c>
      <c r="G6348" s="492" t="s">
        <v>4137</v>
      </c>
      <c r="H6348" s="555"/>
      <c r="I6348" s="556"/>
      <c r="J6348" s="556">
        <f t="shared" si="209"/>
        <v>0</v>
      </c>
      <c r="K6348" s="505"/>
      <c r="L6348" s="505"/>
      <c r="M6348" s="505"/>
      <c r="N6348" s="505"/>
      <c r="O6348" s="505"/>
      <c r="P6348" s="505"/>
      <c r="Q6348" s="505"/>
      <c r="R6348" s="505"/>
      <c r="S6348" s="505"/>
      <c r="T6348" s="505"/>
      <c r="U6348" s="505"/>
      <c r="V6348" s="505"/>
      <c r="W6348" s="505"/>
      <c r="X6348" s="505"/>
      <c r="Y6348" s="505"/>
    </row>
    <row r="6349" spans="1:25" s="88" customFormat="1" ht="30" hidden="1" x14ac:dyDescent="0.25">
      <c r="A6349" s="258"/>
      <c r="B6349" s="258"/>
      <c r="C6349" s="261"/>
      <c r="D6349" s="258"/>
      <c r="E6349" s="679"/>
      <c r="F6349" s="499">
        <v>499</v>
      </c>
      <c r="G6349" s="492" t="s">
        <v>4138</v>
      </c>
      <c r="H6349" s="555"/>
      <c r="I6349" s="556"/>
      <c r="J6349" s="556">
        <f t="shared" si="209"/>
        <v>0</v>
      </c>
      <c r="K6349" s="505"/>
      <c r="L6349" s="505"/>
      <c r="M6349" s="505"/>
      <c r="N6349" s="505"/>
      <c r="O6349" s="505"/>
      <c r="P6349" s="505"/>
      <c r="Q6349" s="505"/>
      <c r="R6349" s="505"/>
      <c r="S6349" s="505"/>
      <c r="T6349" s="505"/>
      <c r="U6349" s="505"/>
      <c r="V6349" s="505"/>
      <c r="W6349" s="505"/>
      <c r="X6349" s="505"/>
      <c r="Y6349" s="505"/>
    </row>
    <row r="6350" spans="1:25" s="88" customFormat="1" hidden="1" x14ac:dyDescent="0.25">
      <c r="A6350" s="258"/>
      <c r="B6350" s="258"/>
      <c r="C6350" s="261"/>
      <c r="D6350" s="258"/>
      <c r="E6350" s="679"/>
      <c r="F6350" s="499">
        <v>511</v>
      </c>
      <c r="G6350" s="496" t="s">
        <v>4158</v>
      </c>
      <c r="H6350" s="555">
        <v>0</v>
      </c>
      <c r="I6350" s="556"/>
      <c r="J6350" s="556">
        <f t="shared" si="209"/>
        <v>0</v>
      </c>
      <c r="K6350" s="505"/>
      <c r="L6350" s="505"/>
      <c r="M6350" s="505"/>
      <c r="N6350" s="505"/>
      <c r="O6350" s="505"/>
      <c r="P6350" s="505"/>
      <c r="Q6350" s="505"/>
      <c r="R6350" s="505"/>
      <c r="S6350" s="505"/>
      <c r="T6350" s="505"/>
      <c r="U6350" s="505"/>
      <c r="V6350" s="505"/>
      <c r="W6350" s="505"/>
      <c r="X6350" s="505"/>
      <c r="Y6350" s="505"/>
    </row>
    <row r="6351" spans="1:25" s="88" customFormat="1" hidden="1" x14ac:dyDescent="0.25">
      <c r="A6351" s="258"/>
      <c r="B6351" s="258"/>
      <c r="C6351" s="261"/>
      <c r="D6351" s="258"/>
      <c r="E6351" s="679"/>
      <c r="F6351" s="499">
        <v>512</v>
      </c>
      <c r="G6351" s="496" t="s">
        <v>4159</v>
      </c>
      <c r="H6351" s="555"/>
      <c r="I6351" s="556"/>
      <c r="J6351" s="556">
        <f t="shared" si="209"/>
        <v>0</v>
      </c>
      <c r="K6351" s="505"/>
      <c r="L6351" s="505"/>
      <c r="M6351" s="505"/>
      <c r="N6351" s="505"/>
      <c r="O6351" s="505"/>
      <c r="P6351" s="505"/>
      <c r="Q6351" s="505"/>
      <c r="R6351" s="505"/>
      <c r="S6351" s="505"/>
      <c r="T6351" s="505"/>
      <c r="U6351" s="505"/>
      <c r="V6351" s="505"/>
      <c r="W6351" s="505"/>
      <c r="X6351" s="505"/>
      <c r="Y6351" s="505"/>
    </row>
    <row r="6352" spans="1:25" s="88" customFormat="1" hidden="1" x14ac:dyDescent="0.25">
      <c r="A6352" s="258"/>
      <c r="B6352" s="258"/>
      <c r="C6352" s="261"/>
      <c r="D6352" s="258"/>
      <c r="E6352" s="679"/>
      <c r="F6352" s="499">
        <v>513</v>
      </c>
      <c r="G6352" s="496" t="s">
        <v>4160</v>
      </c>
      <c r="H6352" s="555"/>
      <c r="I6352" s="556"/>
      <c r="J6352" s="556">
        <f t="shared" si="209"/>
        <v>0</v>
      </c>
      <c r="K6352" s="505"/>
      <c r="L6352" s="505"/>
      <c r="M6352" s="505"/>
      <c r="N6352" s="505"/>
      <c r="O6352" s="505"/>
      <c r="P6352" s="505"/>
      <c r="Q6352" s="505"/>
      <c r="R6352" s="505"/>
      <c r="S6352" s="505"/>
      <c r="T6352" s="505"/>
      <c r="U6352" s="505"/>
      <c r="V6352" s="505"/>
      <c r="W6352" s="505"/>
      <c r="X6352" s="505"/>
      <c r="Y6352" s="505"/>
    </row>
    <row r="6353" spans="1:25" s="88" customFormat="1" hidden="1" x14ac:dyDescent="0.25">
      <c r="A6353" s="258"/>
      <c r="B6353" s="258"/>
      <c r="C6353" s="261"/>
      <c r="D6353" s="258"/>
      <c r="E6353" s="679"/>
      <c r="F6353" s="499">
        <v>514</v>
      </c>
      <c r="G6353" s="492" t="s">
        <v>4161</v>
      </c>
      <c r="H6353" s="555"/>
      <c r="I6353" s="556"/>
      <c r="J6353" s="556">
        <f t="shared" si="209"/>
        <v>0</v>
      </c>
      <c r="K6353" s="505"/>
      <c r="L6353" s="505"/>
      <c r="M6353" s="505"/>
      <c r="N6353" s="505"/>
      <c r="O6353" s="505"/>
      <c r="P6353" s="505"/>
      <c r="Q6353" s="505"/>
      <c r="R6353" s="505"/>
      <c r="S6353" s="505"/>
      <c r="T6353" s="505"/>
      <c r="U6353" s="505"/>
      <c r="V6353" s="505"/>
      <c r="W6353" s="505"/>
      <c r="X6353" s="505"/>
      <c r="Y6353" s="505"/>
    </row>
    <row r="6354" spans="1:25" s="88" customFormat="1" hidden="1" x14ac:dyDescent="0.25">
      <c r="A6354" s="258"/>
      <c r="B6354" s="258"/>
      <c r="C6354" s="261"/>
      <c r="D6354" s="258"/>
      <c r="E6354" s="679"/>
      <c r="F6354" s="499">
        <v>515</v>
      </c>
      <c r="G6354" s="492" t="s">
        <v>3834</v>
      </c>
      <c r="H6354" s="555"/>
      <c r="I6354" s="556"/>
      <c r="J6354" s="556">
        <f t="shared" si="209"/>
        <v>0</v>
      </c>
      <c r="K6354" s="505"/>
      <c r="L6354" s="505"/>
      <c r="M6354" s="505"/>
      <c r="N6354" s="505"/>
      <c r="O6354" s="505"/>
      <c r="P6354" s="505"/>
      <c r="Q6354" s="505"/>
      <c r="R6354" s="505"/>
      <c r="S6354" s="505"/>
      <c r="T6354" s="505"/>
      <c r="U6354" s="505"/>
      <c r="V6354" s="505"/>
      <c r="W6354" s="505"/>
      <c r="X6354" s="505"/>
      <c r="Y6354" s="505"/>
    </row>
    <row r="6355" spans="1:25" s="88" customFormat="1" hidden="1" x14ac:dyDescent="0.25">
      <c r="A6355" s="258"/>
      <c r="B6355" s="258"/>
      <c r="C6355" s="261"/>
      <c r="D6355" s="258"/>
      <c r="E6355" s="679"/>
      <c r="F6355" s="499">
        <v>521</v>
      </c>
      <c r="G6355" s="492" t="s">
        <v>4162</v>
      </c>
      <c r="H6355" s="555"/>
      <c r="I6355" s="556"/>
      <c r="J6355" s="556">
        <f t="shared" si="209"/>
        <v>0</v>
      </c>
      <c r="K6355" s="505"/>
      <c r="L6355" s="505"/>
      <c r="M6355" s="505"/>
      <c r="N6355" s="505"/>
      <c r="O6355" s="505"/>
      <c r="P6355" s="505"/>
      <c r="Q6355" s="505"/>
      <c r="R6355" s="505"/>
      <c r="S6355" s="505"/>
      <c r="T6355" s="505"/>
      <c r="U6355" s="505"/>
      <c r="V6355" s="505"/>
      <c r="W6355" s="505"/>
      <c r="X6355" s="505"/>
      <c r="Y6355" s="505"/>
    </row>
    <row r="6356" spans="1:25" s="88" customFormat="1" hidden="1" x14ac:dyDescent="0.25">
      <c r="A6356" s="258"/>
      <c r="B6356" s="258"/>
      <c r="C6356" s="261"/>
      <c r="D6356" s="258"/>
      <c r="E6356" s="679"/>
      <c r="F6356" s="499">
        <v>522</v>
      </c>
      <c r="G6356" s="492" t="s">
        <v>4163</v>
      </c>
      <c r="H6356" s="555"/>
      <c r="I6356" s="556"/>
      <c r="J6356" s="556">
        <f t="shared" si="209"/>
        <v>0</v>
      </c>
      <c r="K6356" s="505"/>
      <c r="L6356" s="505"/>
      <c r="M6356" s="505"/>
      <c r="N6356" s="505"/>
      <c r="O6356" s="505"/>
      <c r="P6356" s="505"/>
      <c r="Q6356" s="505"/>
      <c r="R6356" s="505"/>
      <c r="S6356" s="505"/>
      <c r="T6356" s="505"/>
      <c r="U6356" s="505"/>
      <c r="V6356" s="505"/>
      <c r="W6356" s="505"/>
      <c r="X6356" s="505"/>
      <c r="Y6356" s="505"/>
    </row>
    <row r="6357" spans="1:25" s="88" customFormat="1" hidden="1" x14ac:dyDescent="0.25">
      <c r="A6357" s="258"/>
      <c r="B6357" s="258"/>
      <c r="C6357" s="261"/>
      <c r="D6357" s="258"/>
      <c r="E6357" s="679"/>
      <c r="F6357" s="499">
        <v>523</v>
      </c>
      <c r="G6357" s="492" t="s">
        <v>3839</v>
      </c>
      <c r="H6357" s="555"/>
      <c r="I6357" s="556"/>
      <c r="J6357" s="556">
        <f t="shared" si="209"/>
        <v>0</v>
      </c>
      <c r="K6357" s="505"/>
      <c r="L6357" s="505"/>
      <c r="M6357" s="505"/>
      <c r="N6357" s="505"/>
      <c r="O6357" s="505"/>
      <c r="P6357" s="505"/>
      <c r="Q6357" s="505"/>
      <c r="R6357" s="505"/>
      <c r="S6357" s="505"/>
      <c r="T6357" s="505"/>
      <c r="U6357" s="505"/>
      <c r="V6357" s="505"/>
      <c r="W6357" s="505"/>
      <c r="X6357" s="505"/>
      <c r="Y6357" s="505"/>
    </row>
    <row r="6358" spans="1:25" s="88" customFormat="1" hidden="1" x14ac:dyDescent="0.25">
      <c r="A6358" s="258"/>
      <c r="B6358" s="258"/>
      <c r="C6358" s="261"/>
      <c r="D6358" s="258"/>
      <c r="E6358" s="679"/>
      <c r="F6358" s="499">
        <v>531</v>
      </c>
      <c r="G6358" s="488" t="s">
        <v>4139</v>
      </c>
      <c r="H6358" s="555"/>
      <c r="I6358" s="556"/>
      <c r="J6358" s="556">
        <f t="shared" si="209"/>
        <v>0</v>
      </c>
      <c r="K6358" s="505"/>
      <c r="L6358" s="505"/>
      <c r="M6358" s="505"/>
      <c r="N6358" s="505"/>
      <c r="O6358" s="505"/>
      <c r="P6358" s="505"/>
      <c r="Q6358" s="505"/>
      <c r="R6358" s="505"/>
      <c r="S6358" s="505"/>
      <c r="T6358" s="505"/>
      <c r="U6358" s="505"/>
      <c r="V6358" s="505"/>
      <c r="W6358" s="505"/>
      <c r="X6358" s="505"/>
      <c r="Y6358" s="505"/>
    </row>
    <row r="6359" spans="1:25" s="88" customFormat="1" hidden="1" x14ac:dyDescent="0.25">
      <c r="A6359" s="258"/>
      <c r="B6359" s="258"/>
      <c r="C6359" s="261"/>
      <c r="D6359" s="258"/>
      <c r="E6359" s="679"/>
      <c r="F6359" s="499">
        <v>541</v>
      </c>
      <c r="G6359" s="492" t="s">
        <v>4164</v>
      </c>
      <c r="H6359" s="555"/>
      <c r="I6359" s="556"/>
      <c r="J6359" s="556">
        <f t="shared" si="209"/>
        <v>0</v>
      </c>
      <c r="K6359" s="505"/>
      <c r="L6359" s="505"/>
      <c r="M6359" s="505"/>
      <c r="N6359" s="505"/>
      <c r="O6359" s="505"/>
      <c r="P6359" s="505"/>
      <c r="Q6359" s="505"/>
      <c r="R6359" s="505"/>
      <c r="S6359" s="505"/>
      <c r="T6359" s="505"/>
      <c r="U6359" s="505"/>
      <c r="V6359" s="505"/>
      <c r="W6359" s="505"/>
      <c r="X6359" s="505"/>
      <c r="Y6359" s="505"/>
    </row>
    <row r="6360" spans="1:25" s="88" customFormat="1" hidden="1" x14ac:dyDescent="0.25">
      <c r="A6360" s="258"/>
      <c r="B6360" s="258"/>
      <c r="C6360" s="261"/>
      <c r="D6360" s="258"/>
      <c r="E6360" s="679"/>
      <c r="F6360" s="499">
        <v>542</v>
      </c>
      <c r="G6360" s="492" t="s">
        <v>4165</v>
      </c>
      <c r="H6360" s="555"/>
      <c r="I6360" s="556"/>
      <c r="J6360" s="556">
        <f t="shared" si="209"/>
        <v>0</v>
      </c>
      <c r="K6360" s="505"/>
      <c r="L6360" s="505"/>
      <c r="M6360" s="505"/>
      <c r="N6360" s="505"/>
      <c r="O6360" s="505"/>
      <c r="P6360" s="505"/>
      <c r="Q6360" s="505"/>
      <c r="R6360" s="505"/>
      <c r="S6360" s="505"/>
      <c r="T6360" s="505"/>
      <c r="U6360" s="505"/>
      <c r="V6360" s="505"/>
      <c r="W6360" s="505"/>
      <c r="X6360" s="505"/>
      <c r="Y6360" s="505"/>
    </row>
    <row r="6361" spans="1:25" s="88" customFormat="1" hidden="1" x14ac:dyDescent="0.25">
      <c r="A6361" s="258"/>
      <c r="B6361" s="258"/>
      <c r="C6361" s="261"/>
      <c r="D6361" s="258"/>
      <c r="E6361" s="679"/>
      <c r="F6361" s="499">
        <v>543</v>
      </c>
      <c r="G6361" s="492" t="s">
        <v>3844</v>
      </c>
      <c r="H6361" s="555"/>
      <c r="I6361" s="556"/>
      <c r="J6361" s="556">
        <f t="shared" si="209"/>
        <v>0</v>
      </c>
      <c r="K6361" s="505"/>
      <c r="L6361" s="505"/>
      <c r="M6361" s="505"/>
      <c r="N6361" s="505"/>
      <c r="O6361" s="505"/>
      <c r="P6361" s="505"/>
      <c r="Q6361" s="505"/>
      <c r="R6361" s="505"/>
      <c r="S6361" s="505"/>
      <c r="T6361" s="505"/>
      <c r="U6361" s="505"/>
      <c r="V6361" s="505"/>
      <c r="W6361" s="505"/>
      <c r="X6361" s="505"/>
      <c r="Y6361" s="505"/>
    </row>
    <row r="6362" spans="1:25" s="88" customFormat="1" ht="30" hidden="1" x14ac:dyDescent="0.25">
      <c r="A6362" s="258"/>
      <c r="B6362" s="258"/>
      <c r="C6362" s="261"/>
      <c r="D6362" s="258"/>
      <c r="E6362" s="679"/>
      <c r="F6362" s="499">
        <v>551</v>
      </c>
      <c r="G6362" s="492" t="s">
        <v>4140</v>
      </c>
      <c r="H6362" s="555"/>
      <c r="I6362" s="556"/>
      <c r="J6362" s="556">
        <f t="shared" si="209"/>
        <v>0</v>
      </c>
      <c r="K6362" s="505"/>
      <c r="L6362" s="505"/>
      <c r="M6362" s="505"/>
      <c r="N6362" s="505"/>
      <c r="O6362" s="505"/>
      <c r="P6362" s="505"/>
      <c r="Q6362" s="505"/>
      <c r="R6362" s="505"/>
      <c r="S6362" s="505"/>
      <c r="T6362" s="505"/>
      <c r="U6362" s="505"/>
      <c r="V6362" s="505"/>
      <c r="W6362" s="505"/>
      <c r="X6362" s="505"/>
      <c r="Y6362" s="505"/>
    </row>
    <row r="6363" spans="1:25" s="88" customFormat="1" hidden="1" x14ac:dyDescent="0.25">
      <c r="A6363" s="258"/>
      <c r="B6363" s="258"/>
      <c r="C6363" s="261"/>
      <c r="D6363" s="258"/>
      <c r="E6363" s="679"/>
      <c r="F6363" s="500">
        <v>611</v>
      </c>
      <c r="G6363" s="498" t="s">
        <v>3850</v>
      </c>
      <c r="H6363" s="555"/>
      <c r="I6363" s="556"/>
      <c r="J6363" s="556">
        <f t="shared" si="209"/>
        <v>0</v>
      </c>
      <c r="K6363" s="505"/>
      <c r="L6363" s="505"/>
      <c r="M6363" s="505"/>
      <c r="N6363" s="505"/>
      <c r="O6363" s="505"/>
      <c r="P6363" s="505"/>
      <c r="Q6363" s="505"/>
      <c r="R6363" s="505"/>
      <c r="S6363" s="505"/>
      <c r="T6363" s="505"/>
      <c r="U6363" s="505"/>
      <c r="V6363" s="505"/>
      <c r="W6363" s="505"/>
      <c r="X6363" s="505"/>
      <c r="Y6363" s="505"/>
    </row>
    <row r="6364" spans="1:25" s="88" customFormat="1" ht="0.75" customHeight="1" thickBot="1" x14ac:dyDescent="0.3">
      <c r="A6364" s="258"/>
      <c r="B6364" s="258"/>
      <c r="C6364" s="261"/>
      <c r="D6364" s="258"/>
      <c r="E6364" s="679"/>
      <c r="F6364" s="500">
        <v>620</v>
      </c>
      <c r="G6364" s="498" t="s">
        <v>88</v>
      </c>
      <c r="H6364" s="555"/>
      <c r="I6364" s="556"/>
      <c r="J6364" s="556">
        <f t="shared" si="209"/>
        <v>0</v>
      </c>
      <c r="K6364" s="505"/>
      <c r="L6364" s="505"/>
      <c r="M6364" s="505"/>
      <c r="N6364" s="505"/>
      <c r="O6364" s="505"/>
      <c r="P6364" s="505"/>
      <c r="Q6364" s="505"/>
      <c r="R6364" s="505"/>
      <c r="S6364" s="505"/>
      <c r="T6364" s="505"/>
      <c r="U6364" s="505"/>
      <c r="V6364" s="505"/>
      <c r="W6364" s="505"/>
      <c r="X6364" s="505"/>
      <c r="Y6364" s="505"/>
    </row>
    <row r="6365" spans="1:25" s="88" customFormat="1" x14ac:dyDescent="0.25">
      <c r="A6365" s="258"/>
      <c r="B6365" s="258"/>
      <c r="C6365" s="261"/>
      <c r="D6365" s="258"/>
      <c r="E6365" s="489"/>
      <c r="F6365" s="500"/>
      <c r="G6365" s="343" t="s">
        <v>4356</v>
      </c>
      <c r="H6365" s="557"/>
      <c r="I6365" s="583"/>
      <c r="J6365" s="558"/>
      <c r="K6365" s="505"/>
      <c r="L6365" s="505"/>
      <c r="M6365" s="505"/>
      <c r="N6365" s="505"/>
      <c r="O6365" s="505"/>
      <c r="P6365" s="505"/>
      <c r="Q6365" s="505"/>
      <c r="R6365" s="505"/>
      <c r="S6365" s="505"/>
      <c r="T6365" s="505"/>
      <c r="U6365" s="505"/>
      <c r="V6365" s="505"/>
      <c r="W6365" s="505"/>
      <c r="X6365" s="505"/>
      <c r="Y6365" s="505"/>
    </row>
    <row r="6366" spans="1:25" s="88" customFormat="1" ht="15.75" thickBot="1" x14ac:dyDescent="0.3">
      <c r="A6366" s="258"/>
      <c r="B6366" s="258"/>
      <c r="C6366" s="261"/>
      <c r="D6366" s="258"/>
      <c r="E6366" s="693"/>
      <c r="F6366" s="597" t="s">
        <v>234</v>
      </c>
      <c r="G6366" s="598" t="s">
        <v>235</v>
      </c>
      <c r="H6366" s="559">
        <f>SUM(H6305:H6364)</f>
        <v>400000</v>
      </c>
      <c r="I6366" s="560"/>
      <c r="J6366" s="560">
        <f t="shared" ref="J6366:J6381" si="210">SUM(H6366:I6366)</f>
        <v>400000</v>
      </c>
      <c r="K6366" s="505"/>
      <c r="L6366" s="505"/>
      <c r="M6366" s="505"/>
      <c r="N6366" s="505"/>
      <c r="O6366" s="505"/>
      <c r="P6366" s="505"/>
      <c r="Q6366" s="505"/>
      <c r="R6366" s="505"/>
      <c r="S6366" s="505"/>
      <c r="T6366" s="505"/>
      <c r="U6366" s="505"/>
      <c r="V6366" s="505"/>
      <c r="W6366" s="505"/>
      <c r="X6366" s="505"/>
      <c r="Y6366" s="505"/>
    </row>
    <row r="6367" spans="1:25" s="88" customFormat="1" ht="15.75" hidden="1" thickBot="1" x14ac:dyDescent="0.3">
      <c r="A6367" s="258"/>
      <c r="B6367" s="258"/>
      <c r="C6367" s="261"/>
      <c r="D6367" s="258"/>
      <c r="E6367" s="679"/>
      <c r="F6367" s="597" t="s">
        <v>236</v>
      </c>
      <c r="G6367" s="598" t="s">
        <v>237</v>
      </c>
      <c r="H6367" s="555"/>
      <c r="I6367" s="556"/>
      <c r="J6367" s="560">
        <f t="shared" si="210"/>
        <v>0</v>
      </c>
      <c r="K6367" s="505"/>
      <c r="L6367" s="505"/>
      <c r="M6367" s="505"/>
      <c r="N6367" s="505"/>
      <c r="O6367" s="505"/>
      <c r="P6367" s="505"/>
      <c r="Q6367" s="505"/>
      <c r="R6367" s="505"/>
      <c r="S6367" s="505"/>
      <c r="T6367" s="505"/>
      <c r="U6367" s="505"/>
      <c r="V6367" s="505"/>
      <c r="W6367" s="505"/>
      <c r="X6367" s="505"/>
      <c r="Y6367" s="505"/>
    </row>
    <row r="6368" spans="1:25" s="88" customFormat="1" ht="15.75" hidden="1" thickBot="1" x14ac:dyDescent="0.3">
      <c r="A6368" s="258"/>
      <c r="B6368" s="258"/>
      <c r="C6368" s="261"/>
      <c r="D6368" s="258"/>
      <c r="E6368" s="679"/>
      <c r="F6368" s="597" t="s">
        <v>238</v>
      </c>
      <c r="G6368" s="598" t="s">
        <v>239</v>
      </c>
      <c r="H6368" s="555"/>
      <c r="I6368" s="556"/>
      <c r="J6368" s="560">
        <f t="shared" si="210"/>
        <v>0</v>
      </c>
      <c r="K6368" s="505"/>
      <c r="L6368" s="505"/>
      <c r="M6368" s="505"/>
      <c r="N6368" s="505"/>
      <c r="O6368" s="505"/>
      <c r="P6368" s="505"/>
      <c r="Q6368" s="505"/>
      <c r="R6368" s="505"/>
      <c r="S6368" s="505"/>
      <c r="T6368" s="505"/>
      <c r="U6368" s="505"/>
      <c r="V6368" s="505"/>
      <c r="W6368" s="505"/>
      <c r="X6368" s="505"/>
      <c r="Y6368" s="505"/>
    </row>
    <row r="6369" spans="1:25" s="88" customFormat="1" ht="15.75" hidden="1" thickBot="1" x14ac:dyDescent="0.3">
      <c r="A6369" s="258"/>
      <c r="B6369" s="258"/>
      <c r="C6369" s="261"/>
      <c r="D6369" s="258"/>
      <c r="E6369" s="679"/>
      <c r="F6369" s="597" t="s">
        <v>240</v>
      </c>
      <c r="G6369" s="598" t="s">
        <v>241</v>
      </c>
      <c r="H6369" s="555"/>
      <c r="I6369" s="556"/>
      <c r="J6369" s="560">
        <f t="shared" si="210"/>
        <v>0</v>
      </c>
      <c r="K6369" s="505"/>
      <c r="L6369" s="505"/>
      <c r="M6369" s="505"/>
      <c r="N6369" s="505"/>
      <c r="O6369" s="505"/>
      <c r="P6369" s="505"/>
      <c r="Q6369" s="505"/>
      <c r="R6369" s="505"/>
      <c r="S6369" s="505"/>
      <c r="T6369" s="505"/>
      <c r="U6369" s="505"/>
      <c r="V6369" s="505"/>
      <c r="W6369" s="505"/>
      <c r="X6369" s="505"/>
      <c r="Y6369" s="505"/>
    </row>
    <row r="6370" spans="1:25" s="88" customFormat="1" ht="15.75" hidden="1" thickBot="1" x14ac:dyDescent="0.3">
      <c r="A6370" s="258"/>
      <c r="B6370" s="258"/>
      <c r="C6370" s="261"/>
      <c r="D6370" s="258"/>
      <c r="E6370" s="679"/>
      <c r="F6370" s="597" t="s">
        <v>242</v>
      </c>
      <c r="G6370" s="598" t="s">
        <v>243</v>
      </c>
      <c r="H6370" s="555"/>
      <c r="I6370" s="556"/>
      <c r="J6370" s="560">
        <f t="shared" si="210"/>
        <v>0</v>
      </c>
      <c r="K6370" s="505"/>
      <c r="L6370" s="505"/>
      <c r="M6370" s="505"/>
      <c r="N6370" s="505"/>
      <c r="O6370" s="505"/>
      <c r="P6370" s="505"/>
      <c r="Q6370" s="505"/>
      <c r="R6370" s="505"/>
      <c r="S6370" s="505"/>
      <c r="T6370" s="505"/>
      <c r="U6370" s="505"/>
      <c r="V6370" s="505"/>
      <c r="W6370" s="505"/>
      <c r="X6370" s="505"/>
      <c r="Y6370" s="505"/>
    </row>
    <row r="6371" spans="1:25" s="88" customFormat="1" ht="15.75" hidden="1" thickBot="1" x14ac:dyDescent="0.3">
      <c r="A6371" s="258"/>
      <c r="B6371" s="258"/>
      <c r="C6371" s="261"/>
      <c r="D6371" s="258"/>
      <c r="E6371" s="679"/>
      <c r="F6371" s="597" t="s">
        <v>244</v>
      </c>
      <c r="G6371" s="598" t="s">
        <v>245</v>
      </c>
      <c r="H6371" s="555"/>
      <c r="I6371" s="556"/>
      <c r="J6371" s="560">
        <f t="shared" si="210"/>
        <v>0</v>
      </c>
      <c r="K6371" s="505"/>
      <c r="L6371" s="505"/>
      <c r="M6371" s="505"/>
      <c r="N6371" s="505"/>
      <c r="O6371" s="505"/>
      <c r="P6371" s="505"/>
      <c r="Q6371" s="505"/>
      <c r="R6371" s="505"/>
      <c r="S6371" s="505"/>
      <c r="T6371" s="505"/>
      <c r="U6371" s="505"/>
      <c r="V6371" s="505"/>
      <c r="W6371" s="505"/>
      <c r="X6371" s="505"/>
      <c r="Y6371" s="505"/>
    </row>
    <row r="6372" spans="1:25" s="88" customFormat="1" ht="15.75" hidden="1" thickBot="1" x14ac:dyDescent="0.3">
      <c r="A6372" s="258"/>
      <c r="B6372" s="258"/>
      <c r="C6372" s="261"/>
      <c r="D6372" s="258"/>
      <c r="E6372" s="679"/>
      <c r="F6372" s="597" t="s">
        <v>246</v>
      </c>
      <c r="G6372" s="598" t="s">
        <v>4996</v>
      </c>
      <c r="H6372" s="555"/>
      <c r="I6372" s="556"/>
      <c r="J6372" s="560">
        <f t="shared" si="210"/>
        <v>0</v>
      </c>
      <c r="K6372" s="505"/>
      <c r="L6372" s="505"/>
      <c r="M6372" s="505"/>
      <c r="N6372" s="505"/>
      <c r="O6372" s="505"/>
      <c r="P6372" s="505"/>
      <c r="Q6372" s="505"/>
      <c r="R6372" s="505"/>
      <c r="S6372" s="505"/>
      <c r="T6372" s="505"/>
      <c r="U6372" s="505"/>
      <c r="V6372" s="505"/>
      <c r="W6372" s="505"/>
      <c r="X6372" s="505"/>
      <c r="Y6372" s="505"/>
    </row>
    <row r="6373" spans="1:25" s="88" customFormat="1" ht="15.75" hidden="1" thickBot="1" x14ac:dyDescent="0.3">
      <c r="A6373" s="258"/>
      <c r="B6373" s="258"/>
      <c r="C6373" s="261"/>
      <c r="D6373" s="258"/>
      <c r="E6373" s="679"/>
      <c r="F6373" s="597" t="s">
        <v>247</v>
      </c>
      <c r="G6373" s="598" t="s">
        <v>4995</v>
      </c>
      <c r="H6373" s="555"/>
      <c r="I6373" s="556"/>
      <c r="J6373" s="560">
        <f t="shared" si="210"/>
        <v>0</v>
      </c>
      <c r="K6373" s="505"/>
      <c r="L6373" s="505"/>
      <c r="M6373" s="505"/>
      <c r="N6373" s="505"/>
      <c r="O6373" s="505"/>
      <c r="P6373" s="505"/>
      <c r="Q6373" s="505"/>
      <c r="R6373" s="505"/>
      <c r="S6373" s="505"/>
      <c r="T6373" s="505"/>
      <c r="U6373" s="505"/>
      <c r="V6373" s="505"/>
      <c r="W6373" s="505"/>
      <c r="X6373" s="505"/>
      <c r="Y6373" s="505"/>
    </row>
    <row r="6374" spans="1:25" s="88" customFormat="1" ht="15.75" hidden="1" thickBot="1" x14ac:dyDescent="0.3">
      <c r="A6374" s="258"/>
      <c r="B6374" s="258"/>
      <c r="C6374" s="261"/>
      <c r="D6374" s="258"/>
      <c r="E6374" s="679"/>
      <c r="F6374" s="597" t="s">
        <v>248</v>
      </c>
      <c r="G6374" s="598" t="s">
        <v>57</v>
      </c>
      <c r="H6374" s="555"/>
      <c r="I6374" s="556"/>
      <c r="J6374" s="560">
        <f t="shared" si="210"/>
        <v>0</v>
      </c>
      <c r="K6374" s="505"/>
      <c r="L6374" s="505"/>
      <c r="M6374" s="505"/>
      <c r="N6374" s="505"/>
      <c r="O6374" s="505"/>
      <c r="P6374" s="505"/>
      <c r="Q6374" s="505"/>
      <c r="R6374" s="505"/>
      <c r="S6374" s="505"/>
      <c r="T6374" s="505"/>
      <c r="U6374" s="505"/>
      <c r="V6374" s="505"/>
      <c r="W6374" s="505"/>
      <c r="X6374" s="505"/>
      <c r="Y6374" s="505"/>
    </row>
    <row r="6375" spans="1:25" s="88" customFormat="1" ht="15.75" hidden="1" thickBot="1" x14ac:dyDescent="0.3">
      <c r="A6375" s="258"/>
      <c r="B6375" s="258"/>
      <c r="C6375" s="261"/>
      <c r="D6375" s="258"/>
      <c r="E6375" s="679"/>
      <c r="F6375" s="597" t="s">
        <v>249</v>
      </c>
      <c r="G6375" s="598" t="s">
        <v>250</v>
      </c>
      <c r="H6375" s="555"/>
      <c r="I6375" s="556"/>
      <c r="J6375" s="560">
        <f t="shared" si="210"/>
        <v>0</v>
      </c>
      <c r="K6375" s="505"/>
      <c r="L6375" s="505"/>
      <c r="M6375" s="505"/>
      <c r="N6375" s="505"/>
      <c r="O6375" s="505"/>
      <c r="P6375" s="505"/>
      <c r="Q6375" s="505"/>
      <c r="R6375" s="505"/>
      <c r="S6375" s="505"/>
      <c r="T6375" s="505"/>
      <c r="U6375" s="505"/>
      <c r="V6375" s="505"/>
      <c r="W6375" s="505"/>
      <c r="X6375" s="505"/>
      <c r="Y6375" s="505"/>
    </row>
    <row r="6376" spans="1:25" s="88" customFormat="1" ht="15.75" hidden="1" thickBot="1" x14ac:dyDescent="0.3">
      <c r="A6376" s="258"/>
      <c r="B6376" s="258"/>
      <c r="C6376" s="261"/>
      <c r="D6376" s="258"/>
      <c r="E6376" s="679"/>
      <c r="F6376" s="597" t="s">
        <v>251</v>
      </c>
      <c r="G6376" s="598" t="s">
        <v>252</v>
      </c>
      <c r="H6376" s="555"/>
      <c r="I6376" s="556"/>
      <c r="J6376" s="560">
        <f t="shared" si="210"/>
        <v>0</v>
      </c>
      <c r="K6376" s="505"/>
      <c r="L6376" s="505"/>
      <c r="M6376" s="505"/>
      <c r="N6376" s="505"/>
      <c r="O6376" s="505"/>
      <c r="P6376" s="505"/>
      <c r="Q6376" s="505"/>
      <c r="R6376" s="505"/>
      <c r="S6376" s="505"/>
      <c r="T6376" s="505"/>
      <c r="U6376" s="505"/>
      <c r="V6376" s="505"/>
      <c r="W6376" s="505"/>
      <c r="X6376" s="505"/>
      <c r="Y6376" s="505"/>
    </row>
    <row r="6377" spans="1:25" s="88" customFormat="1" ht="30.75" hidden="1" thickBot="1" x14ac:dyDescent="0.3">
      <c r="A6377" s="258"/>
      <c r="B6377" s="258"/>
      <c r="C6377" s="261"/>
      <c r="D6377" s="258"/>
      <c r="E6377" s="679"/>
      <c r="F6377" s="597" t="s">
        <v>253</v>
      </c>
      <c r="G6377" s="598" t="s">
        <v>254</v>
      </c>
      <c r="H6377" s="555"/>
      <c r="I6377" s="556"/>
      <c r="J6377" s="560">
        <f t="shared" si="210"/>
        <v>0</v>
      </c>
      <c r="K6377" s="505"/>
      <c r="L6377" s="505"/>
      <c r="M6377" s="505"/>
      <c r="N6377" s="505"/>
      <c r="O6377" s="505"/>
      <c r="P6377" s="505"/>
      <c r="Q6377" s="505"/>
      <c r="R6377" s="505"/>
      <c r="S6377" s="505"/>
      <c r="T6377" s="505"/>
      <c r="U6377" s="505"/>
      <c r="V6377" s="505"/>
      <c r="W6377" s="505"/>
      <c r="X6377" s="505"/>
      <c r="Y6377" s="505"/>
    </row>
    <row r="6378" spans="1:25" s="88" customFormat="1" ht="15.75" hidden="1" thickBot="1" x14ac:dyDescent="0.3">
      <c r="A6378" s="258"/>
      <c r="B6378" s="258"/>
      <c r="C6378" s="261"/>
      <c r="D6378" s="258"/>
      <c r="E6378" s="679"/>
      <c r="F6378" s="597" t="s">
        <v>255</v>
      </c>
      <c r="G6378" s="598" t="s">
        <v>256</v>
      </c>
      <c r="H6378" s="555"/>
      <c r="I6378" s="556"/>
      <c r="J6378" s="560">
        <f t="shared" si="210"/>
        <v>0</v>
      </c>
      <c r="K6378" s="505"/>
      <c r="L6378" s="505"/>
      <c r="M6378" s="505"/>
      <c r="N6378" s="505"/>
      <c r="O6378" s="505"/>
      <c r="P6378" s="505"/>
      <c r="Q6378" s="505"/>
      <c r="R6378" s="505"/>
      <c r="S6378" s="505"/>
      <c r="T6378" s="505"/>
      <c r="U6378" s="505"/>
      <c r="V6378" s="505"/>
      <c r="W6378" s="505"/>
      <c r="X6378" s="505"/>
      <c r="Y6378" s="505"/>
    </row>
    <row r="6379" spans="1:25" s="88" customFormat="1" ht="30.75" hidden="1" thickBot="1" x14ac:dyDescent="0.3">
      <c r="A6379" s="258"/>
      <c r="B6379" s="258"/>
      <c r="C6379" s="261"/>
      <c r="D6379" s="258"/>
      <c r="E6379" s="679"/>
      <c r="F6379" s="597" t="s">
        <v>257</v>
      </c>
      <c r="G6379" s="598" t="s">
        <v>258</v>
      </c>
      <c r="H6379" s="555"/>
      <c r="I6379" s="556"/>
      <c r="J6379" s="560">
        <f t="shared" si="210"/>
        <v>0</v>
      </c>
      <c r="K6379" s="505"/>
      <c r="L6379" s="505"/>
      <c r="M6379" s="505"/>
      <c r="N6379" s="505"/>
      <c r="O6379" s="505"/>
      <c r="P6379" s="505"/>
      <c r="Q6379" s="505"/>
      <c r="R6379" s="505"/>
      <c r="S6379" s="505"/>
      <c r="T6379" s="505"/>
      <c r="U6379" s="505"/>
      <c r="V6379" s="505"/>
      <c r="W6379" s="505"/>
      <c r="X6379" s="505"/>
      <c r="Y6379" s="505"/>
    </row>
    <row r="6380" spans="1:25" s="88" customFormat="1" ht="15.75" hidden="1" thickBot="1" x14ac:dyDescent="0.3">
      <c r="A6380" s="258"/>
      <c r="B6380" s="258"/>
      <c r="C6380" s="261"/>
      <c r="D6380" s="258"/>
      <c r="E6380" s="679"/>
      <c r="F6380" s="597" t="s">
        <v>259</v>
      </c>
      <c r="G6380" s="598" t="s">
        <v>260</v>
      </c>
      <c r="H6380" s="555"/>
      <c r="I6380" s="556"/>
      <c r="J6380" s="560">
        <f t="shared" si="210"/>
        <v>0</v>
      </c>
      <c r="K6380" s="505"/>
      <c r="L6380" s="505"/>
      <c r="M6380" s="505"/>
      <c r="N6380" s="505"/>
      <c r="O6380" s="505"/>
      <c r="P6380" s="505"/>
      <c r="Q6380" s="505"/>
      <c r="R6380" s="505"/>
      <c r="S6380" s="505"/>
      <c r="T6380" s="505"/>
      <c r="U6380" s="505"/>
      <c r="V6380" s="505"/>
      <c r="W6380" s="505"/>
      <c r="X6380" s="505"/>
      <c r="Y6380" s="505"/>
    </row>
    <row r="6381" spans="1:25" s="88" customFormat="1" ht="15.75" hidden="1" thickBot="1" x14ac:dyDescent="0.3">
      <c r="A6381" s="258"/>
      <c r="B6381" s="258"/>
      <c r="C6381" s="261"/>
      <c r="D6381" s="258"/>
      <c r="E6381" s="679"/>
      <c r="F6381" s="597" t="s">
        <v>261</v>
      </c>
      <c r="G6381" s="598" t="s">
        <v>262</v>
      </c>
      <c r="H6381" s="559"/>
      <c r="I6381" s="560"/>
      <c r="J6381" s="560">
        <f t="shared" si="210"/>
        <v>0</v>
      </c>
      <c r="K6381" s="505"/>
      <c r="L6381" s="505"/>
      <c r="M6381" s="505"/>
      <c r="N6381" s="505"/>
      <c r="O6381" s="505"/>
      <c r="P6381" s="505"/>
      <c r="Q6381" s="505"/>
      <c r="R6381" s="505"/>
      <c r="S6381" s="505"/>
      <c r="T6381" s="505"/>
      <c r="U6381" s="505"/>
      <c r="V6381" s="505"/>
      <c r="W6381" s="505"/>
      <c r="X6381" s="505"/>
      <c r="Y6381" s="505"/>
    </row>
    <row r="6382" spans="1:25" s="88" customFormat="1" ht="18" customHeight="1" thickBot="1" x14ac:dyDescent="0.3">
      <c r="A6382" s="258"/>
      <c r="B6382" s="258"/>
      <c r="C6382" s="261"/>
      <c r="D6382" s="258"/>
      <c r="E6382" s="679"/>
      <c r="F6382" s="258"/>
      <c r="G6382" s="268" t="s">
        <v>4357</v>
      </c>
      <c r="H6382" s="561">
        <f>SUM(H6366:H6381)</f>
        <v>400000</v>
      </c>
      <c r="I6382" s="562">
        <f>SUM(I6367:I6381)</f>
        <v>0</v>
      </c>
      <c r="J6382" s="562">
        <f>SUM(J6366:J6381)</f>
        <v>400000</v>
      </c>
      <c r="K6382" s="505"/>
      <c r="L6382" s="505"/>
      <c r="M6382" s="505"/>
      <c r="N6382" s="505"/>
      <c r="O6382" s="505"/>
      <c r="P6382" s="505"/>
      <c r="Q6382" s="505"/>
      <c r="R6382" s="505"/>
      <c r="S6382" s="505"/>
      <c r="T6382" s="505"/>
      <c r="U6382" s="505"/>
      <c r="V6382" s="505"/>
      <c r="W6382" s="505"/>
      <c r="X6382" s="505"/>
      <c r="Y6382" s="505"/>
    </row>
    <row r="6383" spans="1:25" s="88" customFormat="1" ht="28.5" x14ac:dyDescent="0.25">
      <c r="A6383" s="258"/>
      <c r="B6383" s="258"/>
      <c r="C6383" s="261"/>
      <c r="D6383" s="258"/>
      <c r="E6383" s="489"/>
      <c r="F6383" s="500"/>
      <c r="G6383" s="270" t="s">
        <v>5326</v>
      </c>
      <c r="H6383" s="563"/>
      <c r="I6383" s="584"/>
      <c r="J6383" s="564"/>
      <c r="K6383" s="505"/>
      <c r="L6383" s="505"/>
      <c r="M6383" s="505"/>
      <c r="N6383" s="505"/>
      <c r="O6383" s="505"/>
      <c r="P6383" s="505"/>
      <c r="Q6383" s="505"/>
      <c r="R6383" s="505"/>
      <c r="S6383" s="505"/>
      <c r="T6383" s="505"/>
      <c r="U6383" s="505"/>
      <c r="V6383" s="505"/>
      <c r="W6383" s="505"/>
      <c r="X6383" s="505"/>
      <c r="Y6383" s="505"/>
    </row>
    <row r="6384" spans="1:25" s="88" customFormat="1" ht="15.75" thickBot="1" x14ac:dyDescent="0.3">
      <c r="A6384" s="258"/>
      <c r="B6384" s="258"/>
      <c r="C6384" s="261"/>
      <c r="D6384" s="258"/>
      <c r="E6384" s="693"/>
      <c r="F6384" s="597" t="s">
        <v>234</v>
      </c>
      <c r="G6384" s="598" t="s">
        <v>235</v>
      </c>
      <c r="H6384" s="559">
        <f>SUM(H6305:H6364)</f>
        <v>400000</v>
      </c>
      <c r="I6384" s="560"/>
      <c r="J6384" s="560">
        <f>SUM(H6384:I6384)</f>
        <v>400000</v>
      </c>
      <c r="K6384" s="505"/>
      <c r="L6384" s="505"/>
      <c r="M6384" s="505"/>
      <c r="N6384" s="505"/>
      <c r="O6384" s="505"/>
      <c r="P6384" s="505"/>
      <c r="Q6384" s="505"/>
      <c r="R6384" s="505"/>
      <c r="S6384" s="505"/>
      <c r="T6384" s="505"/>
      <c r="U6384" s="505"/>
      <c r="V6384" s="505"/>
      <c r="W6384" s="505"/>
      <c r="X6384" s="505"/>
      <c r="Y6384" s="505"/>
    </row>
    <row r="6385" spans="1:25" s="88" customFormat="1" ht="15.75" hidden="1" thickBot="1" x14ac:dyDescent="0.3">
      <c r="A6385" s="258"/>
      <c r="B6385" s="258"/>
      <c r="C6385" s="261"/>
      <c r="D6385" s="258"/>
      <c r="E6385" s="679"/>
      <c r="F6385" s="597" t="s">
        <v>236</v>
      </c>
      <c r="G6385" s="598" t="s">
        <v>237</v>
      </c>
      <c r="H6385" s="555"/>
      <c r="I6385" s="556"/>
      <c r="J6385" s="560">
        <f t="shared" ref="J6385:J6399" si="211">SUM(H6385:I6385)</f>
        <v>0</v>
      </c>
      <c r="K6385" s="505"/>
      <c r="L6385" s="505"/>
      <c r="M6385" s="505"/>
      <c r="N6385" s="505"/>
      <c r="O6385" s="505"/>
      <c r="P6385" s="505"/>
      <c r="Q6385" s="505"/>
      <c r="R6385" s="505"/>
      <c r="S6385" s="505"/>
      <c r="T6385" s="505"/>
      <c r="U6385" s="505"/>
      <c r="V6385" s="505"/>
      <c r="W6385" s="505"/>
      <c r="X6385" s="505"/>
      <c r="Y6385" s="505"/>
    </row>
    <row r="6386" spans="1:25" s="88" customFormat="1" ht="15.75" hidden="1" thickBot="1" x14ac:dyDescent="0.3">
      <c r="A6386" s="258"/>
      <c r="B6386" s="258"/>
      <c r="C6386" s="261"/>
      <c r="D6386" s="258"/>
      <c r="E6386" s="679"/>
      <c r="F6386" s="597" t="s">
        <v>238</v>
      </c>
      <c r="G6386" s="598" t="s">
        <v>239</v>
      </c>
      <c r="H6386" s="555"/>
      <c r="I6386" s="556"/>
      <c r="J6386" s="560">
        <f t="shared" si="211"/>
        <v>0</v>
      </c>
      <c r="K6386" s="505"/>
      <c r="L6386" s="505"/>
      <c r="M6386" s="505"/>
      <c r="N6386" s="505"/>
      <c r="O6386" s="505"/>
      <c r="P6386" s="505"/>
      <c r="Q6386" s="505"/>
      <c r="R6386" s="505"/>
      <c r="S6386" s="505"/>
      <c r="T6386" s="505"/>
      <c r="U6386" s="505"/>
      <c r="V6386" s="505"/>
      <c r="W6386" s="505"/>
      <c r="X6386" s="505"/>
      <c r="Y6386" s="505"/>
    </row>
    <row r="6387" spans="1:25" s="88" customFormat="1" ht="15.75" hidden="1" thickBot="1" x14ac:dyDescent="0.3">
      <c r="A6387" s="258"/>
      <c r="B6387" s="258"/>
      <c r="C6387" s="261"/>
      <c r="D6387" s="258"/>
      <c r="E6387" s="679"/>
      <c r="F6387" s="597" t="s">
        <v>240</v>
      </c>
      <c r="G6387" s="598" t="s">
        <v>241</v>
      </c>
      <c r="H6387" s="555"/>
      <c r="I6387" s="556"/>
      <c r="J6387" s="560">
        <f t="shared" si="211"/>
        <v>0</v>
      </c>
      <c r="K6387" s="505"/>
      <c r="L6387" s="505"/>
      <c r="M6387" s="505"/>
      <c r="N6387" s="505"/>
      <c r="O6387" s="505"/>
      <c r="P6387" s="505"/>
      <c r="Q6387" s="505"/>
      <c r="R6387" s="505"/>
      <c r="S6387" s="505"/>
      <c r="T6387" s="505"/>
      <c r="U6387" s="505"/>
      <c r="V6387" s="505"/>
      <c r="W6387" s="505"/>
      <c r="X6387" s="505"/>
      <c r="Y6387" s="505"/>
    </row>
    <row r="6388" spans="1:25" s="88" customFormat="1" ht="15.75" hidden="1" thickBot="1" x14ac:dyDescent="0.3">
      <c r="A6388" s="258"/>
      <c r="B6388" s="258"/>
      <c r="C6388" s="261"/>
      <c r="D6388" s="258"/>
      <c r="E6388" s="679"/>
      <c r="F6388" s="597" t="s">
        <v>242</v>
      </c>
      <c r="G6388" s="598" t="s">
        <v>243</v>
      </c>
      <c r="H6388" s="555"/>
      <c r="I6388" s="556"/>
      <c r="J6388" s="560">
        <f t="shared" si="211"/>
        <v>0</v>
      </c>
      <c r="K6388" s="505"/>
      <c r="L6388" s="505"/>
      <c r="M6388" s="505"/>
      <c r="N6388" s="505"/>
      <c r="O6388" s="505"/>
      <c r="P6388" s="505"/>
      <c r="Q6388" s="505"/>
      <c r="R6388" s="505"/>
      <c r="S6388" s="505"/>
      <c r="T6388" s="505"/>
      <c r="U6388" s="505"/>
      <c r="V6388" s="505"/>
      <c r="W6388" s="505"/>
      <c r="X6388" s="505"/>
      <c r="Y6388" s="505"/>
    </row>
    <row r="6389" spans="1:25" s="88" customFormat="1" ht="15.75" hidden="1" thickBot="1" x14ac:dyDescent="0.3">
      <c r="A6389" s="258"/>
      <c r="B6389" s="258"/>
      <c r="C6389" s="261"/>
      <c r="D6389" s="258"/>
      <c r="E6389" s="679"/>
      <c r="F6389" s="597" t="s">
        <v>244</v>
      </c>
      <c r="G6389" s="598" t="s">
        <v>245</v>
      </c>
      <c r="H6389" s="555"/>
      <c r="I6389" s="556"/>
      <c r="J6389" s="560">
        <f t="shared" si="211"/>
        <v>0</v>
      </c>
      <c r="K6389" s="505"/>
      <c r="L6389" s="505"/>
      <c r="M6389" s="505"/>
      <c r="N6389" s="505"/>
      <c r="O6389" s="505"/>
      <c r="P6389" s="505"/>
      <c r="Q6389" s="505"/>
      <c r="R6389" s="505"/>
      <c r="S6389" s="505"/>
      <c r="T6389" s="505"/>
      <c r="U6389" s="505"/>
      <c r="V6389" s="505"/>
      <c r="W6389" s="505"/>
      <c r="X6389" s="505"/>
      <c r="Y6389" s="505"/>
    </row>
    <row r="6390" spans="1:25" s="88" customFormat="1" ht="15.75" hidden="1" thickBot="1" x14ac:dyDescent="0.3">
      <c r="A6390" s="258"/>
      <c r="B6390" s="258"/>
      <c r="C6390" s="261"/>
      <c r="D6390" s="258"/>
      <c r="E6390" s="679"/>
      <c r="F6390" s="597" t="s">
        <v>246</v>
      </c>
      <c r="G6390" s="598" t="s">
        <v>4996</v>
      </c>
      <c r="H6390" s="555"/>
      <c r="I6390" s="556"/>
      <c r="J6390" s="560">
        <f t="shared" si="211"/>
        <v>0</v>
      </c>
      <c r="K6390" s="505"/>
      <c r="L6390" s="505"/>
      <c r="M6390" s="505"/>
      <c r="N6390" s="505"/>
      <c r="O6390" s="505"/>
      <c r="P6390" s="505"/>
      <c r="Q6390" s="505"/>
      <c r="R6390" s="505"/>
      <c r="S6390" s="505"/>
      <c r="T6390" s="505"/>
      <c r="U6390" s="505"/>
      <c r="V6390" s="505"/>
      <c r="W6390" s="505"/>
      <c r="X6390" s="505"/>
      <c r="Y6390" s="505"/>
    </row>
    <row r="6391" spans="1:25" s="88" customFormat="1" ht="15.75" hidden="1" thickBot="1" x14ac:dyDescent="0.3">
      <c r="A6391" s="258"/>
      <c r="B6391" s="258"/>
      <c r="C6391" s="261"/>
      <c r="D6391" s="258"/>
      <c r="E6391" s="679"/>
      <c r="F6391" s="597" t="s">
        <v>247</v>
      </c>
      <c r="G6391" s="598" t="s">
        <v>4995</v>
      </c>
      <c r="H6391" s="555"/>
      <c r="I6391" s="556"/>
      <c r="J6391" s="560">
        <f t="shared" si="211"/>
        <v>0</v>
      </c>
      <c r="K6391" s="505"/>
      <c r="L6391" s="505"/>
      <c r="M6391" s="505"/>
      <c r="N6391" s="505"/>
      <c r="O6391" s="505"/>
      <c r="P6391" s="505"/>
      <c r="Q6391" s="505"/>
      <c r="R6391" s="505"/>
      <c r="S6391" s="505"/>
      <c r="T6391" s="505"/>
      <c r="U6391" s="505"/>
      <c r="V6391" s="505"/>
      <c r="W6391" s="505"/>
      <c r="X6391" s="505"/>
      <c r="Y6391" s="505"/>
    </row>
    <row r="6392" spans="1:25" s="88" customFormat="1" ht="15.75" hidden="1" thickBot="1" x14ac:dyDescent="0.3">
      <c r="A6392" s="258"/>
      <c r="B6392" s="258"/>
      <c r="C6392" s="261"/>
      <c r="D6392" s="258"/>
      <c r="E6392" s="679"/>
      <c r="F6392" s="597" t="s">
        <v>248</v>
      </c>
      <c r="G6392" s="598" t="s">
        <v>57</v>
      </c>
      <c r="H6392" s="555"/>
      <c r="I6392" s="556"/>
      <c r="J6392" s="560">
        <f t="shared" si="211"/>
        <v>0</v>
      </c>
      <c r="K6392" s="505"/>
      <c r="L6392" s="505"/>
      <c r="M6392" s="505"/>
      <c r="N6392" s="505"/>
      <c r="O6392" s="505"/>
      <c r="P6392" s="505"/>
      <c r="Q6392" s="505"/>
      <c r="R6392" s="505"/>
      <c r="S6392" s="505"/>
      <c r="T6392" s="505"/>
      <c r="U6392" s="505"/>
      <c r="V6392" s="505"/>
      <c r="W6392" s="505"/>
      <c r="X6392" s="505"/>
      <c r="Y6392" s="505"/>
    </row>
    <row r="6393" spans="1:25" s="88" customFormat="1" ht="15.75" hidden="1" thickBot="1" x14ac:dyDescent="0.3">
      <c r="A6393" s="258"/>
      <c r="B6393" s="258"/>
      <c r="C6393" s="261"/>
      <c r="D6393" s="258"/>
      <c r="E6393" s="679"/>
      <c r="F6393" s="597" t="s">
        <v>249</v>
      </c>
      <c r="G6393" s="598" t="s">
        <v>250</v>
      </c>
      <c r="H6393" s="555"/>
      <c r="I6393" s="556"/>
      <c r="J6393" s="560">
        <f t="shared" si="211"/>
        <v>0</v>
      </c>
      <c r="K6393" s="505"/>
      <c r="L6393" s="505"/>
      <c r="M6393" s="505"/>
      <c r="N6393" s="505"/>
      <c r="O6393" s="505"/>
      <c r="P6393" s="505"/>
      <c r="Q6393" s="505"/>
      <c r="R6393" s="505"/>
      <c r="S6393" s="505"/>
      <c r="T6393" s="505"/>
      <c r="U6393" s="505"/>
      <c r="V6393" s="505"/>
      <c r="W6393" s="505"/>
      <c r="X6393" s="505"/>
      <c r="Y6393" s="505"/>
    </row>
    <row r="6394" spans="1:25" s="88" customFormat="1" ht="15.75" hidden="1" thickBot="1" x14ac:dyDescent="0.3">
      <c r="A6394" s="258"/>
      <c r="B6394" s="258"/>
      <c r="C6394" s="261"/>
      <c r="D6394" s="258"/>
      <c r="E6394" s="679"/>
      <c r="F6394" s="597" t="s">
        <v>251</v>
      </c>
      <c r="G6394" s="598" t="s">
        <v>252</v>
      </c>
      <c r="H6394" s="555"/>
      <c r="I6394" s="556"/>
      <c r="J6394" s="560">
        <f t="shared" si="211"/>
        <v>0</v>
      </c>
      <c r="K6394" s="505"/>
      <c r="L6394" s="505"/>
      <c r="M6394" s="505"/>
      <c r="N6394" s="505"/>
      <c r="O6394" s="505"/>
      <c r="P6394" s="505"/>
      <c r="Q6394" s="505"/>
      <c r="R6394" s="505"/>
      <c r="S6394" s="505"/>
      <c r="T6394" s="505"/>
      <c r="U6394" s="505"/>
      <c r="V6394" s="505"/>
      <c r="W6394" s="505"/>
      <c r="X6394" s="505"/>
      <c r="Y6394" s="505"/>
    </row>
    <row r="6395" spans="1:25" s="88" customFormat="1" ht="30.75" hidden="1" thickBot="1" x14ac:dyDescent="0.3">
      <c r="A6395" s="258"/>
      <c r="B6395" s="258"/>
      <c r="C6395" s="261"/>
      <c r="D6395" s="258"/>
      <c r="E6395" s="679"/>
      <c r="F6395" s="597" t="s">
        <v>253</v>
      </c>
      <c r="G6395" s="598" t="s">
        <v>254</v>
      </c>
      <c r="H6395" s="555"/>
      <c r="I6395" s="556"/>
      <c r="J6395" s="560">
        <f t="shared" si="211"/>
        <v>0</v>
      </c>
      <c r="K6395" s="505"/>
      <c r="L6395" s="505"/>
      <c r="M6395" s="505"/>
      <c r="N6395" s="505"/>
      <c r="O6395" s="505"/>
      <c r="P6395" s="505"/>
      <c r="Q6395" s="505"/>
      <c r="R6395" s="505"/>
      <c r="S6395" s="505"/>
      <c r="T6395" s="505"/>
      <c r="U6395" s="505"/>
      <c r="V6395" s="505"/>
      <c r="W6395" s="505"/>
      <c r="X6395" s="505"/>
      <c r="Y6395" s="505"/>
    </row>
    <row r="6396" spans="1:25" s="88" customFormat="1" ht="15.75" hidden="1" thickBot="1" x14ac:dyDescent="0.3">
      <c r="A6396" s="258"/>
      <c r="B6396" s="258"/>
      <c r="C6396" s="261"/>
      <c r="D6396" s="258"/>
      <c r="E6396" s="679"/>
      <c r="F6396" s="597" t="s">
        <v>255</v>
      </c>
      <c r="G6396" s="598" t="s">
        <v>256</v>
      </c>
      <c r="H6396" s="555"/>
      <c r="I6396" s="556"/>
      <c r="J6396" s="560">
        <f t="shared" si="211"/>
        <v>0</v>
      </c>
      <c r="K6396" s="505"/>
      <c r="L6396" s="505"/>
      <c r="M6396" s="505"/>
      <c r="N6396" s="505"/>
      <c r="O6396" s="505"/>
      <c r="P6396" s="505"/>
      <c r="Q6396" s="505"/>
      <c r="R6396" s="505"/>
      <c r="S6396" s="505"/>
      <c r="T6396" s="505"/>
      <c r="U6396" s="505"/>
      <c r="V6396" s="505"/>
      <c r="W6396" s="505"/>
      <c r="X6396" s="505"/>
      <c r="Y6396" s="505"/>
    </row>
    <row r="6397" spans="1:25" s="88" customFormat="1" ht="30.75" hidden="1" thickBot="1" x14ac:dyDescent="0.3">
      <c r="A6397" s="258"/>
      <c r="B6397" s="258"/>
      <c r="C6397" s="261"/>
      <c r="D6397" s="258"/>
      <c r="E6397" s="679"/>
      <c r="F6397" s="597" t="s">
        <v>257</v>
      </c>
      <c r="G6397" s="598" t="s">
        <v>258</v>
      </c>
      <c r="H6397" s="555"/>
      <c r="I6397" s="556"/>
      <c r="J6397" s="560">
        <f t="shared" si="211"/>
        <v>0</v>
      </c>
      <c r="K6397" s="505"/>
      <c r="L6397" s="505"/>
      <c r="M6397" s="505"/>
      <c r="N6397" s="505"/>
      <c r="O6397" s="505"/>
      <c r="P6397" s="505"/>
      <c r="Q6397" s="505"/>
      <c r="R6397" s="505"/>
      <c r="S6397" s="505"/>
      <c r="T6397" s="505"/>
      <c r="U6397" s="505"/>
      <c r="V6397" s="505"/>
      <c r="W6397" s="505"/>
      <c r="X6397" s="505"/>
      <c r="Y6397" s="505"/>
    </row>
    <row r="6398" spans="1:25" s="88" customFormat="1" ht="15.75" hidden="1" thickBot="1" x14ac:dyDescent="0.3">
      <c r="A6398" s="258"/>
      <c r="B6398" s="258"/>
      <c r="C6398" s="261"/>
      <c r="D6398" s="258"/>
      <c r="E6398" s="679"/>
      <c r="F6398" s="597" t="s">
        <v>259</v>
      </c>
      <c r="G6398" s="598" t="s">
        <v>260</v>
      </c>
      <c r="H6398" s="555"/>
      <c r="I6398" s="556"/>
      <c r="J6398" s="560">
        <f t="shared" si="211"/>
        <v>0</v>
      </c>
      <c r="K6398" s="505"/>
      <c r="L6398" s="505"/>
      <c r="M6398" s="505"/>
      <c r="N6398" s="505"/>
      <c r="O6398" s="505"/>
      <c r="P6398" s="505"/>
      <c r="Q6398" s="505"/>
      <c r="R6398" s="505"/>
      <c r="S6398" s="505"/>
      <c r="T6398" s="505"/>
      <c r="U6398" s="505"/>
      <c r="V6398" s="505"/>
      <c r="W6398" s="505"/>
      <c r="X6398" s="505"/>
      <c r="Y6398" s="505"/>
    </row>
    <row r="6399" spans="1:25" s="88" customFormat="1" ht="15.75" hidden="1" thickBot="1" x14ac:dyDescent="0.3">
      <c r="A6399" s="258"/>
      <c r="B6399" s="258"/>
      <c r="C6399" s="261"/>
      <c r="D6399" s="258"/>
      <c r="E6399" s="679"/>
      <c r="F6399" s="597" t="s">
        <v>261</v>
      </c>
      <c r="G6399" s="598" t="s">
        <v>262</v>
      </c>
      <c r="H6399" s="559"/>
      <c r="I6399" s="560"/>
      <c r="J6399" s="560">
        <f t="shared" si="211"/>
        <v>0</v>
      </c>
      <c r="K6399" s="505"/>
      <c r="L6399" s="505"/>
      <c r="M6399" s="505"/>
      <c r="N6399" s="505"/>
      <c r="O6399" s="505"/>
      <c r="P6399" s="505"/>
      <c r="Q6399" s="505"/>
      <c r="R6399" s="505"/>
      <c r="S6399" s="505"/>
      <c r="T6399" s="505"/>
      <c r="U6399" s="505"/>
      <c r="V6399" s="505"/>
      <c r="W6399" s="505"/>
      <c r="X6399" s="505"/>
      <c r="Y6399" s="505"/>
    </row>
    <row r="6400" spans="1:25" s="88" customFormat="1" ht="18" customHeight="1" thickBot="1" x14ac:dyDescent="0.3">
      <c r="A6400" s="258"/>
      <c r="B6400" s="258"/>
      <c r="C6400" s="261"/>
      <c r="D6400" s="258"/>
      <c r="E6400" s="679"/>
      <c r="F6400" s="258"/>
      <c r="G6400" s="268" t="s">
        <v>5410</v>
      </c>
      <c r="H6400" s="561">
        <f>SUM(H6384:H6399)</f>
        <v>400000</v>
      </c>
      <c r="I6400" s="562">
        <f>SUM(I6385:I6399)</f>
        <v>0</v>
      </c>
      <c r="J6400" s="562">
        <f>SUM(J6384:J6399)</f>
        <v>400000</v>
      </c>
      <c r="K6400" s="505"/>
      <c r="L6400" s="505"/>
      <c r="M6400" s="505"/>
      <c r="N6400" s="505"/>
      <c r="O6400" s="505"/>
      <c r="P6400" s="505"/>
      <c r="Q6400" s="505"/>
      <c r="R6400" s="505"/>
      <c r="S6400" s="505"/>
      <c r="T6400" s="505"/>
      <c r="U6400" s="505"/>
      <c r="V6400" s="505"/>
      <c r="W6400" s="505"/>
      <c r="X6400" s="505"/>
      <c r="Y6400" s="505"/>
    </row>
    <row r="6401" spans="1:25" s="88" customFormat="1" x14ac:dyDescent="0.25">
      <c r="A6401" s="258"/>
      <c r="B6401" s="288"/>
      <c r="C6401" s="302" t="s">
        <v>4744</v>
      </c>
      <c r="D6401" s="259"/>
      <c r="E6401" s="702"/>
      <c r="F6401" s="303"/>
      <c r="G6401" s="304" t="s">
        <v>5411</v>
      </c>
      <c r="H6401" s="588"/>
      <c r="I6401" s="571"/>
      <c r="J6401" s="589"/>
      <c r="K6401" s="505"/>
      <c r="L6401" s="505"/>
      <c r="M6401" s="505"/>
      <c r="N6401" s="505"/>
      <c r="O6401" s="505"/>
      <c r="P6401" s="505"/>
      <c r="Q6401" s="505"/>
      <c r="R6401" s="505"/>
      <c r="S6401" s="505"/>
      <c r="T6401" s="505"/>
      <c r="U6401" s="505"/>
      <c r="V6401" s="505"/>
      <c r="W6401" s="505"/>
      <c r="X6401" s="505"/>
      <c r="Y6401" s="505"/>
    </row>
    <row r="6402" spans="1:25" s="88" customFormat="1" ht="17.25" customHeight="1" x14ac:dyDescent="0.25">
      <c r="A6402" s="258"/>
      <c r="B6402" s="288"/>
      <c r="C6402" s="294"/>
      <c r="D6402" s="348" t="s">
        <v>4003</v>
      </c>
      <c r="E6402" s="871"/>
      <c r="F6402" s="345"/>
      <c r="G6402" s="346" t="s">
        <v>138</v>
      </c>
      <c r="H6402" s="555"/>
      <c r="I6402" s="556"/>
      <c r="J6402" s="556"/>
      <c r="K6402" s="505"/>
      <c r="L6402" s="505"/>
      <c r="M6402" s="505"/>
      <c r="N6402" s="505"/>
      <c r="O6402" s="505"/>
      <c r="P6402" s="505"/>
      <c r="Q6402" s="505"/>
      <c r="R6402" s="505"/>
      <c r="S6402" s="505"/>
      <c r="T6402" s="505"/>
      <c r="U6402" s="505"/>
      <c r="V6402" s="505"/>
      <c r="W6402" s="505"/>
      <c r="X6402" s="505"/>
      <c r="Y6402" s="505"/>
    </row>
    <row r="6403" spans="1:25" s="88" customFormat="1" hidden="1" x14ac:dyDescent="0.25">
      <c r="A6403" s="258"/>
      <c r="B6403" s="258"/>
      <c r="C6403" s="261"/>
      <c r="D6403" s="258"/>
      <c r="E6403" s="679"/>
      <c r="F6403" s="499">
        <v>411</v>
      </c>
      <c r="G6403" s="492" t="s">
        <v>4131</v>
      </c>
      <c r="H6403" s="555"/>
      <c r="I6403" s="556"/>
      <c r="J6403" s="556">
        <f>SUM(H6403:I6403)</f>
        <v>0</v>
      </c>
      <c r="K6403" s="505"/>
      <c r="L6403" s="505"/>
      <c r="M6403" s="505"/>
      <c r="N6403" s="505"/>
      <c r="O6403" s="505"/>
      <c r="P6403" s="505"/>
      <c r="Q6403" s="505"/>
      <c r="R6403" s="505"/>
      <c r="S6403" s="505"/>
      <c r="T6403" s="505"/>
      <c r="U6403" s="505"/>
      <c r="V6403" s="505"/>
      <c r="W6403" s="505"/>
      <c r="X6403" s="505"/>
      <c r="Y6403" s="505"/>
    </row>
    <row r="6404" spans="1:25" s="88" customFormat="1" hidden="1" x14ac:dyDescent="0.25">
      <c r="A6404" s="258"/>
      <c r="B6404" s="258"/>
      <c r="C6404" s="261"/>
      <c r="D6404" s="258"/>
      <c r="E6404" s="679"/>
      <c r="F6404" s="499">
        <v>412</v>
      </c>
      <c r="G6404" s="488" t="s">
        <v>3766</v>
      </c>
      <c r="H6404" s="555"/>
      <c r="I6404" s="556"/>
      <c r="J6404" s="556">
        <f t="shared" ref="J6404:J6462" si="212">SUM(H6404:I6404)</f>
        <v>0</v>
      </c>
      <c r="K6404" s="505"/>
      <c r="L6404" s="505"/>
      <c r="M6404" s="505"/>
      <c r="N6404" s="505"/>
      <c r="O6404" s="505"/>
      <c r="P6404" s="505"/>
      <c r="Q6404" s="505"/>
      <c r="R6404" s="505"/>
      <c r="S6404" s="505"/>
      <c r="T6404" s="505"/>
      <c r="U6404" s="505"/>
      <c r="V6404" s="505"/>
      <c r="W6404" s="505"/>
      <c r="X6404" s="505"/>
      <c r="Y6404" s="505"/>
    </row>
    <row r="6405" spans="1:25" s="88" customFormat="1" hidden="1" x14ac:dyDescent="0.25">
      <c r="A6405" s="258"/>
      <c r="B6405" s="258"/>
      <c r="C6405" s="261"/>
      <c r="D6405" s="258"/>
      <c r="E6405" s="679"/>
      <c r="F6405" s="499">
        <v>413</v>
      </c>
      <c r="G6405" s="492" t="s">
        <v>4132</v>
      </c>
      <c r="H6405" s="555"/>
      <c r="I6405" s="556"/>
      <c r="J6405" s="556">
        <f t="shared" si="212"/>
        <v>0</v>
      </c>
      <c r="K6405" s="505"/>
      <c r="L6405" s="505"/>
      <c r="M6405" s="505"/>
      <c r="N6405" s="505"/>
      <c r="O6405" s="505"/>
      <c r="P6405" s="505"/>
      <c r="Q6405" s="505"/>
      <c r="R6405" s="505"/>
      <c r="S6405" s="505"/>
      <c r="T6405" s="505"/>
      <c r="U6405" s="505"/>
      <c r="V6405" s="505"/>
      <c r="W6405" s="505"/>
      <c r="X6405" s="505"/>
      <c r="Y6405" s="505"/>
    </row>
    <row r="6406" spans="1:25" s="88" customFormat="1" hidden="1" x14ac:dyDescent="0.25">
      <c r="A6406" s="258"/>
      <c r="B6406" s="258"/>
      <c r="C6406" s="261"/>
      <c r="D6406" s="258"/>
      <c r="E6406" s="679"/>
      <c r="F6406" s="499">
        <v>414</v>
      </c>
      <c r="G6406" s="492" t="s">
        <v>3769</v>
      </c>
      <c r="H6406" s="555"/>
      <c r="I6406" s="556"/>
      <c r="J6406" s="556">
        <f t="shared" si="212"/>
        <v>0</v>
      </c>
      <c r="K6406" s="505"/>
      <c r="L6406" s="505"/>
      <c r="M6406" s="505"/>
      <c r="N6406" s="505"/>
      <c r="O6406" s="505"/>
      <c r="P6406" s="505"/>
      <c r="Q6406" s="505"/>
      <c r="R6406" s="505"/>
      <c r="S6406" s="505"/>
      <c r="T6406" s="505"/>
      <c r="U6406" s="505"/>
      <c r="V6406" s="505"/>
      <c r="W6406" s="505"/>
      <c r="X6406" s="505"/>
      <c r="Y6406" s="505"/>
    </row>
    <row r="6407" spans="1:25" s="88" customFormat="1" hidden="1" x14ac:dyDescent="0.25">
      <c r="A6407" s="258"/>
      <c r="B6407" s="258"/>
      <c r="C6407" s="261"/>
      <c r="D6407" s="258"/>
      <c r="E6407" s="679"/>
      <c r="F6407" s="499">
        <v>415</v>
      </c>
      <c r="G6407" s="492" t="s">
        <v>4141</v>
      </c>
      <c r="H6407" s="555"/>
      <c r="I6407" s="556"/>
      <c r="J6407" s="556">
        <f t="shared" si="212"/>
        <v>0</v>
      </c>
      <c r="K6407" s="505"/>
      <c r="L6407" s="505"/>
      <c r="M6407" s="505"/>
      <c r="N6407" s="505"/>
      <c r="O6407" s="505"/>
      <c r="P6407" s="505"/>
      <c r="Q6407" s="505"/>
      <c r="R6407" s="505"/>
      <c r="S6407" s="505"/>
      <c r="T6407" s="505"/>
      <c r="U6407" s="505"/>
      <c r="V6407" s="505"/>
      <c r="W6407" s="505"/>
      <c r="X6407" s="505"/>
      <c r="Y6407" s="505"/>
    </row>
    <row r="6408" spans="1:25" s="88" customFormat="1" hidden="1" x14ac:dyDescent="0.25">
      <c r="A6408" s="258"/>
      <c r="B6408" s="258"/>
      <c r="C6408" s="261"/>
      <c r="D6408" s="258"/>
      <c r="E6408" s="679"/>
      <c r="F6408" s="499">
        <v>416</v>
      </c>
      <c r="G6408" s="492" t="s">
        <v>4142</v>
      </c>
      <c r="H6408" s="555"/>
      <c r="I6408" s="556"/>
      <c r="J6408" s="556">
        <f t="shared" si="212"/>
        <v>0</v>
      </c>
      <c r="K6408" s="505"/>
      <c r="L6408" s="505"/>
      <c r="M6408" s="505"/>
      <c r="N6408" s="505"/>
      <c r="O6408" s="505"/>
      <c r="P6408" s="505"/>
      <c r="Q6408" s="505"/>
      <c r="R6408" s="505"/>
      <c r="S6408" s="505"/>
      <c r="T6408" s="505"/>
      <c r="U6408" s="505"/>
      <c r="V6408" s="505"/>
      <c r="W6408" s="505"/>
      <c r="X6408" s="505"/>
      <c r="Y6408" s="505"/>
    </row>
    <row r="6409" spans="1:25" s="88" customFormat="1" hidden="1" x14ac:dyDescent="0.25">
      <c r="A6409" s="258"/>
      <c r="B6409" s="258"/>
      <c r="C6409" s="261"/>
      <c r="D6409" s="258"/>
      <c r="E6409" s="679"/>
      <c r="F6409" s="499">
        <v>417</v>
      </c>
      <c r="G6409" s="492" t="s">
        <v>4143</v>
      </c>
      <c r="H6409" s="555"/>
      <c r="I6409" s="556"/>
      <c r="J6409" s="556">
        <f t="shared" si="212"/>
        <v>0</v>
      </c>
      <c r="K6409" s="505"/>
      <c r="L6409" s="505"/>
      <c r="M6409" s="505"/>
      <c r="N6409" s="505"/>
      <c r="O6409" s="505"/>
      <c r="P6409" s="505"/>
      <c r="Q6409" s="505"/>
      <c r="R6409" s="505"/>
      <c r="S6409" s="505"/>
      <c r="T6409" s="505"/>
      <c r="U6409" s="505"/>
      <c r="V6409" s="505"/>
      <c r="W6409" s="505"/>
      <c r="X6409" s="505"/>
      <c r="Y6409" s="505"/>
    </row>
    <row r="6410" spans="1:25" s="88" customFormat="1" hidden="1" x14ac:dyDescent="0.25">
      <c r="A6410" s="258"/>
      <c r="B6410" s="258"/>
      <c r="C6410" s="261"/>
      <c r="D6410" s="258"/>
      <c r="E6410" s="679"/>
      <c r="F6410" s="499">
        <v>418</v>
      </c>
      <c r="G6410" s="492" t="s">
        <v>3775</v>
      </c>
      <c r="H6410" s="555"/>
      <c r="I6410" s="556"/>
      <c r="J6410" s="556">
        <f t="shared" si="212"/>
        <v>0</v>
      </c>
      <c r="K6410" s="505"/>
      <c r="L6410" s="505"/>
      <c r="M6410" s="505"/>
      <c r="N6410" s="505"/>
      <c r="O6410" s="505"/>
      <c r="P6410" s="505"/>
      <c r="Q6410" s="505"/>
      <c r="R6410" s="505"/>
      <c r="S6410" s="505"/>
      <c r="T6410" s="505"/>
      <c r="U6410" s="505"/>
      <c r="V6410" s="505"/>
      <c r="W6410" s="505"/>
      <c r="X6410" s="505"/>
      <c r="Y6410" s="505"/>
    </row>
    <row r="6411" spans="1:25" s="88" customFormat="1" hidden="1" x14ac:dyDescent="0.25">
      <c r="A6411" s="258"/>
      <c r="B6411" s="258"/>
      <c r="C6411" s="261"/>
      <c r="D6411" s="258"/>
      <c r="E6411" s="679"/>
      <c r="F6411" s="499">
        <v>421</v>
      </c>
      <c r="G6411" s="492" t="s">
        <v>3779</v>
      </c>
      <c r="H6411" s="555"/>
      <c r="I6411" s="556"/>
      <c r="J6411" s="556">
        <f t="shared" si="212"/>
        <v>0</v>
      </c>
      <c r="K6411" s="505"/>
      <c r="L6411" s="505"/>
      <c r="M6411" s="505"/>
      <c r="N6411" s="505"/>
      <c r="O6411" s="505"/>
      <c r="P6411" s="505"/>
      <c r="Q6411" s="505"/>
      <c r="R6411" s="505"/>
      <c r="S6411" s="505"/>
      <c r="T6411" s="505"/>
      <c r="U6411" s="505"/>
      <c r="V6411" s="505"/>
      <c r="W6411" s="505"/>
      <c r="X6411" s="505"/>
      <c r="Y6411" s="505"/>
    </row>
    <row r="6412" spans="1:25" s="88" customFormat="1" hidden="1" x14ac:dyDescent="0.25">
      <c r="A6412" s="258"/>
      <c r="B6412" s="258"/>
      <c r="C6412" s="261"/>
      <c r="D6412" s="258"/>
      <c r="E6412" s="679"/>
      <c r="F6412" s="499">
        <v>422</v>
      </c>
      <c r="G6412" s="492" t="s">
        <v>3780</v>
      </c>
      <c r="H6412" s="555"/>
      <c r="I6412" s="556"/>
      <c r="J6412" s="556">
        <f t="shared" si="212"/>
        <v>0</v>
      </c>
      <c r="K6412" s="505"/>
      <c r="L6412" s="505"/>
      <c r="M6412" s="505"/>
      <c r="N6412" s="505"/>
      <c r="O6412" s="505"/>
      <c r="P6412" s="505"/>
      <c r="Q6412" s="505"/>
      <c r="R6412" s="505"/>
      <c r="S6412" s="505"/>
      <c r="T6412" s="505"/>
      <c r="U6412" s="505"/>
      <c r="V6412" s="505"/>
      <c r="W6412" s="505"/>
      <c r="X6412" s="505"/>
      <c r="Y6412" s="505"/>
    </row>
    <row r="6413" spans="1:25" s="88" customFormat="1" x14ac:dyDescent="0.25">
      <c r="A6413" s="258"/>
      <c r="B6413" s="258"/>
      <c r="C6413" s="261"/>
      <c r="D6413" s="258"/>
      <c r="E6413" s="679">
        <v>190</v>
      </c>
      <c r="F6413" s="499">
        <v>423</v>
      </c>
      <c r="G6413" s="492" t="s">
        <v>3781</v>
      </c>
      <c r="H6413" s="555">
        <v>300000</v>
      </c>
      <c r="I6413" s="556"/>
      <c r="J6413" s="556">
        <f t="shared" si="212"/>
        <v>300000</v>
      </c>
      <c r="K6413" s="505"/>
      <c r="L6413" s="505"/>
      <c r="M6413" s="505"/>
      <c r="N6413" s="505"/>
      <c r="O6413" s="505"/>
      <c r="P6413" s="505"/>
      <c r="Q6413" s="505"/>
      <c r="R6413" s="505"/>
      <c r="S6413" s="505"/>
      <c r="T6413" s="505"/>
      <c r="U6413" s="505"/>
      <c r="V6413" s="505"/>
      <c r="W6413" s="505"/>
      <c r="X6413" s="505"/>
      <c r="Y6413" s="505"/>
    </row>
    <row r="6414" spans="1:25" s="88" customFormat="1" hidden="1" x14ac:dyDescent="0.25">
      <c r="A6414" s="258"/>
      <c r="B6414" s="258"/>
      <c r="C6414" s="261"/>
      <c r="D6414" s="258"/>
      <c r="E6414" s="679"/>
      <c r="F6414" s="499">
        <v>424</v>
      </c>
      <c r="G6414" s="492" t="s">
        <v>3783</v>
      </c>
      <c r="H6414" s="555"/>
      <c r="I6414" s="556"/>
      <c r="J6414" s="556">
        <f t="shared" si="212"/>
        <v>0</v>
      </c>
      <c r="K6414" s="505"/>
      <c r="L6414" s="505"/>
      <c r="M6414" s="505"/>
      <c r="N6414" s="505"/>
      <c r="O6414" s="505"/>
      <c r="P6414" s="505"/>
      <c r="Q6414" s="505"/>
      <c r="R6414" s="505"/>
      <c r="S6414" s="505"/>
      <c r="T6414" s="505"/>
      <c r="U6414" s="505"/>
      <c r="V6414" s="505"/>
      <c r="W6414" s="505"/>
      <c r="X6414" s="505"/>
      <c r="Y6414" s="505"/>
    </row>
    <row r="6415" spans="1:25" s="88" customFormat="1" hidden="1" x14ac:dyDescent="0.25">
      <c r="A6415" s="258"/>
      <c r="B6415" s="258"/>
      <c r="C6415" s="261"/>
      <c r="D6415" s="258"/>
      <c r="E6415" s="679"/>
      <c r="F6415" s="499">
        <v>425</v>
      </c>
      <c r="G6415" s="492" t="s">
        <v>4144</v>
      </c>
      <c r="H6415" s="555"/>
      <c r="I6415" s="556"/>
      <c r="J6415" s="556">
        <f t="shared" si="212"/>
        <v>0</v>
      </c>
      <c r="K6415" s="505"/>
      <c r="L6415" s="505"/>
      <c r="M6415" s="505"/>
      <c r="N6415" s="505"/>
      <c r="O6415" s="505"/>
      <c r="P6415" s="505"/>
      <c r="Q6415" s="505"/>
      <c r="R6415" s="505"/>
      <c r="S6415" s="505"/>
      <c r="T6415" s="505"/>
      <c r="U6415" s="505"/>
      <c r="V6415" s="505"/>
      <c r="W6415" s="505"/>
      <c r="X6415" s="505"/>
      <c r="Y6415" s="505"/>
    </row>
    <row r="6416" spans="1:25" s="88" customFormat="1" hidden="1" x14ac:dyDescent="0.25">
      <c r="A6416" s="258"/>
      <c r="B6416" s="258"/>
      <c r="C6416" s="261"/>
      <c r="D6416" s="258"/>
      <c r="E6416" s="679"/>
      <c r="F6416" s="499">
        <v>426</v>
      </c>
      <c r="G6416" s="492" t="s">
        <v>3787</v>
      </c>
      <c r="H6416" s="555"/>
      <c r="I6416" s="556"/>
      <c r="J6416" s="556">
        <f t="shared" si="212"/>
        <v>0</v>
      </c>
      <c r="K6416" s="505"/>
      <c r="L6416" s="505"/>
      <c r="M6416" s="505"/>
      <c r="N6416" s="505"/>
      <c r="O6416" s="505"/>
      <c r="P6416" s="505"/>
      <c r="Q6416" s="505"/>
      <c r="R6416" s="505"/>
      <c r="S6416" s="505"/>
      <c r="T6416" s="505"/>
      <c r="U6416" s="505"/>
      <c r="V6416" s="505"/>
      <c r="W6416" s="505"/>
      <c r="X6416" s="505"/>
      <c r="Y6416" s="505"/>
    </row>
    <row r="6417" spans="1:25" s="88" customFormat="1" hidden="1" x14ac:dyDescent="0.25">
      <c r="A6417" s="258"/>
      <c r="B6417" s="258"/>
      <c r="C6417" s="261"/>
      <c r="D6417" s="258"/>
      <c r="E6417" s="679"/>
      <c r="F6417" s="499">
        <v>431</v>
      </c>
      <c r="G6417" s="492" t="s">
        <v>4145</v>
      </c>
      <c r="H6417" s="555"/>
      <c r="I6417" s="556"/>
      <c r="J6417" s="556">
        <f t="shared" si="212"/>
        <v>0</v>
      </c>
      <c r="K6417" s="505"/>
      <c r="L6417" s="505"/>
      <c r="M6417" s="505"/>
      <c r="N6417" s="505"/>
      <c r="O6417" s="505"/>
      <c r="P6417" s="505"/>
      <c r="Q6417" s="505"/>
      <c r="R6417" s="505"/>
      <c r="S6417" s="505"/>
      <c r="T6417" s="505"/>
      <c r="U6417" s="505"/>
      <c r="V6417" s="505"/>
      <c r="W6417" s="505"/>
      <c r="X6417" s="505"/>
      <c r="Y6417" s="505"/>
    </row>
    <row r="6418" spans="1:25" s="88" customFormat="1" hidden="1" x14ac:dyDescent="0.25">
      <c r="A6418" s="258"/>
      <c r="B6418" s="258"/>
      <c r="C6418" s="261"/>
      <c r="D6418" s="258"/>
      <c r="E6418" s="679"/>
      <c r="F6418" s="499">
        <v>432</v>
      </c>
      <c r="G6418" s="492" t="s">
        <v>4146</v>
      </c>
      <c r="H6418" s="555"/>
      <c r="I6418" s="556"/>
      <c r="J6418" s="556">
        <f t="shared" si="212"/>
        <v>0</v>
      </c>
      <c r="K6418" s="505"/>
      <c r="L6418" s="505"/>
      <c r="M6418" s="505"/>
      <c r="N6418" s="505"/>
      <c r="O6418" s="505"/>
      <c r="P6418" s="505"/>
      <c r="Q6418" s="505"/>
      <c r="R6418" s="505"/>
      <c r="S6418" s="505"/>
      <c r="T6418" s="505"/>
      <c r="U6418" s="505"/>
      <c r="V6418" s="505"/>
      <c r="W6418" s="505"/>
      <c r="X6418" s="505"/>
      <c r="Y6418" s="505"/>
    </row>
    <row r="6419" spans="1:25" s="88" customFormat="1" hidden="1" x14ac:dyDescent="0.25">
      <c r="A6419" s="258"/>
      <c r="B6419" s="258"/>
      <c r="C6419" s="261"/>
      <c r="D6419" s="258"/>
      <c r="E6419" s="679"/>
      <c r="F6419" s="499">
        <v>433</v>
      </c>
      <c r="G6419" s="492" t="s">
        <v>4147</v>
      </c>
      <c r="H6419" s="555"/>
      <c r="I6419" s="556"/>
      <c r="J6419" s="556">
        <f t="shared" si="212"/>
        <v>0</v>
      </c>
      <c r="K6419" s="505"/>
      <c r="L6419" s="505"/>
      <c r="M6419" s="505"/>
      <c r="N6419" s="505"/>
      <c r="O6419" s="505"/>
      <c r="P6419" s="505"/>
      <c r="Q6419" s="505"/>
      <c r="R6419" s="505"/>
      <c r="S6419" s="505"/>
      <c r="T6419" s="505"/>
      <c r="U6419" s="505"/>
      <c r="V6419" s="505"/>
      <c r="W6419" s="505"/>
      <c r="X6419" s="505"/>
      <c r="Y6419" s="505"/>
    </row>
    <row r="6420" spans="1:25" s="88" customFormat="1" hidden="1" x14ac:dyDescent="0.25">
      <c r="A6420" s="258"/>
      <c r="B6420" s="258"/>
      <c r="C6420" s="261"/>
      <c r="D6420" s="258"/>
      <c r="E6420" s="679"/>
      <c r="F6420" s="499">
        <v>434</v>
      </c>
      <c r="G6420" s="492" t="s">
        <v>4148</v>
      </c>
      <c r="H6420" s="555"/>
      <c r="I6420" s="556"/>
      <c r="J6420" s="556">
        <f t="shared" si="212"/>
        <v>0</v>
      </c>
      <c r="K6420" s="505"/>
      <c r="L6420" s="505"/>
      <c r="M6420" s="505"/>
      <c r="N6420" s="505"/>
      <c r="O6420" s="505"/>
      <c r="P6420" s="505"/>
      <c r="Q6420" s="505"/>
      <c r="R6420" s="505"/>
      <c r="S6420" s="505"/>
      <c r="T6420" s="505"/>
      <c r="U6420" s="505"/>
      <c r="V6420" s="505"/>
      <c r="W6420" s="505"/>
      <c r="X6420" s="505"/>
      <c r="Y6420" s="505"/>
    </row>
    <row r="6421" spans="1:25" s="88" customFormat="1" hidden="1" x14ac:dyDescent="0.25">
      <c r="A6421" s="258"/>
      <c r="B6421" s="258"/>
      <c r="C6421" s="261"/>
      <c r="D6421" s="258"/>
      <c r="E6421" s="679"/>
      <c r="F6421" s="499">
        <v>435</v>
      </c>
      <c r="G6421" s="492" t="s">
        <v>3794</v>
      </c>
      <c r="H6421" s="555"/>
      <c r="I6421" s="556"/>
      <c r="J6421" s="556">
        <f t="shared" si="212"/>
        <v>0</v>
      </c>
      <c r="K6421" s="505"/>
      <c r="L6421" s="505"/>
      <c r="M6421" s="505"/>
      <c r="N6421" s="505"/>
      <c r="O6421" s="505"/>
      <c r="P6421" s="505"/>
      <c r="Q6421" s="505"/>
      <c r="R6421" s="505"/>
      <c r="S6421" s="505"/>
      <c r="T6421" s="505"/>
      <c r="U6421" s="505"/>
      <c r="V6421" s="505"/>
      <c r="W6421" s="505"/>
      <c r="X6421" s="505"/>
      <c r="Y6421" s="505"/>
    </row>
    <row r="6422" spans="1:25" s="88" customFormat="1" hidden="1" x14ac:dyDescent="0.25">
      <c r="A6422" s="258"/>
      <c r="B6422" s="258"/>
      <c r="C6422" s="261"/>
      <c r="D6422" s="258"/>
      <c r="E6422" s="679"/>
      <c r="F6422" s="499">
        <v>441</v>
      </c>
      <c r="G6422" s="492" t="s">
        <v>4149</v>
      </c>
      <c r="H6422" s="555"/>
      <c r="I6422" s="556"/>
      <c r="J6422" s="556">
        <f t="shared" si="212"/>
        <v>0</v>
      </c>
      <c r="K6422" s="505"/>
      <c r="L6422" s="505"/>
      <c r="M6422" s="505"/>
      <c r="N6422" s="505"/>
      <c r="O6422" s="505"/>
      <c r="P6422" s="505"/>
      <c r="Q6422" s="505"/>
      <c r="R6422" s="505"/>
      <c r="S6422" s="505"/>
      <c r="T6422" s="505"/>
      <c r="U6422" s="505"/>
      <c r="V6422" s="505"/>
      <c r="W6422" s="505"/>
      <c r="X6422" s="505"/>
      <c r="Y6422" s="505"/>
    </row>
    <row r="6423" spans="1:25" s="88" customFormat="1" hidden="1" x14ac:dyDescent="0.25">
      <c r="A6423" s="258"/>
      <c r="B6423" s="258"/>
      <c r="C6423" s="261"/>
      <c r="D6423" s="258"/>
      <c r="E6423" s="679"/>
      <c r="F6423" s="499">
        <v>442</v>
      </c>
      <c r="G6423" s="492" t="s">
        <v>4150</v>
      </c>
      <c r="H6423" s="555"/>
      <c r="I6423" s="556"/>
      <c r="J6423" s="556">
        <f t="shared" si="212"/>
        <v>0</v>
      </c>
      <c r="K6423" s="505"/>
      <c r="L6423" s="505"/>
      <c r="M6423" s="505"/>
      <c r="N6423" s="505"/>
      <c r="O6423" s="505"/>
      <c r="P6423" s="505"/>
      <c r="Q6423" s="505"/>
      <c r="R6423" s="505"/>
      <c r="S6423" s="505"/>
      <c r="T6423" s="505"/>
      <c r="U6423" s="505"/>
      <c r="V6423" s="505"/>
      <c r="W6423" s="505"/>
      <c r="X6423" s="505"/>
      <c r="Y6423" s="505"/>
    </row>
    <row r="6424" spans="1:25" s="88" customFormat="1" hidden="1" x14ac:dyDescent="0.25">
      <c r="A6424" s="258"/>
      <c r="B6424" s="258"/>
      <c r="C6424" s="261"/>
      <c r="D6424" s="258"/>
      <c r="E6424" s="679"/>
      <c r="F6424" s="499">
        <v>443</v>
      </c>
      <c r="G6424" s="492" t="s">
        <v>3799</v>
      </c>
      <c r="H6424" s="555"/>
      <c r="I6424" s="556"/>
      <c r="J6424" s="556">
        <f t="shared" si="212"/>
        <v>0</v>
      </c>
      <c r="K6424" s="505"/>
      <c r="L6424" s="505"/>
      <c r="M6424" s="505"/>
      <c r="N6424" s="505"/>
      <c r="O6424" s="505"/>
      <c r="P6424" s="505"/>
      <c r="Q6424" s="505"/>
      <c r="R6424" s="505"/>
      <c r="S6424" s="505"/>
      <c r="T6424" s="505"/>
      <c r="U6424" s="505"/>
      <c r="V6424" s="505"/>
      <c r="W6424" s="505"/>
      <c r="X6424" s="505"/>
      <c r="Y6424" s="505"/>
    </row>
    <row r="6425" spans="1:25" s="88" customFormat="1" hidden="1" x14ac:dyDescent="0.25">
      <c r="A6425" s="258"/>
      <c r="B6425" s="258"/>
      <c r="C6425" s="261"/>
      <c r="D6425" s="258"/>
      <c r="E6425" s="679"/>
      <c r="F6425" s="499">
        <v>444</v>
      </c>
      <c r="G6425" s="492" t="s">
        <v>3800</v>
      </c>
      <c r="H6425" s="555"/>
      <c r="I6425" s="556"/>
      <c r="J6425" s="556">
        <f t="shared" si="212"/>
        <v>0</v>
      </c>
      <c r="K6425" s="505"/>
      <c r="L6425" s="505"/>
      <c r="M6425" s="505"/>
      <c r="N6425" s="505"/>
      <c r="O6425" s="505"/>
      <c r="P6425" s="505"/>
      <c r="Q6425" s="505"/>
      <c r="R6425" s="505"/>
      <c r="S6425" s="505"/>
      <c r="T6425" s="505"/>
      <c r="U6425" s="505"/>
      <c r="V6425" s="505"/>
      <c r="W6425" s="505"/>
      <c r="X6425" s="505"/>
      <c r="Y6425" s="505"/>
    </row>
    <row r="6426" spans="1:25" s="88" customFormat="1" ht="30" hidden="1" x14ac:dyDescent="0.25">
      <c r="A6426" s="258"/>
      <c r="B6426" s="258"/>
      <c r="C6426" s="261"/>
      <c r="D6426" s="258"/>
      <c r="E6426" s="679"/>
      <c r="F6426" s="499">
        <v>4511</v>
      </c>
      <c r="G6426" s="776" t="s">
        <v>1690</v>
      </c>
      <c r="H6426" s="555"/>
      <c r="I6426" s="556"/>
      <c r="J6426" s="556">
        <f t="shared" si="212"/>
        <v>0</v>
      </c>
      <c r="K6426" s="505"/>
      <c r="L6426" s="505"/>
      <c r="M6426" s="505"/>
      <c r="N6426" s="505"/>
      <c r="O6426" s="505"/>
      <c r="P6426" s="505"/>
      <c r="Q6426" s="505"/>
      <c r="R6426" s="505"/>
      <c r="S6426" s="505"/>
      <c r="T6426" s="505"/>
      <c r="U6426" s="505"/>
      <c r="V6426" s="505"/>
      <c r="W6426" s="505"/>
      <c r="X6426" s="505"/>
      <c r="Y6426" s="505"/>
    </row>
    <row r="6427" spans="1:25" s="88" customFormat="1" ht="15" hidden="1" customHeight="1" x14ac:dyDescent="0.25">
      <c r="A6427" s="258"/>
      <c r="B6427" s="258"/>
      <c r="C6427" s="261"/>
      <c r="D6427" s="258"/>
      <c r="E6427" s="679">
        <v>69</v>
      </c>
      <c r="F6427" s="691">
        <v>511</v>
      </c>
      <c r="G6427" s="775" t="s">
        <v>5208</v>
      </c>
      <c r="H6427" s="555">
        <v>0</v>
      </c>
      <c r="I6427" s="556"/>
      <c r="J6427" s="556">
        <f t="shared" si="212"/>
        <v>0</v>
      </c>
      <c r="K6427" s="505"/>
      <c r="L6427" s="505"/>
      <c r="M6427" s="505"/>
      <c r="N6427" s="505"/>
      <c r="O6427" s="505"/>
      <c r="P6427" s="505"/>
      <c r="Q6427" s="505"/>
      <c r="R6427" s="505"/>
      <c r="S6427" s="505"/>
      <c r="T6427" s="505"/>
      <c r="U6427" s="505"/>
      <c r="V6427" s="505"/>
      <c r="W6427" s="505"/>
      <c r="X6427" s="505"/>
      <c r="Y6427" s="505"/>
    </row>
    <row r="6428" spans="1:25" s="88" customFormat="1" hidden="1" x14ac:dyDescent="0.25">
      <c r="A6428" s="258"/>
      <c r="B6428" s="258"/>
      <c r="C6428" s="261"/>
      <c r="D6428" s="258"/>
      <c r="E6428" s="679"/>
      <c r="F6428" s="499">
        <v>452</v>
      </c>
      <c r="G6428" s="492" t="s">
        <v>4151</v>
      </c>
      <c r="H6428" s="555"/>
      <c r="I6428" s="556"/>
      <c r="J6428" s="556">
        <f t="shared" si="212"/>
        <v>0</v>
      </c>
      <c r="K6428" s="505"/>
      <c r="L6428" s="505"/>
      <c r="M6428" s="505"/>
      <c r="N6428" s="505"/>
      <c r="O6428" s="505"/>
      <c r="P6428" s="505"/>
      <c r="Q6428" s="505"/>
      <c r="R6428" s="505"/>
      <c r="S6428" s="505"/>
      <c r="T6428" s="505"/>
      <c r="U6428" s="505"/>
      <c r="V6428" s="505"/>
      <c r="W6428" s="505"/>
      <c r="X6428" s="505"/>
      <c r="Y6428" s="505"/>
    </row>
    <row r="6429" spans="1:25" s="88" customFormat="1" hidden="1" x14ac:dyDescent="0.25">
      <c r="A6429" s="258"/>
      <c r="B6429" s="258"/>
      <c r="C6429" s="261"/>
      <c r="D6429" s="258"/>
      <c r="E6429" s="679"/>
      <c r="F6429" s="499">
        <v>453</v>
      </c>
      <c r="G6429" s="492" t="s">
        <v>4152</v>
      </c>
      <c r="H6429" s="555"/>
      <c r="I6429" s="556"/>
      <c r="J6429" s="556">
        <f t="shared" si="212"/>
        <v>0</v>
      </c>
      <c r="K6429" s="505"/>
      <c r="L6429" s="505"/>
      <c r="M6429" s="505"/>
      <c r="N6429" s="505"/>
      <c r="O6429" s="505"/>
      <c r="P6429" s="505"/>
      <c r="Q6429" s="505"/>
      <c r="R6429" s="505"/>
      <c r="S6429" s="505"/>
      <c r="T6429" s="505"/>
      <c r="U6429" s="505"/>
      <c r="V6429" s="505"/>
      <c r="W6429" s="505"/>
      <c r="X6429" s="505"/>
      <c r="Y6429" s="505"/>
    </row>
    <row r="6430" spans="1:25" s="88" customFormat="1" hidden="1" x14ac:dyDescent="0.25">
      <c r="A6430" s="258"/>
      <c r="B6430" s="258"/>
      <c r="C6430" s="261"/>
      <c r="D6430" s="258"/>
      <c r="E6430" s="679"/>
      <c r="F6430" s="499">
        <v>454</v>
      </c>
      <c r="G6430" s="492" t="s">
        <v>3805</v>
      </c>
      <c r="H6430" s="555"/>
      <c r="I6430" s="556"/>
      <c r="J6430" s="556">
        <f t="shared" si="212"/>
        <v>0</v>
      </c>
      <c r="K6430" s="505"/>
      <c r="L6430" s="505"/>
      <c r="M6430" s="505"/>
      <c r="N6430" s="505"/>
      <c r="O6430" s="505"/>
      <c r="P6430" s="505"/>
      <c r="Q6430" s="505"/>
      <c r="R6430" s="505"/>
      <c r="S6430" s="505"/>
      <c r="T6430" s="505"/>
      <c r="U6430" s="505"/>
      <c r="V6430" s="505"/>
      <c r="W6430" s="505"/>
      <c r="X6430" s="505"/>
      <c r="Y6430" s="505"/>
    </row>
    <row r="6431" spans="1:25" s="88" customFormat="1" hidden="1" x14ac:dyDescent="0.25">
      <c r="A6431" s="258"/>
      <c r="B6431" s="258"/>
      <c r="C6431" s="261"/>
      <c r="D6431" s="258"/>
      <c r="E6431" s="679"/>
      <c r="F6431" s="499">
        <v>461</v>
      </c>
      <c r="G6431" s="492" t="s">
        <v>4133</v>
      </c>
      <c r="H6431" s="555"/>
      <c r="I6431" s="556"/>
      <c r="J6431" s="556">
        <f t="shared" si="212"/>
        <v>0</v>
      </c>
      <c r="K6431" s="505"/>
      <c r="L6431" s="505"/>
      <c r="M6431" s="505"/>
      <c r="N6431" s="505"/>
      <c r="O6431" s="505"/>
      <c r="P6431" s="505"/>
      <c r="Q6431" s="505"/>
      <c r="R6431" s="505"/>
      <c r="S6431" s="505"/>
      <c r="T6431" s="505"/>
      <c r="U6431" s="505"/>
      <c r="V6431" s="505"/>
      <c r="W6431" s="505"/>
      <c r="X6431" s="505"/>
      <c r="Y6431" s="505"/>
    </row>
    <row r="6432" spans="1:25" s="88" customFormat="1" hidden="1" x14ac:dyDescent="0.25">
      <c r="A6432" s="258"/>
      <c r="B6432" s="258"/>
      <c r="C6432" s="261"/>
      <c r="D6432" s="258"/>
      <c r="E6432" s="679"/>
      <c r="F6432" s="499">
        <v>462</v>
      </c>
      <c r="G6432" s="492" t="s">
        <v>3808</v>
      </c>
      <c r="H6432" s="555"/>
      <c r="I6432" s="556"/>
      <c r="J6432" s="556">
        <f t="shared" si="212"/>
        <v>0</v>
      </c>
      <c r="K6432" s="505"/>
      <c r="L6432" s="505"/>
      <c r="M6432" s="505"/>
      <c r="N6432" s="505"/>
      <c r="O6432" s="505"/>
      <c r="P6432" s="505"/>
      <c r="Q6432" s="505"/>
      <c r="R6432" s="505"/>
      <c r="S6432" s="505"/>
      <c r="T6432" s="505"/>
      <c r="U6432" s="505"/>
      <c r="V6432" s="505"/>
      <c r="W6432" s="505"/>
      <c r="X6432" s="505"/>
      <c r="Y6432" s="505"/>
    </row>
    <row r="6433" spans="1:25" s="88" customFormat="1" hidden="1" x14ac:dyDescent="0.25">
      <c r="A6433" s="258"/>
      <c r="B6433" s="258"/>
      <c r="C6433" s="261"/>
      <c r="D6433" s="258"/>
      <c r="E6433" s="679"/>
      <c r="F6433" s="499">
        <v>4631</v>
      </c>
      <c r="G6433" s="492" t="s">
        <v>3809</v>
      </c>
      <c r="H6433" s="555"/>
      <c r="I6433" s="556"/>
      <c r="J6433" s="556">
        <f t="shared" si="212"/>
        <v>0</v>
      </c>
      <c r="K6433" s="505"/>
      <c r="L6433" s="505"/>
      <c r="M6433" s="505"/>
      <c r="N6433" s="505"/>
      <c r="O6433" s="505"/>
      <c r="P6433" s="505"/>
      <c r="Q6433" s="505"/>
      <c r="R6433" s="505"/>
      <c r="S6433" s="505"/>
      <c r="T6433" s="505"/>
      <c r="U6433" s="505"/>
      <c r="V6433" s="505"/>
      <c r="W6433" s="505"/>
      <c r="X6433" s="505"/>
      <c r="Y6433" s="505"/>
    </row>
    <row r="6434" spans="1:25" s="88" customFormat="1" hidden="1" x14ac:dyDescent="0.25">
      <c r="A6434" s="258"/>
      <c r="B6434" s="258"/>
      <c r="C6434" s="261"/>
      <c r="D6434" s="258"/>
      <c r="E6434" s="679"/>
      <c r="F6434" s="499">
        <v>4632</v>
      </c>
      <c r="G6434" s="492" t="s">
        <v>3810</v>
      </c>
      <c r="H6434" s="555"/>
      <c r="I6434" s="556"/>
      <c r="J6434" s="556">
        <f t="shared" si="212"/>
        <v>0</v>
      </c>
      <c r="K6434" s="505"/>
      <c r="L6434" s="505"/>
      <c r="M6434" s="505"/>
      <c r="N6434" s="505"/>
      <c r="O6434" s="505"/>
      <c r="P6434" s="505"/>
      <c r="Q6434" s="505"/>
      <c r="R6434" s="505"/>
      <c r="S6434" s="505"/>
      <c r="T6434" s="505"/>
      <c r="U6434" s="505"/>
      <c r="V6434" s="505"/>
      <c r="W6434" s="505"/>
      <c r="X6434" s="505"/>
      <c r="Y6434" s="505"/>
    </row>
    <row r="6435" spans="1:25" s="88" customFormat="1" hidden="1" x14ac:dyDescent="0.25">
      <c r="A6435" s="258"/>
      <c r="B6435" s="258"/>
      <c r="C6435" s="261"/>
      <c r="D6435" s="258"/>
      <c r="E6435" s="679"/>
      <c r="F6435" s="499">
        <v>464</v>
      </c>
      <c r="G6435" s="492" t="s">
        <v>3811</v>
      </c>
      <c r="H6435" s="555"/>
      <c r="I6435" s="556"/>
      <c r="J6435" s="556">
        <f t="shared" si="212"/>
        <v>0</v>
      </c>
      <c r="K6435" s="505"/>
      <c r="L6435" s="505"/>
      <c r="M6435" s="505"/>
      <c r="N6435" s="505"/>
      <c r="O6435" s="505"/>
      <c r="P6435" s="505"/>
      <c r="Q6435" s="505"/>
      <c r="R6435" s="505"/>
      <c r="S6435" s="505"/>
      <c r="T6435" s="505"/>
      <c r="U6435" s="505"/>
      <c r="V6435" s="505"/>
      <c r="W6435" s="505"/>
      <c r="X6435" s="505"/>
      <c r="Y6435" s="505"/>
    </row>
    <row r="6436" spans="1:25" s="88" customFormat="1" hidden="1" x14ac:dyDescent="0.25">
      <c r="A6436" s="258"/>
      <c r="B6436" s="258"/>
      <c r="C6436" s="261"/>
      <c r="D6436" s="258"/>
      <c r="E6436" s="679"/>
      <c r="F6436" s="499">
        <v>465</v>
      </c>
      <c r="G6436" s="492" t="s">
        <v>4134</v>
      </c>
      <c r="H6436" s="555"/>
      <c r="I6436" s="556"/>
      <c r="J6436" s="556">
        <f t="shared" si="212"/>
        <v>0</v>
      </c>
      <c r="K6436" s="505"/>
      <c r="L6436" s="505"/>
      <c r="M6436" s="505"/>
      <c r="N6436" s="505"/>
      <c r="O6436" s="505"/>
      <c r="P6436" s="505"/>
      <c r="Q6436" s="505"/>
      <c r="R6436" s="505"/>
      <c r="S6436" s="505"/>
      <c r="T6436" s="505"/>
      <c r="U6436" s="505"/>
      <c r="V6436" s="505"/>
      <c r="W6436" s="505"/>
      <c r="X6436" s="505"/>
      <c r="Y6436" s="505"/>
    </row>
    <row r="6437" spans="1:25" s="88" customFormat="1" hidden="1" x14ac:dyDescent="0.25">
      <c r="A6437" s="258"/>
      <c r="B6437" s="258"/>
      <c r="C6437" s="261"/>
      <c r="D6437" s="258"/>
      <c r="E6437" s="679"/>
      <c r="F6437" s="499">
        <v>472</v>
      </c>
      <c r="G6437" s="492" t="s">
        <v>3815</v>
      </c>
      <c r="H6437" s="555"/>
      <c r="I6437" s="556"/>
      <c r="J6437" s="556">
        <f t="shared" si="212"/>
        <v>0</v>
      </c>
      <c r="K6437" s="505"/>
      <c r="L6437" s="505"/>
      <c r="M6437" s="505"/>
      <c r="N6437" s="505"/>
      <c r="O6437" s="505"/>
      <c r="P6437" s="505"/>
      <c r="Q6437" s="505"/>
      <c r="R6437" s="505"/>
      <c r="S6437" s="505"/>
      <c r="T6437" s="505"/>
      <c r="U6437" s="505"/>
      <c r="V6437" s="505"/>
      <c r="W6437" s="505"/>
      <c r="X6437" s="505"/>
      <c r="Y6437" s="505"/>
    </row>
    <row r="6438" spans="1:25" s="88" customFormat="1" hidden="1" x14ac:dyDescent="0.25">
      <c r="A6438" s="258"/>
      <c r="B6438" s="258"/>
      <c r="C6438" s="261"/>
      <c r="D6438" s="258"/>
      <c r="E6438" s="679"/>
      <c r="F6438" s="499">
        <v>481</v>
      </c>
      <c r="G6438" s="492" t="s">
        <v>4153</v>
      </c>
      <c r="H6438" s="555"/>
      <c r="I6438" s="556"/>
      <c r="J6438" s="556">
        <f t="shared" si="212"/>
        <v>0</v>
      </c>
      <c r="K6438" s="505"/>
      <c r="L6438" s="505"/>
      <c r="M6438" s="505"/>
      <c r="N6438" s="505"/>
      <c r="O6438" s="505"/>
      <c r="P6438" s="505"/>
      <c r="Q6438" s="505"/>
      <c r="R6438" s="505"/>
      <c r="S6438" s="505"/>
      <c r="T6438" s="505"/>
      <c r="U6438" s="505"/>
      <c r="V6438" s="505"/>
      <c r="W6438" s="505"/>
      <c r="X6438" s="505"/>
      <c r="Y6438" s="505"/>
    </row>
    <row r="6439" spans="1:25" s="88" customFormat="1" hidden="1" x14ac:dyDescent="0.25">
      <c r="A6439" s="258"/>
      <c r="B6439" s="258"/>
      <c r="C6439" s="261"/>
      <c r="D6439" s="258"/>
      <c r="E6439" s="679"/>
      <c r="F6439" s="499">
        <v>482</v>
      </c>
      <c r="G6439" s="492" t="s">
        <v>4154</v>
      </c>
      <c r="H6439" s="555"/>
      <c r="I6439" s="556"/>
      <c r="J6439" s="556">
        <f t="shared" si="212"/>
        <v>0</v>
      </c>
      <c r="K6439" s="505"/>
      <c r="L6439" s="505"/>
      <c r="M6439" s="505"/>
      <c r="N6439" s="505"/>
      <c r="O6439" s="505"/>
      <c r="P6439" s="505"/>
      <c r="Q6439" s="505"/>
      <c r="R6439" s="505"/>
      <c r="S6439" s="505"/>
      <c r="T6439" s="505"/>
      <c r="U6439" s="505"/>
      <c r="V6439" s="505"/>
      <c r="W6439" s="505"/>
      <c r="X6439" s="505"/>
      <c r="Y6439" s="505"/>
    </row>
    <row r="6440" spans="1:25" s="88" customFormat="1" hidden="1" x14ac:dyDescent="0.25">
      <c r="A6440" s="258"/>
      <c r="B6440" s="258"/>
      <c r="C6440" s="261"/>
      <c r="D6440" s="258"/>
      <c r="E6440" s="679"/>
      <c r="F6440" s="499">
        <v>483</v>
      </c>
      <c r="G6440" s="496" t="s">
        <v>4155</v>
      </c>
      <c r="H6440" s="555"/>
      <c r="I6440" s="556"/>
      <c r="J6440" s="556">
        <f t="shared" si="212"/>
        <v>0</v>
      </c>
      <c r="K6440" s="505"/>
      <c r="L6440" s="505"/>
      <c r="M6440" s="505"/>
      <c r="N6440" s="505"/>
      <c r="O6440" s="505"/>
      <c r="P6440" s="505"/>
      <c r="Q6440" s="505"/>
      <c r="R6440" s="505"/>
      <c r="S6440" s="505"/>
      <c r="T6440" s="505"/>
      <c r="U6440" s="505"/>
      <c r="V6440" s="505"/>
      <c r="W6440" s="505"/>
      <c r="X6440" s="505"/>
      <c r="Y6440" s="505"/>
    </row>
    <row r="6441" spans="1:25" s="88" customFormat="1" ht="30" hidden="1" x14ac:dyDescent="0.25">
      <c r="A6441" s="258"/>
      <c r="B6441" s="258"/>
      <c r="C6441" s="261"/>
      <c r="D6441" s="258"/>
      <c r="E6441" s="679"/>
      <c r="F6441" s="499">
        <v>484</v>
      </c>
      <c r="G6441" s="492" t="s">
        <v>4156</v>
      </c>
      <c r="H6441" s="555"/>
      <c r="I6441" s="556"/>
      <c r="J6441" s="556">
        <f t="shared" si="212"/>
        <v>0</v>
      </c>
      <c r="K6441" s="505"/>
      <c r="L6441" s="505"/>
      <c r="M6441" s="505"/>
      <c r="N6441" s="505"/>
      <c r="O6441" s="505"/>
      <c r="P6441" s="505"/>
      <c r="Q6441" s="505"/>
      <c r="R6441" s="505"/>
      <c r="S6441" s="505"/>
      <c r="T6441" s="505"/>
      <c r="U6441" s="505"/>
      <c r="V6441" s="505"/>
      <c r="W6441" s="505"/>
      <c r="X6441" s="505"/>
      <c r="Y6441" s="505"/>
    </row>
    <row r="6442" spans="1:25" s="88" customFormat="1" ht="30" hidden="1" x14ac:dyDescent="0.25">
      <c r="A6442" s="258"/>
      <c r="B6442" s="258"/>
      <c r="C6442" s="261"/>
      <c r="D6442" s="258"/>
      <c r="E6442" s="679"/>
      <c r="F6442" s="499">
        <v>485</v>
      </c>
      <c r="G6442" s="492" t="s">
        <v>4157</v>
      </c>
      <c r="H6442" s="555"/>
      <c r="I6442" s="556"/>
      <c r="J6442" s="556">
        <f t="shared" si="212"/>
        <v>0</v>
      </c>
      <c r="K6442" s="505"/>
      <c r="L6442" s="505"/>
      <c r="M6442" s="505"/>
      <c r="N6442" s="505"/>
      <c r="O6442" s="505"/>
      <c r="P6442" s="505"/>
      <c r="Q6442" s="505"/>
      <c r="R6442" s="505"/>
      <c r="S6442" s="505"/>
      <c r="T6442" s="505"/>
      <c r="U6442" s="505"/>
      <c r="V6442" s="505"/>
      <c r="W6442" s="505"/>
      <c r="X6442" s="505"/>
      <c r="Y6442" s="505"/>
    </row>
    <row r="6443" spans="1:25" s="88" customFormat="1" ht="30" hidden="1" x14ac:dyDescent="0.25">
      <c r="A6443" s="258"/>
      <c r="B6443" s="258"/>
      <c r="C6443" s="261"/>
      <c r="D6443" s="258"/>
      <c r="E6443" s="679"/>
      <c r="F6443" s="499">
        <v>489</v>
      </c>
      <c r="G6443" s="492" t="s">
        <v>3823</v>
      </c>
      <c r="H6443" s="555"/>
      <c r="I6443" s="556"/>
      <c r="J6443" s="556">
        <f t="shared" si="212"/>
        <v>0</v>
      </c>
      <c r="K6443" s="505"/>
      <c r="L6443" s="505"/>
      <c r="M6443" s="505"/>
      <c r="N6443" s="505"/>
      <c r="O6443" s="505"/>
      <c r="P6443" s="505"/>
      <c r="Q6443" s="505"/>
      <c r="R6443" s="505"/>
      <c r="S6443" s="505"/>
      <c r="T6443" s="505"/>
      <c r="U6443" s="505"/>
      <c r="V6443" s="505"/>
      <c r="W6443" s="505"/>
      <c r="X6443" s="505"/>
      <c r="Y6443" s="505"/>
    </row>
    <row r="6444" spans="1:25" s="88" customFormat="1" hidden="1" x14ac:dyDescent="0.25">
      <c r="A6444" s="258"/>
      <c r="B6444" s="258"/>
      <c r="C6444" s="261"/>
      <c r="D6444" s="258"/>
      <c r="E6444" s="679"/>
      <c r="F6444" s="499">
        <v>494</v>
      </c>
      <c r="G6444" s="492" t="s">
        <v>4135</v>
      </c>
      <c r="H6444" s="555"/>
      <c r="I6444" s="556"/>
      <c r="J6444" s="556">
        <f t="shared" si="212"/>
        <v>0</v>
      </c>
      <c r="K6444" s="505"/>
      <c r="L6444" s="505"/>
      <c r="M6444" s="505"/>
      <c r="N6444" s="505"/>
      <c r="O6444" s="505"/>
      <c r="P6444" s="505"/>
      <c r="Q6444" s="505"/>
      <c r="R6444" s="505"/>
      <c r="S6444" s="505"/>
      <c r="T6444" s="505"/>
      <c r="U6444" s="505"/>
      <c r="V6444" s="505"/>
      <c r="W6444" s="505"/>
      <c r="X6444" s="505"/>
      <c r="Y6444" s="505"/>
    </row>
    <row r="6445" spans="1:25" s="88" customFormat="1" ht="30" hidden="1" x14ac:dyDescent="0.25">
      <c r="A6445" s="258"/>
      <c r="B6445" s="258"/>
      <c r="C6445" s="261"/>
      <c r="D6445" s="258"/>
      <c r="E6445" s="679"/>
      <c r="F6445" s="499">
        <v>495</v>
      </c>
      <c r="G6445" s="492" t="s">
        <v>4136</v>
      </c>
      <c r="H6445" s="555"/>
      <c r="I6445" s="556"/>
      <c r="J6445" s="556">
        <f t="shared" si="212"/>
        <v>0</v>
      </c>
      <c r="K6445" s="505"/>
      <c r="L6445" s="505"/>
      <c r="M6445" s="505"/>
      <c r="N6445" s="505"/>
      <c r="O6445" s="505"/>
      <c r="P6445" s="505"/>
      <c r="Q6445" s="505"/>
      <c r="R6445" s="505"/>
      <c r="S6445" s="505"/>
      <c r="T6445" s="505"/>
      <c r="U6445" s="505"/>
      <c r="V6445" s="505"/>
      <c r="W6445" s="505"/>
      <c r="X6445" s="505"/>
      <c r="Y6445" s="505"/>
    </row>
    <row r="6446" spans="1:25" s="88" customFormat="1" ht="30" hidden="1" x14ac:dyDescent="0.25">
      <c r="A6446" s="258"/>
      <c r="B6446" s="258"/>
      <c r="C6446" s="261"/>
      <c r="D6446" s="258"/>
      <c r="E6446" s="679"/>
      <c r="F6446" s="499">
        <v>496</v>
      </c>
      <c r="G6446" s="492" t="s">
        <v>4137</v>
      </c>
      <c r="H6446" s="555"/>
      <c r="I6446" s="556"/>
      <c r="J6446" s="556">
        <f t="shared" si="212"/>
        <v>0</v>
      </c>
      <c r="K6446" s="505"/>
      <c r="L6446" s="505"/>
      <c r="M6446" s="505"/>
      <c r="N6446" s="505"/>
      <c r="O6446" s="505"/>
      <c r="P6446" s="505"/>
      <c r="Q6446" s="505"/>
      <c r="R6446" s="505"/>
      <c r="S6446" s="505"/>
      <c r="T6446" s="505"/>
      <c r="U6446" s="505"/>
      <c r="V6446" s="505"/>
      <c r="W6446" s="505"/>
      <c r="X6446" s="505"/>
      <c r="Y6446" s="505"/>
    </row>
    <row r="6447" spans="1:25" s="88" customFormat="1" ht="30" hidden="1" x14ac:dyDescent="0.25">
      <c r="A6447" s="258"/>
      <c r="B6447" s="258"/>
      <c r="C6447" s="261"/>
      <c r="D6447" s="258"/>
      <c r="E6447" s="679"/>
      <c r="F6447" s="499">
        <v>499</v>
      </c>
      <c r="G6447" s="492" t="s">
        <v>4138</v>
      </c>
      <c r="H6447" s="555"/>
      <c r="I6447" s="556"/>
      <c r="J6447" s="556">
        <f t="shared" si="212"/>
        <v>0</v>
      </c>
      <c r="K6447" s="505"/>
      <c r="L6447" s="505"/>
      <c r="M6447" s="505"/>
      <c r="N6447" s="505"/>
      <c r="O6447" s="505"/>
      <c r="P6447" s="505"/>
      <c r="Q6447" s="505"/>
      <c r="R6447" s="505"/>
      <c r="S6447" s="505"/>
      <c r="T6447" s="505"/>
      <c r="U6447" s="505"/>
      <c r="V6447" s="505"/>
      <c r="W6447" s="505"/>
      <c r="X6447" s="505"/>
      <c r="Y6447" s="505"/>
    </row>
    <row r="6448" spans="1:25" s="88" customFormat="1" hidden="1" x14ac:dyDescent="0.25">
      <c r="A6448" s="258"/>
      <c r="B6448" s="258"/>
      <c r="C6448" s="261"/>
      <c r="D6448" s="258"/>
      <c r="E6448" s="679"/>
      <c r="F6448" s="499">
        <v>511</v>
      </c>
      <c r="G6448" s="496" t="s">
        <v>4158</v>
      </c>
      <c r="H6448" s="555">
        <v>0</v>
      </c>
      <c r="I6448" s="556"/>
      <c r="J6448" s="556">
        <f t="shared" si="212"/>
        <v>0</v>
      </c>
      <c r="K6448" s="505"/>
      <c r="L6448" s="505"/>
      <c r="M6448" s="505"/>
      <c r="N6448" s="505"/>
      <c r="O6448" s="505"/>
      <c r="P6448" s="505"/>
      <c r="Q6448" s="505"/>
      <c r="R6448" s="505"/>
      <c r="S6448" s="505"/>
      <c r="T6448" s="505"/>
      <c r="U6448" s="505"/>
      <c r="V6448" s="505"/>
      <c r="W6448" s="505"/>
      <c r="X6448" s="505"/>
      <c r="Y6448" s="505"/>
    </row>
    <row r="6449" spans="1:25" s="88" customFormat="1" hidden="1" x14ac:dyDescent="0.25">
      <c r="A6449" s="258"/>
      <c r="B6449" s="258"/>
      <c r="C6449" s="261"/>
      <c r="D6449" s="258"/>
      <c r="E6449" s="679"/>
      <c r="F6449" s="499">
        <v>512</v>
      </c>
      <c r="G6449" s="496" t="s">
        <v>4159</v>
      </c>
      <c r="H6449" s="555"/>
      <c r="I6449" s="556"/>
      <c r="J6449" s="556">
        <f t="shared" si="212"/>
        <v>0</v>
      </c>
      <c r="K6449" s="505"/>
      <c r="L6449" s="505"/>
      <c r="M6449" s="505"/>
      <c r="N6449" s="505"/>
      <c r="O6449" s="505"/>
      <c r="P6449" s="505"/>
      <c r="Q6449" s="505"/>
      <c r="R6449" s="505"/>
      <c r="S6449" s="505"/>
      <c r="T6449" s="505"/>
      <c r="U6449" s="505"/>
      <c r="V6449" s="505"/>
      <c r="W6449" s="505"/>
      <c r="X6449" s="505"/>
      <c r="Y6449" s="505"/>
    </row>
    <row r="6450" spans="1:25" s="88" customFormat="1" hidden="1" x14ac:dyDescent="0.25">
      <c r="A6450" s="258"/>
      <c r="B6450" s="258"/>
      <c r="C6450" s="261"/>
      <c r="D6450" s="258"/>
      <c r="E6450" s="679"/>
      <c r="F6450" s="499">
        <v>513</v>
      </c>
      <c r="G6450" s="496" t="s">
        <v>4160</v>
      </c>
      <c r="H6450" s="555"/>
      <c r="I6450" s="556"/>
      <c r="J6450" s="556">
        <f t="shared" si="212"/>
        <v>0</v>
      </c>
      <c r="K6450" s="505"/>
      <c r="L6450" s="505"/>
      <c r="M6450" s="505"/>
      <c r="N6450" s="505"/>
      <c r="O6450" s="505"/>
      <c r="P6450" s="505"/>
      <c r="Q6450" s="505"/>
      <c r="R6450" s="505"/>
      <c r="S6450" s="505"/>
      <c r="T6450" s="505"/>
      <c r="U6450" s="505"/>
      <c r="V6450" s="505"/>
      <c r="W6450" s="505"/>
      <c r="X6450" s="505"/>
      <c r="Y6450" s="505"/>
    </row>
    <row r="6451" spans="1:25" s="88" customFormat="1" hidden="1" x14ac:dyDescent="0.25">
      <c r="A6451" s="258"/>
      <c r="B6451" s="258"/>
      <c r="C6451" s="261"/>
      <c r="D6451" s="258"/>
      <c r="E6451" s="679"/>
      <c r="F6451" s="499">
        <v>514</v>
      </c>
      <c r="G6451" s="492" t="s">
        <v>4161</v>
      </c>
      <c r="H6451" s="555"/>
      <c r="I6451" s="556"/>
      <c r="J6451" s="556">
        <f t="shared" si="212"/>
        <v>0</v>
      </c>
      <c r="K6451" s="505"/>
      <c r="L6451" s="505"/>
      <c r="M6451" s="505"/>
      <c r="N6451" s="505"/>
      <c r="O6451" s="505"/>
      <c r="P6451" s="505"/>
      <c r="Q6451" s="505"/>
      <c r="R6451" s="505"/>
      <c r="S6451" s="505"/>
      <c r="T6451" s="505"/>
      <c r="U6451" s="505"/>
      <c r="V6451" s="505"/>
      <c r="W6451" s="505"/>
      <c r="X6451" s="505"/>
      <c r="Y6451" s="505"/>
    </row>
    <row r="6452" spans="1:25" s="88" customFormat="1" hidden="1" x14ac:dyDescent="0.25">
      <c r="A6452" s="258"/>
      <c r="B6452" s="258"/>
      <c r="C6452" s="261"/>
      <c r="D6452" s="258"/>
      <c r="E6452" s="679"/>
      <c r="F6452" s="499">
        <v>515</v>
      </c>
      <c r="G6452" s="492" t="s">
        <v>3834</v>
      </c>
      <c r="H6452" s="555"/>
      <c r="I6452" s="556"/>
      <c r="J6452" s="556">
        <f t="shared" si="212"/>
        <v>0</v>
      </c>
      <c r="K6452" s="505"/>
      <c r="L6452" s="505"/>
      <c r="M6452" s="505"/>
      <c r="N6452" s="505"/>
      <c r="O6452" s="505"/>
      <c r="P6452" s="505"/>
      <c r="Q6452" s="505"/>
      <c r="R6452" s="505"/>
      <c r="S6452" s="505"/>
      <c r="T6452" s="505"/>
      <c r="U6452" s="505"/>
      <c r="V6452" s="505"/>
      <c r="W6452" s="505"/>
      <c r="X6452" s="505"/>
      <c r="Y6452" s="505"/>
    </row>
    <row r="6453" spans="1:25" s="88" customFormat="1" hidden="1" x14ac:dyDescent="0.25">
      <c r="A6453" s="258"/>
      <c r="B6453" s="258"/>
      <c r="C6453" s="261"/>
      <c r="D6453" s="258"/>
      <c r="E6453" s="679"/>
      <c r="F6453" s="499">
        <v>521</v>
      </c>
      <c r="G6453" s="492" t="s">
        <v>4162</v>
      </c>
      <c r="H6453" s="555"/>
      <c r="I6453" s="556"/>
      <c r="J6453" s="556">
        <f t="shared" si="212"/>
        <v>0</v>
      </c>
      <c r="K6453" s="505"/>
      <c r="L6453" s="505"/>
      <c r="M6453" s="505"/>
      <c r="N6453" s="505"/>
      <c r="O6453" s="505"/>
      <c r="P6453" s="505"/>
      <c r="Q6453" s="505"/>
      <c r="R6453" s="505"/>
      <c r="S6453" s="505"/>
      <c r="T6453" s="505"/>
      <c r="U6453" s="505"/>
      <c r="V6453" s="505"/>
      <c r="W6453" s="505"/>
      <c r="X6453" s="505"/>
      <c r="Y6453" s="505"/>
    </row>
    <row r="6454" spans="1:25" s="88" customFormat="1" hidden="1" x14ac:dyDescent="0.25">
      <c r="A6454" s="258"/>
      <c r="B6454" s="258"/>
      <c r="C6454" s="261"/>
      <c r="D6454" s="258"/>
      <c r="E6454" s="679"/>
      <c r="F6454" s="499">
        <v>522</v>
      </c>
      <c r="G6454" s="492" t="s">
        <v>4163</v>
      </c>
      <c r="H6454" s="555"/>
      <c r="I6454" s="556"/>
      <c r="J6454" s="556">
        <f t="shared" si="212"/>
        <v>0</v>
      </c>
      <c r="K6454" s="505"/>
      <c r="L6454" s="505"/>
      <c r="M6454" s="505"/>
      <c r="N6454" s="505"/>
      <c r="O6454" s="505"/>
      <c r="P6454" s="505"/>
      <c r="Q6454" s="505"/>
      <c r="R6454" s="505"/>
      <c r="S6454" s="505"/>
      <c r="T6454" s="505"/>
      <c r="U6454" s="505"/>
      <c r="V6454" s="505"/>
      <c r="W6454" s="505"/>
      <c r="X6454" s="505"/>
      <c r="Y6454" s="505"/>
    </row>
    <row r="6455" spans="1:25" s="88" customFormat="1" hidden="1" x14ac:dyDescent="0.25">
      <c r="A6455" s="258"/>
      <c r="B6455" s="258"/>
      <c r="C6455" s="261"/>
      <c r="D6455" s="258"/>
      <c r="E6455" s="679"/>
      <c r="F6455" s="499">
        <v>523</v>
      </c>
      <c r="G6455" s="492" t="s">
        <v>3839</v>
      </c>
      <c r="H6455" s="555"/>
      <c r="I6455" s="556"/>
      <c r="J6455" s="556">
        <f t="shared" si="212"/>
        <v>0</v>
      </c>
      <c r="K6455" s="505"/>
      <c r="L6455" s="505"/>
      <c r="M6455" s="505"/>
      <c r="N6455" s="505"/>
      <c r="O6455" s="505"/>
      <c r="P6455" s="505"/>
      <c r="Q6455" s="505"/>
      <c r="R6455" s="505"/>
      <c r="S6455" s="505"/>
      <c r="T6455" s="505"/>
      <c r="U6455" s="505"/>
      <c r="V6455" s="505"/>
      <c r="W6455" s="505"/>
      <c r="X6455" s="505"/>
      <c r="Y6455" s="505"/>
    </row>
    <row r="6456" spans="1:25" s="88" customFormat="1" hidden="1" x14ac:dyDescent="0.25">
      <c r="A6456" s="258"/>
      <c r="B6456" s="258"/>
      <c r="C6456" s="261"/>
      <c r="D6456" s="258"/>
      <c r="E6456" s="679"/>
      <c r="F6456" s="499">
        <v>531</v>
      </c>
      <c r="G6456" s="488" t="s">
        <v>4139</v>
      </c>
      <c r="H6456" s="555"/>
      <c r="I6456" s="556"/>
      <c r="J6456" s="556">
        <f t="shared" si="212"/>
        <v>0</v>
      </c>
      <c r="K6456" s="505"/>
      <c r="L6456" s="505"/>
      <c r="M6456" s="505"/>
      <c r="N6456" s="505"/>
      <c r="O6456" s="505"/>
      <c r="P6456" s="505"/>
      <c r="Q6456" s="505"/>
      <c r="R6456" s="505"/>
      <c r="S6456" s="505"/>
      <c r="T6456" s="505"/>
      <c r="U6456" s="505"/>
      <c r="V6456" s="505"/>
      <c r="W6456" s="505"/>
      <c r="X6456" s="505"/>
      <c r="Y6456" s="505"/>
    </row>
    <row r="6457" spans="1:25" s="88" customFormat="1" hidden="1" x14ac:dyDescent="0.25">
      <c r="A6457" s="258"/>
      <c r="B6457" s="258"/>
      <c r="C6457" s="261"/>
      <c r="D6457" s="258"/>
      <c r="E6457" s="679"/>
      <c r="F6457" s="499">
        <v>541</v>
      </c>
      <c r="G6457" s="492" t="s">
        <v>4164</v>
      </c>
      <c r="H6457" s="555"/>
      <c r="I6457" s="556"/>
      <c r="J6457" s="556">
        <f t="shared" si="212"/>
        <v>0</v>
      </c>
      <c r="K6457" s="505"/>
      <c r="L6457" s="505"/>
      <c r="M6457" s="505"/>
      <c r="N6457" s="505"/>
      <c r="O6457" s="505"/>
      <c r="P6457" s="505"/>
      <c r="Q6457" s="505"/>
      <c r="R6457" s="505"/>
      <c r="S6457" s="505"/>
      <c r="T6457" s="505"/>
      <c r="U6457" s="505"/>
      <c r="V6457" s="505"/>
      <c r="W6457" s="505"/>
      <c r="X6457" s="505"/>
      <c r="Y6457" s="505"/>
    </row>
    <row r="6458" spans="1:25" s="88" customFormat="1" hidden="1" x14ac:dyDescent="0.25">
      <c r="A6458" s="258"/>
      <c r="B6458" s="258"/>
      <c r="C6458" s="261"/>
      <c r="D6458" s="258"/>
      <c r="E6458" s="679"/>
      <c r="F6458" s="499">
        <v>542</v>
      </c>
      <c r="G6458" s="492" t="s">
        <v>4165</v>
      </c>
      <c r="H6458" s="555"/>
      <c r="I6458" s="556"/>
      <c r="J6458" s="556">
        <f t="shared" si="212"/>
        <v>0</v>
      </c>
      <c r="K6458" s="505"/>
      <c r="L6458" s="505"/>
      <c r="M6458" s="505"/>
      <c r="N6458" s="505"/>
      <c r="O6458" s="505"/>
      <c r="P6458" s="505"/>
      <c r="Q6458" s="505"/>
      <c r="R6458" s="505"/>
      <c r="S6458" s="505"/>
      <c r="T6458" s="505"/>
      <c r="U6458" s="505"/>
      <c r="V6458" s="505"/>
      <c r="W6458" s="505"/>
      <c r="X6458" s="505"/>
      <c r="Y6458" s="505"/>
    </row>
    <row r="6459" spans="1:25" s="88" customFormat="1" hidden="1" x14ac:dyDescent="0.25">
      <c r="A6459" s="258"/>
      <c r="B6459" s="258"/>
      <c r="C6459" s="261"/>
      <c r="D6459" s="258"/>
      <c r="E6459" s="679"/>
      <c r="F6459" s="499">
        <v>543</v>
      </c>
      <c r="G6459" s="492" t="s">
        <v>3844</v>
      </c>
      <c r="H6459" s="555"/>
      <c r="I6459" s="556"/>
      <c r="J6459" s="556">
        <f t="shared" si="212"/>
        <v>0</v>
      </c>
      <c r="K6459" s="505"/>
      <c r="L6459" s="505"/>
      <c r="M6459" s="505"/>
      <c r="N6459" s="505"/>
      <c r="O6459" s="505"/>
      <c r="P6459" s="505"/>
      <c r="Q6459" s="505"/>
      <c r="R6459" s="505"/>
      <c r="S6459" s="505"/>
      <c r="T6459" s="505"/>
      <c r="U6459" s="505"/>
      <c r="V6459" s="505"/>
      <c r="W6459" s="505"/>
      <c r="X6459" s="505"/>
      <c r="Y6459" s="505"/>
    </row>
    <row r="6460" spans="1:25" s="88" customFormat="1" ht="30" hidden="1" x14ac:dyDescent="0.25">
      <c r="A6460" s="258"/>
      <c r="B6460" s="258"/>
      <c r="C6460" s="261"/>
      <c r="D6460" s="258"/>
      <c r="E6460" s="679"/>
      <c r="F6460" s="499">
        <v>551</v>
      </c>
      <c r="G6460" s="492" t="s">
        <v>4140</v>
      </c>
      <c r="H6460" s="555"/>
      <c r="I6460" s="556"/>
      <c r="J6460" s="556">
        <f t="shared" si="212"/>
        <v>0</v>
      </c>
      <c r="K6460" s="505"/>
      <c r="L6460" s="505"/>
      <c r="M6460" s="505"/>
      <c r="N6460" s="505"/>
      <c r="O6460" s="505"/>
      <c r="P6460" s="505"/>
      <c r="Q6460" s="505"/>
      <c r="R6460" s="505"/>
      <c r="S6460" s="505"/>
      <c r="T6460" s="505"/>
      <c r="U6460" s="505"/>
      <c r="V6460" s="505"/>
      <c r="W6460" s="505"/>
      <c r="X6460" s="505"/>
      <c r="Y6460" s="505"/>
    </row>
    <row r="6461" spans="1:25" s="88" customFormat="1" hidden="1" x14ac:dyDescent="0.25">
      <c r="A6461" s="258"/>
      <c r="B6461" s="258"/>
      <c r="C6461" s="261"/>
      <c r="D6461" s="258"/>
      <c r="E6461" s="679"/>
      <c r="F6461" s="500">
        <v>611</v>
      </c>
      <c r="G6461" s="498" t="s">
        <v>3850</v>
      </c>
      <c r="H6461" s="555"/>
      <c r="I6461" s="556"/>
      <c r="J6461" s="556">
        <f t="shared" si="212"/>
        <v>0</v>
      </c>
      <c r="K6461" s="505"/>
      <c r="L6461" s="505"/>
      <c r="M6461" s="505"/>
      <c r="N6461" s="505"/>
      <c r="O6461" s="505"/>
      <c r="P6461" s="505"/>
      <c r="Q6461" s="505"/>
      <c r="R6461" s="505"/>
      <c r="S6461" s="505"/>
      <c r="T6461" s="505"/>
      <c r="U6461" s="505"/>
      <c r="V6461" s="505"/>
      <c r="W6461" s="505"/>
      <c r="X6461" s="505"/>
      <c r="Y6461" s="505"/>
    </row>
    <row r="6462" spans="1:25" s="88" customFormat="1" ht="0.75" customHeight="1" thickBot="1" x14ac:dyDescent="0.3">
      <c r="A6462" s="258"/>
      <c r="B6462" s="258"/>
      <c r="C6462" s="261"/>
      <c r="D6462" s="258"/>
      <c r="E6462" s="679"/>
      <c r="F6462" s="500">
        <v>620</v>
      </c>
      <c r="G6462" s="498" t="s">
        <v>88</v>
      </c>
      <c r="H6462" s="555"/>
      <c r="I6462" s="556"/>
      <c r="J6462" s="556">
        <f t="shared" si="212"/>
        <v>0</v>
      </c>
      <c r="K6462" s="505"/>
      <c r="L6462" s="505"/>
      <c r="M6462" s="505"/>
      <c r="N6462" s="505"/>
      <c r="O6462" s="505"/>
      <c r="P6462" s="505"/>
      <c r="Q6462" s="505"/>
      <c r="R6462" s="505"/>
      <c r="S6462" s="505"/>
      <c r="T6462" s="505"/>
      <c r="U6462" s="505"/>
      <c r="V6462" s="505"/>
      <c r="W6462" s="505"/>
      <c r="X6462" s="505"/>
      <c r="Y6462" s="505"/>
    </row>
    <row r="6463" spans="1:25" s="88" customFormat="1" x14ac:dyDescent="0.25">
      <c r="A6463" s="258"/>
      <c r="B6463" s="258"/>
      <c r="C6463" s="261"/>
      <c r="D6463" s="258"/>
      <c r="E6463" s="489"/>
      <c r="F6463" s="500"/>
      <c r="G6463" s="343" t="s">
        <v>4320</v>
      </c>
      <c r="H6463" s="557"/>
      <c r="I6463" s="583"/>
      <c r="J6463" s="558"/>
      <c r="K6463" s="505"/>
      <c r="L6463" s="505"/>
      <c r="M6463" s="505"/>
      <c r="N6463" s="505"/>
      <c r="O6463" s="505"/>
      <c r="P6463" s="505"/>
      <c r="Q6463" s="505"/>
      <c r="R6463" s="505"/>
      <c r="S6463" s="505"/>
      <c r="T6463" s="505"/>
      <c r="U6463" s="505"/>
      <c r="V6463" s="505"/>
      <c r="W6463" s="505"/>
      <c r="X6463" s="505"/>
      <c r="Y6463" s="505"/>
    </row>
    <row r="6464" spans="1:25" s="88" customFormat="1" ht="15.75" thickBot="1" x14ac:dyDescent="0.3">
      <c r="A6464" s="258"/>
      <c r="B6464" s="258"/>
      <c r="C6464" s="261"/>
      <c r="D6464" s="258"/>
      <c r="E6464" s="693"/>
      <c r="F6464" s="597" t="s">
        <v>234</v>
      </c>
      <c r="G6464" s="598" t="s">
        <v>235</v>
      </c>
      <c r="H6464" s="559">
        <v>300000</v>
      </c>
      <c r="I6464" s="560"/>
      <c r="J6464" s="560">
        <f t="shared" ref="J6464:J6479" si="213">SUM(H6464:I6464)</f>
        <v>300000</v>
      </c>
      <c r="K6464" s="505"/>
      <c r="L6464" s="505"/>
      <c r="M6464" s="505"/>
      <c r="N6464" s="505"/>
      <c r="O6464" s="505"/>
      <c r="P6464" s="505"/>
      <c r="Q6464" s="505"/>
      <c r="R6464" s="505"/>
      <c r="S6464" s="505"/>
      <c r="T6464" s="505"/>
      <c r="U6464" s="505"/>
      <c r="V6464" s="505"/>
      <c r="W6464" s="505"/>
      <c r="X6464" s="505"/>
      <c r="Y6464" s="505"/>
    </row>
    <row r="6465" spans="1:25" s="88" customFormat="1" hidden="1" x14ac:dyDescent="0.25">
      <c r="A6465" s="258"/>
      <c r="B6465" s="258"/>
      <c r="C6465" s="261"/>
      <c r="D6465" s="258"/>
      <c r="E6465" s="679"/>
      <c r="F6465" s="597" t="s">
        <v>236</v>
      </c>
      <c r="G6465" s="598" t="s">
        <v>237</v>
      </c>
      <c r="H6465" s="555"/>
      <c r="I6465" s="556"/>
      <c r="J6465" s="560">
        <f t="shared" si="213"/>
        <v>0</v>
      </c>
      <c r="K6465" s="505"/>
      <c r="L6465" s="505"/>
      <c r="M6465" s="505"/>
      <c r="N6465" s="505"/>
      <c r="O6465" s="505"/>
      <c r="P6465" s="505"/>
      <c r="Q6465" s="505"/>
      <c r="R6465" s="505"/>
      <c r="S6465" s="505"/>
      <c r="T6465" s="505"/>
      <c r="U6465" s="505"/>
      <c r="V6465" s="505"/>
      <c r="W6465" s="505"/>
      <c r="X6465" s="505"/>
      <c r="Y6465" s="505"/>
    </row>
    <row r="6466" spans="1:25" s="88" customFormat="1" hidden="1" x14ac:dyDescent="0.25">
      <c r="A6466" s="258"/>
      <c r="B6466" s="258"/>
      <c r="C6466" s="261"/>
      <c r="D6466" s="258"/>
      <c r="E6466" s="679"/>
      <c r="F6466" s="597" t="s">
        <v>238</v>
      </c>
      <c r="G6466" s="598" t="s">
        <v>239</v>
      </c>
      <c r="H6466" s="555"/>
      <c r="I6466" s="556"/>
      <c r="J6466" s="560">
        <f t="shared" si="213"/>
        <v>0</v>
      </c>
      <c r="K6466" s="505"/>
      <c r="L6466" s="505"/>
      <c r="M6466" s="505"/>
      <c r="N6466" s="505"/>
      <c r="O6466" s="505"/>
      <c r="P6466" s="505"/>
      <c r="Q6466" s="505"/>
      <c r="R6466" s="505"/>
      <c r="S6466" s="505"/>
      <c r="T6466" s="505"/>
      <c r="U6466" s="505"/>
      <c r="V6466" s="505"/>
      <c r="W6466" s="505"/>
      <c r="X6466" s="505"/>
      <c r="Y6466" s="505"/>
    </row>
    <row r="6467" spans="1:25" s="88" customFormat="1" hidden="1" x14ac:dyDescent="0.25">
      <c r="A6467" s="258"/>
      <c r="B6467" s="258"/>
      <c r="C6467" s="261"/>
      <c r="D6467" s="258"/>
      <c r="E6467" s="679"/>
      <c r="F6467" s="597" t="s">
        <v>240</v>
      </c>
      <c r="G6467" s="598" t="s">
        <v>241</v>
      </c>
      <c r="H6467" s="555"/>
      <c r="I6467" s="556"/>
      <c r="J6467" s="560">
        <f t="shared" si="213"/>
        <v>0</v>
      </c>
      <c r="K6467" s="505"/>
      <c r="L6467" s="505"/>
      <c r="M6467" s="505"/>
      <c r="N6467" s="505"/>
      <c r="O6467" s="505"/>
      <c r="P6467" s="505"/>
      <c r="Q6467" s="505"/>
      <c r="R6467" s="505"/>
      <c r="S6467" s="505"/>
      <c r="T6467" s="505"/>
      <c r="U6467" s="505"/>
      <c r="V6467" s="505"/>
      <c r="W6467" s="505"/>
      <c r="X6467" s="505"/>
      <c r="Y6467" s="505"/>
    </row>
    <row r="6468" spans="1:25" s="88" customFormat="1" hidden="1" x14ac:dyDescent="0.25">
      <c r="A6468" s="258"/>
      <c r="B6468" s="258"/>
      <c r="C6468" s="261"/>
      <c r="D6468" s="258"/>
      <c r="E6468" s="679"/>
      <c r="F6468" s="597" t="s">
        <v>242</v>
      </c>
      <c r="G6468" s="598" t="s">
        <v>243</v>
      </c>
      <c r="H6468" s="555"/>
      <c r="I6468" s="556"/>
      <c r="J6468" s="560">
        <f t="shared" si="213"/>
        <v>0</v>
      </c>
      <c r="K6468" s="505"/>
      <c r="L6468" s="505"/>
      <c r="M6468" s="505"/>
      <c r="N6468" s="505"/>
      <c r="O6468" s="505"/>
      <c r="P6468" s="505"/>
      <c r="Q6468" s="505"/>
      <c r="R6468" s="505"/>
      <c r="S6468" s="505"/>
      <c r="T6468" s="505"/>
      <c r="U6468" s="505"/>
      <c r="V6468" s="505"/>
      <c r="W6468" s="505"/>
      <c r="X6468" s="505"/>
      <c r="Y6468" s="505"/>
    </row>
    <row r="6469" spans="1:25" s="88" customFormat="1" hidden="1" x14ac:dyDescent="0.25">
      <c r="A6469" s="258"/>
      <c r="B6469" s="258"/>
      <c r="C6469" s="261"/>
      <c r="D6469" s="258"/>
      <c r="E6469" s="679"/>
      <c r="F6469" s="597" t="s">
        <v>244</v>
      </c>
      <c r="G6469" s="598" t="s">
        <v>245</v>
      </c>
      <c r="H6469" s="555"/>
      <c r="I6469" s="556"/>
      <c r="J6469" s="560">
        <f t="shared" si="213"/>
        <v>0</v>
      </c>
      <c r="K6469" s="505"/>
      <c r="L6469" s="505"/>
      <c r="M6469" s="505"/>
      <c r="N6469" s="505"/>
      <c r="O6469" s="505"/>
      <c r="P6469" s="505"/>
      <c r="Q6469" s="505"/>
      <c r="R6469" s="505"/>
      <c r="S6469" s="505"/>
      <c r="T6469" s="505"/>
      <c r="U6469" s="505"/>
      <c r="V6469" s="505"/>
      <c r="W6469" s="505"/>
      <c r="X6469" s="505"/>
      <c r="Y6469" s="505"/>
    </row>
    <row r="6470" spans="1:25" s="88" customFormat="1" hidden="1" x14ac:dyDescent="0.25">
      <c r="A6470" s="258"/>
      <c r="B6470" s="258"/>
      <c r="C6470" s="261"/>
      <c r="D6470" s="258"/>
      <c r="E6470" s="679"/>
      <c r="F6470" s="597" t="s">
        <v>246</v>
      </c>
      <c r="G6470" s="598" t="s">
        <v>4996</v>
      </c>
      <c r="H6470" s="555"/>
      <c r="I6470" s="556"/>
      <c r="J6470" s="560">
        <f t="shared" si="213"/>
        <v>0</v>
      </c>
      <c r="K6470" s="505"/>
      <c r="L6470" s="505"/>
      <c r="M6470" s="505"/>
      <c r="N6470" s="505"/>
      <c r="O6470" s="505"/>
      <c r="P6470" s="505"/>
      <c r="Q6470" s="505"/>
      <c r="R6470" s="505"/>
      <c r="S6470" s="505"/>
      <c r="T6470" s="505"/>
      <c r="U6470" s="505"/>
      <c r="V6470" s="505"/>
      <c r="W6470" s="505"/>
      <c r="X6470" s="505"/>
      <c r="Y6470" s="505"/>
    </row>
    <row r="6471" spans="1:25" s="88" customFormat="1" hidden="1" x14ac:dyDescent="0.25">
      <c r="A6471" s="258"/>
      <c r="B6471" s="258"/>
      <c r="C6471" s="261"/>
      <c r="D6471" s="258"/>
      <c r="E6471" s="679"/>
      <c r="F6471" s="597" t="s">
        <v>247</v>
      </c>
      <c r="G6471" s="598" t="s">
        <v>4995</v>
      </c>
      <c r="H6471" s="555"/>
      <c r="I6471" s="556"/>
      <c r="J6471" s="560">
        <f t="shared" si="213"/>
        <v>0</v>
      </c>
      <c r="K6471" s="505"/>
      <c r="L6471" s="505"/>
      <c r="M6471" s="505"/>
      <c r="N6471" s="505"/>
      <c r="O6471" s="505"/>
      <c r="P6471" s="505"/>
      <c r="Q6471" s="505"/>
      <c r="R6471" s="505"/>
      <c r="S6471" s="505"/>
      <c r="T6471" s="505"/>
      <c r="U6471" s="505"/>
      <c r="V6471" s="505"/>
      <c r="W6471" s="505"/>
      <c r="X6471" s="505"/>
      <c r="Y6471" s="505"/>
    </row>
    <row r="6472" spans="1:25" s="88" customFormat="1" hidden="1" x14ac:dyDescent="0.25">
      <c r="A6472" s="258"/>
      <c r="B6472" s="258"/>
      <c r="C6472" s="261"/>
      <c r="D6472" s="258"/>
      <c r="E6472" s="679"/>
      <c r="F6472" s="597" t="s">
        <v>248</v>
      </c>
      <c r="G6472" s="598" t="s">
        <v>57</v>
      </c>
      <c r="H6472" s="555"/>
      <c r="I6472" s="556"/>
      <c r="J6472" s="560">
        <f t="shared" si="213"/>
        <v>0</v>
      </c>
      <c r="K6472" s="505"/>
      <c r="L6472" s="505"/>
      <c r="M6472" s="505"/>
      <c r="N6472" s="505"/>
      <c r="O6472" s="505"/>
      <c r="P6472" s="505"/>
      <c r="Q6472" s="505"/>
      <c r="R6472" s="505"/>
      <c r="S6472" s="505"/>
      <c r="T6472" s="505"/>
      <c r="U6472" s="505"/>
      <c r="V6472" s="505"/>
      <c r="W6472" s="505"/>
      <c r="X6472" s="505"/>
      <c r="Y6472" s="505"/>
    </row>
    <row r="6473" spans="1:25" s="88" customFormat="1" hidden="1" x14ac:dyDescent="0.25">
      <c r="A6473" s="258"/>
      <c r="B6473" s="258"/>
      <c r="C6473" s="261"/>
      <c r="D6473" s="258"/>
      <c r="E6473" s="679"/>
      <c r="F6473" s="597" t="s">
        <v>249</v>
      </c>
      <c r="G6473" s="598" t="s">
        <v>250</v>
      </c>
      <c r="H6473" s="555"/>
      <c r="I6473" s="556"/>
      <c r="J6473" s="560">
        <f t="shared" si="213"/>
        <v>0</v>
      </c>
      <c r="K6473" s="505"/>
      <c r="L6473" s="505"/>
      <c r="M6473" s="505"/>
      <c r="N6473" s="505"/>
      <c r="O6473" s="505"/>
      <c r="P6473" s="505"/>
      <c r="Q6473" s="505"/>
      <c r="R6473" s="505"/>
      <c r="S6473" s="505"/>
      <c r="T6473" s="505"/>
      <c r="U6473" s="505"/>
      <c r="V6473" s="505"/>
      <c r="W6473" s="505"/>
      <c r="X6473" s="505"/>
      <c r="Y6473" s="505"/>
    </row>
    <row r="6474" spans="1:25" s="88" customFormat="1" hidden="1" x14ac:dyDescent="0.25">
      <c r="A6474" s="258"/>
      <c r="B6474" s="258"/>
      <c r="C6474" s="261"/>
      <c r="D6474" s="258"/>
      <c r="E6474" s="679"/>
      <c r="F6474" s="597" t="s">
        <v>251</v>
      </c>
      <c r="G6474" s="598" t="s">
        <v>252</v>
      </c>
      <c r="H6474" s="555"/>
      <c r="I6474" s="556"/>
      <c r="J6474" s="560">
        <f t="shared" si="213"/>
        <v>0</v>
      </c>
      <c r="K6474" s="505"/>
      <c r="L6474" s="505"/>
      <c r="M6474" s="505"/>
      <c r="N6474" s="505"/>
      <c r="O6474" s="505"/>
      <c r="P6474" s="505"/>
      <c r="Q6474" s="505"/>
      <c r="R6474" s="505"/>
      <c r="S6474" s="505"/>
      <c r="T6474" s="505"/>
      <c r="U6474" s="505"/>
      <c r="V6474" s="505"/>
      <c r="W6474" s="505"/>
      <c r="X6474" s="505"/>
      <c r="Y6474" s="505"/>
    </row>
    <row r="6475" spans="1:25" s="88" customFormat="1" ht="30" hidden="1" x14ac:dyDescent="0.25">
      <c r="A6475" s="258"/>
      <c r="B6475" s="258"/>
      <c r="C6475" s="261"/>
      <c r="D6475" s="258"/>
      <c r="E6475" s="679"/>
      <c r="F6475" s="597" t="s">
        <v>253</v>
      </c>
      <c r="G6475" s="598" t="s">
        <v>254</v>
      </c>
      <c r="H6475" s="555"/>
      <c r="I6475" s="556"/>
      <c r="J6475" s="560">
        <f t="shared" si="213"/>
        <v>0</v>
      </c>
      <c r="K6475" s="505"/>
      <c r="L6475" s="505"/>
      <c r="M6475" s="505"/>
      <c r="N6475" s="505"/>
      <c r="O6475" s="505"/>
      <c r="P6475" s="505"/>
      <c r="Q6475" s="505"/>
      <c r="R6475" s="505"/>
      <c r="S6475" s="505"/>
      <c r="T6475" s="505"/>
      <c r="U6475" s="505"/>
      <c r="V6475" s="505"/>
      <c r="W6475" s="505"/>
      <c r="X6475" s="505"/>
      <c r="Y6475" s="505"/>
    </row>
    <row r="6476" spans="1:25" s="88" customFormat="1" hidden="1" x14ac:dyDescent="0.25">
      <c r="A6476" s="258"/>
      <c r="B6476" s="258"/>
      <c r="C6476" s="261"/>
      <c r="D6476" s="258"/>
      <c r="E6476" s="679"/>
      <c r="F6476" s="597" t="s">
        <v>255</v>
      </c>
      <c r="G6476" s="598" t="s">
        <v>256</v>
      </c>
      <c r="H6476" s="555"/>
      <c r="I6476" s="556"/>
      <c r="J6476" s="560">
        <f t="shared" si="213"/>
        <v>0</v>
      </c>
      <c r="K6476" s="505"/>
      <c r="L6476" s="505"/>
      <c r="M6476" s="505"/>
      <c r="N6476" s="505"/>
      <c r="O6476" s="505"/>
      <c r="P6476" s="505"/>
      <c r="Q6476" s="505"/>
      <c r="R6476" s="505"/>
      <c r="S6476" s="505"/>
      <c r="T6476" s="505"/>
      <c r="U6476" s="505"/>
      <c r="V6476" s="505"/>
      <c r="W6476" s="505"/>
      <c r="X6476" s="505"/>
      <c r="Y6476" s="505"/>
    </row>
    <row r="6477" spans="1:25" s="88" customFormat="1" ht="30" hidden="1" x14ac:dyDescent="0.25">
      <c r="A6477" s="258"/>
      <c r="B6477" s="258"/>
      <c r="C6477" s="261"/>
      <c r="D6477" s="258"/>
      <c r="E6477" s="679"/>
      <c r="F6477" s="597" t="s">
        <v>257</v>
      </c>
      <c r="G6477" s="598" t="s">
        <v>258</v>
      </c>
      <c r="H6477" s="555"/>
      <c r="I6477" s="556"/>
      <c r="J6477" s="560">
        <f t="shared" si="213"/>
        <v>0</v>
      </c>
      <c r="K6477" s="505"/>
      <c r="L6477" s="505"/>
      <c r="M6477" s="505"/>
      <c r="N6477" s="505"/>
      <c r="O6477" s="505"/>
      <c r="P6477" s="505"/>
      <c r="Q6477" s="505"/>
      <c r="R6477" s="505"/>
      <c r="S6477" s="505"/>
      <c r="T6477" s="505"/>
      <c r="U6477" s="505"/>
      <c r="V6477" s="505"/>
      <c r="W6477" s="505"/>
      <c r="X6477" s="505"/>
      <c r="Y6477" s="505"/>
    </row>
    <row r="6478" spans="1:25" s="88" customFormat="1" hidden="1" x14ac:dyDescent="0.25">
      <c r="A6478" s="258"/>
      <c r="B6478" s="258"/>
      <c r="C6478" s="261"/>
      <c r="D6478" s="258"/>
      <c r="E6478" s="679"/>
      <c r="F6478" s="597" t="s">
        <v>259</v>
      </c>
      <c r="G6478" s="598" t="s">
        <v>260</v>
      </c>
      <c r="H6478" s="555"/>
      <c r="I6478" s="556"/>
      <c r="J6478" s="560">
        <f t="shared" si="213"/>
        <v>0</v>
      </c>
      <c r="K6478" s="505"/>
      <c r="L6478" s="505"/>
      <c r="M6478" s="505"/>
      <c r="N6478" s="505"/>
      <c r="O6478" s="505"/>
      <c r="P6478" s="505"/>
      <c r="Q6478" s="505"/>
      <c r="R6478" s="505"/>
      <c r="S6478" s="505"/>
      <c r="T6478" s="505"/>
      <c r="U6478" s="505"/>
      <c r="V6478" s="505"/>
      <c r="W6478" s="505"/>
      <c r="X6478" s="505"/>
      <c r="Y6478" s="505"/>
    </row>
    <row r="6479" spans="1:25" s="88" customFormat="1" ht="15.75" hidden="1" thickBot="1" x14ac:dyDescent="0.3">
      <c r="A6479" s="258"/>
      <c r="B6479" s="258"/>
      <c r="C6479" s="261"/>
      <c r="D6479" s="258"/>
      <c r="E6479" s="679"/>
      <c r="F6479" s="597" t="s">
        <v>261</v>
      </c>
      <c r="G6479" s="598" t="s">
        <v>262</v>
      </c>
      <c r="H6479" s="559"/>
      <c r="I6479" s="560"/>
      <c r="J6479" s="560">
        <f t="shared" si="213"/>
        <v>0</v>
      </c>
      <c r="K6479" s="505"/>
      <c r="L6479" s="505"/>
      <c r="M6479" s="505"/>
      <c r="N6479" s="505"/>
      <c r="O6479" s="505"/>
      <c r="P6479" s="505"/>
      <c r="Q6479" s="505"/>
      <c r="R6479" s="505"/>
      <c r="S6479" s="505"/>
      <c r="T6479" s="505"/>
      <c r="U6479" s="505"/>
      <c r="V6479" s="505"/>
      <c r="W6479" s="505"/>
      <c r="X6479" s="505"/>
      <c r="Y6479" s="505"/>
    </row>
    <row r="6480" spans="1:25" s="88" customFormat="1" ht="18" customHeight="1" thickBot="1" x14ac:dyDescent="0.3">
      <c r="A6480" s="258"/>
      <c r="B6480" s="258"/>
      <c r="C6480" s="261"/>
      <c r="D6480" s="258"/>
      <c r="E6480" s="679"/>
      <c r="F6480" s="258"/>
      <c r="G6480" s="268" t="s">
        <v>4321</v>
      </c>
      <c r="H6480" s="561">
        <f>SUM(H6464:H6479)</f>
        <v>300000</v>
      </c>
      <c r="I6480" s="562">
        <f>SUM(I6465:I6479)</f>
        <v>0</v>
      </c>
      <c r="J6480" s="562">
        <f>SUM(J6464:J6479)</f>
        <v>300000</v>
      </c>
      <c r="K6480" s="505"/>
      <c r="L6480" s="505"/>
      <c r="M6480" s="505"/>
      <c r="N6480" s="505"/>
      <c r="O6480" s="505"/>
      <c r="P6480" s="505"/>
      <c r="Q6480" s="505"/>
      <c r="R6480" s="505"/>
      <c r="S6480" s="505"/>
      <c r="T6480" s="505"/>
      <c r="U6480" s="505"/>
      <c r="V6480" s="505"/>
      <c r="W6480" s="505"/>
      <c r="X6480" s="505"/>
      <c r="Y6480" s="505"/>
    </row>
    <row r="6481" spans="1:25" s="88" customFormat="1" ht="28.5" x14ac:dyDescent="0.25">
      <c r="A6481" s="258"/>
      <c r="B6481" s="258"/>
      <c r="C6481" s="261"/>
      <c r="D6481" s="258"/>
      <c r="E6481" s="489"/>
      <c r="F6481" s="500"/>
      <c r="G6481" s="270" t="s">
        <v>5327</v>
      </c>
      <c r="H6481" s="563"/>
      <c r="I6481" s="584"/>
      <c r="J6481" s="564"/>
      <c r="K6481" s="505"/>
      <c r="L6481" s="505"/>
      <c r="M6481" s="505"/>
      <c r="N6481" s="505"/>
      <c r="O6481" s="505"/>
      <c r="P6481" s="505"/>
      <c r="Q6481" s="505"/>
      <c r="R6481" s="505"/>
      <c r="S6481" s="505"/>
      <c r="T6481" s="505"/>
      <c r="U6481" s="505"/>
      <c r="V6481" s="505"/>
      <c r="W6481" s="505"/>
      <c r="X6481" s="505"/>
      <c r="Y6481" s="505"/>
    </row>
    <row r="6482" spans="1:25" s="88" customFormat="1" ht="15.75" thickBot="1" x14ac:dyDescent="0.3">
      <c r="A6482" s="258"/>
      <c r="B6482" s="258"/>
      <c r="C6482" s="261"/>
      <c r="D6482" s="258"/>
      <c r="E6482" s="693"/>
      <c r="F6482" s="597" t="s">
        <v>234</v>
      </c>
      <c r="G6482" s="598" t="s">
        <v>235</v>
      </c>
      <c r="H6482" s="559">
        <f>SUM(H6403:H6461)</f>
        <v>300000</v>
      </c>
      <c r="I6482" s="560"/>
      <c r="J6482" s="560">
        <f>SUM(H6482:I6482)</f>
        <v>300000</v>
      </c>
      <c r="K6482" s="505"/>
      <c r="L6482" s="505"/>
      <c r="M6482" s="505"/>
      <c r="N6482" s="505"/>
      <c r="O6482" s="505"/>
      <c r="P6482" s="505"/>
      <c r="Q6482" s="505"/>
      <c r="R6482" s="505"/>
      <c r="S6482" s="505"/>
      <c r="T6482" s="505"/>
      <c r="U6482" s="505"/>
      <c r="V6482" s="505"/>
      <c r="W6482" s="505"/>
      <c r="X6482" s="505"/>
      <c r="Y6482" s="505"/>
    </row>
    <row r="6483" spans="1:25" s="88" customFormat="1" ht="15.75" hidden="1" thickBot="1" x14ac:dyDescent="0.3">
      <c r="A6483" s="258"/>
      <c r="B6483" s="258"/>
      <c r="C6483" s="261"/>
      <c r="D6483" s="258"/>
      <c r="E6483" s="679"/>
      <c r="F6483" s="597" t="s">
        <v>236</v>
      </c>
      <c r="G6483" s="598" t="s">
        <v>237</v>
      </c>
      <c r="H6483" s="555"/>
      <c r="I6483" s="556"/>
      <c r="J6483" s="560">
        <f t="shared" ref="J6483:J6497" si="214">SUM(H6483:I6483)</f>
        <v>0</v>
      </c>
      <c r="K6483" s="505"/>
      <c r="L6483" s="505"/>
      <c r="M6483" s="505"/>
      <c r="N6483" s="505"/>
      <c r="O6483" s="505"/>
      <c r="P6483" s="505"/>
      <c r="Q6483" s="505"/>
      <c r="R6483" s="505"/>
      <c r="S6483" s="505"/>
      <c r="T6483" s="505"/>
      <c r="U6483" s="505"/>
      <c r="V6483" s="505"/>
      <c r="W6483" s="505"/>
      <c r="X6483" s="505"/>
      <c r="Y6483" s="505"/>
    </row>
    <row r="6484" spans="1:25" s="88" customFormat="1" ht="15.75" hidden="1" thickBot="1" x14ac:dyDescent="0.3">
      <c r="A6484" s="258"/>
      <c r="B6484" s="258"/>
      <c r="C6484" s="261"/>
      <c r="D6484" s="258"/>
      <c r="E6484" s="679"/>
      <c r="F6484" s="597" t="s">
        <v>238</v>
      </c>
      <c r="G6484" s="598" t="s">
        <v>239</v>
      </c>
      <c r="H6484" s="555"/>
      <c r="I6484" s="556"/>
      <c r="J6484" s="560">
        <f t="shared" si="214"/>
        <v>0</v>
      </c>
      <c r="K6484" s="505"/>
      <c r="L6484" s="505"/>
      <c r="M6484" s="505"/>
      <c r="N6484" s="505"/>
      <c r="O6484" s="505"/>
      <c r="P6484" s="505"/>
      <c r="Q6484" s="505"/>
      <c r="R6484" s="505"/>
      <c r="S6484" s="505"/>
      <c r="T6484" s="505"/>
      <c r="U6484" s="505"/>
      <c r="V6484" s="505"/>
      <c r="W6484" s="505"/>
      <c r="X6484" s="505"/>
      <c r="Y6484" s="505"/>
    </row>
    <row r="6485" spans="1:25" s="88" customFormat="1" ht="15.75" hidden="1" thickBot="1" x14ac:dyDescent="0.3">
      <c r="A6485" s="258"/>
      <c r="B6485" s="258"/>
      <c r="C6485" s="261"/>
      <c r="D6485" s="258"/>
      <c r="E6485" s="679"/>
      <c r="F6485" s="597" t="s">
        <v>240</v>
      </c>
      <c r="G6485" s="598" t="s">
        <v>241</v>
      </c>
      <c r="H6485" s="555"/>
      <c r="I6485" s="556"/>
      <c r="J6485" s="560">
        <f t="shared" si="214"/>
        <v>0</v>
      </c>
      <c r="K6485" s="505"/>
      <c r="L6485" s="505"/>
      <c r="M6485" s="505"/>
      <c r="N6485" s="505"/>
      <c r="O6485" s="505"/>
      <c r="P6485" s="505"/>
      <c r="Q6485" s="505"/>
      <c r="R6485" s="505"/>
      <c r="S6485" s="505"/>
      <c r="T6485" s="505"/>
      <c r="U6485" s="505"/>
      <c r="V6485" s="505"/>
      <c r="W6485" s="505"/>
      <c r="X6485" s="505"/>
      <c r="Y6485" s="505"/>
    </row>
    <row r="6486" spans="1:25" s="88" customFormat="1" ht="15.75" hidden="1" thickBot="1" x14ac:dyDescent="0.3">
      <c r="A6486" s="258"/>
      <c r="B6486" s="258"/>
      <c r="C6486" s="261"/>
      <c r="D6486" s="258"/>
      <c r="E6486" s="679"/>
      <c r="F6486" s="597" t="s">
        <v>242</v>
      </c>
      <c r="G6486" s="598" t="s">
        <v>243</v>
      </c>
      <c r="H6486" s="555"/>
      <c r="I6486" s="556"/>
      <c r="J6486" s="560">
        <f t="shared" si="214"/>
        <v>0</v>
      </c>
      <c r="K6486" s="505"/>
      <c r="L6486" s="505"/>
      <c r="M6486" s="505"/>
      <c r="N6486" s="505"/>
      <c r="O6486" s="505"/>
      <c r="P6486" s="505"/>
      <c r="Q6486" s="505"/>
      <c r="R6486" s="505"/>
      <c r="S6486" s="505"/>
      <c r="T6486" s="505"/>
      <c r="U6486" s="505"/>
      <c r="V6486" s="505"/>
      <c r="W6486" s="505"/>
      <c r="X6486" s="505"/>
      <c r="Y6486" s="505"/>
    </row>
    <row r="6487" spans="1:25" s="88" customFormat="1" ht="15.75" hidden="1" thickBot="1" x14ac:dyDescent="0.3">
      <c r="A6487" s="258"/>
      <c r="B6487" s="258"/>
      <c r="C6487" s="261"/>
      <c r="D6487" s="258"/>
      <c r="E6487" s="679"/>
      <c r="F6487" s="597" t="s">
        <v>244</v>
      </c>
      <c r="G6487" s="598" t="s">
        <v>245</v>
      </c>
      <c r="H6487" s="555"/>
      <c r="I6487" s="556"/>
      <c r="J6487" s="560">
        <f t="shared" si="214"/>
        <v>0</v>
      </c>
      <c r="K6487" s="505"/>
      <c r="L6487" s="505"/>
      <c r="M6487" s="505"/>
      <c r="N6487" s="505"/>
      <c r="O6487" s="505"/>
      <c r="P6487" s="505"/>
      <c r="Q6487" s="505"/>
      <c r="R6487" s="505"/>
      <c r="S6487" s="505"/>
      <c r="T6487" s="505"/>
      <c r="U6487" s="505"/>
      <c r="V6487" s="505"/>
      <c r="W6487" s="505"/>
      <c r="X6487" s="505"/>
      <c r="Y6487" s="505"/>
    </row>
    <row r="6488" spans="1:25" s="88" customFormat="1" ht="15.75" hidden="1" thickBot="1" x14ac:dyDescent="0.3">
      <c r="A6488" s="258"/>
      <c r="B6488" s="258"/>
      <c r="C6488" s="261"/>
      <c r="D6488" s="258"/>
      <c r="E6488" s="679"/>
      <c r="F6488" s="597" t="s">
        <v>246</v>
      </c>
      <c r="G6488" s="598" t="s">
        <v>4996</v>
      </c>
      <c r="H6488" s="555"/>
      <c r="I6488" s="556"/>
      <c r="J6488" s="560">
        <f t="shared" si="214"/>
        <v>0</v>
      </c>
      <c r="K6488" s="505"/>
      <c r="L6488" s="505"/>
      <c r="M6488" s="505"/>
      <c r="N6488" s="505"/>
      <c r="O6488" s="505"/>
      <c r="P6488" s="505"/>
      <c r="Q6488" s="505"/>
      <c r="R6488" s="505"/>
      <c r="S6488" s="505"/>
      <c r="T6488" s="505"/>
      <c r="U6488" s="505"/>
      <c r="V6488" s="505"/>
      <c r="W6488" s="505"/>
      <c r="X6488" s="505"/>
      <c r="Y6488" s="505"/>
    </row>
    <row r="6489" spans="1:25" s="88" customFormat="1" ht="15.75" hidden="1" thickBot="1" x14ac:dyDescent="0.3">
      <c r="A6489" s="258"/>
      <c r="B6489" s="258"/>
      <c r="C6489" s="261"/>
      <c r="D6489" s="258"/>
      <c r="E6489" s="679"/>
      <c r="F6489" s="597" t="s">
        <v>247</v>
      </c>
      <c r="G6489" s="598" t="s">
        <v>4995</v>
      </c>
      <c r="H6489" s="555"/>
      <c r="I6489" s="556"/>
      <c r="J6489" s="560">
        <f t="shared" si="214"/>
        <v>0</v>
      </c>
      <c r="K6489" s="505"/>
      <c r="L6489" s="505"/>
      <c r="M6489" s="505"/>
      <c r="N6489" s="505"/>
      <c r="O6489" s="505"/>
      <c r="P6489" s="505"/>
      <c r="Q6489" s="505"/>
      <c r="R6489" s="505"/>
      <c r="S6489" s="505"/>
      <c r="T6489" s="505"/>
      <c r="U6489" s="505"/>
      <c r="V6489" s="505"/>
      <c r="W6489" s="505"/>
      <c r="X6489" s="505"/>
      <c r="Y6489" s="505"/>
    </row>
    <row r="6490" spans="1:25" s="88" customFormat="1" ht="15.75" hidden="1" thickBot="1" x14ac:dyDescent="0.3">
      <c r="A6490" s="258"/>
      <c r="B6490" s="258"/>
      <c r="C6490" s="261"/>
      <c r="D6490" s="258"/>
      <c r="E6490" s="679"/>
      <c r="F6490" s="597" t="s">
        <v>248</v>
      </c>
      <c r="G6490" s="598" t="s">
        <v>57</v>
      </c>
      <c r="H6490" s="555"/>
      <c r="I6490" s="556"/>
      <c r="J6490" s="560">
        <f t="shared" si="214"/>
        <v>0</v>
      </c>
      <c r="K6490" s="505"/>
      <c r="L6490" s="505"/>
      <c r="M6490" s="505"/>
      <c r="N6490" s="505"/>
      <c r="O6490" s="505"/>
      <c r="P6490" s="505"/>
      <c r="Q6490" s="505"/>
      <c r="R6490" s="505"/>
      <c r="S6490" s="505"/>
      <c r="T6490" s="505"/>
      <c r="U6490" s="505"/>
      <c r="V6490" s="505"/>
      <c r="W6490" s="505"/>
      <c r="X6490" s="505"/>
      <c r="Y6490" s="505"/>
    </row>
    <row r="6491" spans="1:25" s="88" customFormat="1" ht="15.75" hidden="1" thickBot="1" x14ac:dyDescent="0.3">
      <c r="A6491" s="258"/>
      <c r="B6491" s="258"/>
      <c r="C6491" s="261"/>
      <c r="D6491" s="258"/>
      <c r="E6491" s="679"/>
      <c r="F6491" s="597" t="s">
        <v>249</v>
      </c>
      <c r="G6491" s="598" t="s">
        <v>250</v>
      </c>
      <c r="H6491" s="555"/>
      <c r="I6491" s="556"/>
      <c r="J6491" s="560">
        <f t="shared" si="214"/>
        <v>0</v>
      </c>
      <c r="K6491" s="505"/>
      <c r="L6491" s="505"/>
      <c r="M6491" s="505"/>
      <c r="N6491" s="505"/>
      <c r="O6491" s="505"/>
      <c r="P6491" s="505"/>
      <c r="Q6491" s="505"/>
      <c r="R6491" s="505"/>
      <c r="S6491" s="505"/>
      <c r="T6491" s="505"/>
      <c r="U6491" s="505"/>
      <c r="V6491" s="505"/>
      <c r="W6491" s="505"/>
      <c r="X6491" s="505"/>
      <c r="Y6491" s="505"/>
    </row>
    <row r="6492" spans="1:25" s="88" customFormat="1" ht="15.75" hidden="1" thickBot="1" x14ac:dyDescent="0.3">
      <c r="A6492" s="258"/>
      <c r="B6492" s="258"/>
      <c r="C6492" s="261"/>
      <c r="D6492" s="258"/>
      <c r="E6492" s="679"/>
      <c r="F6492" s="597" t="s">
        <v>251</v>
      </c>
      <c r="G6492" s="598" t="s">
        <v>252</v>
      </c>
      <c r="H6492" s="555"/>
      <c r="I6492" s="556"/>
      <c r="J6492" s="560">
        <f t="shared" si="214"/>
        <v>0</v>
      </c>
      <c r="K6492" s="505"/>
      <c r="L6492" s="505"/>
      <c r="M6492" s="505"/>
      <c r="N6492" s="505"/>
      <c r="O6492" s="505"/>
      <c r="P6492" s="505"/>
      <c r="Q6492" s="505"/>
      <c r="R6492" s="505"/>
      <c r="S6492" s="505"/>
      <c r="T6492" s="505"/>
      <c r="U6492" s="505"/>
      <c r="V6492" s="505"/>
      <c r="W6492" s="505"/>
      <c r="X6492" s="505"/>
      <c r="Y6492" s="505"/>
    </row>
    <row r="6493" spans="1:25" s="88" customFormat="1" ht="30.75" hidden="1" thickBot="1" x14ac:dyDescent="0.3">
      <c r="A6493" s="258"/>
      <c r="B6493" s="258"/>
      <c r="C6493" s="261"/>
      <c r="D6493" s="258"/>
      <c r="E6493" s="679"/>
      <c r="F6493" s="597" t="s">
        <v>253</v>
      </c>
      <c r="G6493" s="598" t="s">
        <v>254</v>
      </c>
      <c r="H6493" s="555"/>
      <c r="I6493" s="556"/>
      <c r="J6493" s="560">
        <f t="shared" si="214"/>
        <v>0</v>
      </c>
      <c r="K6493" s="505"/>
      <c r="L6493" s="505"/>
      <c r="M6493" s="505"/>
      <c r="N6493" s="505"/>
      <c r="O6493" s="505"/>
      <c r="P6493" s="505"/>
      <c r="Q6493" s="505"/>
      <c r="R6493" s="505"/>
      <c r="S6493" s="505"/>
      <c r="T6493" s="505"/>
      <c r="U6493" s="505"/>
      <c r="V6493" s="505"/>
      <c r="W6493" s="505"/>
      <c r="X6493" s="505"/>
      <c r="Y6493" s="505"/>
    </row>
    <row r="6494" spans="1:25" s="88" customFormat="1" ht="15.75" hidden="1" thickBot="1" x14ac:dyDescent="0.3">
      <c r="A6494" s="258"/>
      <c r="B6494" s="258"/>
      <c r="C6494" s="261"/>
      <c r="D6494" s="258"/>
      <c r="E6494" s="679"/>
      <c r="F6494" s="597" t="s">
        <v>255</v>
      </c>
      <c r="G6494" s="598" t="s">
        <v>256</v>
      </c>
      <c r="H6494" s="555"/>
      <c r="I6494" s="556"/>
      <c r="J6494" s="560">
        <f t="shared" si="214"/>
        <v>0</v>
      </c>
      <c r="K6494" s="505"/>
      <c r="L6494" s="505"/>
      <c r="M6494" s="505"/>
      <c r="N6494" s="505"/>
      <c r="O6494" s="505"/>
      <c r="P6494" s="505"/>
      <c r="Q6494" s="505"/>
      <c r="R6494" s="505"/>
      <c r="S6494" s="505"/>
      <c r="T6494" s="505"/>
      <c r="U6494" s="505"/>
      <c r="V6494" s="505"/>
      <c r="W6494" s="505"/>
      <c r="X6494" s="505"/>
      <c r="Y6494" s="505"/>
    </row>
    <row r="6495" spans="1:25" s="88" customFormat="1" ht="30.75" hidden="1" thickBot="1" x14ac:dyDescent="0.3">
      <c r="A6495" s="258"/>
      <c r="B6495" s="258"/>
      <c r="C6495" s="261"/>
      <c r="D6495" s="258"/>
      <c r="E6495" s="679"/>
      <c r="F6495" s="597" t="s">
        <v>257</v>
      </c>
      <c r="G6495" s="598" t="s">
        <v>258</v>
      </c>
      <c r="H6495" s="555"/>
      <c r="I6495" s="556"/>
      <c r="J6495" s="560">
        <f t="shared" si="214"/>
        <v>0</v>
      </c>
      <c r="K6495" s="505"/>
      <c r="L6495" s="505"/>
      <c r="M6495" s="505"/>
      <c r="N6495" s="505"/>
      <c r="O6495" s="505"/>
      <c r="P6495" s="505"/>
      <c r="Q6495" s="505"/>
      <c r="R6495" s="505"/>
      <c r="S6495" s="505"/>
      <c r="T6495" s="505"/>
      <c r="U6495" s="505"/>
      <c r="V6495" s="505"/>
      <c r="W6495" s="505"/>
      <c r="X6495" s="505"/>
      <c r="Y6495" s="505"/>
    </row>
    <row r="6496" spans="1:25" s="88" customFormat="1" ht="15.75" hidden="1" thickBot="1" x14ac:dyDescent="0.3">
      <c r="A6496" s="258"/>
      <c r="B6496" s="258"/>
      <c r="C6496" s="261"/>
      <c r="D6496" s="258"/>
      <c r="E6496" s="679"/>
      <c r="F6496" s="597" t="s">
        <v>259</v>
      </c>
      <c r="G6496" s="598" t="s">
        <v>260</v>
      </c>
      <c r="H6496" s="555"/>
      <c r="I6496" s="556"/>
      <c r="J6496" s="560">
        <f t="shared" si="214"/>
        <v>0</v>
      </c>
      <c r="K6496" s="505"/>
      <c r="L6496" s="505"/>
      <c r="M6496" s="505"/>
      <c r="N6496" s="505"/>
      <c r="O6496" s="505"/>
      <c r="P6496" s="505"/>
      <c r="Q6496" s="505"/>
      <c r="R6496" s="505"/>
      <c r="S6496" s="505"/>
      <c r="T6496" s="505"/>
      <c r="U6496" s="505"/>
      <c r="V6496" s="505"/>
      <c r="W6496" s="505"/>
      <c r="X6496" s="505"/>
      <c r="Y6496" s="505"/>
    </row>
    <row r="6497" spans="1:25" s="88" customFormat="1" ht="15.75" hidden="1" thickBot="1" x14ac:dyDescent="0.3">
      <c r="A6497" s="258"/>
      <c r="B6497" s="258"/>
      <c r="C6497" s="261"/>
      <c r="D6497" s="258"/>
      <c r="E6497" s="679"/>
      <c r="F6497" s="597" t="s">
        <v>261</v>
      </c>
      <c r="G6497" s="598" t="s">
        <v>262</v>
      </c>
      <c r="H6497" s="559"/>
      <c r="I6497" s="560"/>
      <c r="J6497" s="560">
        <f t="shared" si="214"/>
        <v>0</v>
      </c>
      <c r="K6497" s="505"/>
      <c r="L6497" s="505"/>
      <c r="M6497" s="505"/>
      <c r="N6497" s="505"/>
      <c r="O6497" s="505"/>
      <c r="P6497" s="505"/>
      <c r="Q6497" s="505"/>
      <c r="R6497" s="505"/>
      <c r="S6497" s="505"/>
      <c r="T6497" s="505"/>
      <c r="U6497" s="505"/>
      <c r="V6497" s="505"/>
      <c r="W6497" s="505"/>
      <c r="X6497" s="505"/>
      <c r="Y6497" s="505"/>
    </row>
    <row r="6498" spans="1:25" s="88" customFormat="1" ht="18" customHeight="1" thickBot="1" x14ac:dyDescent="0.3">
      <c r="A6498" s="258"/>
      <c r="B6498" s="258"/>
      <c r="C6498" s="261"/>
      <c r="D6498" s="258"/>
      <c r="E6498" s="679"/>
      <c r="F6498" s="258"/>
      <c r="G6498" s="268" t="s">
        <v>4918</v>
      </c>
      <c r="H6498" s="561">
        <f>SUM(H6482:H6497)</f>
        <v>300000</v>
      </c>
      <c r="I6498" s="562">
        <f>SUM(I6483:I6497)</f>
        <v>0</v>
      </c>
      <c r="J6498" s="562">
        <f>SUM(J6482:J6497)</f>
        <v>300000</v>
      </c>
      <c r="K6498" s="505"/>
      <c r="L6498" s="505"/>
      <c r="M6498" s="505"/>
      <c r="N6498" s="505"/>
      <c r="O6498" s="505"/>
      <c r="P6498" s="505"/>
      <c r="Q6498" s="505"/>
      <c r="R6498" s="505"/>
      <c r="S6498" s="505"/>
      <c r="T6498" s="505"/>
      <c r="U6498" s="505"/>
      <c r="V6498" s="505"/>
      <c r="W6498" s="505"/>
      <c r="X6498" s="505"/>
      <c r="Y6498" s="505"/>
    </row>
    <row r="6499" spans="1:25" s="88" customFormat="1" x14ac:dyDescent="0.25">
      <c r="A6499" s="258"/>
      <c r="B6499" s="288"/>
      <c r="C6499" s="302" t="s">
        <v>4745</v>
      </c>
      <c r="D6499" s="259"/>
      <c r="E6499" s="702"/>
      <c r="F6499" s="303"/>
      <c r="G6499" s="304" t="s">
        <v>5328</v>
      </c>
      <c r="H6499" s="588"/>
      <c r="I6499" s="571"/>
      <c r="J6499" s="589"/>
      <c r="K6499" s="505"/>
      <c r="L6499" s="505"/>
      <c r="M6499" s="505"/>
      <c r="N6499" s="505"/>
      <c r="O6499" s="505"/>
      <c r="P6499" s="505"/>
      <c r="Q6499" s="505"/>
      <c r="R6499" s="505"/>
      <c r="S6499" s="505"/>
      <c r="T6499" s="505"/>
      <c r="U6499" s="505"/>
      <c r="V6499" s="505"/>
      <c r="W6499" s="505"/>
      <c r="X6499" s="505"/>
      <c r="Y6499" s="505"/>
    </row>
    <row r="6500" spans="1:25" s="88" customFormat="1" ht="17.25" customHeight="1" x14ac:dyDescent="0.25">
      <c r="A6500" s="258"/>
      <c r="B6500" s="288"/>
      <c r="C6500" s="294"/>
      <c r="D6500" s="348" t="s">
        <v>4001</v>
      </c>
      <c r="E6500" s="871"/>
      <c r="F6500" s="345"/>
      <c r="G6500" s="346" t="s">
        <v>207</v>
      </c>
      <c r="H6500" s="555"/>
      <c r="I6500" s="556"/>
      <c r="J6500" s="556"/>
      <c r="K6500" s="505"/>
      <c r="L6500" s="505"/>
      <c r="M6500" s="505"/>
      <c r="N6500" s="505"/>
      <c r="O6500" s="505"/>
      <c r="P6500" s="505"/>
      <c r="Q6500" s="505"/>
      <c r="R6500" s="505"/>
      <c r="S6500" s="505"/>
      <c r="T6500" s="505"/>
      <c r="U6500" s="505"/>
      <c r="V6500" s="505"/>
      <c r="W6500" s="505"/>
      <c r="X6500" s="505"/>
      <c r="Y6500" s="505"/>
    </row>
    <row r="6501" spans="1:25" s="88" customFormat="1" hidden="1" x14ac:dyDescent="0.25">
      <c r="A6501" s="258"/>
      <c r="B6501" s="258"/>
      <c r="C6501" s="261"/>
      <c r="D6501" s="258"/>
      <c r="E6501" s="679"/>
      <c r="F6501" s="499">
        <v>411</v>
      </c>
      <c r="G6501" s="492" t="s">
        <v>4131</v>
      </c>
      <c r="H6501" s="555"/>
      <c r="I6501" s="556"/>
      <c r="J6501" s="556">
        <f>SUM(H6501:I6501)</f>
        <v>0</v>
      </c>
      <c r="K6501" s="505"/>
      <c r="L6501" s="505"/>
      <c r="M6501" s="505"/>
      <c r="N6501" s="505"/>
      <c r="O6501" s="505"/>
      <c r="P6501" s="505"/>
      <c r="Q6501" s="505"/>
      <c r="R6501" s="505"/>
      <c r="S6501" s="505"/>
      <c r="T6501" s="505"/>
      <c r="U6501" s="505"/>
      <c r="V6501" s="505"/>
      <c r="W6501" s="505"/>
      <c r="X6501" s="505"/>
      <c r="Y6501" s="505"/>
    </row>
    <row r="6502" spans="1:25" s="88" customFormat="1" hidden="1" x14ac:dyDescent="0.25">
      <c r="A6502" s="258"/>
      <c r="B6502" s="258"/>
      <c r="C6502" s="261"/>
      <c r="D6502" s="258"/>
      <c r="E6502" s="679"/>
      <c r="F6502" s="499">
        <v>412</v>
      </c>
      <c r="G6502" s="488" t="s">
        <v>3766</v>
      </c>
      <c r="H6502" s="555"/>
      <c r="I6502" s="556"/>
      <c r="J6502" s="556">
        <f t="shared" ref="J6502:J6560" si="215">SUM(H6502:I6502)</f>
        <v>0</v>
      </c>
      <c r="K6502" s="505"/>
      <c r="L6502" s="505"/>
      <c r="M6502" s="505"/>
      <c r="N6502" s="505"/>
      <c r="O6502" s="505"/>
      <c r="P6502" s="505"/>
      <c r="Q6502" s="505"/>
      <c r="R6502" s="505"/>
      <c r="S6502" s="505"/>
      <c r="T6502" s="505"/>
      <c r="U6502" s="505"/>
      <c r="V6502" s="505"/>
      <c r="W6502" s="505"/>
      <c r="X6502" s="505"/>
      <c r="Y6502" s="505"/>
    </row>
    <row r="6503" spans="1:25" s="88" customFormat="1" hidden="1" x14ac:dyDescent="0.25">
      <c r="A6503" s="258"/>
      <c r="B6503" s="258"/>
      <c r="C6503" s="261"/>
      <c r="D6503" s="258"/>
      <c r="E6503" s="679"/>
      <c r="F6503" s="499">
        <v>413</v>
      </c>
      <c r="G6503" s="492" t="s">
        <v>4132</v>
      </c>
      <c r="H6503" s="555"/>
      <c r="I6503" s="556"/>
      <c r="J6503" s="556">
        <f t="shared" si="215"/>
        <v>0</v>
      </c>
      <c r="K6503" s="505"/>
      <c r="L6503" s="505"/>
      <c r="M6503" s="505"/>
      <c r="N6503" s="505"/>
      <c r="O6503" s="505"/>
      <c r="P6503" s="505"/>
      <c r="Q6503" s="505"/>
      <c r="R6503" s="505"/>
      <c r="S6503" s="505"/>
      <c r="T6503" s="505"/>
      <c r="U6503" s="505"/>
      <c r="V6503" s="505"/>
      <c r="W6503" s="505"/>
      <c r="X6503" s="505"/>
      <c r="Y6503" s="505"/>
    </row>
    <row r="6504" spans="1:25" s="88" customFormat="1" hidden="1" x14ac:dyDescent="0.25">
      <c r="A6504" s="258"/>
      <c r="B6504" s="258"/>
      <c r="C6504" s="261"/>
      <c r="D6504" s="258"/>
      <c r="E6504" s="679"/>
      <c r="F6504" s="499">
        <v>414</v>
      </c>
      <c r="G6504" s="492" t="s">
        <v>3769</v>
      </c>
      <c r="H6504" s="555"/>
      <c r="I6504" s="556"/>
      <c r="J6504" s="556">
        <f t="shared" si="215"/>
        <v>0</v>
      </c>
      <c r="K6504" s="505"/>
      <c r="L6504" s="505"/>
      <c r="M6504" s="505"/>
      <c r="N6504" s="505"/>
      <c r="O6504" s="505"/>
      <c r="P6504" s="505"/>
      <c r="Q6504" s="505"/>
      <c r="R6504" s="505"/>
      <c r="S6504" s="505"/>
      <c r="T6504" s="505"/>
      <c r="U6504" s="505"/>
      <c r="V6504" s="505"/>
      <c r="W6504" s="505"/>
      <c r="X6504" s="505"/>
      <c r="Y6504" s="505"/>
    </row>
    <row r="6505" spans="1:25" s="88" customFormat="1" hidden="1" x14ac:dyDescent="0.25">
      <c r="A6505" s="258"/>
      <c r="B6505" s="258"/>
      <c r="C6505" s="261"/>
      <c r="D6505" s="258"/>
      <c r="E6505" s="679"/>
      <c r="F6505" s="499">
        <v>415</v>
      </c>
      <c r="G6505" s="492" t="s">
        <v>4141</v>
      </c>
      <c r="H6505" s="555"/>
      <c r="I6505" s="556"/>
      <c r="J6505" s="556">
        <f t="shared" si="215"/>
        <v>0</v>
      </c>
      <c r="K6505" s="505"/>
      <c r="L6505" s="505"/>
      <c r="M6505" s="505"/>
      <c r="N6505" s="505"/>
      <c r="O6505" s="505"/>
      <c r="P6505" s="505"/>
      <c r="Q6505" s="505"/>
      <c r="R6505" s="505"/>
      <c r="S6505" s="505"/>
      <c r="T6505" s="505"/>
      <c r="U6505" s="505"/>
      <c r="V6505" s="505"/>
      <c r="W6505" s="505"/>
      <c r="X6505" s="505"/>
      <c r="Y6505" s="505"/>
    </row>
    <row r="6506" spans="1:25" s="88" customFormat="1" hidden="1" x14ac:dyDescent="0.25">
      <c r="A6506" s="258"/>
      <c r="B6506" s="258"/>
      <c r="C6506" s="261"/>
      <c r="D6506" s="258"/>
      <c r="E6506" s="679"/>
      <c r="F6506" s="499">
        <v>416</v>
      </c>
      <c r="G6506" s="492" t="s">
        <v>4142</v>
      </c>
      <c r="H6506" s="555"/>
      <c r="I6506" s="556"/>
      <c r="J6506" s="556">
        <f t="shared" si="215"/>
        <v>0</v>
      </c>
      <c r="K6506" s="505"/>
      <c r="L6506" s="505"/>
      <c r="M6506" s="505"/>
      <c r="N6506" s="505"/>
      <c r="O6506" s="505"/>
      <c r="P6506" s="505"/>
      <c r="Q6506" s="505"/>
      <c r="R6506" s="505"/>
      <c r="S6506" s="505"/>
      <c r="T6506" s="505"/>
      <c r="U6506" s="505"/>
      <c r="V6506" s="505"/>
      <c r="W6506" s="505"/>
      <c r="X6506" s="505"/>
      <c r="Y6506" s="505"/>
    </row>
    <row r="6507" spans="1:25" s="88" customFormat="1" hidden="1" x14ac:dyDescent="0.25">
      <c r="A6507" s="258"/>
      <c r="B6507" s="258"/>
      <c r="C6507" s="261"/>
      <c r="D6507" s="258"/>
      <c r="E6507" s="679"/>
      <c r="F6507" s="499">
        <v>417</v>
      </c>
      <c r="G6507" s="492" t="s">
        <v>4143</v>
      </c>
      <c r="H6507" s="555"/>
      <c r="I6507" s="556"/>
      <c r="J6507" s="556">
        <f t="shared" si="215"/>
        <v>0</v>
      </c>
      <c r="K6507" s="505"/>
      <c r="L6507" s="505"/>
      <c r="M6507" s="505"/>
      <c r="N6507" s="505"/>
      <c r="O6507" s="505"/>
      <c r="P6507" s="505"/>
      <c r="Q6507" s="505"/>
      <c r="R6507" s="505"/>
      <c r="S6507" s="505"/>
      <c r="T6507" s="505"/>
      <c r="U6507" s="505"/>
      <c r="V6507" s="505"/>
      <c r="W6507" s="505"/>
      <c r="X6507" s="505"/>
      <c r="Y6507" s="505"/>
    </row>
    <row r="6508" spans="1:25" s="88" customFormat="1" hidden="1" x14ac:dyDescent="0.25">
      <c r="A6508" s="258"/>
      <c r="B6508" s="258"/>
      <c r="C6508" s="261"/>
      <c r="D6508" s="258"/>
      <c r="E6508" s="679"/>
      <c r="F6508" s="499">
        <v>418</v>
      </c>
      <c r="G6508" s="492" t="s">
        <v>3775</v>
      </c>
      <c r="H6508" s="555"/>
      <c r="I6508" s="556"/>
      <c r="J6508" s="556">
        <f t="shared" si="215"/>
        <v>0</v>
      </c>
      <c r="K6508" s="505"/>
      <c r="L6508" s="505"/>
      <c r="M6508" s="505"/>
      <c r="N6508" s="505"/>
      <c r="O6508" s="505"/>
      <c r="P6508" s="505"/>
      <c r="Q6508" s="505"/>
      <c r="R6508" s="505"/>
      <c r="S6508" s="505"/>
      <c r="T6508" s="505"/>
      <c r="U6508" s="505"/>
      <c r="V6508" s="505"/>
      <c r="W6508" s="505"/>
      <c r="X6508" s="505"/>
      <c r="Y6508" s="505"/>
    </row>
    <row r="6509" spans="1:25" s="88" customFormat="1" hidden="1" x14ac:dyDescent="0.25">
      <c r="A6509" s="258"/>
      <c r="B6509" s="258"/>
      <c r="C6509" s="261"/>
      <c r="D6509" s="258"/>
      <c r="E6509" s="679"/>
      <c r="F6509" s="499">
        <v>421</v>
      </c>
      <c r="G6509" s="492" t="s">
        <v>3779</v>
      </c>
      <c r="H6509" s="555"/>
      <c r="I6509" s="556"/>
      <c r="J6509" s="556">
        <f t="shared" si="215"/>
        <v>0</v>
      </c>
      <c r="K6509" s="505"/>
      <c r="L6509" s="505"/>
      <c r="M6509" s="505"/>
      <c r="N6509" s="505"/>
      <c r="O6509" s="505"/>
      <c r="P6509" s="505"/>
      <c r="Q6509" s="505"/>
      <c r="R6509" s="505"/>
      <c r="S6509" s="505"/>
      <c r="T6509" s="505"/>
      <c r="U6509" s="505"/>
      <c r="V6509" s="505"/>
      <c r="W6509" s="505"/>
      <c r="X6509" s="505"/>
      <c r="Y6509" s="505"/>
    </row>
    <row r="6510" spans="1:25" s="88" customFormat="1" hidden="1" x14ac:dyDescent="0.25">
      <c r="A6510" s="258"/>
      <c r="B6510" s="258"/>
      <c r="C6510" s="261"/>
      <c r="D6510" s="258"/>
      <c r="E6510" s="679"/>
      <c r="F6510" s="499">
        <v>422</v>
      </c>
      <c r="G6510" s="492" t="s">
        <v>3780</v>
      </c>
      <c r="H6510" s="555"/>
      <c r="I6510" s="556"/>
      <c r="J6510" s="556">
        <f t="shared" si="215"/>
        <v>0</v>
      </c>
      <c r="K6510" s="505"/>
      <c r="L6510" s="505"/>
      <c r="M6510" s="505"/>
      <c r="N6510" s="505"/>
      <c r="O6510" s="505"/>
      <c r="P6510" s="505"/>
      <c r="Q6510" s="505"/>
      <c r="R6510" s="505"/>
      <c r="S6510" s="505"/>
      <c r="T6510" s="505"/>
      <c r="U6510" s="505"/>
      <c r="V6510" s="505"/>
      <c r="W6510" s="505"/>
      <c r="X6510" s="505"/>
      <c r="Y6510" s="505"/>
    </row>
    <row r="6511" spans="1:25" s="88" customFormat="1" hidden="1" x14ac:dyDescent="0.25">
      <c r="A6511" s="258"/>
      <c r="B6511" s="258"/>
      <c r="C6511" s="261"/>
      <c r="D6511" s="258"/>
      <c r="E6511" s="679"/>
      <c r="F6511" s="499">
        <v>423</v>
      </c>
      <c r="G6511" s="492" t="s">
        <v>3781</v>
      </c>
      <c r="H6511" s="555">
        <v>0</v>
      </c>
      <c r="I6511" s="556"/>
      <c r="J6511" s="556">
        <f t="shared" si="215"/>
        <v>0</v>
      </c>
      <c r="K6511" s="505"/>
      <c r="L6511" s="505"/>
      <c r="M6511" s="505"/>
      <c r="N6511" s="505"/>
      <c r="O6511" s="505"/>
      <c r="P6511" s="505"/>
      <c r="Q6511" s="505"/>
      <c r="R6511" s="505"/>
      <c r="S6511" s="505"/>
      <c r="T6511" s="505"/>
      <c r="U6511" s="505"/>
      <c r="V6511" s="505"/>
      <c r="W6511" s="505"/>
      <c r="X6511" s="505"/>
      <c r="Y6511" s="505"/>
    </row>
    <row r="6512" spans="1:25" s="88" customFormat="1" hidden="1" x14ac:dyDescent="0.25">
      <c r="A6512" s="258"/>
      <c r="B6512" s="258"/>
      <c r="C6512" s="261"/>
      <c r="D6512" s="258"/>
      <c r="E6512" s="679"/>
      <c r="F6512" s="499">
        <v>424</v>
      </c>
      <c r="G6512" s="492" t="s">
        <v>3783</v>
      </c>
      <c r="H6512" s="555"/>
      <c r="I6512" s="556"/>
      <c r="J6512" s="556">
        <f t="shared" si="215"/>
        <v>0</v>
      </c>
      <c r="K6512" s="505"/>
      <c r="L6512" s="505"/>
      <c r="M6512" s="505"/>
      <c r="N6512" s="505"/>
      <c r="O6512" s="505"/>
      <c r="P6512" s="505"/>
      <c r="Q6512" s="505"/>
      <c r="R6512" s="505"/>
      <c r="S6512" s="505"/>
      <c r="T6512" s="505"/>
      <c r="U6512" s="505"/>
      <c r="V6512" s="505"/>
      <c r="W6512" s="505"/>
      <c r="X6512" s="505"/>
      <c r="Y6512" s="505"/>
    </row>
    <row r="6513" spans="1:25" s="88" customFormat="1" hidden="1" x14ac:dyDescent="0.25">
      <c r="A6513" s="258"/>
      <c r="B6513" s="258"/>
      <c r="C6513" s="261"/>
      <c r="D6513" s="258"/>
      <c r="E6513" s="679"/>
      <c r="F6513" s="499">
        <v>425</v>
      </c>
      <c r="G6513" s="492" t="s">
        <v>4144</v>
      </c>
      <c r="H6513" s="555"/>
      <c r="I6513" s="556"/>
      <c r="J6513" s="556">
        <f t="shared" si="215"/>
        <v>0</v>
      </c>
      <c r="K6513" s="505"/>
      <c r="L6513" s="505"/>
      <c r="M6513" s="505"/>
      <c r="N6513" s="505"/>
      <c r="O6513" s="505"/>
      <c r="P6513" s="505"/>
      <c r="Q6513" s="505"/>
      <c r="R6513" s="505"/>
      <c r="S6513" s="505"/>
      <c r="T6513" s="505"/>
      <c r="U6513" s="505"/>
      <c r="V6513" s="505"/>
      <c r="W6513" s="505"/>
      <c r="X6513" s="505"/>
      <c r="Y6513" s="505"/>
    </row>
    <row r="6514" spans="1:25" s="88" customFormat="1" hidden="1" x14ac:dyDescent="0.25">
      <c r="A6514" s="258"/>
      <c r="B6514" s="258"/>
      <c r="C6514" s="261"/>
      <c r="D6514" s="258"/>
      <c r="E6514" s="679"/>
      <c r="F6514" s="499">
        <v>426</v>
      </c>
      <c r="G6514" s="492" t="s">
        <v>3787</v>
      </c>
      <c r="H6514" s="555"/>
      <c r="I6514" s="556"/>
      <c r="J6514" s="556">
        <f t="shared" si="215"/>
        <v>0</v>
      </c>
      <c r="K6514" s="505"/>
      <c r="L6514" s="505"/>
      <c r="M6514" s="505"/>
      <c r="N6514" s="505"/>
      <c r="O6514" s="505"/>
      <c r="P6514" s="505"/>
      <c r="Q6514" s="505"/>
      <c r="R6514" s="505"/>
      <c r="S6514" s="505"/>
      <c r="T6514" s="505"/>
      <c r="U6514" s="505"/>
      <c r="V6514" s="505"/>
      <c r="W6514" s="505"/>
      <c r="X6514" s="505"/>
      <c r="Y6514" s="505"/>
    </row>
    <row r="6515" spans="1:25" s="88" customFormat="1" hidden="1" x14ac:dyDescent="0.25">
      <c r="A6515" s="258"/>
      <c r="B6515" s="258"/>
      <c r="C6515" s="261"/>
      <c r="D6515" s="258"/>
      <c r="E6515" s="679"/>
      <c r="F6515" s="499">
        <v>431</v>
      </c>
      <c r="G6515" s="492" t="s">
        <v>4145</v>
      </c>
      <c r="H6515" s="555"/>
      <c r="I6515" s="556"/>
      <c r="J6515" s="556">
        <f t="shared" si="215"/>
        <v>0</v>
      </c>
      <c r="K6515" s="505"/>
      <c r="L6515" s="505"/>
      <c r="M6515" s="505"/>
      <c r="N6515" s="505"/>
      <c r="O6515" s="505"/>
      <c r="P6515" s="505"/>
      <c r="Q6515" s="505"/>
      <c r="R6515" s="505"/>
      <c r="S6515" s="505"/>
      <c r="T6515" s="505"/>
      <c r="U6515" s="505"/>
      <c r="V6515" s="505"/>
      <c r="W6515" s="505"/>
      <c r="X6515" s="505"/>
      <c r="Y6515" s="505"/>
    </row>
    <row r="6516" spans="1:25" s="88" customFormat="1" hidden="1" x14ac:dyDescent="0.25">
      <c r="A6516" s="258"/>
      <c r="B6516" s="258"/>
      <c r="C6516" s="261"/>
      <c r="D6516" s="258"/>
      <c r="E6516" s="679"/>
      <c r="F6516" s="499">
        <v>432</v>
      </c>
      <c r="G6516" s="492" t="s">
        <v>4146</v>
      </c>
      <c r="H6516" s="555"/>
      <c r="I6516" s="556"/>
      <c r="J6516" s="556">
        <f t="shared" si="215"/>
        <v>0</v>
      </c>
      <c r="K6516" s="505"/>
      <c r="L6516" s="505"/>
      <c r="M6516" s="505"/>
      <c r="N6516" s="505"/>
      <c r="O6516" s="505"/>
      <c r="P6516" s="505"/>
      <c r="Q6516" s="505"/>
      <c r="R6516" s="505"/>
      <c r="S6516" s="505"/>
      <c r="T6516" s="505"/>
      <c r="U6516" s="505"/>
      <c r="V6516" s="505"/>
      <c r="W6516" s="505"/>
      <c r="X6516" s="505"/>
      <c r="Y6516" s="505"/>
    </row>
    <row r="6517" spans="1:25" s="88" customFormat="1" hidden="1" x14ac:dyDescent="0.25">
      <c r="A6517" s="258"/>
      <c r="B6517" s="258"/>
      <c r="C6517" s="261"/>
      <c r="D6517" s="258"/>
      <c r="E6517" s="679"/>
      <c r="F6517" s="499">
        <v>433</v>
      </c>
      <c r="G6517" s="492" t="s">
        <v>4147</v>
      </c>
      <c r="H6517" s="555"/>
      <c r="I6517" s="556"/>
      <c r="J6517" s="556">
        <f t="shared" si="215"/>
        <v>0</v>
      </c>
      <c r="K6517" s="505"/>
      <c r="L6517" s="505"/>
      <c r="M6517" s="505"/>
      <c r="N6517" s="505"/>
      <c r="O6517" s="505"/>
      <c r="P6517" s="505"/>
      <c r="Q6517" s="505"/>
      <c r="R6517" s="505"/>
      <c r="S6517" s="505"/>
      <c r="T6517" s="505"/>
      <c r="U6517" s="505"/>
      <c r="V6517" s="505"/>
      <c r="W6517" s="505"/>
      <c r="X6517" s="505"/>
      <c r="Y6517" s="505"/>
    </row>
    <row r="6518" spans="1:25" s="88" customFormat="1" hidden="1" x14ac:dyDescent="0.25">
      <c r="A6518" s="258"/>
      <c r="B6518" s="258"/>
      <c r="C6518" s="261"/>
      <c r="D6518" s="258"/>
      <c r="E6518" s="679"/>
      <c r="F6518" s="499">
        <v>434</v>
      </c>
      <c r="G6518" s="492" t="s">
        <v>4148</v>
      </c>
      <c r="H6518" s="555"/>
      <c r="I6518" s="556"/>
      <c r="J6518" s="556">
        <f t="shared" si="215"/>
        <v>0</v>
      </c>
      <c r="K6518" s="505"/>
      <c r="L6518" s="505"/>
      <c r="M6518" s="505"/>
      <c r="N6518" s="505"/>
      <c r="O6518" s="505"/>
      <c r="P6518" s="505"/>
      <c r="Q6518" s="505"/>
      <c r="R6518" s="505"/>
      <c r="S6518" s="505"/>
      <c r="T6518" s="505"/>
      <c r="U6518" s="505"/>
      <c r="V6518" s="505"/>
      <c r="W6518" s="505"/>
      <c r="X6518" s="505"/>
      <c r="Y6518" s="505"/>
    </row>
    <row r="6519" spans="1:25" s="88" customFormat="1" hidden="1" x14ac:dyDescent="0.25">
      <c r="A6519" s="258"/>
      <c r="B6519" s="258"/>
      <c r="C6519" s="261"/>
      <c r="D6519" s="258"/>
      <c r="E6519" s="679"/>
      <c r="F6519" s="499">
        <v>435</v>
      </c>
      <c r="G6519" s="492" t="s">
        <v>3794</v>
      </c>
      <c r="H6519" s="555"/>
      <c r="I6519" s="556"/>
      <c r="J6519" s="556">
        <f t="shared" si="215"/>
        <v>0</v>
      </c>
      <c r="K6519" s="505"/>
      <c r="L6519" s="505"/>
      <c r="M6519" s="505"/>
      <c r="N6519" s="505"/>
      <c r="O6519" s="505"/>
      <c r="P6519" s="505"/>
      <c r="Q6519" s="505"/>
      <c r="R6519" s="505"/>
      <c r="S6519" s="505"/>
      <c r="T6519" s="505"/>
      <c r="U6519" s="505"/>
      <c r="V6519" s="505"/>
      <c r="W6519" s="505"/>
      <c r="X6519" s="505"/>
      <c r="Y6519" s="505"/>
    </row>
    <row r="6520" spans="1:25" s="88" customFormat="1" hidden="1" x14ac:dyDescent="0.25">
      <c r="A6520" s="258"/>
      <c r="B6520" s="258"/>
      <c r="C6520" s="261"/>
      <c r="D6520" s="258"/>
      <c r="E6520" s="679"/>
      <c r="F6520" s="499">
        <v>441</v>
      </c>
      <c r="G6520" s="492" t="s">
        <v>4149</v>
      </c>
      <c r="H6520" s="555"/>
      <c r="I6520" s="556"/>
      <c r="J6520" s="556">
        <f t="shared" si="215"/>
        <v>0</v>
      </c>
      <c r="K6520" s="505"/>
      <c r="L6520" s="505"/>
      <c r="M6520" s="505"/>
      <c r="N6520" s="505"/>
      <c r="O6520" s="505"/>
      <c r="P6520" s="505"/>
      <c r="Q6520" s="505"/>
      <c r="R6520" s="505"/>
      <c r="S6520" s="505"/>
      <c r="T6520" s="505"/>
      <c r="U6520" s="505"/>
      <c r="V6520" s="505"/>
      <c r="W6520" s="505"/>
      <c r="X6520" s="505"/>
      <c r="Y6520" s="505"/>
    </row>
    <row r="6521" spans="1:25" s="88" customFormat="1" hidden="1" x14ac:dyDescent="0.25">
      <c r="A6521" s="258"/>
      <c r="B6521" s="258"/>
      <c r="C6521" s="261"/>
      <c r="D6521" s="258"/>
      <c r="E6521" s="679"/>
      <c r="F6521" s="499">
        <v>442</v>
      </c>
      <c r="G6521" s="492" t="s">
        <v>4150</v>
      </c>
      <c r="H6521" s="555"/>
      <c r="I6521" s="556"/>
      <c r="J6521" s="556">
        <f t="shared" si="215"/>
        <v>0</v>
      </c>
      <c r="K6521" s="505"/>
      <c r="L6521" s="505"/>
      <c r="M6521" s="505"/>
      <c r="N6521" s="505"/>
      <c r="O6521" s="505"/>
      <c r="P6521" s="505"/>
      <c r="Q6521" s="505"/>
      <c r="R6521" s="505"/>
      <c r="S6521" s="505"/>
      <c r="T6521" s="505"/>
      <c r="U6521" s="505"/>
      <c r="V6521" s="505"/>
      <c r="W6521" s="505"/>
      <c r="X6521" s="505"/>
      <c r="Y6521" s="505"/>
    </row>
    <row r="6522" spans="1:25" s="88" customFormat="1" hidden="1" x14ac:dyDescent="0.25">
      <c r="A6522" s="258"/>
      <c r="B6522" s="258"/>
      <c r="C6522" s="261"/>
      <c r="D6522" s="258"/>
      <c r="E6522" s="679"/>
      <c r="F6522" s="499">
        <v>443</v>
      </c>
      <c r="G6522" s="492" t="s">
        <v>3799</v>
      </c>
      <c r="H6522" s="555"/>
      <c r="I6522" s="556"/>
      <c r="J6522" s="556">
        <f t="shared" si="215"/>
        <v>0</v>
      </c>
      <c r="K6522" s="505"/>
      <c r="L6522" s="505"/>
      <c r="M6522" s="505"/>
      <c r="N6522" s="505"/>
      <c r="O6522" s="505"/>
      <c r="P6522" s="505"/>
      <c r="Q6522" s="505"/>
      <c r="R6522" s="505"/>
      <c r="S6522" s="505"/>
      <c r="T6522" s="505"/>
      <c r="U6522" s="505"/>
      <c r="V6522" s="505"/>
      <c r="W6522" s="505"/>
      <c r="X6522" s="505"/>
      <c r="Y6522" s="505"/>
    </row>
    <row r="6523" spans="1:25" s="88" customFormat="1" hidden="1" x14ac:dyDescent="0.25">
      <c r="A6523" s="258"/>
      <c r="B6523" s="258"/>
      <c r="C6523" s="261"/>
      <c r="D6523" s="258"/>
      <c r="E6523" s="679"/>
      <c r="F6523" s="499">
        <v>444</v>
      </c>
      <c r="G6523" s="492" t="s">
        <v>3800</v>
      </c>
      <c r="H6523" s="555"/>
      <c r="I6523" s="556"/>
      <c r="J6523" s="556">
        <f t="shared" si="215"/>
        <v>0</v>
      </c>
      <c r="K6523" s="505"/>
      <c r="L6523" s="505"/>
      <c r="M6523" s="505"/>
      <c r="N6523" s="505"/>
      <c r="O6523" s="505"/>
      <c r="P6523" s="505"/>
      <c r="Q6523" s="505"/>
      <c r="R6523" s="505"/>
      <c r="S6523" s="505"/>
      <c r="T6523" s="505"/>
      <c r="U6523" s="505"/>
      <c r="V6523" s="505"/>
      <c r="W6523" s="505"/>
      <c r="X6523" s="505"/>
      <c r="Y6523" s="505"/>
    </row>
    <row r="6524" spans="1:25" s="88" customFormat="1" ht="30" hidden="1" x14ac:dyDescent="0.25">
      <c r="A6524" s="258"/>
      <c r="B6524" s="258"/>
      <c r="C6524" s="261"/>
      <c r="D6524" s="258"/>
      <c r="E6524" s="679"/>
      <c r="F6524" s="499">
        <v>4511</v>
      </c>
      <c r="G6524" s="776" t="s">
        <v>1690</v>
      </c>
      <c r="H6524" s="555"/>
      <c r="I6524" s="556"/>
      <c r="J6524" s="556">
        <f t="shared" si="215"/>
        <v>0</v>
      </c>
      <c r="K6524" s="505"/>
      <c r="L6524" s="505"/>
      <c r="M6524" s="505"/>
      <c r="N6524" s="505"/>
      <c r="O6524" s="505"/>
      <c r="P6524" s="505"/>
      <c r="Q6524" s="505"/>
      <c r="R6524" s="505"/>
      <c r="S6524" s="505"/>
      <c r="T6524" s="505"/>
      <c r="U6524" s="505"/>
      <c r="V6524" s="505"/>
      <c r="W6524" s="505"/>
      <c r="X6524" s="505"/>
      <c r="Y6524" s="505"/>
    </row>
    <row r="6525" spans="1:25" s="88" customFormat="1" ht="15" hidden="1" customHeight="1" x14ac:dyDescent="0.25">
      <c r="A6525" s="258"/>
      <c r="B6525" s="258"/>
      <c r="C6525" s="261"/>
      <c r="D6525" s="258"/>
      <c r="E6525" s="679">
        <v>69</v>
      </c>
      <c r="F6525" s="691">
        <v>511</v>
      </c>
      <c r="G6525" s="775" t="s">
        <v>5208</v>
      </c>
      <c r="H6525" s="555">
        <v>0</v>
      </c>
      <c r="I6525" s="556"/>
      <c r="J6525" s="556">
        <f t="shared" si="215"/>
        <v>0</v>
      </c>
      <c r="K6525" s="505"/>
      <c r="L6525" s="505"/>
      <c r="M6525" s="505"/>
      <c r="N6525" s="505"/>
      <c r="O6525" s="505"/>
      <c r="P6525" s="505"/>
      <c r="Q6525" s="505"/>
      <c r="R6525" s="505"/>
      <c r="S6525" s="505"/>
      <c r="T6525" s="505"/>
      <c r="U6525" s="505"/>
      <c r="V6525" s="505"/>
      <c r="W6525" s="505"/>
      <c r="X6525" s="505"/>
      <c r="Y6525" s="505"/>
    </row>
    <row r="6526" spans="1:25" s="88" customFormat="1" hidden="1" x14ac:dyDescent="0.25">
      <c r="A6526" s="258"/>
      <c r="B6526" s="258"/>
      <c r="C6526" s="261"/>
      <c r="D6526" s="258"/>
      <c r="E6526" s="679"/>
      <c r="F6526" s="499">
        <v>452</v>
      </c>
      <c r="G6526" s="492" t="s">
        <v>4151</v>
      </c>
      <c r="H6526" s="555"/>
      <c r="I6526" s="556"/>
      <c r="J6526" s="556">
        <f t="shared" si="215"/>
        <v>0</v>
      </c>
      <c r="K6526" s="505"/>
      <c r="L6526" s="505"/>
      <c r="M6526" s="505"/>
      <c r="N6526" s="505"/>
      <c r="O6526" s="505"/>
      <c r="P6526" s="505"/>
      <c r="Q6526" s="505"/>
      <c r="R6526" s="505"/>
      <c r="S6526" s="505"/>
      <c r="T6526" s="505"/>
      <c r="U6526" s="505"/>
      <c r="V6526" s="505"/>
      <c r="W6526" s="505"/>
      <c r="X6526" s="505"/>
      <c r="Y6526" s="505"/>
    </row>
    <row r="6527" spans="1:25" s="88" customFormat="1" hidden="1" x14ac:dyDescent="0.25">
      <c r="A6527" s="258"/>
      <c r="B6527" s="258"/>
      <c r="C6527" s="261"/>
      <c r="D6527" s="258"/>
      <c r="E6527" s="679"/>
      <c r="F6527" s="499">
        <v>453</v>
      </c>
      <c r="G6527" s="492" t="s">
        <v>4152</v>
      </c>
      <c r="H6527" s="555"/>
      <c r="I6527" s="556"/>
      <c r="J6527" s="556">
        <f t="shared" si="215"/>
        <v>0</v>
      </c>
      <c r="K6527" s="505"/>
      <c r="L6527" s="505"/>
      <c r="M6527" s="505"/>
      <c r="N6527" s="505"/>
      <c r="O6527" s="505"/>
      <c r="P6527" s="505"/>
      <c r="Q6527" s="505"/>
      <c r="R6527" s="505"/>
      <c r="S6527" s="505"/>
      <c r="T6527" s="505"/>
      <c r="U6527" s="505"/>
      <c r="V6527" s="505"/>
      <c r="W6527" s="505"/>
      <c r="X6527" s="505"/>
      <c r="Y6527" s="505"/>
    </row>
    <row r="6528" spans="1:25" s="88" customFormat="1" hidden="1" x14ac:dyDescent="0.25">
      <c r="A6528" s="258"/>
      <c r="B6528" s="258"/>
      <c r="C6528" s="261"/>
      <c r="D6528" s="258"/>
      <c r="E6528" s="679"/>
      <c r="F6528" s="499">
        <v>454</v>
      </c>
      <c r="G6528" s="492" t="s">
        <v>3805</v>
      </c>
      <c r="H6528" s="555"/>
      <c r="I6528" s="556"/>
      <c r="J6528" s="556">
        <f t="shared" si="215"/>
        <v>0</v>
      </c>
      <c r="K6528" s="505"/>
      <c r="L6528" s="505"/>
      <c r="M6528" s="505"/>
      <c r="N6528" s="505"/>
      <c r="O6528" s="505"/>
      <c r="P6528" s="505"/>
      <c r="Q6528" s="505"/>
      <c r="R6528" s="505"/>
      <c r="S6528" s="505"/>
      <c r="T6528" s="505"/>
      <c r="U6528" s="505"/>
      <c r="V6528" s="505"/>
      <c r="W6528" s="505"/>
      <c r="X6528" s="505"/>
      <c r="Y6528" s="505"/>
    </row>
    <row r="6529" spans="1:25" s="88" customFormat="1" hidden="1" x14ac:dyDescent="0.25">
      <c r="A6529" s="258"/>
      <c r="B6529" s="258"/>
      <c r="C6529" s="261"/>
      <c r="D6529" s="258"/>
      <c r="E6529" s="679"/>
      <c r="F6529" s="499">
        <v>461</v>
      </c>
      <c r="G6529" s="492" t="s">
        <v>4133</v>
      </c>
      <c r="H6529" s="555"/>
      <c r="I6529" s="556"/>
      <c r="J6529" s="556">
        <f t="shared" si="215"/>
        <v>0</v>
      </c>
      <c r="K6529" s="505"/>
      <c r="L6529" s="505"/>
      <c r="M6529" s="505"/>
      <c r="N6529" s="505"/>
      <c r="O6529" s="505"/>
      <c r="P6529" s="505"/>
      <c r="Q6529" s="505"/>
      <c r="R6529" s="505"/>
      <c r="S6529" s="505"/>
      <c r="T6529" s="505"/>
      <c r="U6529" s="505"/>
      <c r="V6529" s="505"/>
      <c r="W6529" s="505"/>
      <c r="X6529" s="505"/>
      <c r="Y6529" s="505"/>
    </row>
    <row r="6530" spans="1:25" s="88" customFormat="1" hidden="1" x14ac:dyDescent="0.25">
      <c r="A6530" s="258"/>
      <c r="B6530" s="258"/>
      <c r="C6530" s="261"/>
      <c r="D6530" s="258"/>
      <c r="E6530" s="679"/>
      <c r="F6530" s="499">
        <v>462</v>
      </c>
      <c r="G6530" s="492" t="s">
        <v>3808</v>
      </c>
      <c r="H6530" s="555"/>
      <c r="I6530" s="556"/>
      <c r="J6530" s="556">
        <f t="shared" si="215"/>
        <v>0</v>
      </c>
      <c r="K6530" s="505"/>
      <c r="L6530" s="505"/>
      <c r="M6530" s="505"/>
      <c r="N6530" s="505"/>
      <c r="O6530" s="505"/>
      <c r="P6530" s="505"/>
      <c r="Q6530" s="505"/>
      <c r="R6530" s="505"/>
      <c r="S6530" s="505"/>
      <c r="T6530" s="505"/>
      <c r="U6530" s="505"/>
      <c r="V6530" s="505"/>
      <c r="W6530" s="505"/>
      <c r="X6530" s="505"/>
      <c r="Y6530" s="505"/>
    </row>
    <row r="6531" spans="1:25" s="88" customFormat="1" hidden="1" x14ac:dyDescent="0.25">
      <c r="A6531" s="258"/>
      <c r="B6531" s="258"/>
      <c r="C6531" s="261"/>
      <c r="D6531" s="258"/>
      <c r="E6531" s="679"/>
      <c r="F6531" s="499">
        <v>4631</v>
      </c>
      <c r="G6531" s="492" t="s">
        <v>3809</v>
      </c>
      <c r="H6531" s="555"/>
      <c r="I6531" s="556"/>
      <c r="J6531" s="556">
        <f t="shared" si="215"/>
        <v>0</v>
      </c>
      <c r="K6531" s="505"/>
      <c r="L6531" s="505"/>
      <c r="M6531" s="505"/>
      <c r="N6531" s="505"/>
      <c r="O6531" s="505"/>
      <c r="P6531" s="505"/>
      <c r="Q6531" s="505"/>
      <c r="R6531" s="505"/>
      <c r="S6531" s="505"/>
      <c r="T6531" s="505"/>
      <c r="U6531" s="505"/>
      <c r="V6531" s="505"/>
      <c r="W6531" s="505"/>
      <c r="X6531" s="505"/>
      <c r="Y6531" s="505"/>
    </row>
    <row r="6532" spans="1:25" s="88" customFormat="1" hidden="1" x14ac:dyDescent="0.25">
      <c r="A6532" s="258"/>
      <c r="B6532" s="258"/>
      <c r="C6532" s="261"/>
      <c r="D6532" s="258"/>
      <c r="E6532" s="679"/>
      <c r="F6532" s="499">
        <v>4632</v>
      </c>
      <c r="G6532" s="492" t="s">
        <v>3810</v>
      </c>
      <c r="H6532" s="555"/>
      <c r="I6532" s="556"/>
      <c r="J6532" s="556">
        <f t="shared" si="215"/>
        <v>0</v>
      </c>
      <c r="K6532" s="505"/>
      <c r="L6532" s="505"/>
      <c r="M6532" s="505"/>
      <c r="N6532" s="505"/>
      <c r="O6532" s="505"/>
      <c r="P6532" s="505"/>
      <c r="Q6532" s="505"/>
      <c r="R6532" s="505"/>
      <c r="S6532" s="505"/>
      <c r="T6532" s="505"/>
      <c r="U6532" s="505"/>
      <c r="V6532" s="505"/>
      <c r="W6532" s="505"/>
      <c r="X6532" s="505"/>
      <c r="Y6532" s="505"/>
    </row>
    <row r="6533" spans="1:25" s="88" customFormat="1" hidden="1" x14ac:dyDescent="0.25">
      <c r="A6533" s="258"/>
      <c r="B6533" s="258"/>
      <c r="C6533" s="261"/>
      <c r="D6533" s="258"/>
      <c r="E6533" s="679"/>
      <c r="F6533" s="499">
        <v>464</v>
      </c>
      <c r="G6533" s="492" t="s">
        <v>3811</v>
      </c>
      <c r="H6533" s="555"/>
      <c r="I6533" s="556"/>
      <c r="J6533" s="556">
        <f t="shared" si="215"/>
        <v>0</v>
      </c>
      <c r="K6533" s="505"/>
      <c r="L6533" s="505"/>
      <c r="M6533" s="505"/>
      <c r="N6533" s="505"/>
      <c r="O6533" s="505"/>
      <c r="P6533" s="505"/>
      <c r="Q6533" s="505"/>
      <c r="R6533" s="505"/>
      <c r="S6533" s="505"/>
      <c r="T6533" s="505"/>
      <c r="U6533" s="505"/>
      <c r="V6533" s="505"/>
      <c r="W6533" s="505"/>
      <c r="X6533" s="505"/>
      <c r="Y6533" s="505"/>
    </row>
    <row r="6534" spans="1:25" s="88" customFormat="1" hidden="1" x14ac:dyDescent="0.25">
      <c r="A6534" s="258"/>
      <c r="B6534" s="258"/>
      <c r="C6534" s="261"/>
      <c r="D6534" s="258"/>
      <c r="E6534" s="679"/>
      <c r="F6534" s="499">
        <v>465</v>
      </c>
      <c r="G6534" s="492" t="s">
        <v>4134</v>
      </c>
      <c r="H6534" s="555"/>
      <c r="I6534" s="556"/>
      <c r="J6534" s="556">
        <f t="shared" si="215"/>
        <v>0</v>
      </c>
      <c r="K6534" s="505"/>
      <c r="L6534" s="505"/>
      <c r="M6534" s="505"/>
      <c r="N6534" s="505"/>
      <c r="O6534" s="505"/>
      <c r="P6534" s="505"/>
      <c r="Q6534" s="505"/>
      <c r="R6534" s="505"/>
      <c r="S6534" s="505"/>
      <c r="T6534" s="505"/>
      <c r="U6534" s="505"/>
      <c r="V6534" s="505"/>
      <c r="W6534" s="505"/>
      <c r="X6534" s="505"/>
      <c r="Y6534" s="505"/>
    </row>
    <row r="6535" spans="1:25" s="88" customFormat="1" hidden="1" x14ac:dyDescent="0.25">
      <c r="A6535" s="258"/>
      <c r="B6535" s="258"/>
      <c r="C6535" s="261"/>
      <c r="D6535" s="258"/>
      <c r="E6535" s="679"/>
      <c r="F6535" s="499">
        <v>472</v>
      </c>
      <c r="G6535" s="492" t="s">
        <v>3815</v>
      </c>
      <c r="H6535" s="555"/>
      <c r="I6535" s="556"/>
      <c r="J6535" s="556">
        <f t="shared" si="215"/>
        <v>0</v>
      </c>
      <c r="K6535" s="505"/>
      <c r="L6535" s="505"/>
      <c r="M6535" s="505"/>
      <c r="N6535" s="505"/>
      <c r="O6535" s="505"/>
      <c r="P6535" s="505"/>
      <c r="Q6535" s="505"/>
      <c r="R6535" s="505"/>
      <c r="S6535" s="505"/>
      <c r="T6535" s="505"/>
      <c r="U6535" s="505"/>
      <c r="V6535" s="505"/>
      <c r="W6535" s="505"/>
      <c r="X6535" s="505"/>
      <c r="Y6535" s="505"/>
    </row>
    <row r="6536" spans="1:25" s="88" customFormat="1" hidden="1" x14ac:dyDescent="0.25">
      <c r="A6536" s="258"/>
      <c r="B6536" s="258"/>
      <c r="C6536" s="261"/>
      <c r="D6536" s="258"/>
      <c r="E6536" s="679"/>
      <c r="F6536" s="499">
        <v>481</v>
      </c>
      <c r="G6536" s="492" t="s">
        <v>4153</v>
      </c>
      <c r="H6536" s="555"/>
      <c r="I6536" s="556"/>
      <c r="J6536" s="556">
        <f t="shared" si="215"/>
        <v>0</v>
      </c>
      <c r="K6536" s="505"/>
      <c r="L6536" s="505"/>
      <c r="M6536" s="505"/>
      <c r="N6536" s="505"/>
      <c r="O6536" s="505"/>
      <c r="P6536" s="505"/>
      <c r="Q6536" s="505"/>
      <c r="R6536" s="505"/>
      <c r="S6536" s="505"/>
      <c r="T6536" s="505"/>
      <c r="U6536" s="505"/>
      <c r="V6536" s="505"/>
      <c r="W6536" s="505"/>
      <c r="X6536" s="505"/>
      <c r="Y6536" s="505"/>
    </row>
    <row r="6537" spans="1:25" s="88" customFormat="1" hidden="1" x14ac:dyDescent="0.25">
      <c r="A6537" s="258"/>
      <c r="B6537" s="258"/>
      <c r="C6537" s="261"/>
      <c r="D6537" s="258"/>
      <c r="E6537" s="679"/>
      <c r="F6537" s="499">
        <v>482</v>
      </c>
      <c r="G6537" s="492" t="s">
        <v>4154</v>
      </c>
      <c r="H6537" s="555"/>
      <c r="I6537" s="556"/>
      <c r="J6537" s="556">
        <f t="shared" si="215"/>
        <v>0</v>
      </c>
      <c r="K6537" s="505"/>
      <c r="L6537" s="505"/>
      <c r="M6537" s="505"/>
      <c r="N6537" s="505"/>
      <c r="O6537" s="505"/>
      <c r="P6537" s="505"/>
      <c r="Q6537" s="505"/>
      <c r="R6537" s="505"/>
      <c r="S6537" s="505"/>
      <c r="T6537" s="505"/>
      <c r="U6537" s="505"/>
      <c r="V6537" s="505"/>
      <c r="W6537" s="505"/>
      <c r="X6537" s="505"/>
      <c r="Y6537" s="505"/>
    </row>
    <row r="6538" spans="1:25" s="88" customFormat="1" hidden="1" x14ac:dyDescent="0.25">
      <c r="A6538" s="258"/>
      <c r="B6538" s="258"/>
      <c r="C6538" s="261"/>
      <c r="D6538" s="258"/>
      <c r="E6538" s="679"/>
      <c r="F6538" s="499">
        <v>483</v>
      </c>
      <c r="G6538" s="496" t="s">
        <v>4155</v>
      </c>
      <c r="H6538" s="555"/>
      <c r="I6538" s="556"/>
      <c r="J6538" s="556">
        <f t="shared" si="215"/>
        <v>0</v>
      </c>
      <c r="K6538" s="505"/>
      <c r="L6538" s="505"/>
      <c r="M6538" s="505"/>
      <c r="N6538" s="505"/>
      <c r="O6538" s="505"/>
      <c r="P6538" s="505"/>
      <c r="Q6538" s="505"/>
      <c r="R6538" s="505"/>
      <c r="S6538" s="505"/>
      <c r="T6538" s="505"/>
      <c r="U6538" s="505"/>
      <c r="V6538" s="505"/>
      <c r="W6538" s="505"/>
      <c r="X6538" s="505"/>
      <c r="Y6538" s="505"/>
    </row>
    <row r="6539" spans="1:25" s="88" customFormat="1" ht="30" hidden="1" x14ac:dyDescent="0.25">
      <c r="A6539" s="258"/>
      <c r="B6539" s="258"/>
      <c r="C6539" s="261"/>
      <c r="D6539" s="258"/>
      <c r="E6539" s="679"/>
      <c r="F6539" s="499">
        <v>484</v>
      </c>
      <c r="G6539" s="492" t="s">
        <v>4156</v>
      </c>
      <c r="H6539" s="555"/>
      <c r="I6539" s="556"/>
      <c r="J6539" s="556">
        <f t="shared" si="215"/>
        <v>0</v>
      </c>
      <c r="K6539" s="505"/>
      <c r="L6539" s="505"/>
      <c r="M6539" s="505"/>
      <c r="N6539" s="505"/>
      <c r="O6539" s="505"/>
      <c r="P6539" s="505"/>
      <c r="Q6539" s="505"/>
      <c r="R6539" s="505"/>
      <c r="S6539" s="505"/>
      <c r="T6539" s="505"/>
      <c r="U6539" s="505"/>
      <c r="V6539" s="505"/>
      <c r="W6539" s="505"/>
      <c r="X6539" s="505"/>
      <c r="Y6539" s="505"/>
    </row>
    <row r="6540" spans="1:25" s="88" customFormat="1" ht="30" hidden="1" x14ac:dyDescent="0.25">
      <c r="A6540" s="258"/>
      <c r="B6540" s="258"/>
      <c r="C6540" s="261"/>
      <c r="D6540" s="258"/>
      <c r="E6540" s="679"/>
      <c r="F6540" s="499">
        <v>485</v>
      </c>
      <c r="G6540" s="492" t="s">
        <v>4157</v>
      </c>
      <c r="H6540" s="555"/>
      <c r="I6540" s="556"/>
      <c r="J6540" s="556">
        <f t="shared" si="215"/>
        <v>0</v>
      </c>
      <c r="K6540" s="505"/>
      <c r="L6540" s="505"/>
      <c r="M6540" s="505"/>
      <c r="N6540" s="505"/>
      <c r="O6540" s="505"/>
      <c r="P6540" s="505"/>
      <c r="Q6540" s="505"/>
      <c r="R6540" s="505"/>
      <c r="S6540" s="505"/>
      <c r="T6540" s="505"/>
      <c r="U6540" s="505"/>
      <c r="V6540" s="505"/>
      <c r="W6540" s="505"/>
      <c r="X6540" s="505"/>
      <c r="Y6540" s="505"/>
    </row>
    <row r="6541" spans="1:25" s="88" customFormat="1" ht="30" hidden="1" x14ac:dyDescent="0.25">
      <c r="A6541" s="258"/>
      <c r="B6541" s="258"/>
      <c r="C6541" s="261"/>
      <c r="D6541" s="258"/>
      <c r="E6541" s="679"/>
      <c r="F6541" s="499">
        <v>489</v>
      </c>
      <c r="G6541" s="492" t="s">
        <v>3823</v>
      </c>
      <c r="H6541" s="555"/>
      <c r="I6541" s="556"/>
      <c r="J6541" s="556">
        <f t="shared" si="215"/>
        <v>0</v>
      </c>
      <c r="K6541" s="505"/>
      <c r="L6541" s="505"/>
      <c r="M6541" s="505"/>
      <c r="N6541" s="505"/>
      <c r="O6541" s="505"/>
      <c r="P6541" s="505"/>
      <c r="Q6541" s="505"/>
      <c r="R6541" s="505"/>
      <c r="S6541" s="505"/>
      <c r="T6541" s="505"/>
      <c r="U6541" s="505"/>
      <c r="V6541" s="505"/>
      <c r="W6541" s="505"/>
      <c r="X6541" s="505"/>
      <c r="Y6541" s="505"/>
    </row>
    <row r="6542" spans="1:25" s="88" customFormat="1" hidden="1" x14ac:dyDescent="0.25">
      <c r="A6542" s="258"/>
      <c r="B6542" s="258"/>
      <c r="C6542" s="261"/>
      <c r="D6542" s="258"/>
      <c r="E6542" s="679"/>
      <c r="F6542" s="499">
        <v>494</v>
      </c>
      <c r="G6542" s="492" t="s">
        <v>4135</v>
      </c>
      <c r="H6542" s="555"/>
      <c r="I6542" s="556"/>
      <c r="J6542" s="556">
        <f t="shared" si="215"/>
        <v>0</v>
      </c>
      <c r="K6542" s="505"/>
      <c r="L6542" s="505"/>
      <c r="M6542" s="505"/>
      <c r="N6542" s="505"/>
      <c r="O6542" s="505"/>
      <c r="P6542" s="505"/>
      <c r="Q6542" s="505"/>
      <c r="R6542" s="505"/>
      <c r="S6542" s="505"/>
      <c r="T6542" s="505"/>
      <c r="U6542" s="505"/>
      <c r="V6542" s="505"/>
      <c r="W6542" s="505"/>
      <c r="X6542" s="505"/>
      <c r="Y6542" s="505"/>
    </row>
    <row r="6543" spans="1:25" s="88" customFormat="1" ht="30" hidden="1" x14ac:dyDescent="0.25">
      <c r="A6543" s="258"/>
      <c r="B6543" s="258"/>
      <c r="C6543" s="261"/>
      <c r="D6543" s="258"/>
      <c r="E6543" s="679"/>
      <c r="F6543" s="499">
        <v>495</v>
      </c>
      <c r="G6543" s="492" t="s">
        <v>4136</v>
      </c>
      <c r="H6543" s="555"/>
      <c r="I6543" s="556"/>
      <c r="J6543" s="556">
        <f t="shared" si="215"/>
        <v>0</v>
      </c>
      <c r="K6543" s="505"/>
      <c r="L6543" s="505"/>
      <c r="M6543" s="505"/>
      <c r="N6543" s="505"/>
      <c r="O6543" s="505"/>
      <c r="P6543" s="505"/>
      <c r="Q6543" s="505"/>
      <c r="R6543" s="505"/>
      <c r="S6543" s="505"/>
      <c r="T6543" s="505"/>
      <c r="U6543" s="505"/>
      <c r="V6543" s="505"/>
      <c r="W6543" s="505"/>
      <c r="X6543" s="505"/>
      <c r="Y6543" s="505"/>
    </row>
    <row r="6544" spans="1:25" s="88" customFormat="1" ht="30" hidden="1" x14ac:dyDescent="0.25">
      <c r="A6544" s="258"/>
      <c r="B6544" s="258"/>
      <c r="C6544" s="261"/>
      <c r="D6544" s="258"/>
      <c r="E6544" s="679"/>
      <c r="F6544" s="499">
        <v>496</v>
      </c>
      <c r="G6544" s="492" t="s">
        <v>4137</v>
      </c>
      <c r="H6544" s="555"/>
      <c r="I6544" s="556"/>
      <c r="J6544" s="556">
        <f t="shared" si="215"/>
        <v>0</v>
      </c>
      <c r="K6544" s="505"/>
      <c r="L6544" s="505"/>
      <c r="M6544" s="505"/>
      <c r="N6544" s="505"/>
      <c r="O6544" s="505"/>
      <c r="P6544" s="505"/>
      <c r="Q6544" s="505"/>
      <c r="R6544" s="505"/>
      <c r="S6544" s="505"/>
      <c r="T6544" s="505"/>
      <c r="U6544" s="505"/>
      <c r="V6544" s="505"/>
      <c r="W6544" s="505"/>
      <c r="X6544" s="505"/>
      <c r="Y6544" s="505"/>
    </row>
    <row r="6545" spans="1:25" s="88" customFormat="1" ht="30" hidden="1" x14ac:dyDescent="0.25">
      <c r="A6545" s="258"/>
      <c r="B6545" s="258"/>
      <c r="C6545" s="261"/>
      <c r="D6545" s="258"/>
      <c r="E6545" s="679"/>
      <c r="F6545" s="499">
        <v>499</v>
      </c>
      <c r="G6545" s="492" t="s">
        <v>4138</v>
      </c>
      <c r="H6545" s="555"/>
      <c r="I6545" s="556"/>
      <c r="J6545" s="556">
        <f t="shared" si="215"/>
        <v>0</v>
      </c>
      <c r="K6545" s="505"/>
      <c r="L6545" s="505"/>
      <c r="M6545" s="505"/>
      <c r="N6545" s="505"/>
      <c r="O6545" s="505"/>
      <c r="P6545" s="505"/>
      <c r="Q6545" s="505"/>
      <c r="R6545" s="505"/>
      <c r="S6545" s="505"/>
      <c r="T6545" s="505"/>
      <c r="U6545" s="505"/>
      <c r="V6545" s="505"/>
      <c r="W6545" s="505"/>
      <c r="X6545" s="505"/>
      <c r="Y6545" s="505"/>
    </row>
    <row r="6546" spans="1:25" s="88" customFormat="1" ht="30" x14ac:dyDescent="0.25">
      <c r="A6546" s="258"/>
      <c r="B6546" s="258"/>
      <c r="C6546" s="261"/>
      <c r="D6546" s="258"/>
      <c r="E6546" s="679" t="s">
        <v>5379</v>
      </c>
      <c r="F6546" s="499">
        <v>511</v>
      </c>
      <c r="G6546" s="496" t="s">
        <v>4158</v>
      </c>
      <c r="H6546" s="555">
        <v>1050000</v>
      </c>
      <c r="I6546" s="556"/>
      <c r="J6546" s="556">
        <f t="shared" si="215"/>
        <v>1050000</v>
      </c>
      <c r="K6546" s="505"/>
      <c r="L6546" s="505"/>
      <c r="M6546" s="505"/>
      <c r="N6546" s="505"/>
      <c r="O6546" s="505"/>
      <c r="P6546" s="505"/>
      <c r="Q6546" s="505"/>
      <c r="R6546" s="505"/>
      <c r="S6546" s="505"/>
      <c r="T6546" s="505"/>
      <c r="U6546" s="505"/>
      <c r="V6546" s="505"/>
      <c r="W6546" s="505"/>
      <c r="X6546" s="505"/>
      <c r="Y6546" s="505"/>
    </row>
    <row r="6547" spans="1:25" s="88" customFormat="1" x14ac:dyDescent="0.25">
      <c r="A6547" s="258"/>
      <c r="B6547" s="258"/>
      <c r="C6547" s="261"/>
      <c r="D6547" s="258"/>
      <c r="E6547" s="679">
        <v>193</v>
      </c>
      <c r="F6547" s="499">
        <v>512</v>
      </c>
      <c r="G6547" s="496" t="s">
        <v>4159</v>
      </c>
      <c r="H6547" s="555">
        <v>200000</v>
      </c>
      <c r="I6547" s="556"/>
      <c r="J6547" s="556">
        <f t="shared" si="215"/>
        <v>200000</v>
      </c>
      <c r="K6547" s="505"/>
      <c r="L6547" s="505"/>
      <c r="M6547" s="505"/>
      <c r="N6547" s="505"/>
      <c r="O6547" s="505"/>
      <c r="P6547" s="505"/>
      <c r="Q6547" s="505"/>
      <c r="R6547" s="505"/>
      <c r="S6547" s="505"/>
      <c r="T6547" s="505"/>
      <c r="U6547" s="505"/>
      <c r="V6547" s="505"/>
      <c r="W6547" s="505"/>
      <c r="X6547" s="505"/>
      <c r="Y6547" s="505"/>
    </row>
    <row r="6548" spans="1:25" s="88" customFormat="1" hidden="1" x14ac:dyDescent="0.25">
      <c r="A6548" s="258"/>
      <c r="B6548" s="258"/>
      <c r="C6548" s="261"/>
      <c r="D6548" s="258"/>
      <c r="E6548" s="679"/>
      <c r="F6548" s="499">
        <v>513</v>
      </c>
      <c r="G6548" s="496" t="s">
        <v>4160</v>
      </c>
      <c r="H6548" s="555"/>
      <c r="I6548" s="556"/>
      <c r="J6548" s="556">
        <f t="shared" si="215"/>
        <v>0</v>
      </c>
      <c r="K6548" s="505"/>
      <c r="L6548" s="505"/>
      <c r="M6548" s="505"/>
      <c r="N6548" s="505"/>
      <c r="O6548" s="505"/>
      <c r="P6548" s="505"/>
      <c r="Q6548" s="505"/>
      <c r="R6548" s="505"/>
      <c r="S6548" s="505"/>
      <c r="T6548" s="505"/>
      <c r="U6548" s="505"/>
      <c r="V6548" s="505"/>
      <c r="W6548" s="505"/>
      <c r="X6548" s="505"/>
      <c r="Y6548" s="505"/>
    </row>
    <row r="6549" spans="1:25" s="88" customFormat="1" hidden="1" x14ac:dyDescent="0.25">
      <c r="A6549" s="258"/>
      <c r="B6549" s="258"/>
      <c r="C6549" s="261"/>
      <c r="D6549" s="258"/>
      <c r="E6549" s="679"/>
      <c r="F6549" s="499">
        <v>514</v>
      </c>
      <c r="G6549" s="492" t="s">
        <v>4161</v>
      </c>
      <c r="H6549" s="555"/>
      <c r="I6549" s="556"/>
      <c r="J6549" s="556">
        <f t="shared" si="215"/>
        <v>0</v>
      </c>
      <c r="K6549" s="505"/>
      <c r="L6549" s="505"/>
      <c r="M6549" s="505"/>
      <c r="N6549" s="505"/>
      <c r="O6549" s="505"/>
      <c r="P6549" s="505"/>
      <c r="Q6549" s="505"/>
      <c r="R6549" s="505"/>
      <c r="S6549" s="505"/>
      <c r="T6549" s="505"/>
      <c r="U6549" s="505"/>
      <c r="V6549" s="505"/>
      <c r="W6549" s="505"/>
      <c r="X6549" s="505"/>
      <c r="Y6549" s="505"/>
    </row>
    <row r="6550" spans="1:25" s="88" customFormat="1" hidden="1" x14ac:dyDescent="0.25">
      <c r="A6550" s="258"/>
      <c r="B6550" s="258"/>
      <c r="C6550" s="261"/>
      <c r="D6550" s="258"/>
      <c r="E6550" s="679"/>
      <c r="F6550" s="499">
        <v>515</v>
      </c>
      <c r="G6550" s="492" t="s">
        <v>3834</v>
      </c>
      <c r="H6550" s="555"/>
      <c r="I6550" s="556"/>
      <c r="J6550" s="556">
        <f t="shared" si="215"/>
        <v>0</v>
      </c>
      <c r="K6550" s="505"/>
      <c r="L6550" s="505"/>
      <c r="M6550" s="505"/>
      <c r="N6550" s="505"/>
      <c r="O6550" s="505"/>
      <c r="P6550" s="505"/>
      <c r="Q6550" s="505"/>
      <c r="R6550" s="505"/>
      <c r="S6550" s="505"/>
      <c r="T6550" s="505"/>
      <c r="U6550" s="505"/>
      <c r="V6550" s="505"/>
      <c r="W6550" s="505"/>
      <c r="X6550" s="505"/>
      <c r="Y6550" s="505"/>
    </row>
    <row r="6551" spans="1:25" s="88" customFormat="1" hidden="1" x14ac:dyDescent="0.25">
      <c r="A6551" s="258"/>
      <c r="B6551" s="258"/>
      <c r="C6551" s="261"/>
      <c r="D6551" s="258"/>
      <c r="E6551" s="679"/>
      <c r="F6551" s="499">
        <v>521</v>
      </c>
      <c r="G6551" s="492" t="s">
        <v>4162</v>
      </c>
      <c r="H6551" s="555"/>
      <c r="I6551" s="556"/>
      <c r="J6551" s="556">
        <f t="shared" si="215"/>
        <v>0</v>
      </c>
      <c r="K6551" s="505"/>
      <c r="L6551" s="505"/>
      <c r="M6551" s="505"/>
      <c r="N6551" s="505"/>
      <c r="O6551" s="505"/>
      <c r="P6551" s="505"/>
      <c r="Q6551" s="505"/>
      <c r="R6551" s="505"/>
      <c r="S6551" s="505"/>
      <c r="T6551" s="505"/>
      <c r="U6551" s="505"/>
      <c r="V6551" s="505"/>
      <c r="W6551" s="505"/>
      <c r="X6551" s="505"/>
      <c r="Y6551" s="505"/>
    </row>
    <row r="6552" spans="1:25" s="88" customFormat="1" hidden="1" x14ac:dyDescent="0.25">
      <c r="A6552" s="258"/>
      <c r="B6552" s="258"/>
      <c r="C6552" s="261"/>
      <c r="D6552" s="258"/>
      <c r="E6552" s="679"/>
      <c r="F6552" s="499">
        <v>522</v>
      </c>
      <c r="G6552" s="492" t="s">
        <v>4163</v>
      </c>
      <c r="H6552" s="555"/>
      <c r="I6552" s="556"/>
      <c r="J6552" s="556">
        <f t="shared" si="215"/>
        <v>0</v>
      </c>
      <c r="K6552" s="505"/>
      <c r="L6552" s="505"/>
      <c r="M6552" s="505"/>
      <c r="N6552" s="505"/>
      <c r="O6552" s="505"/>
      <c r="P6552" s="505"/>
      <c r="Q6552" s="505"/>
      <c r="R6552" s="505"/>
      <c r="S6552" s="505"/>
      <c r="T6552" s="505"/>
      <c r="U6552" s="505"/>
      <c r="V6552" s="505"/>
      <c r="W6552" s="505"/>
      <c r="X6552" s="505"/>
      <c r="Y6552" s="505"/>
    </row>
    <row r="6553" spans="1:25" s="88" customFormat="1" hidden="1" x14ac:dyDescent="0.25">
      <c r="A6553" s="258"/>
      <c r="B6553" s="258"/>
      <c r="C6553" s="261"/>
      <c r="D6553" s="258"/>
      <c r="E6553" s="679"/>
      <c r="F6553" s="499">
        <v>523</v>
      </c>
      <c r="G6553" s="492" t="s">
        <v>3839</v>
      </c>
      <c r="H6553" s="555"/>
      <c r="I6553" s="556"/>
      <c r="J6553" s="556">
        <f t="shared" si="215"/>
        <v>0</v>
      </c>
      <c r="K6553" s="505"/>
      <c r="L6553" s="505"/>
      <c r="M6553" s="505"/>
      <c r="N6553" s="505"/>
      <c r="O6553" s="505"/>
      <c r="P6553" s="505"/>
      <c r="Q6553" s="505"/>
      <c r="R6553" s="505"/>
      <c r="S6553" s="505"/>
      <c r="T6553" s="505"/>
      <c r="U6553" s="505"/>
      <c r="V6553" s="505"/>
      <c r="W6553" s="505"/>
      <c r="X6553" s="505"/>
      <c r="Y6553" s="505"/>
    </row>
    <row r="6554" spans="1:25" s="88" customFormat="1" hidden="1" x14ac:dyDescent="0.25">
      <c r="A6554" s="258"/>
      <c r="B6554" s="258"/>
      <c r="C6554" s="261"/>
      <c r="D6554" s="258"/>
      <c r="E6554" s="679"/>
      <c r="F6554" s="499">
        <v>531</v>
      </c>
      <c r="G6554" s="488" t="s">
        <v>4139</v>
      </c>
      <c r="H6554" s="555"/>
      <c r="I6554" s="556"/>
      <c r="J6554" s="556">
        <f t="shared" si="215"/>
        <v>0</v>
      </c>
      <c r="K6554" s="505"/>
      <c r="L6554" s="505"/>
      <c r="M6554" s="505"/>
      <c r="N6554" s="505"/>
      <c r="O6554" s="505"/>
      <c r="P6554" s="505"/>
      <c r="Q6554" s="505"/>
      <c r="R6554" s="505"/>
      <c r="S6554" s="505"/>
      <c r="T6554" s="505"/>
      <c r="U6554" s="505"/>
      <c r="V6554" s="505"/>
      <c r="W6554" s="505"/>
      <c r="X6554" s="505"/>
      <c r="Y6554" s="505"/>
    </row>
    <row r="6555" spans="1:25" s="88" customFormat="1" hidden="1" x14ac:dyDescent="0.25">
      <c r="A6555" s="258"/>
      <c r="B6555" s="258"/>
      <c r="C6555" s="261"/>
      <c r="D6555" s="258"/>
      <c r="E6555" s="679"/>
      <c r="F6555" s="499">
        <v>541</v>
      </c>
      <c r="G6555" s="492" t="s">
        <v>4164</v>
      </c>
      <c r="H6555" s="555"/>
      <c r="I6555" s="556"/>
      <c r="J6555" s="556">
        <f t="shared" si="215"/>
        <v>0</v>
      </c>
      <c r="K6555" s="505"/>
      <c r="L6555" s="505"/>
      <c r="M6555" s="505"/>
      <c r="N6555" s="505"/>
      <c r="O6555" s="505"/>
      <c r="P6555" s="505"/>
      <c r="Q6555" s="505"/>
      <c r="R6555" s="505"/>
      <c r="S6555" s="505"/>
      <c r="T6555" s="505"/>
      <c r="U6555" s="505"/>
      <c r="V6555" s="505"/>
      <c r="W6555" s="505"/>
      <c r="X6555" s="505"/>
      <c r="Y6555" s="505"/>
    </row>
    <row r="6556" spans="1:25" s="88" customFormat="1" hidden="1" x14ac:dyDescent="0.25">
      <c r="A6556" s="258"/>
      <c r="B6556" s="258"/>
      <c r="C6556" s="261"/>
      <c r="D6556" s="258"/>
      <c r="E6556" s="679"/>
      <c r="F6556" s="499">
        <v>542</v>
      </c>
      <c r="G6556" s="492" t="s">
        <v>4165</v>
      </c>
      <c r="H6556" s="555"/>
      <c r="I6556" s="556"/>
      <c r="J6556" s="556">
        <f t="shared" si="215"/>
        <v>0</v>
      </c>
      <c r="K6556" s="505"/>
      <c r="L6556" s="505"/>
      <c r="M6556" s="505"/>
      <c r="N6556" s="505"/>
      <c r="O6556" s="505"/>
      <c r="P6556" s="505"/>
      <c r="Q6556" s="505"/>
      <c r="R6556" s="505"/>
      <c r="S6556" s="505"/>
      <c r="T6556" s="505"/>
      <c r="U6556" s="505"/>
      <c r="V6556" s="505"/>
      <c r="W6556" s="505"/>
      <c r="X6556" s="505"/>
      <c r="Y6556" s="505"/>
    </row>
    <row r="6557" spans="1:25" s="88" customFormat="1" hidden="1" x14ac:dyDescent="0.25">
      <c r="A6557" s="258"/>
      <c r="B6557" s="258"/>
      <c r="C6557" s="261"/>
      <c r="D6557" s="258"/>
      <c r="E6557" s="679"/>
      <c r="F6557" s="499">
        <v>543</v>
      </c>
      <c r="G6557" s="492" t="s">
        <v>3844</v>
      </c>
      <c r="H6557" s="555"/>
      <c r="I6557" s="556"/>
      <c r="J6557" s="556">
        <f t="shared" si="215"/>
        <v>0</v>
      </c>
      <c r="K6557" s="505"/>
      <c r="L6557" s="505"/>
      <c r="M6557" s="505"/>
      <c r="N6557" s="505"/>
      <c r="O6557" s="505"/>
      <c r="P6557" s="505"/>
      <c r="Q6557" s="505"/>
      <c r="R6557" s="505"/>
      <c r="S6557" s="505"/>
      <c r="T6557" s="505"/>
      <c r="U6557" s="505"/>
      <c r="V6557" s="505"/>
      <c r="W6557" s="505"/>
      <c r="X6557" s="505"/>
      <c r="Y6557" s="505"/>
    </row>
    <row r="6558" spans="1:25" s="88" customFormat="1" ht="30" hidden="1" x14ac:dyDescent="0.25">
      <c r="A6558" s="258"/>
      <c r="B6558" s="258"/>
      <c r="C6558" s="261"/>
      <c r="D6558" s="258"/>
      <c r="E6558" s="679"/>
      <c r="F6558" s="499">
        <v>551</v>
      </c>
      <c r="G6558" s="492" t="s">
        <v>4140</v>
      </c>
      <c r="H6558" s="555"/>
      <c r="I6558" s="556"/>
      <c r="J6558" s="556">
        <f t="shared" si="215"/>
        <v>0</v>
      </c>
      <c r="K6558" s="505"/>
      <c r="L6558" s="505"/>
      <c r="M6558" s="505"/>
      <c r="N6558" s="505"/>
      <c r="O6558" s="505"/>
      <c r="P6558" s="505"/>
      <c r="Q6558" s="505"/>
      <c r="R6558" s="505"/>
      <c r="S6558" s="505"/>
      <c r="T6558" s="505"/>
      <c r="U6558" s="505"/>
      <c r="V6558" s="505"/>
      <c r="W6558" s="505"/>
      <c r="X6558" s="505"/>
      <c r="Y6558" s="505"/>
    </row>
    <row r="6559" spans="1:25" s="88" customFormat="1" hidden="1" x14ac:dyDescent="0.25">
      <c r="A6559" s="258"/>
      <c r="B6559" s="258"/>
      <c r="C6559" s="261"/>
      <c r="D6559" s="258"/>
      <c r="E6559" s="679"/>
      <c r="F6559" s="500">
        <v>611</v>
      </c>
      <c r="G6559" s="498" t="s">
        <v>3850</v>
      </c>
      <c r="H6559" s="555"/>
      <c r="I6559" s="556"/>
      <c r="J6559" s="556">
        <f t="shared" si="215"/>
        <v>0</v>
      </c>
      <c r="K6559" s="505"/>
      <c r="L6559" s="505"/>
      <c r="M6559" s="505"/>
      <c r="N6559" s="505"/>
      <c r="O6559" s="505"/>
      <c r="P6559" s="505"/>
      <c r="Q6559" s="505"/>
      <c r="R6559" s="505"/>
      <c r="S6559" s="505"/>
      <c r="T6559" s="505"/>
      <c r="U6559" s="505"/>
      <c r="V6559" s="505"/>
      <c r="W6559" s="505"/>
      <c r="X6559" s="505"/>
      <c r="Y6559" s="505"/>
    </row>
    <row r="6560" spans="1:25" s="88" customFormat="1" ht="0.75" customHeight="1" thickBot="1" x14ac:dyDescent="0.3">
      <c r="A6560" s="258"/>
      <c r="B6560" s="258"/>
      <c r="C6560" s="261"/>
      <c r="D6560" s="258"/>
      <c r="E6560" s="679"/>
      <c r="F6560" s="500">
        <v>620</v>
      </c>
      <c r="G6560" s="498" t="s">
        <v>88</v>
      </c>
      <c r="H6560" s="555"/>
      <c r="I6560" s="556"/>
      <c r="J6560" s="556">
        <f t="shared" si="215"/>
        <v>0</v>
      </c>
      <c r="K6560" s="505"/>
      <c r="L6560" s="505"/>
      <c r="M6560" s="505"/>
      <c r="N6560" s="505"/>
      <c r="O6560" s="505"/>
      <c r="P6560" s="505"/>
      <c r="Q6560" s="505"/>
      <c r="R6560" s="505"/>
      <c r="S6560" s="505"/>
      <c r="T6560" s="505"/>
      <c r="U6560" s="505"/>
      <c r="V6560" s="505"/>
      <c r="W6560" s="505"/>
      <c r="X6560" s="505"/>
      <c r="Y6560" s="505"/>
    </row>
    <row r="6561" spans="1:25" s="88" customFormat="1" x14ac:dyDescent="0.25">
      <c r="A6561" s="258"/>
      <c r="B6561" s="258"/>
      <c r="C6561" s="261"/>
      <c r="D6561" s="258"/>
      <c r="E6561" s="489"/>
      <c r="F6561" s="500"/>
      <c r="G6561" s="343" t="s">
        <v>4356</v>
      </c>
      <c r="H6561" s="557"/>
      <c r="I6561" s="583"/>
      <c r="J6561" s="558"/>
      <c r="K6561" s="505"/>
      <c r="L6561" s="505"/>
      <c r="M6561" s="505"/>
      <c r="N6561" s="505"/>
      <c r="O6561" s="505"/>
      <c r="P6561" s="505"/>
      <c r="Q6561" s="505"/>
      <c r="R6561" s="505"/>
      <c r="S6561" s="505"/>
      <c r="T6561" s="505"/>
      <c r="U6561" s="505"/>
      <c r="V6561" s="505"/>
      <c r="W6561" s="505"/>
      <c r="X6561" s="505"/>
      <c r="Y6561" s="505"/>
    </row>
    <row r="6562" spans="1:25" s="88" customFormat="1" ht="15.75" thickBot="1" x14ac:dyDescent="0.3">
      <c r="A6562" s="258"/>
      <c r="B6562" s="258"/>
      <c r="C6562" s="261"/>
      <c r="D6562" s="258"/>
      <c r="E6562" s="693"/>
      <c r="F6562" s="597" t="s">
        <v>234</v>
      </c>
      <c r="G6562" s="598" t="s">
        <v>235</v>
      </c>
      <c r="H6562" s="559">
        <f>SUM(H6501:H6560)</f>
        <v>1250000</v>
      </c>
      <c r="I6562" s="560"/>
      <c r="J6562" s="560">
        <f t="shared" ref="J6562:J6577" si="216">SUM(H6562:I6562)</f>
        <v>1250000</v>
      </c>
      <c r="K6562" s="505"/>
      <c r="L6562" s="505"/>
      <c r="M6562" s="505"/>
      <c r="N6562" s="505"/>
      <c r="O6562" s="505"/>
      <c r="P6562" s="505"/>
      <c r="Q6562" s="505"/>
      <c r="R6562" s="505"/>
      <c r="S6562" s="505"/>
      <c r="T6562" s="505"/>
      <c r="U6562" s="505"/>
      <c r="V6562" s="505"/>
      <c r="W6562" s="505"/>
      <c r="X6562" s="505"/>
      <c r="Y6562" s="505"/>
    </row>
    <row r="6563" spans="1:25" s="88" customFormat="1" hidden="1" x14ac:dyDescent="0.25">
      <c r="A6563" s="258"/>
      <c r="B6563" s="258"/>
      <c r="C6563" s="261"/>
      <c r="D6563" s="258"/>
      <c r="E6563" s="679"/>
      <c r="F6563" s="597" t="s">
        <v>236</v>
      </c>
      <c r="G6563" s="598" t="s">
        <v>237</v>
      </c>
      <c r="H6563" s="555"/>
      <c r="I6563" s="556"/>
      <c r="J6563" s="560">
        <f t="shared" si="216"/>
        <v>0</v>
      </c>
      <c r="K6563" s="505"/>
      <c r="L6563" s="505"/>
      <c r="M6563" s="505"/>
      <c r="N6563" s="505"/>
      <c r="O6563" s="505"/>
      <c r="P6563" s="505"/>
      <c r="Q6563" s="505"/>
      <c r="R6563" s="505"/>
      <c r="S6563" s="505"/>
      <c r="T6563" s="505"/>
      <c r="U6563" s="505"/>
      <c r="V6563" s="505"/>
      <c r="W6563" s="505"/>
      <c r="X6563" s="505"/>
      <c r="Y6563" s="505"/>
    </row>
    <row r="6564" spans="1:25" s="88" customFormat="1" hidden="1" x14ac:dyDescent="0.25">
      <c r="A6564" s="258"/>
      <c r="B6564" s="258"/>
      <c r="C6564" s="261"/>
      <c r="D6564" s="258"/>
      <c r="E6564" s="679"/>
      <c r="F6564" s="597" t="s">
        <v>238</v>
      </c>
      <c r="G6564" s="598" t="s">
        <v>239</v>
      </c>
      <c r="H6564" s="555"/>
      <c r="I6564" s="556"/>
      <c r="J6564" s="560">
        <f t="shared" si="216"/>
        <v>0</v>
      </c>
      <c r="K6564" s="505"/>
      <c r="L6564" s="505"/>
      <c r="M6564" s="505"/>
      <c r="N6564" s="505"/>
      <c r="O6564" s="505"/>
      <c r="P6564" s="505"/>
      <c r="Q6564" s="505"/>
      <c r="R6564" s="505"/>
      <c r="S6564" s="505"/>
      <c r="T6564" s="505"/>
      <c r="U6564" s="505"/>
      <c r="V6564" s="505"/>
      <c r="W6564" s="505"/>
      <c r="X6564" s="505"/>
      <c r="Y6564" s="505"/>
    </row>
    <row r="6565" spans="1:25" s="88" customFormat="1" hidden="1" x14ac:dyDescent="0.25">
      <c r="A6565" s="258"/>
      <c r="B6565" s="258"/>
      <c r="C6565" s="261"/>
      <c r="D6565" s="258"/>
      <c r="E6565" s="679"/>
      <c r="F6565" s="597" t="s">
        <v>240</v>
      </c>
      <c r="G6565" s="598" t="s">
        <v>241</v>
      </c>
      <c r="H6565" s="555"/>
      <c r="I6565" s="556"/>
      <c r="J6565" s="560">
        <f t="shared" si="216"/>
        <v>0</v>
      </c>
      <c r="K6565" s="505"/>
      <c r="L6565" s="505"/>
      <c r="M6565" s="505"/>
      <c r="N6565" s="505"/>
      <c r="O6565" s="505"/>
      <c r="P6565" s="505"/>
      <c r="Q6565" s="505"/>
      <c r="R6565" s="505"/>
      <c r="S6565" s="505"/>
      <c r="T6565" s="505"/>
      <c r="U6565" s="505"/>
      <c r="V6565" s="505"/>
      <c r="W6565" s="505"/>
      <c r="X6565" s="505"/>
      <c r="Y6565" s="505"/>
    </row>
    <row r="6566" spans="1:25" s="88" customFormat="1" hidden="1" x14ac:dyDescent="0.25">
      <c r="A6566" s="258"/>
      <c r="B6566" s="258"/>
      <c r="C6566" s="261"/>
      <c r="D6566" s="258"/>
      <c r="E6566" s="679"/>
      <c r="F6566" s="597" t="s">
        <v>242</v>
      </c>
      <c r="G6566" s="598" t="s">
        <v>243</v>
      </c>
      <c r="H6566" s="555"/>
      <c r="I6566" s="556"/>
      <c r="J6566" s="560">
        <f t="shared" si="216"/>
        <v>0</v>
      </c>
      <c r="K6566" s="505"/>
      <c r="L6566" s="505"/>
      <c r="M6566" s="505"/>
      <c r="N6566" s="505"/>
      <c r="O6566" s="505"/>
      <c r="P6566" s="505"/>
      <c r="Q6566" s="505"/>
      <c r="R6566" s="505"/>
      <c r="S6566" s="505"/>
      <c r="T6566" s="505"/>
      <c r="U6566" s="505"/>
      <c r="V6566" s="505"/>
      <c r="W6566" s="505"/>
      <c r="X6566" s="505"/>
      <c r="Y6566" s="505"/>
    </row>
    <row r="6567" spans="1:25" s="88" customFormat="1" hidden="1" x14ac:dyDescent="0.25">
      <c r="A6567" s="258"/>
      <c r="B6567" s="258"/>
      <c r="C6567" s="261"/>
      <c r="D6567" s="258"/>
      <c r="E6567" s="679"/>
      <c r="F6567" s="597" t="s">
        <v>244</v>
      </c>
      <c r="G6567" s="598" t="s">
        <v>245</v>
      </c>
      <c r="H6567" s="555"/>
      <c r="I6567" s="556"/>
      <c r="J6567" s="560">
        <f t="shared" si="216"/>
        <v>0</v>
      </c>
      <c r="K6567" s="505"/>
      <c r="L6567" s="505"/>
      <c r="M6567" s="505"/>
      <c r="N6567" s="505"/>
      <c r="O6567" s="505"/>
      <c r="P6567" s="505"/>
      <c r="Q6567" s="505"/>
      <c r="R6567" s="505"/>
      <c r="S6567" s="505"/>
      <c r="T6567" s="505"/>
      <c r="U6567" s="505"/>
      <c r="V6567" s="505"/>
      <c r="W6567" s="505"/>
      <c r="X6567" s="505"/>
      <c r="Y6567" s="505"/>
    </row>
    <row r="6568" spans="1:25" s="88" customFormat="1" hidden="1" x14ac:dyDescent="0.25">
      <c r="A6568" s="258"/>
      <c r="B6568" s="258"/>
      <c r="C6568" s="261"/>
      <c r="D6568" s="258"/>
      <c r="E6568" s="679"/>
      <c r="F6568" s="597" t="s">
        <v>246</v>
      </c>
      <c r="G6568" s="598" t="s">
        <v>4996</v>
      </c>
      <c r="H6568" s="555"/>
      <c r="I6568" s="556"/>
      <c r="J6568" s="560">
        <f t="shared" si="216"/>
        <v>0</v>
      </c>
      <c r="K6568" s="505"/>
      <c r="L6568" s="505"/>
      <c r="M6568" s="505"/>
      <c r="N6568" s="505"/>
      <c r="O6568" s="505"/>
      <c r="P6568" s="505"/>
      <c r="Q6568" s="505"/>
      <c r="R6568" s="505"/>
      <c r="S6568" s="505"/>
      <c r="T6568" s="505"/>
      <c r="U6568" s="505"/>
      <c r="V6568" s="505"/>
      <c r="W6568" s="505"/>
      <c r="X6568" s="505"/>
      <c r="Y6568" s="505"/>
    </row>
    <row r="6569" spans="1:25" s="88" customFormat="1" hidden="1" x14ac:dyDescent="0.25">
      <c r="A6569" s="258"/>
      <c r="B6569" s="258"/>
      <c r="C6569" s="261"/>
      <c r="D6569" s="258"/>
      <c r="E6569" s="679"/>
      <c r="F6569" s="597" t="s">
        <v>247</v>
      </c>
      <c r="G6569" s="598" t="s">
        <v>4995</v>
      </c>
      <c r="H6569" s="555"/>
      <c r="I6569" s="556"/>
      <c r="J6569" s="560">
        <f t="shared" si="216"/>
        <v>0</v>
      </c>
      <c r="K6569" s="505"/>
      <c r="L6569" s="505"/>
      <c r="M6569" s="505"/>
      <c r="N6569" s="505"/>
      <c r="O6569" s="505"/>
      <c r="P6569" s="505"/>
      <c r="Q6569" s="505"/>
      <c r="R6569" s="505"/>
      <c r="S6569" s="505"/>
      <c r="T6569" s="505"/>
      <c r="U6569" s="505"/>
      <c r="V6569" s="505"/>
      <c r="W6569" s="505"/>
      <c r="X6569" s="505"/>
      <c r="Y6569" s="505"/>
    </row>
    <row r="6570" spans="1:25" s="88" customFormat="1" hidden="1" x14ac:dyDescent="0.25">
      <c r="A6570" s="258"/>
      <c r="B6570" s="258"/>
      <c r="C6570" s="261"/>
      <c r="D6570" s="258"/>
      <c r="E6570" s="679"/>
      <c r="F6570" s="597" t="s">
        <v>248</v>
      </c>
      <c r="G6570" s="598" t="s">
        <v>57</v>
      </c>
      <c r="H6570" s="555"/>
      <c r="I6570" s="556"/>
      <c r="J6570" s="560">
        <f t="shared" si="216"/>
        <v>0</v>
      </c>
      <c r="K6570" s="505"/>
      <c r="L6570" s="505"/>
      <c r="M6570" s="505"/>
      <c r="N6570" s="505"/>
      <c r="O6570" s="505"/>
      <c r="P6570" s="505"/>
      <c r="Q6570" s="505"/>
      <c r="R6570" s="505"/>
      <c r="S6570" s="505"/>
      <c r="T6570" s="505"/>
      <c r="U6570" s="505"/>
      <c r="V6570" s="505"/>
      <c r="W6570" s="505"/>
      <c r="X6570" s="505"/>
      <c r="Y6570" s="505"/>
    </row>
    <row r="6571" spans="1:25" s="88" customFormat="1" hidden="1" x14ac:dyDescent="0.25">
      <c r="A6571" s="258"/>
      <c r="B6571" s="258"/>
      <c r="C6571" s="261"/>
      <c r="D6571" s="258"/>
      <c r="E6571" s="679"/>
      <c r="F6571" s="597" t="s">
        <v>249</v>
      </c>
      <c r="G6571" s="598" t="s">
        <v>250</v>
      </c>
      <c r="H6571" s="555"/>
      <c r="I6571" s="556"/>
      <c r="J6571" s="560">
        <f t="shared" si="216"/>
        <v>0</v>
      </c>
      <c r="K6571" s="505"/>
      <c r="L6571" s="505"/>
      <c r="M6571" s="505"/>
      <c r="N6571" s="505"/>
      <c r="O6571" s="505"/>
      <c r="P6571" s="505"/>
      <c r="Q6571" s="505"/>
      <c r="R6571" s="505"/>
      <c r="S6571" s="505"/>
      <c r="T6571" s="505"/>
      <c r="U6571" s="505"/>
      <c r="V6571" s="505"/>
      <c r="W6571" s="505"/>
      <c r="X6571" s="505"/>
      <c r="Y6571" s="505"/>
    </row>
    <row r="6572" spans="1:25" s="88" customFormat="1" hidden="1" x14ac:dyDescent="0.25">
      <c r="A6572" s="258"/>
      <c r="B6572" s="258"/>
      <c r="C6572" s="261"/>
      <c r="D6572" s="258"/>
      <c r="E6572" s="679"/>
      <c r="F6572" s="597" t="s">
        <v>251</v>
      </c>
      <c r="G6572" s="598" t="s">
        <v>252</v>
      </c>
      <c r="H6572" s="555"/>
      <c r="I6572" s="556"/>
      <c r="J6572" s="560">
        <f t="shared" si="216"/>
        <v>0</v>
      </c>
      <c r="K6572" s="505"/>
      <c r="L6572" s="505"/>
      <c r="M6572" s="505"/>
      <c r="N6572" s="505"/>
      <c r="O6572" s="505"/>
      <c r="P6572" s="505"/>
      <c r="Q6572" s="505"/>
      <c r="R6572" s="505"/>
      <c r="S6572" s="505"/>
      <c r="T6572" s="505"/>
      <c r="U6572" s="505"/>
      <c r="V6572" s="505"/>
      <c r="W6572" s="505"/>
      <c r="X6572" s="505"/>
      <c r="Y6572" s="505"/>
    </row>
    <row r="6573" spans="1:25" s="88" customFormat="1" ht="30" hidden="1" x14ac:dyDescent="0.25">
      <c r="A6573" s="258"/>
      <c r="B6573" s="258"/>
      <c r="C6573" s="261"/>
      <c r="D6573" s="258"/>
      <c r="E6573" s="679"/>
      <c r="F6573" s="597" t="s">
        <v>253</v>
      </c>
      <c r="G6573" s="598" t="s">
        <v>254</v>
      </c>
      <c r="H6573" s="555"/>
      <c r="I6573" s="556"/>
      <c r="J6573" s="560">
        <f t="shared" si="216"/>
        <v>0</v>
      </c>
      <c r="K6573" s="505"/>
      <c r="L6573" s="505"/>
      <c r="M6573" s="505"/>
      <c r="N6573" s="505"/>
      <c r="O6573" s="505"/>
      <c r="P6573" s="505"/>
      <c r="Q6573" s="505"/>
      <c r="R6573" s="505"/>
      <c r="S6573" s="505"/>
      <c r="T6573" s="505"/>
      <c r="U6573" s="505"/>
      <c r="V6573" s="505"/>
      <c r="W6573" s="505"/>
      <c r="X6573" s="505"/>
      <c r="Y6573" s="505"/>
    </row>
    <row r="6574" spans="1:25" s="88" customFormat="1" hidden="1" x14ac:dyDescent="0.25">
      <c r="A6574" s="258"/>
      <c r="B6574" s="258"/>
      <c r="C6574" s="261"/>
      <c r="D6574" s="258"/>
      <c r="E6574" s="679"/>
      <c r="F6574" s="597" t="s">
        <v>255</v>
      </c>
      <c r="G6574" s="598" t="s">
        <v>256</v>
      </c>
      <c r="H6574" s="555"/>
      <c r="I6574" s="556"/>
      <c r="J6574" s="560">
        <f t="shared" si="216"/>
        <v>0</v>
      </c>
      <c r="K6574" s="505"/>
      <c r="L6574" s="505"/>
      <c r="M6574" s="505"/>
      <c r="N6574" s="505"/>
      <c r="O6574" s="505"/>
      <c r="P6574" s="505"/>
      <c r="Q6574" s="505"/>
      <c r="R6574" s="505"/>
      <c r="S6574" s="505"/>
      <c r="T6574" s="505"/>
      <c r="U6574" s="505"/>
      <c r="V6574" s="505"/>
      <c r="W6574" s="505"/>
      <c r="X6574" s="505"/>
      <c r="Y6574" s="505"/>
    </row>
    <row r="6575" spans="1:25" s="88" customFormat="1" ht="30" hidden="1" x14ac:dyDescent="0.25">
      <c r="A6575" s="258"/>
      <c r="B6575" s="258"/>
      <c r="C6575" s="261"/>
      <c r="D6575" s="258"/>
      <c r="E6575" s="679"/>
      <c r="F6575" s="597" t="s">
        <v>257</v>
      </c>
      <c r="G6575" s="598" t="s">
        <v>258</v>
      </c>
      <c r="H6575" s="555"/>
      <c r="I6575" s="556"/>
      <c r="J6575" s="560">
        <f t="shared" si="216"/>
        <v>0</v>
      </c>
      <c r="K6575" s="505"/>
      <c r="L6575" s="505"/>
      <c r="M6575" s="505"/>
      <c r="N6575" s="505"/>
      <c r="O6575" s="505"/>
      <c r="P6575" s="505"/>
      <c r="Q6575" s="505"/>
      <c r="R6575" s="505"/>
      <c r="S6575" s="505"/>
      <c r="T6575" s="505"/>
      <c r="U6575" s="505"/>
      <c r="V6575" s="505"/>
      <c r="W6575" s="505"/>
      <c r="X6575" s="505"/>
      <c r="Y6575" s="505"/>
    </row>
    <row r="6576" spans="1:25" s="88" customFormat="1" hidden="1" x14ac:dyDescent="0.25">
      <c r="A6576" s="258"/>
      <c r="B6576" s="258"/>
      <c r="C6576" s="261"/>
      <c r="D6576" s="258"/>
      <c r="E6576" s="679"/>
      <c r="F6576" s="597" t="s">
        <v>259</v>
      </c>
      <c r="G6576" s="598" t="s">
        <v>260</v>
      </c>
      <c r="H6576" s="555"/>
      <c r="I6576" s="556"/>
      <c r="J6576" s="560">
        <f t="shared" si="216"/>
        <v>0</v>
      </c>
      <c r="K6576" s="505"/>
      <c r="L6576" s="505"/>
      <c r="M6576" s="505"/>
      <c r="N6576" s="505"/>
      <c r="O6576" s="505"/>
      <c r="P6576" s="505"/>
      <c r="Q6576" s="505"/>
      <c r="R6576" s="505"/>
      <c r="S6576" s="505"/>
      <c r="T6576" s="505"/>
      <c r="U6576" s="505"/>
      <c r="V6576" s="505"/>
      <c r="W6576" s="505"/>
      <c r="X6576" s="505"/>
      <c r="Y6576" s="505"/>
    </row>
    <row r="6577" spans="1:25" s="88" customFormat="1" ht="15.75" hidden="1" thickBot="1" x14ac:dyDescent="0.3">
      <c r="A6577" s="258"/>
      <c r="B6577" s="258"/>
      <c r="C6577" s="261"/>
      <c r="D6577" s="258"/>
      <c r="E6577" s="679"/>
      <c r="F6577" s="597" t="s">
        <v>261</v>
      </c>
      <c r="G6577" s="598" t="s">
        <v>262</v>
      </c>
      <c r="H6577" s="559"/>
      <c r="I6577" s="560"/>
      <c r="J6577" s="560">
        <f t="shared" si="216"/>
        <v>0</v>
      </c>
      <c r="K6577" s="505"/>
      <c r="L6577" s="505"/>
      <c r="M6577" s="505"/>
      <c r="N6577" s="505"/>
      <c r="O6577" s="505"/>
      <c r="P6577" s="505"/>
      <c r="Q6577" s="505"/>
      <c r="R6577" s="505"/>
      <c r="S6577" s="505"/>
      <c r="T6577" s="505"/>
      <c r="U6577" s="505"/>
      <c r="V6577" s="505"/>
      <c r="W6577" s="505"/>
      <c r="X6577" s="505"/>
      <c r="Y6577" s="505"/>
    </row>
    <row r="6578" spans="1:25" s="88" customFormat="1" ht="18" customHeight="1" thickBot="1" x14ac:dyDescent="0.3">
      <c r="A6578" s="258"/>
      <c r="B6578" s="258"/>
      <c r="C6578" s="261"/>
      <c r="D6578" s="258"/>
      <c r="E6578" s="679"/>
      <c r="F6578" s="258"/>
      <c r="G6578" s="268" t="s">
        <v>4357</v>
      </c>
      <c r="H6578" s="561">
        <f>SUM(H6562:H6577)</f>
        <v>1250000</v>
      </c>
      <c r="I6578" s="562">
        <f>SUM(I6563:I6577)</f>
        <v>0</v>
      </c>
      <c r="J6578" s="562">
        <f>SUM(J6562:J6577)</f>
        <v>1250000</v>
      </c>
      <c r="K6578" s="505"/>
      <c r="L6578" s="505"/>
      <c r="M6578" s="505"/>
      <c r="N6578" s="505"/>
      <c r="O6578" s="505"/>
      <c r="P6578" s="505"/>
      <c r="Q6578" s="505"/>
      <c r="R6578" s="505"/>
      <c r="S6578" s="505"/>
      <c r="T6578" s="505"/>
      <c r="U6578" s="505"/>
      <c r="V6578" s="505"/>
      <c r="W6578" s="505"/>
      <c r="X6578" s="505"/>
      <c r="Y6578" s="505"/>
    </row>
    <row r="6579" spans="1:25" s="88" customFormat="1" ht="28.5" x14ac:dyDescent="0.25">
      <c r="A6579" s="258"/>
      <c r="B6579" s="258"/>
      <c r="C6579" s="261"/>
      <c r="D6579" s="258"/>
      <c r="E6579" s="489"/>
      <c r="F6579" s="500"/>
      <c r="G6579" s="270" t="s">
        <v>5326</v>
      </c>
      <c r="H6579" s="563"/>
      <c r="I6579" s="584"/>
      <c r="J6579" s="564"/>
      <c r="K6579" s="505"/>
      <c r="L6579" s="505"/>
      <c r="M6579" s="505"/>
      <c r="N6579" s="505"/>
      <c r="O6579" s="505"/>
      <c r="P6579" s="505"/>
      <c r="Q6579" s="505"/>
      <c r="R6579" s="505"/>
      <c r="S6579" s="505"/>
      <c r="T6579" s="505"/>
      <c r="U6579" s="505"/>
      <c r="V6579" s="505"/>
      <c r="W6579" s="505"/>
      <c r="X6579" s="505"/>
      <c r="Y6579" s="505"/>
    </row>
    <row r="6580" spans="1:25" s="88" customFormat="1" ht="15.75" thickBot="1" x14ac:dyDescent="0.3">
      <c r="A6580" s="258"/>
      <c r="B6580" s="258"/>
      <c r="C6580" s="261"/>
      <c r="D6580" s="258"/>
      <c r="E6580" s="693"/>
      <c r="F6580" s="597" t="s">
        <v>234</v>
      </c>
      <c r="G6580" s="598" t="s">
        <v>235</v>
      </c>
      <c r="H6580" s="559">
        <f>SUM(H6501:H6560)</f>
        <v>1250000</v>
      </c>
      <c r="I6580" s="560"/>
      <c r="J6580" s="560">
        <f>SUM(H6580:I6580)</f>
        <v>1250000</v>
      </c>
      <c r="K6580" s="505"/>
      <c r="L6580" s="505"/>
      <c r="M6580" s="505"/>
      <c r="N6580" s="505"/>
      <c r="O6580" s="505"/>
      <c r="P6580" s="505"/>
      <c r="Q6580" s="505"/>
      <c r="R6580" s="505"/>
      <c r="S6580" s="505"/>
      <c r="T6580" s="505"/>
      <c r="U6580" s="505"/>
      <c r="V6580" s="505"/>
      <c r="W6580" s="505"/>
      <c r="X6580" s="505"/>
      <c r="Y6580" s="505"/>
    </row>
    <row r="6581" spans="1:25" s="88" customFormat="1" hidden="1" x14ac:dyDescent="0.25">
      <c r="A6581" s="258"/>
      <c r="B6581" s="258"/>
      <c r="C6581" s="261"/>
      <c r="D6581" s="258"/>
      <c r="E6581" s="679"/>
      <c r="F6581" s="597" t="s">
        <v>236</v>
      </c>
      <c r="G6581" s="598" t="s">
        <v>237</v>
      </c>
      <c r="H6581" s="555"/>
      <c r="I6581" s="556"/>
      <c r="J6581" s="560">
        <f t="shared" ref="J6581:J6595" si="217">SUM(H6581:I6581)</f>
        <v>0</v>
      </c>
      <c r="K6581" s="505"/>
      <c r="L6581" s="505"/>
      <c r="M6581" s="505"/>
      <c r="N6581" s="505"/>
      <c r="O6581" s="505"/>
      <c r="P6581" s="505"/>
      <c r="Q6581" s="505"/>
      <c r="R6581" s="505"/>
      <c r="S6581" s="505"/>
      <c r="T6581" s="505"/>
      <c r="U6581" s="505"/>
      <c r="V6581" s="505"/>
      <c r="W6581" s="505"/>
      <c r="X6581" s="505"/>
      <c r="Y6581" s="505"/>
    </row>
    <row r="6582" spans="1:25" s="88" customFormat="1" hidden="1" x14ac:dyDescent="0.25">
      <c r="A6582" s="258"/>
      <c r="B6582" s="258"/>
      <c r="C6582" s="261"/>
      <c r="D6582" s="258"/>
      <c r="E6582" s="679"/>
      <c r="F6582" s="597" t="s">
        <v>238</v>
      </c>
      <c r="G6582" s="598" t="s">
        <v>239</v>
      </c>
      <c r="H6582" s="555"/>
      <c r="I6582" s="556"/>
      <c r="J6582" s="560">
        <f t="shared" si="217"/>
        <v>0</v>
      </c>
      <c r="K6582" s="505"/>
      <c r="L6582" s="505"/>
      <c r="M6582" s="505"/>
      <c r="N6582" s="505"/>
      <c r="O6582" s="505"/>
      <c r="P6582" s="505"/>
      <c r="Q6582" s="505"/>
      <c r="R6582" s="505"/>
      <c r="S6582" s="505"/>
      <c r="T6582" s="505"/>
      <c r="U6582" s="505"/>
      <c r="V6582" s="505"/>
      <c r="W6582" s="505"/>
      <c r="X6582" s="505"/>
      <c r="Y6582" s="505"/>
    </row>
    <row r="6583" spans="1:25" s="88" customFormat="1" hidden="1" x14ac:dyDescent="0.25">
      <c r="A6583" s="258"/>
      <c r="B6583" s="258"/>
      <c r="C6583" s="261"/>
      <c r="D6583" s="258"/>
      <c r="E6583" s="679"/>
      <c r="F6583" s="597" t="s">
        <v>240</v>
      </c>
      <c r="G6583" s="598" t="s">
        <v>241</v>
      </c>
      <c r="H6583" s="555"/>
      <c r="I6583" s="556"/>
      <c r="J6583" s="560">
        <f t="shared" si="217"/>
        <v>0</v>
      </c>
      <c r="K6583" s="505"/>
      <c r="L6583" s="505"/>
      <c r="M6583" s="505"/>
      <c r="N6583" s="505"/>
      <c r="O6583" s="505"/>
      <c r="P6583" s="505"/>
      <c r="Q6583" s="505"/>
      <c r="R6583" s="505"/>
      <c r="S6583" s="505"/>
      <c r="T6583" s="505"/>
      <c r="U6583" s="505"/>
      <c r="V6583" s="505"/>
      <c r="W6583" s="505"/>
      <c r="X6583" s="505"/>
      <c r="Y6583" s="505"/>
    </row>
    <row r="6584" spans="1:25" s="88" customFormat="1" hidden="1" x14ac:dyDescent="0.25">
      <c r="A6584" s="258"/>
      <c r="B6584" s="258"/>
      <c r="C6584" s="261"/>
      <c r="D6584" s="258"/>
      <c r="E6584" s="679"/>
      <c r="F6584" s="597" t="s">
        <v>242</v>
      </c>
      <c r="G6584" s="598" t="s">
        <v>243</v>
      </c>
      <c r="H6584" s="555"/>
      <c r="I6584" s="556"/>
      <c r="J6584" s="560">
        <f t="shared" si="217"/>
        <v>0</v>
      </c>
      <c r="K6584" s="505"/>
      <c r="L6584" s="505"/>
      <c r="M6584" s="505"/>
      <c r="N6584" s="505"/>
      <c r="O6584" s="505"/>
      <c r="P6584" s="505"/>
      <c r="Q6584" s="505"/>
      <c r="R6584" s="505"/>
      <c r="S6584" s="505"/>
      <c r="T6584" s="505"/>
      <c r="U6584" s="505"/>
      <c r="V6584" s="505"/>
      <c r="W6584" s="505"/>
      <c r="X6584" s="505"/>
      <c r="Y6584" s="505"/>
    </row>
    <row r="6585" spans="1:25" s="88" customFormat="1" hidden="1" x14ac:dyDescent="0.25">
      <c r="A6585" s="258"/>
      <c r="B6585" s="258"/>
      <c r="C6585" s="261"/>
      <c r="D6585" s="258"/>
      <c r="E6585" s="679"/>
      <c r="F6585" s="597" t="s">
        <v>244</v>
      </c>
      <c r="G6585" s="598" t="s">
        <v>245</v>
      </c>
      <c r="H6585" s="555"/>
      <c r="I6585" s="556"/>
      <c r="J6585" s="560">
        <f t="shared" si="217"/>
        <v>0</v>
      </c>
      <c r="K6585" s="505"/>
      <c r="L6585" s="505"/>
      <c r="M6585" s="505"/>
      <c r="N6585" s="505"/>
      <c r="O6585" s="505"/>
      <c r="P6585" s="505"/>
      <c r="Q6585" s="505"/>
      <c r="R6585" s="505"/>
      <c r="S6585" s="505"/>
      <c r="T6585" s="505"/>
      <c r="U6585" s="505"/>
      <c r="V6585" s="505"/>
      <c r="W6585" s="505"/>
      <c r="X6585" s="505"/>
      <c r="Y6585" s="505"/>
    </row>
    <row r="6586" spans="1:25" s="88" customFormat="1" hidden="1" x14ac:dyDescent="0.25">
      <c r="A6586" s="258"/>
      <c r="B6586" s="258"/>
      <c r="C6586" s="261"/>
      <c r="D6586" s="258"/>
      <c r="E6586" s="679"/>
      <c r="F6586" s="597" t="s">
        <v>246</v>
      </c>
      <c r="G6586" s="598" t="s">
        <v>4996</v>
      </c>
      <c r="H6586" s="555"/>
      <c r="I6586" s="556"/>
      <c r="J6586" s="560">
        <f t="shared" si="217"/>
        <v>0</v>
      </c>
      <c r="K6586" s="505"/>
      <c r="L6586" s="505"/>
      <c r="M6586" s="505"/>
      <c r="N6586" s="505"/>
      <c r="O6586" s="505"/>
      <c r="P6586" s="505"/>
      <c r="Q6586" s="505"/>
      <c r="R6586" s="505"/>
      <c r="S6586" s="505"/>
      <c r="T6586" s="505"/>
      <c r="U6586" s="505"/>
      <c r="V6586" s="505"/>
      <c r="W6586" s="505"/>
      <c r="X6586" s="505"/>
      <c r="Y6586" s="505"/>
    </row>
    <row r="6587" spans="1:25" s="88" customFormat="1" hidden="1" x14ac:dyDescent="0.25">
      <c r="A6587" s="258"/>
      <c r="B6587" s="258"/>
      <c r="C6587" s="261"/>
      <c r="D6587" s="258"/>
      <c r="E6587" s="679"/>
      <c r="F6587" s="597" t="s">
        <v>247</v>
      </c>
      <c r="G6587" s="598" t="s">
        <v>4995</v>
      </c>
      <c r="H6587" s="555"/>
      <c r="I6587" s="556"/>
      <c r="J6587" s="560">
        <f t="shared" si="217"/>
        <v>0</v>
      </c>
      <c r="K6587" s="505"/>
      <c r="L6587" s="505"/>
      <c r="M6587" s="505"/>
      <c r="N6587" s="505"/>
      <c r="O6587" s="505"/>
      <c r="P6587" s="505"/>
      <c r="Q6587" s="505"/>
      <c r="R6587" s="505"/>
      <c r="S6587" s="505"/>
      <c r="T6587" s="505"/>
      <c r="U6587" s="505"/>
      <c r="V6587" s="505"/>
      <c r="W6587" s="505"/>
      <c r="X6587" s="505"/>
      <c r="Y6587" s="505"/>
    </row>
    <row r="6588" spans="1:25" s="88" customFormat="1" hidden="1" x14ac:dyDescent="0.25">
      <c r="A6588" s="258"/>
      <c r="B6588" s="258"/>
      <c r="C6588" s="261"/>
      <c r="D6588" s="258"/>
      <c r="E6588" s="679"/>
      <c r="F6588" s="597" t="s">
        <v>248</v>
      </c>
      <c r="G6588" s="598" t="s">
        <v>57</v>
      </c>
      <c r="H6588" s="555"/>
      <c r="I6588" s="556"/>
      <c r="J6588" s="560">
        <f t="shared" si="217"/>
        <v>0</v>
      </c>
      <c r="K6588" s="505"/>
      <c r="L6588" s="505"/>
      <c r="M6588" s="505"/>
      <c r="N6588" s="505"/>
      <c r="O6588" s="505"/>
      <c r="P6588" s="505"/>
      <c r="Q6588" s="505"/>
      <c r="R6588" s="505"/>
      <c r="S6588" s="505"/>
      <c r="T6588" s="505"/>
      <c r="U6588" s="505"/>
      <c r="V6588" s="505"/>
      <c r="W6588" s="505"/>
      <c r="X6588" s="505"/>
      <c r="Y6588" s="505"/>
    </row>
    <row r="6589" spans="1:25" s="88" customFormat="1" hidden="1" x14ac:dyDescent="0.25">
      <c r="A6589" s="258"/>
      <c r="B6589" s="258"/>
      <c r="C6589" s="261"/>
      <c r="D6589" s="258"/>
      <c r="E6589" s="679"/>
      <c r="F6589" s="597" t="s">
        <v>249</v>
      </c>
      <c r="G6589" s="598" t="s">
        <v>250</v>
      </c>
      <c r="H6589" s="555"/>
      <c r="I6589" s="556"/>
      <c r="J6589" s="560">
        <f t="shared" si="217"/>
        <v>0</v>
      </c>
      <c r="K6589" s="505"/>
      <c r="L6589" s="505"/>
      <c r="M6589" s="505"/>
      <c r="N6589" s="505"/>
      <c r="O6589" s="505"/>
      <c r="P6589" s="505"/>
      <c r="Q6589" s="505"/>
      <c r="R6589" s="505"/>
      <c r="S6589" s="505"/>
      <c r="T6589" s="505"/>
      <c r="U6589" s="505"/>
      <c r="V6589" s="505"/>
      <c r="W6589" s="505"/>
      <c r="X6589" s="505"/>
      <c r="Y6589" s="505"/>
    </row>
    <row r="6590" spans="1:25" s="88" customFormat="1" hidden="1" x14ac:dyDescent="0.25">
      <c r="A6590" s="258"/>
      <c r="B6590" s="258"/>
      <c r="C6590" s="261"/>
      <c r="D6590" s="258"/>
      <c r="E6590" s="679"/>
      <c r="F6590" s="597" t="s">
        <v>251</v>
      </c>
      <c r="G6590" s="598" t="s">
        <v>252</v>
      </c>
      <c r="H6590" s="555"/>
      <c r="I6590" s="556"/>
      <c r="J6590" s="560">
        <f t="shared" si="217"/>
        <v>0</v>
      </c>
      <c r="K6590" s="505"/>
      <c r="L6590" s="505"/>
      <c r="M6590" s="505"/>
      <c r="N6590" s="505"/>
      <c r="O6590" s="505"/>
      <c r="P6590" s="505"/>
      <c r="Q6590" s="505"/>
      <c r="R6590" s="505"/>
      <c r="S6590" s="505"/>
      <c r="T6590" s="505"/>
      <c r="U6590" s="505"/>
      <c r="V6590" s="505"/>
      <c r="W6590" s="505"/>
      <c r="X6590" s="505"/>
      <c r="Y6590" s="505"/>
    </row>
    <row r="6591" spans="1:25" s="88" customFormat="1" ht="30" hidden="1" x14ac:dyDescent="0.25">
      <c r="A6591" s="258"/>
      <c r="B6591" s="258"/>
      <c r="C6591" s="261"/>
      <c r="D6591" s="258"/>
      <c r="E6591" s="679"/>
      <c r="F6591" s="597" t="s">
        <v>253</v>
      </c>
      <c r="G6591" s="598" t="s">
        <v>254</v>
      </c>
      <c r="H6591" s="555"/>
      <c r="I6591" s="556"/>
      <c r="J6591" s="560">
        <f t="shared" si="217"/>
        <v>0</v>
      </c>
      <c r="K6591" s="505"/>
      <c r="L6591" s="505"/>
      <c r="M6591" s="505"/>
      <c r="N6591" s="505"/>
      <c r="O6591" s="505"/>
      <c r="P6591" s="505"/>
      <c r="Q6591" s="505"/>
      <c r="R6591" s="505"/>
      <c r="S6591" s="505"/>
      <c r="T6591" s="505"/>
      <c r="U6591" s="505"/>
      <c r="V6591" s="505"/>
      <c r="W6591" s="505"/>
      <c r="X6591" s="505"/>
      <c r="Y6591" s="505"/>
    </row>
    <row r="6592" spans="1:25" s="88" customFormat="1" hidden="1" x14ac:dyDescent="0.25">
      <c r="A6592" s="258"/>
      <c r="B6592" s="258"/>
      <c r="C6592" s="261"/>
      <c r="D6592" s="258"/>
      <c r="E6592" s="679"/>
      <c r="F6592" s="597" t="s">
        <v>255</v>
      </c>
      <c r="G6592" s="598" t="s">
        <v>256</v>
      </c>
      <c r="H6592" s="555"/>
      <c r="I6592" s="556"/>
      <c r="J6592" s="560">
        <f t="shared" si="217"/>
        <v>0</v>
      </c>
      <c r="K6592" s="505"/>
      <c r="L6592" s="505"/>
      <c r="M6592" s="505"/>
      <c r="N6592" s="505"/>
      <c r="O6592" s="505"/>
      <c r="P6592" s="505"/>
      <c r="Q6592" s="505"/>
      <c r="R6592" s="505"/>
      <c r="S6592" s="505"/>
      <c r="T6592" s="505"/>
      <c r="U6592" s="505"/>
      <c r="V6592" s="505"/>
      <c r="W6592" s="505"/>
      <c r="X6592" s="505"/>
      <c r="Y6592" s="505"/>
    </row>
    <row r="6593" spans="1:25" s="88" customFormat="1" ht="30" hidden="1" x14ac:dyDescent="0.25">
      <c r="A6593" s="258"/>
      <c r="B6593" s="258"/>
      <c r="C6593" s="261"/>
      <c r="D6593" s="258"/>
      <c r="E6593" s="679"/>
      <c r="F6593" s="597" t="s">
        <v>257</v>
      </c>
      <c r="G6593" s="598" t="s">
        <v>258</v>
      </c>
      <c r="H6593" s="555"/>
      <c r="I6593" s="556"/>
      <c r="J6593" s="560">
        <f t="shared" si="217"/>
        <v>0</v>
      </c>
      <c r="K6593" s="505"/>
      <c r="L6593" s="505"/>
      <c r="M6593" s="505"/>
      <c r="N6593" s="505"/>
      <c r="O6593" s="505"/>
      <c r="P6593" s="505"/>
      <c r="Q6593" s="505"/>
      <c r="R6593" s="505"/>
      <c r="S6593" s="505"/>
      <c r="T6593" s="505"/>
      <c r="U6593" s="505"/>
      <c r="V6593" s="505"/>
      <c r="W6593" s="505"/>
      <c r="X6593" s="505"/>
      <c r="Y6593" s="505"/>
    </row>
    <row r="6594" spans="1:25" s="88" customFormat="1" hidden="1" x14ac:dyDescent="0.25">
      <c r="A6594" s="258"/>
      <c r="B6594" s="258"/>
      <c r="C6594" s="261"/>
      <c r="D6594" s="258"/>
      <c r="E6594" s="679"/>
      <c r="F6594" s="597" t="s">
        <v>259</v>
      </c>
      <c r="G6594" s="598" t="s">
        <v>260</v>
      </c>
      <c r="H6594" s="555"/>
      <c r="I6594" s="556"/>
      <c r="J6594" s="560">
        <f t="shared" si="217"/>
        <v>0</v>
      </c>
      <c r="K6594" s="505"/>
      <c r="L6594" s="505"/>
      <c r="M6594" s="505"/>
      <c r="N6594" s="505"/>
      <c r="O6594" s="505"/>
      <c r="P6594" s="505"/>
      <c r="Q6594" s="505"/>
      <c r="R6594" s="505"/>
      <c r="S6594" s="505"/>
      <c r="T6594" s="505"/>
      <c r="U6594" s="505"/>
      <c r="V6594" s="505"/>
      <c r="W6594" s="505"/>
      <c r="X6594" s="505"/>
      <c r="Y6594" s="505"/>
    </row>
    <row r="6595" spans="1:25" s="88" customFormat="1" ht="15.75" hidden="1" thickBot="1" x14ac:dyDescent="0.3">
      <c r="A6595" s="258"/>
      <c r="B6595" s="258"/>
      <c r="C6595" s="261"/>
      <c r="D6595" s="258"/>
      <c r="E6595" s="679"/>
      <c r="F6595" s="597" t="s">
        <v>261</v>
      </c>
      <c r="G6595" s="598" t="s">
        <v>262</v>
      </c>
      <c r="H6595" s="559"/>
      <c r="I6595" s="560"/>
      <c r="J6595" s="560">
        <f t="shared" si="217"/>
        <v>0</v>
      </c>
      <c r="K6595" s="505"/>
      <c r="L6595" s="505"/>
      <c r="M6595" s="505"/>
      <c r="N6595" s="505"/>
      <c r="O6595" s="505"/>
      <c r="P6595" s="505"/>
      <c r="Q6595" s="505"/>
      <c r="R6595" s="505"/>
      <c r="S6595" s="505"/>
      <c r="T6595" s="505"/>
      <c r="U6595" s="505"/>
      <c r="V6595" s="505"/>
      <c r="W6595" s="505"/>
      <c r="X6595" s="505"/>
      <c r="Y6595" s="505"/>
    </row>
    <row r="6596" spans="1:25" s="88" customFormat="1" ht="18" customHeight="1" thickBot="1" x14ac:dyDescent="0.3">
      <c r="A6596" s="258"/>
      <c r="B6596" s="258"/>
      <c r="C6596" s="261"/>
      <c r="D6596" s="258"/>
      <c r="E6596" s="679"/>
      <c r="F6596" s="258"/>
      <c r="G6596" s="268" t="s">
        <v>4919</v>
      </c>
      <c r="H6596" s="561">
        <f>SUM(H6580:H6595)</f>
        <v>1250000</v>
      </c>
      <c r="I6596" s="562"/>
      <c r="J6596" s="562">
        <f>SUM(J6580:J6595)</f>
        <v>1250000</v>
      </c>
      <c r="K6596" s="505"/>
      <c r="L6596" s="505"/>
      <c r="M6596" s="505"/>
      <c r="N6596" s="505"/>
      <c r="O6596" s="505"/>
      <c r="P6596" s="505"/>
      <c r="Q6596" s="505"/>
      <c r="R6596" s="505"/>
      <c r="S6596" s="505"/>
      <c r="T6596" s="505"/>
      <c r="U6596" s="505"/>
      <c r="V6596" s="505"/>
      <c r="W6596" s="505"/>
      <c r="X6596" s="505"/>
      <c r="Y6596" s="505"/>
    </row>
    <row r="6597" spans="1:25" s="88" customFormat="1" ht="18" customHeight="1" x14ac:dyDescent="0.25">
      <c r="A6597" s="258"/>
      <c r="B6597" s="258"/>
      <c r="C6597" s="261"/>
      <c r="D6597" s="258"/>
      <c r="E6597" s="679"/>
      <c r="F6597" s="258"/>
      <c r="G6597" s="312"/>
      <c r="H6597" s="565"/>
      <c r="I6597" s="566"/>
      <c r="J6597" s="566"/>
      <c r="K6597" s="505"/>
      <c r="L6597" s="505"/>
      <c r="M6597" s="505"/>
      <c r="N6597" s="505"/>
      <c r="O6597" s="505"/>
      <c r="P6597" s="505"/>
      <c r="Q6597" s="505"/>
      <c r="R6597" s="505"/>
      <c r="S6597" s="505"/>
      <c r="T6597" s="505"/>
      <c r="U6597" s="505"/>
      <c r="V6597" s="505"/>
      <c r="W6597" s="505"/>
      <c r="X6597" s="505"/>
      <c r="Y6597" s="505"/>
    </row>
    <row r="6598" spans="1:25" s="88" customFormat="1" x14ac:dyDescent="0.25">
      <c r="A6598" s="258"/>
      <c r="B6598" s="258"/>
      <c r="C6598" s="261"/>
      <c r="D6598" s="258"/>
      <c r="E6598" s="489"/>
      <c r="F6598" s="500"/>
      <c r="G6598" s="285" t="s">
        <v>4221</v>
      </c>
      <c r="H6598" s="567"/>
      <c r="I6598" s="585"/>
      <c r="J6598" s="568"/>
      <c r="K6598" s="505"/>
      <c r="L6598" s="505"/>
      <c r="M6598" s="505"/>
      <c r="N6598" s="505"/>
      <c r="O6598" s="505"/>
      <c r="P6598" s="505"/>
      <c r="Q6598" s="505"/>
      <c r="R6598" s="505"/>
      <c r="S6598" s="505"/>
      <c r="T6598" s="505"/>
      <c r="U6598" s="505"/>
      <c r="V6598" s="505"/>
      <c r="W6598" s="505"/>
      <c r="X6598" s="505"/>
      <c r="Y6598" s="505"/>
    </row>
    <row r="6599" spans="1:25" s="88" customFormat="1" ht="15.75" customHeight="1" x14ac:dyDescent="0.25">
      <c r="A6599" s="258"/>
      <c r="B6599" s="258"/>
      <c r="C6599" s="261"/>
      <c r="D6599" s="258"/>
      <c r="E6599" s="693"/>
      <c r="F6599" s="597" t="s">
        <v>234</v>
      </c>
      <c r="G6599" s="598" t="s">
        <v>235</v>
      </c>
      <c r="H6599" s="559">
        <f>SUM(H6580+H6482+H6384+H6301)</f>
        <v>6076000</v>
      </c>
      <c r="I6599" s="560"/>
      <c r="J6599" s="560">
        <f>SUM(H6599:I6599)</f>
        <v>6076000</v>
      </c>
      <c r="K6599" s="505"/>
      <c r="L6599" s="505"/>
      <c r="M6599" s="505"/>
      <c r="N6599" s="505"/>
      <c r="O6599" s="505"/>
      <c r="P6599" s="505"/>
      <c r="Q6599" s="505"/>
      <c r="R6599" s="505"/>
      <c r="S6599" s="505"/>
      <c r="T6599" s="505"/>
      <c r="U6599" s="505"/>
      <c r="V6599" s="505"/>
      <c r="W6599" s="505"/>
      <c r="X6599" s="505"/>
      <c r="Y6599" s="505"/>
    </row>
    <row r="6600" spans="1:25" s="88" customFormat="1" hidden="1" x14ac:dyDescent="0.25">
      <c r="A6600" s="258"/>
      <c r="B6600" s="258"/>
      <c r="C6600" s="261"/>
      <c r="D6600" s="258"/>
      <c r="E6600" s="679"/>
      <c r="F6600" s="597" t="s">
        <v>236</v>
      </c>
      <c r="G6600" s="598" t="s">
        <v>237</v>
      </c>
      <c r="H6600" s="555"/>
      <c r="I6600" s="556"/>
      <c r="J6600" s="560">
        <f t="shared" ref="J6600:J6614" si="218">SUM(H6600:I6600)</f>
        <v>0</v>
      </c>
      <c r="K6600" s="505"/>
      <c r="L6600" s="505"/>
      <c r="M6600" s="505"/>
      <c r="N6600" s="505"/>
      <c r="O6600" s="505"/>
      <c r="P6600" s="505"/>
      <c r="Q6600" s="505"/>
      <c r="R6600" s="505"/>
      <c r="S6600" s="505"/>
      <c r="T6600" s="505"/>
      <c r="U6600" s="505"/>
      <c r="V6600" s="505"/>
      <c r="W6600" s="505"/>
      <c r="X6600" s="505"/>
      <c r="Y6600" s="505"/>
    </row>
    <row r="6601" spans="1:25" s="88" customFormat="1" hidden="1" x14ac:dyDescent="0.25">
      <c r="A6601" s="258"/>
      <c r="B6601" s="258"/>
      <c r="C6601" s="261"/>
      <c r="D6601" s="258"/>
      <c r="E6601" s="679"/>
      <c r="F6601" s="597" t="s">
        <v>238</v>
      </c>
      <c r="G6601" s="598" t="s">
        <v>239</v>
      </c>
      <c r="H6601" s="555"/>
      <c r="I6601" s="556"/>
      <c r="J6601" s="560">
        <f t="shared" si="218"/>
        <v>0</v>
      </c>
      <c r="K6601" s="505"/>
      <c r="L6601" s="505"/>
      <c r="M6601" s="505"/>
      <c r="N6601" s="505"/>
      <c r="O6601" s="505"/>
      <c r="P6601" s="505"/>
      <c r="Q6601" s="505"/>
      <c r="R6601" s="505"/>
      <c r="S6601" s="505"/>
      <c r="T6601" s="505"/>
      <c r="U6601" s="505"/>
      <c r="V6601" s="505"/>
      <c r="W6601" s="505"/>
      <c r="X6601" s="505"/>
      <c r="Y6601" s="505"/>
    </row>
    <row r="6602" spans="1:25" s="88" customFormat="1" ht="15.75" thickBot="1" x14ac:dyDescent="0.3">
      <c r="A6602" s="258"/>
      <c r="B6602" s="258"/>
      <c r="C6602" s="261"/>
      <c r="D6602" s="258"/>
      <c r="E6602" s="679"/>
      <c r="F6602" s="597" t="s">
        <v>240</v>
      </c>
      <c r="G6602" s="598" t="s">
        <v>241</v>
      </c>
      <c r="H6602" s="555"/>
      <c r="I6602" s="556">
        <f>SUM(I6286)</f>
        <v>25000</v>
      </c>
      <c r="J6602" s="560">
        <f t="shared" si="218"/>
        <v>25000</v>
      </c>
      <c r="K6602" s="505"/>
      <c r="L6602" s="505"/>
      <c r="M6602" s="505"/>
      <c r="N6602" s="505"/>
      <c r="O6602" s="505"/>
      <c r="P6602" s="505"/>
      <c r="Q6602" s="505"/>
      <c r="R6602" s="505"/>
      <c r="S6602" s="505"/>
      <c r="T6602" s="505"/>
      <c r="U6602" s="505"/>
      <c r="V6602" s="505"/>
      <c r="W6602" s="505"/>
      <c r="X6602" s="505"/>
      <c r="Y6602" s="505"/>
    </row>
    <row r="6603" spans="1:25" s="88" customFormat="1" hidden="1" x14ac:dyDescent="0.25">
      <c r="A6603" s="258"/>
      <c r="B6603" s="258"/>
      <c r="C6603" s="261"/>
      <c r="D6603" s="258"/>
      <c r="E6603" s="679"/>
      <c r="F6603" s="597" t="s">
        <v>242</v>
      </c>
      <c r="G6603" s="598" t="s">
        <v>243</v>
      </c>
      <c r="H6603" s="555"/>
      <c r="I6603" s="556"/>
      <c r="J6603" s="560">
        <f t="shared" si="218"/>
        <v>0</v>
      </c>
      <c r="K6603" s="505"/>
      <c r="L6603" s="505"/>
      <c r="M6603" s="505"/>
      <c r="N6603" s="505"/>
      <c r="O6603" s="505"/>
      <c r="P6603" s="505"/>
      <c r="Q6603" s="505"/>
      <c r="R6603" s="505"/>
      <c r="S6603" s="505"/>
      <c r="T6603" s="505"/>
      <c r="U6603" s="505"/>
      <c r="V6603" s="505"/>
      <c r="W6603" s="505"/>
      <c r="X6603" s="505"/>
      <c r="Y6603" s="505"/>
    </row>
    <row r="6604" spans="1:25" s="88" customFormat="1" hidden="1" x14ac:dyDescent="0.25">
      <c r="A6604" s="258"/>
      <c r="B6604" s="258"/>
      <c r="C6604" s="261"/>
      <c r="D6604" s="258"/>
      <c r="E6604" s="679"/>
      <c r="F6604" s="597" t="s">
        <v>244</v>
      </c>
      <c r="G6604" s="598" t="s">
        <v>245</v>
      </c>
      <c r="H6604" s="555"/>
      <c r="I6604" s="556"/>
      <c r="J6604" s="560">
        <f t="shared" si="218"/>
        <v>0</v>
      </c>
      <c r="K6604" s="505"/>
      <c r="L6604" s="505"/>
      <c r="M6604" s="505"/>
      <c r="N6604" s="505"/>
      <c r="O6604" s="505"/>
      <c r="P6604" s="505"/>
      <c r="Q6604" s="505"/>
      <c r="R6604" s="505"/>
      <c r="S6604" s="505"/>
      <c r="T6604" s="505"/>
      <c r="U6604" s="505"/>
      <c r="V6604" s="505"/>
      <c r="W6604" s="505"/>
      <c r="X6604" s="505"/>
      <c r="Y6604" s="505"/>
    </row>
    <row r="6605" spans="1:25" s="88" customFormat="1" hidden="1" x14ac:dyDescent="0.25">
      <c r="A6605" s="258"/>
      <c r="B6605" s="258"/>
      <c r="C6605" s="261"/>
      <c r="D6605" s="258"/>
      <c r="E6605" s="679"/>
      <c r="F6605" s="597" t="s">
        <v>246</v>
      </c>
      <c r="G6605" s="598" t="s">
        <v>4996</v>
      </c>
      <c r="H6605" s="555"/>
      <c r="I6605" s="556"/>
      <c r="J6605" s="560">
        <f t="shared" si="218"/>
        <v>0</v>
      </c>
      <c r="K6605" s="505"/>
      <c r="L6605" s="505"/>
      <c r="M6605" s="505"/>
      <c r="N6605" s="505"/>
      <c r="O6605" s="505"/>
      <c r="P6605" s="505"/>
      <c r="Q6605" s="505"/>
      <c r="R6605" s="505"/>
      <c r="S6605" s="505"/>
      <c r="T6605" s="505"/>
      <c r="U6605" s="505"/>
      <c r="V6605" s="505"/>
      <c r="W6605" s="505"/>
      <c r="X6605" s="505"/>
      <c r="Y6605" s="505"/>
    </row>
    <row r="6606" spans="1:25" s="88" customFormat="1" hidden="1" x14ac:dyDescent="0.25">
      <c r="A6606" s="258"/>
      <c r="B6606" s="258"/>
      <c r="C6606" s="261"/>
      <c r="D6606" s="258"/>
      <c r="E6606" s="679"/>
      <c r="F6606" s="597" t="s">
        <v>247</v>
      </c>
      <c r="G6606" s="598" t="s">
        <v>4995</v>
      </c>
      <c r="H6606" s="555"/>
      <c r="I6606" s="556"/>
      <c r="J6606" s="560">
        <f t="shared" si="218"/>
        <v>0</v>
      </c>
      <c r="K6606" s="505"/>
      <c r="L6606" s="505"/>
      <c r="M6606" s="505"/>
      <c r="N6606" s="505"/>
      <c r="O6606" s="505"/>
      <c r="P6606" s="505"/>
      <c r="Q6606" s="505"/>
      <c r="R6606" s="505"/>
      <c r="S6606" s="505"/>
      <c r="T6606" s="505"/>
      <c r="U6606" s="505"/>
      <c r="V6606" s="505"/>
      <c r="W6606" s="505"/>
      <c r="X6606" s="505"/>
      <c r="Y6606" s="505"/>
    </row>
    <row r="6607" spans="1:25" s="88" customFormat="1" hidden="1" x14ac:dyDescent="0.25">
      <c r="A6607" s="258"/>
      <c r="B6607" s="258"/>
      <c r="C6607" s="261"/>
      <c r="D6607" s="258"/>
      <c r="E6607" s="679"/>
      <c r="F6607" s="597" t="s">
        <v>248</v>
      </c>
      <c r="G6607" s="598" t="s">
        <v>57</v>
      </c>
      <c r="H6607" s="555"/>
      <c r="I6607" s="556"/>
      <c r="J6607" s="560">
        <f t="shared" si="218"/>
        <v>0</v>
      </c>
      <c r="K6607" s="505"/>
      <c r="L6607" s="505"/>
      <c r="M6607" s="505"/>
      <c r="N6607" s="505"/>
      <c r="O6607" s="505"/>
      <c r="P6607" s="505"/>
      <c r="Q6607" s="505"/>
      <c r="R6607" s="505"/>
      <c r="S6607" s="505"/>
      <c r="T6607" s="505"/>
      <c r="U6607" s="505"/>
      <c r="V6607" s="505"/>
      <c r="W6607" s="505"/>
      <c r="X6607" s="505"/>
      <c r="Y6607" s="505"/>
    </row>
    <row r="6608" spans="1:25" s="88" customFormat="1" hidden="1" x14ac:dyDescent="0.25">
      <c r="A6608" s="258"/>
      <c r="B6608" s="258"/>
      <c r="C6608" s="261"/>
      <c r="D6608" s="258"/>
      <c r="E6608" s="679"/>
      <c r="F6608" s="597" t="s">
        <v>249</v>
      </c>
      <c r="G6608" s="598" t="s">
        <v>250</v>
      </c>
      <c r="H6608" s="555"/>
      <c r="I6608" s="556"/>
      <c r="J6608" s="560">
        <f t="shared" si="218"/>
        <v>0</v>
      </c>
      <c r="K6608" s="505"/>
      <c r="L6608" s="505"/>
      <c r="M6608" s="505"/>
      <c r="N6608" s="505"/>
      <c r="O6608" s="505"/>
      <c r="P6608" s="505"/>
      <c r="Q6608" s="505"/>
      <c r="R6608" s="505"/>
      <c r="S6608" s="505"/>
      <c r="T6608" s="505"/>
      <c r="U6608" s="505"/>
      <c r="V6608" s="505"/>
      <c r="W6608" s="505"/>
      <c r="X6608" s="505"/>
      <c r="Y6608" s="505"/>
    </row>
    <row r="6609" spans="1:25" s="88" customFormat="1" hidden="1" x14ac:dyDescent="0.25">
      <c r="A6609" s="258"/>
      <c r="B6609" s="258"/>
      <c r="C6609" s="261"/>
      <c r="D6609" s="258"/>
      <c r="E6609" s="679"/>
      <c r="F6609" s="597" t="s">
        <v>251</v>
      </c>
      <c r="G6609" s="598" t="s">
        <v>252</v>
      </c>
      <c r="H6609" s="555"/>
      <c r="I6609" s="556"/>
      <c r="J6609" s="560">
        <f t="shared" si="218"/>
        <v>0</v>
      </c>
      <c r="K6609" s="505"/>
      <c r="L6609" s="505"/>
      <c r="M6609" s="505"/>
      <c r="N6609" s="505"/>
      <c r="O6609" s="505"/>
      <c r="P6609" s="505"/>
      <c r="Q6609" s="505"/>
      <c r="R6609" s="505"/>
      <c r="S6609" s="505"/>
      <c r="T6609" s="505"/>
      <c r="U6609" s="505"/>
      <c r="V6609" s="505"/>
      <c r="W6609" s="505"/>
      <c r="X6609" s="505"/>
      <c r="Y6609" s="505"/>
    </row>
    <row r="6610" spans="1:25" s="88" customFormat="1" ht="30" hidden="1" x14ac:dyDescent="0.25">
      <c r="A6610" s="258"/>
      <c r="B6610" s="258"/>
      <c r="C6610" s="261"/>
      <c r="D6610" s="258"/>
      <c r="E6610" s="679"/>
      <c r="F6610" s="597" t="s">
        <v>253</v>
      </c>
      <c r="G6610" s="598" t="s">
        <v>254</v>
      </c>
      <c r="H6610" s="555"/>
      <c r="I6610" s="556"/>
      <c r="J6610" s="560">
        <f t="shared" si="218"/>
        <v>0</v>
      </c>
      <c r="K6610" s="505"/>
      <c r="L6610" s="505"/>
      <c r="M6610" s="505"/>
      <c r="N6610" s="505"/>
      <c r="O6610" s="505"/>
      <c r="P6610" s="505"/>
      <c r="Q6610" s="505"/>
      <c r="R6610" s="505"/>
      <c r="S6610" s="505"/>
      <c r="T6610" s="505"/>
      <c r="U6610" s="505"/>
      <c r="V6610" s="505"/>
      <c r="W6610" s="505"/>
      <c r="X6610" s="505"/>
      <c r="Y6610" s="505"/>
    </row>
    <row r="6611" spans="1:25" s="88" customFormat="1" hidden="1" x14ac:dyDescent="0.25">
      <c r="A6611" s="258"/>
      <c r="B6611" s="258"/>
      <c r="C6611" s="261"/>
      <c r="D6611" s="258"/>
      <c r="E6611" s="679"/>
      <c r="F6611" s="597" t="s">
        <v>255</v>
      </c>
      <c r="G6611" s="598" t="s">
        <v>256</v>
      </c>
      <c r="H6611" s="555"/>
      <c r="I6611" s="556"/>
      <c r="J6611" s="560">
        <f t="shared" si="218"/>
        <v>0</v>
      </c>
      <c r="K6611" s="505"/>
      <c r="L6611" s="505"/>
      <c r="M6611" s="505"/>
      <c r="N6611" s="505"/>
      <c r="O6611" s="505"/>
      <c r="P6611" s="505"/>
      <c r="Q6611" s="505"/>
      <c r="R6611" s="505"/>
      <c r="S6611" s="505"/>
      <c r="T6611" s="505"/>
      <c r="U6611" s="505"/>
      <c r="V6611" s="505"/>
      <c r="W6611" s="505"/>
      <c r="X6611" s="505"/>
      <c r="Y6611" s="505"/>
    </row>
    <row r="6612" spans="1:25" s="88" customFormat="1" ht="30" hidden="1" x14ac:dyDescent="0.25">
      <c r="A6612" s="258"/>
      <c r="B6612" s="258"/>
      <c r="C6612" s="261"/>
      <c r="D6612" s="258"/>
      <c r="E6612" s="679"/>
      <c r="F6612" s="597" t="s">
        <v>257</v>
      </c>
      <c r="G6612" s="598" t="s">
        <v>258</v>
      </c>
      <c r="H6612" s="555"/>
      <c r="I6612" s="556"/>
      <c r="J6612" s="560">
        <f t="shared" si="218"/>
        <v>0</v>
      </c>
      <c r="K6612" s="505"/>
      <c r="L6612" s="505"/>
      <c r="M6612" s="505"/>
      <c r="N6612" s="505"/>
      <c r="O6612" s="505"/>
      <c r="P6612" s="505"/>
      <c r="Q6612" s="505"/>
      <c r="R6612" s="505"/>
      <c r="S6612" s="505"/>
      <c r="T6612" s="505"/>
      <c r="U6612" s="505"/>
      <c r="V6612" s="505"/>
      <c r="W6612" s="505"/>
      <c r="X6612" s="505"/>
      <c r="Y6612" s="505"/>
    </row>
    <row r="6613" spans="1:25" s="88" customFormat="1" hidden="1" x14ac:dyDescent="0.25">
      <c r="A6613" s="258"/>
      <c r="B6613" s="258"/>
      <c r="C6613" s="261"/>
      <c r="D6613" s="258"/>
      <c r="E6613" s="679"/>
      <c r="F6613" s="597" t="s">
        <v>259</v>
      </c>
      <c r="G6613" s="598" t="s">
        <v>260</v>
      </c>
      <c r="H6613" s="555"/>
      <c r="I6613" s="556"/>
      <c r="J6613" s="560">
        <f t="shared" si="218"/>
        <v>0</v>
      </c>
      <c r="K6613" s="505"/>
      <c r="L6613" s="505"/>
      <c r="M6613" s="505"/>
      <c r="N6613" s="505"/>
      <c r="O6613" s="505"/>
      <c r="P6613" s="505"/>
      <c r="Q6613" s="505"/>
      <c r="R6613" s="505"/>
      <c r="S6613" s="505"/>
      <c r="T6613" s="505"/>
      <c r="U6613" s="505"/>
      <c r="V6613" s="505"/>
      <c r="W6613" s="505"/>
      <c r="X6613" s="505"/>
      <c r="Y6613" s="505"/>
    </row>
    <row r="6614" spans="1:25" s="88" customFormat="1" ht="15.75" hidden="1" thickBot="1" x14ac:dyDescent="0.3">
      <c r="A6614" s="258"/>
      <c r="B6614" s="258"/>
      <c r="C6614" s="261"/>
      <c r="D6614" s="258"/>
      <c r="E6614" s="679"/>
      <c r="F6614" s="597" t="s">
        <v>261</v>
      </c>
      <c r="G6614" s="598" t="s">
        <v>262</v>
      </c>
      <c r="H6614" s="559"/>
      <c r="I6614" s="560"/>
      <c r="J6614" s="560">
        <f t="shared" si="218"/>
        <v>0</v>
      </c>
      <c r="K6614" s="505"/>
      <c r="L6614" s="505"/>
      <c r="M6614" s="505"/>
      <c r="N6614" s="505"/>
      <c r="O6614" s="505"/>
      <c r="P6614" s="505"/>
      <c r="Q6614" s="505"/>
      <c r="R6614" s="505"/>
      <c r="S6614" s="505"/>
      <c r="T6614" s="505"/>
      <c r="U6614" s="505"/>
      <c r="V6614" s="505"/>
      <c r="W6614" s="505"/>
      <c r="X6614" s="505"/>
      <c r="Y6614" s="505"/>
    </row>
    <row r="6615" spans="1:25" s="88" customFormat="1" ht="14.25" customHeight="1" thickBot="1" x14ac:dyDescent="0.3">
      <c r="A6615" s="258"/>
      <c r="B6615" s="258"/>
      <c r="C6615" s="261"/>
      <c r="D6615" s="258"/>
      <c r="E6615" s="679"/>
      <c r="F6615" s="258"/>
      <c r="G6615" s="268" t="s">
        <v>4223</v>
      </c>
      <c r="H6615" s="561">
        <f>SUM(H6599:H6614)</f>
        <v>6076000</v>
      </c>
      <c r="I6615" s="562">
        <f>SUM(I6600:I6614)</f>
        <v>25000</v>
      </c>
      <c r="J6615" s="562">
        <f>SUM(J6599:J6614)</f>
        <v>6101000</v>
      </c>
      <c r="K6615" s="505"/>
      <c r="L6615" s="505"/>
      <c r="M6615" s="505"/>
      <c r="N6615" s="505"/>
      <c r="O6615" s="505"/>
      <c r="P6615" s="505"/>
      <c r="Q6615" s="505"/>
      <c r="R6615" s="505"/>
      <c r="S6615" s="505"/>
      <c r="T6615" s="505"/>
      <c r="U6615" s="505"/>
      <c r="V6615" s="505"/>
      <c r="W6615" s="505"/>
      <c r="X6615" s="505"/>
      <c r="Y6615" s="505"/>
    </row>
    <row r="6616" spans="1:25" s="88" customFormat="1" ht="18" customHeight="1" x14ac:dyDescent="0.25">
      <c r="A6616" s="258"/>
      <c r="B6616" s="258"/>
      <c r="C6616" s="261"/>
      <c r="D6616" s="258"/>
      <c r="E6616" s="679"/>
      <c r="F6616" s="258"/>
      <c r="G6616" s="312"/>
      <c r="H6616" s="565"/>
      <c r="I6616" s="566"/>
      <c r="J6616" s="566"/>
      <c r="K6616" s="505"/>
      <c r="L6616" s="505"/>
      <c r="M6616" s="505"/>
      <c r="N6616" s="505"/>
      <c r="O6616" s="505"/>
      <c r="P6616" s="505"/>
      <c r="Q6616" s="505"/>
      <c r="R6616" s="505"/>
      <c r="S6616" s="505"/>
      <c r="T6616" s="505"/>
      <c r="U6616" s="505"/>
      <c r="V6616" s="505"/>
      <c r="W6616" s="505"/>
      <c r="X6616" s="505"/>
      <c r="Y6616" s="505"/>
    </row>
    <row r="6617" spans="1:25" s="839" customFormat="1" x14ac:dyDescent="0.25">
      <c r="A6617" s="829"/>
      <c r="B6617" s="830">
        <v>3</v>
      </c>
      <c r="C6617" s="840"/>
      <c r="D6617" s="841"/>
      <c r="E6617" s="882"/>
      <c r="F6617" s="842"/>
      <c r="G6617" s="834" t="s">
        <v>5329</v>
      </c>
      <c r="H6617" s="843"/>
      <c r="I6617" s="836"/>
      <c r="J6617" s="836"/>
      <c r="K6617" s="838"/>
      <c r="L6617" s="838"/>
      <c r="M6617" s="838"/>
      <c r="N6617" s="838"/>
      <c r="O6617" s="838"/>
      <c r="P6617" s="838"/>
      <c r="Q6617" s="838"/>
      <c r="R6617" s="838"/>
      <c r="S6617" s="838"/>
      <c r="T6617" s="838"/>
      <c r="U6617" s="838"/>
      <c r="V6617" s="838"/>
      <c r="W6617" s="838"/>
      <c r="X6617" s="838"/>
      <c r="Y6617" s="838"/>
    </row>
    <row r="6618" spans="1:25" s="88" customFormat="1" ht="27.75" customHeight="1" x14ac:dyDescent="0.25">
      <c r="A6618" s="481"/>
      <c r="B6618" s="288"/>
      <c r="C6618" s="267" t="s">
        <v>4089</v>
      </c>
      <c r="D6618" s="259"/>
      <c r="E6618" s="679"/>
      <c r="F6618" s="258"/>
      <c r="G6618" s="727" t="s">
        <v>5130</v>
      </c>
      <c r="H6618" s="555"/>
      <c r="I6618" s="556"/>
      <c r="J6618" s="556"/>
      <c r="K6618" s="505"/>
      <c r="L6618" s="505"/>
      <c r="M6618" s="505"/>
      <c r="N6618" s="505"/>
      <c r="O6618" s="505"/>
      <c r="P6618" s="505"/>
      <c r="Q6618" s="505"/>
      <c r="R6618" s="505"/>
      <c r="S6618" s="505"/>
      <c r="T6618" s="505"/>
      <c r="U6618" s="505"/>
      <c r="V6618" s="505"/>
      <c r="W6618" s="505"/>
      <c r="X6618" s="505"/>
      <c r="Y6618" s="505"/>
    </row>
    <row r="6619" spans="1:25" s="88" customFormat="1" x14ac:dyDescent="0.25">
      <c r="A6619" s="481"/>
      <c r="B6619" s="288"/>
      <c r="C6619" s="294"/>
      <c r="D6619" s="348" t="s">
        <v>4001</v>
      </c>
      <c r="E6619" s="871"/>
      <c r="F6619" s="345"/>
      <c r="G6619" s="346" t="s">
        <v>207</v>
      </c>
      <c r="H6619" s="572"/>
      <c r="I6619" s="573"/>
      <c r="J6619" s="573"/>
      <c r="K6619" s="505"/>
      <c r="L6619" s="505"/>
      <c r="M6619" s="505"/>
      <c r="N6619" s="505"/>
      <c r="O6619" s="505"/>
      <c r="P6619" s="505"/>
      <c r="Q6619" s="505"/>
      <c r="R6619" s="505"/>
      <c r="S6619" s="505"/>
      <c r="T6619" s="505"/>
      <c r="U6619" s="505"/>
      <c r="V6619" s="505"/>
      <c r="W6619" s="505"/>
      <c r="X6619" s="505"/>
      <c r="Y6619" s="505"/>
    </row>
    <row r="6620" spans="1:25" s="88" customFormat="1" x14ac:dyDescent="0.25">
      <c r="A6620" s="481"/>
      <c r="B6620" s="288"/>
      <c r="C6620" s="267"/>
      <c r="D6620" s="258"/>
      <c r="E6620" s="679">
        <v>194</v>
      </c>
      <c r="F6620" s="499">
        <v>411</v>
      </c>
      <c r="G6620" s="492" t="s">
        <v>4131</v>
      </c>
      <c r="H6620" s="555">
        <v>1410000</v>
      </c>
      <c r="I6620" s="556"/>
      <c r="J6620" s="556">
        <f>SUM(H6620:I6620)</f>
        <v>1410000</v>
      </c>
      <c r="K6620" s="505"/>
      <c r="L6620" s="505"/>
      <c r="M6620" s="505"/>
      <c r="N6620" s="505"/>
      <c r="O6620" s="505"/>
      <c r="P6620" s="505"/>
      <c r="Q6620" s="505"/>
      <c r="R6620" s="505"/>
      <c r="S6620" s="505"/>
      <c r="T6620" s="505"/>
      <c r="U6620" s="505"/>
      <c r="V6620" s="505"/>
      <c r="W6620" s="505"/>
      <c r="X6620" s="505"/>
      <c r="Y6620" s="505"/>
    </row>
    <row r="6621" spans="1:25" s="88" customFormat="1" x14ac:dyDescent="0.25">
      <c r="A6621" s="481"/>
      <c r="B6621" s="288"/>
      <c r="C6621" s="267"/>
      <c r="D6621" s="258"/>
      <c r="E6621" s="679">
        <v>195</v>
      </c>
      <c r="F6621" s="499">
        <v>412</v>
      </c>
      <c r="G6621" s="488" t="s">
        <v>3766</v>
      </c>
      <c r="H6621" s="555">
        <v>252000</v>
      </c>
      <c r="I6621" s="556"/>
      <c r="J6621" s="556">
        <f t="shared" ref="J6621:J6654" si="219">SUM(H6621:I6621)</f>
        <v>252000</v>
      </c>
      <c r="K6621" s="505"/>
      <c r="L6621" s="505"/>
      <c r="M6621" s="505"/>
      <c r="N6621" s="505"/>
      <c r="O6621" s="505"/>
      <c r="P6621" s="505"/>
      <c r="Q6621" s="505"/>
      <c r="R6621" s="505"/>
      <c r="S6621" s="505"/>
      <c r="T6621" s="505"/>
      <c r="U6621" s="505"/>
      <c r="V6621" s="505"/>
      <c r="W6621" s="505"/>
      <c r="X6621" s="505"/>
      <c r="Y6621" s="505"/>
    </row>
    <row r="6622" spans="1:25" s="88" customFormat="1" x14ac:dyDescent="0.25">
      <c r="A6622" s="481"/>
      <c r="B6622" s="288"/>
      <c r="C6622" s="267"/>
      <c r="D6622" s="258"/>
      <c r="E6622" s="679">
        <v>196</v>
      </c>
      <c r="F6622" s="499">
        <v>413</v>
      </c>
      <c r="G6622" s="492" t="s">
        <v>4132</v>
      </c>
      <c r="H6622" s="555">
        <v>0</v>
      </c>
      <c r="I6622" s="556"/>
      <c r="J6622" s="556">
        <f t="shared" si="219"/>
        <v>0</v>
      </c>
      <c r="K6622" s="505"/>
      <c r="L6622" s="505"/>
      <c r="M6622" s="505"/>
      <c r="N6622" s="505"/>
      <c r="O6622" s="505"/>
      <c r="P6622" s="505"/>
      <c r="Q6622" s="505"/>
      <c r="R6622" s="505"/>
      <c r="S6622" s="505"/>
      <c r="T6622" s="505"/>
      <c r="U6622" s="505"/>
      <c r="V6622" s="505"/>
      <c r="W6622" s="505"/>
      <c r="X6622" s="505"/>
      <c r="Y6622" s="505"/>
    </row>
    <row r="6623" spans="1:25" s="88" customFormat="1" x14ac:dyDescent="0.25">
      <c r="A6623" s="481"/>
      <c r="B6623" s="288"/>
      <c r="C6623" s="267"/>
      <c r="D6623" s="258"/>
      <c r="E6623" s="679">
        <v>197</v>
      </c>
      <c r="F6623" s="499">
        <v>414</v>
      </c>
      <c r="G6623" s="492" t="s">
        <v>3769</v>
      </c>
      <c r="H6623" s="555">
        <v>30000</v>
      </c>
      <c r="I6623" s="556"/>
      <c r="J6623" s="556">
        <f t="shared" si="219"/>
        <v>30000</v>
      </c>
      <c r="K6623" s="505"/>
      <c r="L6623" s="505"/>
      <c r="M6623" s="505"/>
      <c r="N6623" s="505"/>
      <c r="O6623" s="505"/>
      <c r="P6623" s="505"/>
      <c r="Q6623" s="505"/>
      <c r="R6623" s="505"/>
      <c r="S6623" s="505"/>
      <c r="T6623" s="505"/>
      <c r="U6623" s="505"/>
      <c r="V6623" s="505"/>
      <c r="W6623" s="505"/>
      <c r="X6623" s="505"/>
      <c r="Y6623" s="505"/>
    </row>
    <row r="6624" spans="1:25" s="88" customFormat="1" x14ac:dyDescent="0.25">
      <c r="A6624" s="481"/>
      <c r="B6624" s="288"/>
      <c r="C6624" s="267"/>
      <c r="D6624" s="258"/>
      <c r="E6624" s="679">
        <v>198</v>
      </c>
      <c r="F6624" s="499">
        <v>415</v>
      </c>
      <c r="G6624" s="492" t="s">
        <v>4141</v>
      </c>
      <c r="H6624" s="555">
        <v>140000</v>
      </c>
      <c r="I6624" s="556"/>
      <c r="J6624" s="556">
        <f t="shared" si="219"/>
        <v>140000</v>
      </c>
      <c r="K6624" s="505"/>
      <c r="L6624" s="505"/>
      <c r="M6624" s="505"/>
      <c r="N6624" s="505"/>
      <c r="O6624" s="505"/>
      <c r="P6624" s="505"/>
      <c r="Q6624" s="505"/>
      <c r="R6624" s="505"/>
      <c r="S6624" s="505"/>
      <c r="T6624" s="505"/>
      <c r="U6624" s="505"/>
      <c r="V6624" s="505"/>
      <c r="W6624" s="505"/>
      <c r="X6624" s="505"/>
      <c r="Y6624" s="505"/>
    </row>
    <row r="6625" spans="1:25" s="88" customFormat="1" x14ac:dyDescent="0.25">
      <c r="A6625" s="481"/>
      <c r="B6625" s="288"/>
      <c r="C6625" s="267"/>
      <c r="D6625" s="258"/>
      <c r="E6625" s="679">
        <v>199</v>
      </c>
      <c r="F6625" s="499">
        <v>416</v>
      </c>
      <c r="G6625" s="492" t="s">
        <v>4142</v>
      </c>
      <c r="H6625" s="555">
        <v>0</v>
      </c>
      <c r="I6625" s="556"/>
      <c r="J6625" s="556">
        <f t="shared" si="219"/>
        <v>0</v>
      </c>
      <c r="K6625" s="505"/>
      <c r="L6625" s="505"/>
      <c r="M6625" s="505"/>
      <c r="N6625" s="505"/>
      <c r="O6625" s="505"/>
      <c r="P6625" s="505"/>
      <c r="Q6625" s="505"/>
      <c r="R6625" s="505"/>
      <c r="S6625" s="505"/>
      <c r="T6625" s="505"/>
      <c r="U6625" s="505"/>
      <c r="V6625" s="505"/>
      <c r="W6625" s="505"/>
      <c r="X6625" s="505"/>
      <c r="Y6625" s="505"/>
    </row>
    <row r="6626" spans="1:25" s="88" customFormat="1" hidden="1" x14ac:dyDescent="0.25">
      <c r="A6626" s="481"/>
      <c r="B6626" s="288"/>
      <c r="C6626" s="267"/>
      <c r="D6626" s="258"/>
      <c r="E6626" s="679"/>
      <c r="F6626" s="499">
        <v>417</v>
      </c>
      <c r="G6626" s="492" t="s">
        <v>4143</v>
      </c>
      <c r="H6626" s="555"/>
      <c r="I6626" s="556"/>
      <c r="J6626" s="556">
        <f t="shared" si="219"/>
        <v>0</v>
      </c>
      <c r="K6626" s="505"/>
      <c r="L6626" s="505"/>
      <c r="M6626" s="505"/>
      <c r="N6626" s="505"/>
      <c r="O6626" s="505"/>
      <c r="P6626" s="505"/>
      <c r="Q6626" s="505"/>
      <c r="R6626" s="505"/>
      <c r="S6626" s="505"/>
      <c r="T6626" s="505"/>
      <c r="U6626" s="505"/>
      <c r="V6626" s="505"/>
      <c r="W6626" s="505"/>
      <c r="X6626" s="505"/>
      <c r="Y6626" s="505"/>
    </row>
    <row r="6627" spans="1:25" s="88" customFormat="1" hidden="1" x14ac:dyDescent="0.25">
      <c r="A6627" s="481"/>
      <c r="B6627" s="288"/>
      <c r="C6627" s="267"/>
      <c r="D6627" s="258"/>
      <c r="E6627" s="679"/>
      <c r="F6627" s="499">
        <v>418</v>
      </c>
      <c r="G6627" s="492" t="s">
        <v>3775</v>
      </c>
      <c r="H6627" s="555"/>
      <c r="I6627" s="556"/>
      <c r="J6627" s="556">
        <f t="shared" si="219"/>
        <v>0</v>
      </c>
      <c r="K6627" s="505"/>
      <c r="L6627" s="505"/>
      <c r="M6627" s="505"/>
      <c r="N6627" s="505"/>
      <c r="O6627" s="505"/>
      <c r="P6627" s="505"/>
      <c r="Q6627" s="505"/>
      <c r="R6627" s="505"/>
      <c r="S6627" s="505"/>
      <c r="T6627" s="505"/>
      <c r="U6627" s="505"/>
      <c r="V6627" s="505"/>
      <c r="W6627" s="505"/>
      <c r="X6627" s="505"/>
      <c r="Y6627" s="505"/>
    </row>
    <row r="6628" spans="1:25" s="88" customFormat="1" x14ac:dyDescent="0.25">
      <c r="A6628" s="481"/>
      <c r="B6628" s="288"/>
      <c r="C6628" s="267"/>
      <c r="D6628" s="258"/>
      <c r="E6628" s="679">
        <v>200</v>
      </c>
      <c r="F6628" s="499">
        <v>421</v>
      </c>
      <c r="G6628" s="492" t="s">
        <v>3779</v>
      </c>
      <c r="H6628" s="555">
        <v>200000</v>
      </c>
      <c r="I6628" s="556"/>
      <c r="J6628" s="556">
        <f t="shared" si="219"/>
        <v>200000</v>
      </c>
      <c r="K6628" s="505"/>
      <c r="L6628" s="505"/>
      <c r="M6628" s="505"/>
      <c r="N6628" s="505"/>
      <c r="O6628" s="505"/>
      <c r="P6628" s="505"/>
      <c r="Q6628" s="505"/>
      <c r="R6628" s="505"/>
      <c r="S6628" s="505"/>
      <c r="T6628" s="505"/>
      <c r="U6628" s="505"/>
      <c r="V6628" s="505"/>
      <c r="W6628" s="505"/>
      <c r="X6628" s="505"/>
      <c r="Y6628" s="505"/>
    </row>
    <row r="6629" spans="1:25" s="88" customFormat="1" x14ac:dyDescent="0.25">
      <c r="A6629" s="481"/>
      <c r="B6629" s="288"/>
      <c r="C6629" s="267"/>
      <c r="D6629" s="258"/>
      <c r="E6629" s="679">
        <v>201</v>
      </c>
      <c r="F6629" s="499">
        <v>422</v>
      </c>
      <c r="G6629" s="492" t="s">
        <v>3780</v>
      </c>
      <c r="H6629" s="555">
        <v>40000</v>
      </c>
      <c r="I6629" s="556"/>
      <c r="J6629" s="556">
        <f t="shared" si="219"/>
        <v>40000</v>
      </c>
      <c r="K6629" s="505"/>
      <c r="L6629" s="505"/>
      <c r="M6629" s="505"/>
      <c r="N6629" s="505"/>
      <c r="O6629" s="505"/>
      <c r="P6629" s="505"/>
      <c r="Q6629" s="505"/>
      <c r="R6629" s="505"/>
      <c r="S6629" s="505"/>
      <c r="T6629" s="505"/>
      <c r="U6629" s="505"/>
      <c r="V6629" s="505"/>
      <c r="W6629" s="505"/>
      <c r="X6629" s="505"/>
      <c r="Y6629" s="505"/>
    </row>
    <row r="6630" spans="1:25" s="88" customFormat="1" x14ac:dyDescent="0.25">
      <c r="A6630" s="481"/>
      <c r="B6630" s="288"/>
      <c r="C6630" s="267"/>
      <c r="D6630" s="258"/>
      <c r="E6630" s="679">
        <v>202</v>
      </c>
      <c r="F6630" s="499">
        <v>423</v>
      </c>
      <c r="G6630" s="492" t="s">
        <v>3781</v>
      </c>
      <c r="H6630" s="555">
        <v>1050000</v>
      </c>
      <c r="I6630" s="556"/>
      <c r="J6630" s="556">
        <f t="shared" si="219"/>
        <v>1050000</v>
      </c>
      <c r="K6630" s="505"/>
      <c r="L6630" s="505"/>
      <c r="M6630" s="505"/>
      <c r="N6630" s="505"/>
      <c r="O6630" s="505"/>
      <c r="P6630" s="505"/>
      <c r="Q6630" s="505"/>
      <c r="R6630" s="505"/>
      <c r="S6630" s="505"/>
      <c r="T6630" s="505"/>
      <c r="U6630" s="505"/>
      <c r="V6630" s="505"/>
      <c r="W6630" s="505"/>
      <c r="X6630" s="505"/>
      <c r="Y6630" s="505"/>
    </row>
    <row r="6631" spans="1:25" s="88" customFormat="1" x14ac:dyDescent="0.25">
      <c r="A6631" s="481"/>
      <c r="B6631" s="288"/>
      <c r="C6631" s="267"/>
      <c r="D6631" s="258"/>
      <c r="E6631" s="679" t="s">
        <v>5434</v>
      </c>
      <c r="F6631" s="499">
        <v>424</v>
      </c>
      <c r="G6631" s="492" t="s">
        <v>3783</v>
      </c>
      <c r="H6631" s="555">
        <v>80000</v>
      </c>
      <c r="I6631" s="556"/>
      <c r="J6631" s="556">
        <f t="shared" si="219"/>
        <v>80000</v>
      </c>
      <c r="K6631" s="505"/>
      <c r="L6631" s="505"/>
      <c r="M6631" s="505"/>
      <c r="N6631" s="505"/>
      <c r="O6631" s="505"/>
      <c r="P6631" s="505"/>
      <c r="Q6631" s="505"/>
      <c r="R6631" s="505"/>
      <c r="S6631" s="505"/>
      <c r="T6631" s="505"/>
      <c r="U6631" s="505"/>
      <c r="V6631" s="505"/>
      <c r="W6631" s="505"/>
      <c r="X6631" s="505"/>
      <c r="Y6631" s="505"/>
    </row>
    <row r="6632" spans="1:25" s="88" customFormat="1" x14ac:dyDescent="0.25">
      <c r="A6632" s="481"/>
      <c r="B6632" s="288"/>
      <c r="C6632" s="267"/>
      <c r="D6632" s="258"/>
      <c r="E6632" s="679">
        <v>203</v>
      </c>
      <c r="F6632" s="499">
        <v>425</v>
      </c>
      <c r="G6632" s="492" t="s">
        <v>4144</v>
      </c>
      <c r="H6632" s="555">
        <v>350000</v>
      </c>
      <c r="I6632" s="556"/>
      <c r="J6632" s="556">
        <f t="shared" si="219"/>
        <v>350000</v>
      </c>
      <c r="K6632" s="505"/>
      <c r="L6632" s="505"/>
      <c r="M6632" s="505"/>
      <c r="N6632" s="505"/>
      <c r="O6632" s="505"/>
      <c r="P6632" s="505"/>
      <c r="Q6632" s="505"/>
      <c r="R6632" s="505"/>
      <c r="S6632" s="505"/>
      <c r="T6632" s="505"/>
      <c r="U6632" s="505"/>
      <c r="V6632" s="505"/>
      <c r="W6632" s="505"/>
      <c r="X6632" s="505"/>
      <c r="Y6632" s="505"/>
    </row>
    <row r="6633" spans="1:25" s="88" customFormat="1" x14ac:dyDescent="0.25">
      <c r="A6633" s="481"/>
      <c r="B6633" s="288"/>
      <c r="C6633" s="267"/>
      <c r="D6633" s="258"/>
      <c r="E6633" s="679">
        <v>204</v>
      </c>
      <c r="F6633" s="499">
        <v>426</v>
      </c>
      <c r="G6633" s="492" t="s">
        <v>3787</v>
      </c>
      <c r="H6633" s="555">
        <v>150000</v>
      </c>
      <c r="I6633" s="556"/>
      <c r="J6633" s="556">
        <f t="shared" si="219"/>
        <v>150000</v>
      </c>
      <c r="K6633" s="505"/>
      <c r="L6633" s="505"/>
      <c r="M6633" s="505"/>
      <c r="N6633" s="505"/>
      <c r="O6633" s="505"/>
      <c r="P6633" s="505"/>
      <c r="Q6633" s="505"/>
      <c r="R6633" s="505"/>
      <c r="S6633" s="505"/>
      <c r="T6633" s="505"/>
      <c r="U6633" s="505"/>
      <c r="V6633" s="505"/>
      <c r="W6633" s="505"/>
      <c r="X6633" s="505"/>
      <c r="Y6633" s="505"/>
    </row>
    <row r="6634" spans="1:25" s="88" customFormat="1" hidden="1" x14ac:dyDescent="0.25">
      <c r="A6634" s="481"/>
      <c r="B6634" s="288"/>
      <c r="C6634" s="267"/>
      <c r="D6634" s="258"/>
      <c r="E6634" s="679"/>
      <c r="F6634" s="499">
        <v>431</v>
      </c>
      <c r="G6634" s="492" t="s">
        <v>4145</v>
      </c>
      <c r="H6634" s="555"/>
      <c r="I6634" s="556"/>
      <c r="J6634" s="556">
        <f t="shared" si="219"/>
        <v>0</v>
      </c>
      <c r="K6634" s="505"/>
      <c r="L6634" s="505"/>
      <c r="M6634" s="505"/>
      <c r="N6634" s="505"/>
      <c r="O6634" s="505"/>
      <c r="P6634" s="505"/>
      <c r="Q6634" s="505"/>
      <c r="R6634" s="505"/>
      <c r="S6634" s="505"/>
      <c r="T6634" s="505"/>
      <c r="U6634" s="505"/>
      <c r="V6634" s="505"/>
      <c r="W6634" s="505"/>
      <c r="X6634" s="505"/>
      <c r="Y6634" s="505"/>
    </row>
    <row r="6635" spans="1:25" s="88" customFormat="1" hidden="1" x14ac:dyDescent="0.25">
      <c r="A6635" s="481"/>
      <c r="B6635" s="288"/>
      <c r="C6635" s="267"/>
      <c r="D6635" s="258"/>
      <c r="E6635" s="679"/>
      <c r="F6635" s="499">
        <v>432</v>
      </c>
      <c r="G6635" s="492" t="s">
        <v>4146</v>
      </c>
      <c r="H6635" s="555"/>
      <c r="I6635" s="556"/>
      <c r="J6635" s="556">
        <f t="shared" si="219"/>
        <v>0</v>
      </c>
      <c r="K6635" s="505"/>
      <c r="L6635" s="505"/>
      <c r="M6635" s="505"/>
      <c r="N6635" s="505"/>
      <c r="O6635" s="505"/>
      <c r="P6635" s="505"/>
      <c r="Q6635" s="505"/>
      <c r="R6635" s="505"/>
      <c r="S6635" s="505"/>
      <c r="T6635" s="505"/>
      <c r="U6635" s="505"/>
      <c r="V6635" s="505"/>
      <c r="W6635" s="505"/>
      <c r="X6635" s="505"/>
      <c r="Y6635" s="505"/>
    </row>
    <row r="6636" spans="1:25" s="88" customFormat="1" hidden="1" x14ac:dyDescent="0.25">
      <c r="A6636" s="481"/>
      <c r="B6636" s="288"/>
      <c r="C6636" s="267"/>
      <c r="D6636" s="258"/>
      <c r="E6636" s="679"/>
      <c r="F6636" s="499">
        <v>433</v>
      </c>
      <c r="G6636" s="492" t="s">
        <v>4147</v>
      </c>
      <c r="H6636" s="555"/>
      <c r="I6636" s="556"/>
      <c r="J6636" s="556">
        <f t="shared" si="219"/>
        <v>0</v>
      </c>
      <c r="K6636" s="505"/>
      <c r="L6636" s="505"/>
      <c r="M6636" s="505"/>
      <c r="N6636" s="505"/>
      <c r="O6636" s="505"/>
      <c r="P6636" s="505"/>
      <c r="Q6636" s="505"/>
      <c r="R6636" s="505"/>
      <c r="S6636" s="505"/>
      <c r="T6636" s="505"/>
      <c r="U6636" s="505"/>
      <c r="V6636" s="505"/>
      <c r="W6636" s="505"/>
      <c r="X6636" s="505"/>
      <c r="Y6636" s="505"/>
    </row>
    <row r="6637" spans="1:25" s="88" customFormat="1" hidden="1" x14ac:dyDescent="0.25">
      <c r="A6637" s="481"/>
      <c r="B6637" s="288"/>
      <c r="C6637" s="267"/>
      <c r="D6637" s="258"/>
      <c r="E6637" s="679"/>
      <c r="F6637" s="499">
        <v>434</v>
      </c>
      <c r="G6637" s="492" t="s">
        <v>4148</v>
      </c>
      <c r="H6637" s="555"/>
      <c r="I6637" s="556"/>
      <c r="J6637" s="556">
        <f t="shared" si="219"/>
        <v>0</v>
      </c>
      <c r="K6637" s="505"/>
      <c r="L6637" s="505"/>
      <c r="M6637" s="505"/>
      <c r="N6637" s="505"/>
      <c r="O6637" s="505"/>
      <c r="P6637" s="505"/>
      <c r="Q6637" s="505"/>
      <c r="R6637" s="505"/>
      <c r="S6637" s="505"/>
      <c r="T6637" s="505"/>
      <c r="U6637" s="505"/>
      <c r="V6637" s="505"/>
      <c r="W6637" s="505"/>
      <c r="X6637" s="505"/>
      <c r="Y6637" s="505"/>
    </row>
    <row r="6638" spans="1:25" s="88" customFormat="1" hidden="1" x14ac:dyDescent="0.25">
      <c r="A6638" s="481"/>
      <c r="B6638" s="288"/>
      <c r="C6638" s="267"/>
      <c r="D6638" s="258"/>
      <c r="E6638" s="679"/>
      <c r="F6638" s="499">
        <v>435</v>
      </c>
      <c r="G6638" s="492" t="s">
        <v>3794</v>
      </c>
      <c r="H6638" s="555"/>
      <c r="I6638" s="556"/>
      <c r="J6638" s="556">
        <f t="shared" si="219"/>
        <v>0</v>
      </c>
      <c r="K6638" s="505"/>
      <c r="L6638" s="505"/>
      <c r="M6638" s="505"/>
      <c r="N6638" s="505"/>
      <c r="O6638" s="505"/>
      <c r="P6638" s="505"/>
      <c r="Q6638" s="505"/>
      <c r="R6638" s="505"/>
      <c r="S6638" s="505"/>
      <c r="T6638" s="505"/>
      <c r="U6638" s="505"/>
      <c r="V6638" s="505"/>
      <c r="W6638" s="505"/>
      <c r="X6638" s="505"/>
      <c r="Y6638" s="505"/>
    </row>
    <row r="6639" spans="1:25" s="88" customFormat="1" hidden="1" x14ac:dyDescent="0.25">
      <c r="A6639" s="481"/>
      <c r="B6639" s="288"/>
      <c r="C6639" s="267"/>
      <c r="D6639" s="258"/>
      <c r="E6639" s="679"/>
      <c r="F6639" s="499">
        <v>441</v>
      </c>
      <c r="G6639" s="492" t="s">
        <v>4149</v>
      </c>
      <c r="H6639" s="555"/>
      <c r="I6639" s="556"/>
      <c r="J6639" s="556">
        <f t="shared" si="219"/>
        <v>0</v>
      </c>
      <c r="K6639" s="505"/>
      <c r="L6639" s="505"/>
      <c r="M6639" s="505"/>
      <c r="N6639" s="505"/>
      <c r="O6639" s="505"/>
      <c r="P6639" s="505"/>
      <c r="Q6639" s="505"/>
      <c r="R6639" s="505"/>
      <c r="S6639" s="505"/>
      <c r="T6639" s="505"/>
      <c r="U6639" s="505"/>
      <c r="V6639" s="505"/>
      <c r="W6639" s="505"/>
      <c r="X6639" s="505"/>
      <c r="Y6639" s="505"/>
    </row>
    <row r="6640" spans="1:25" s="88" customFormat="1" hidden="1" x14ac:dyDescent="0.25">
      <c r="A6640" s="481"/>
      <c r="B6640" s="288"/>
      <c r="C6640" s="267"/>
      <c r="D6640" s="258"/>
      <c r="E6640" s="679"/>
      <c r="F6640" s="499">
        <v>442</v>
      </c>
      <c r="G6640" s="492" t="s">
        <v>4150</v>
      </c>
      <c r="H6640" s="555"/>
      <c r="I6640" s="556"/>
      <c r="J6640" s="556">
        <f t="shared" si="219"/>
        <v>0</v>
      </c>
      <c r="K6640" s="505"/>
      <c r="L6640" s="505"/>
      <c r="M6640" s="505"/>
      <c r="N6640" s="505"/>
      <c r="O6640" s="505"/>
      <c r="P6640" s="505"/>
      <c r="Q6640" s="505"/>
      <c r="R6640" s="505"/>
      <c r="S6640" s="505"/>
      <c r="T6640" s="505"/>
      <c r="U6640" s="505"/>
      <c r="V6640" s="505"/>
      <c r="W6640" s="505"/>
      <c r="X6640" s="505"/>
      <c r="Y6640" s="505"/>
    </row>
    <row r="6641" spans="1:25" s="88" customFormat="1" hidden="1" x14ac:dyDescent="0.25">
      <c r="A6641" s="481"/>
      <c r="B6641" s="288"/>
      <c r="C6641" s="267"/>
      <c r="D6641" s="258"/>
      <c r="E6641" s="679"/>
      <c r="F6641" s="499">
        <v>443</v>
      </c>
      <c r="G6641" s="492" t="s">
        <v>3799</v>
      </c>
      <c r="H6641" s="555"/>
      <c r="I6641" s="556"/>
      <c r="J6641" s="556">
        <f t="shared" si="219"/>
        <v>0</v>
      </c>
      <c r="K6641" s="505"/>
      <c r="L6641" s="505"/>
      <c r="M6641" s="505"/>
      <c r="N6641" s="505"/>
      <c r="O6641" s="505"/>
      <c r="P6641" s="505"/>
      <c r="Q6641" s="505"/>
      <c r="R6641" s="505"/>
      <c r="S6641" s="505"/>
      <c r="T6641" s="505"/>
      <c r="U6641" s="505"/>
      <c r="V6641" s="505"/>
      <c r="W6641" s="505"/>
      <c r="X6641" s="505"/>
      <c r="Y6641" s="505"/>
    </row>
    <row r="6642" spans="1:25" s="88" customFormat="1" hidden="1" x14ac:dyDescent="0.25">
      <c r="A6642" s="481"/>
      <c r="B6642" s="288"/>
      <c r="C6642" s="267"/>
      <c r="D6642" s="258"/>
      <c r="E6642" s="679"/>
      <c r="F6642" s="499">
        <v>444</v>
      </c>
      <c r="G6642" s="492" t="s">
        <v>3800</v>
      </c>
      <c r="H6642" s="555"/>
      <c r="I6642" s="556"/>
      <c r="J6642" s="556">
        <f t="shared" si="219"/>
        <v>0</v>
      </c>
      <c r="K6642" s="505"/>
      <c r="L6642" s="505"/>
      <c r="M6642" s="505"/>
      <c r="N6642" s="505"/>
      <c r="O6642" s="505"/>
      <c r="P6642" s="505"/>
      <c r="Q6642" s="505"/>
      <c r="R6642" s="505"/>
      <c r="S6642" s="505"/>
      <c r="T6642" s="505"/>
      <c r="U6642" s="505"/>
      <c r="V6642" s="505"/>
      <c r="W6642" s="505"/>
      <c r="X6642" s="505"/>
      <c r="Y6642" s="505"/>
    </row>
    <row r="6643" spans="1:25" s="88" customFormat="1" ht="30" hidden="1" x14ac:dyDescent="0.25">
      <c r="A6643" s="481"/>
      <c r="B6643" s="288"/>
      <c r="C6643" s="267"/>
      <c r="D6643" s="258"/>
      <c r="E6643" s="679"/>
      <c r="F6643" s="499">
        <v>4511</v>
      </c>
      <c r="G6643" s="776" t="s">
        <v>1690</v>
      </c>
      <c r="H6643" s="555"/>
      <c r="I6643" s="556"/>
      <c r="J6643" s="556">
        <f t="shared" si="219"/>
        <v>0</v>
      </c>
      <c r="K6643" s="505"/>
      <c r="L6643" s="505"/>
      <c r="M6643" s="505"/>
      <c r="N6643" s="505"/>
      <c r="O6643" s="505"/>
      <c r="P6643" s="505"/>
      <c r="Q6643" s="505"/>
      <c r="R6643" s="505"/>
      <c r="S6643" s="505"/>
      <c r="T6643" s="505"/>
      <c r="U6643" s="505"/>
      <c r="V6643" s="505"/>
      <c r="W6643" s="505"/>
      <c r="X6643" s="505"/>
      <c r="Y6643" s="505"/>
    </row>
    <row r="6644" spans="1:25" s="88" customFormat="1" ht="30" hidden="1" x14ac:dyDescent="0.25">
      <c r="A6644" s="481"/>
      <c r="B6644" s="288"/>
      <c r="C6644" s="267"/>
      <c r="D6644" s="258"/>
      <c r="E6644" s="679"/>
      <c r="F6644" s="499">
        <v>4512</v>
      </c>
      <c r="G6644" s="776" t="s">
        <v>1699</v>
      </c>
      <c r="H6644" s="555"/>
      <c r="I6644" s="556"/>
      <c r="J6644" s="556">
        <f t="shared" si="219"/>
        <v>0</v>
      </c>
      <c r="K6644" s="505"/>
      <c r="L6644" s="505"/>
      <c r="M6644" s="505"/>
      <c r="N6644" s="505"/>
      <c r="O6644" s="505"/>
      <c r="P6644" s="505"/>
      <c r="Q6644" s="505"/>
      <c r="R6644" s="505"/>
      <c r="S6644" s="505"/>
      <c r="T6644" s="505"/>
      <c r="U6644" s="505"/>
      <c r="V6644" s="505"/>
      <c r="W6644" s="505"/>
      <c r="X6644" s="505"/>
      <c r="Y6644" s="505"/>
    </row>
    <row r="6645" spans="1:25" s="88" customFormat="1" hidden="1" x14ac:dyDescent="0.25">
      <c r="A6645" s="481"/>
      <c r="B6645" s="288"/>
      <c r="C6645" s="267"/>
      <c r="D6645" s="258"/>
      <c r="E6645" s="679"/>
      <c r="F6645" s="499">
        <v>452</v>
      </c>
      <c r="G6645" s="492" t="s">
        <v>4151</v>
      </c>
      <c r="H6645" s="555"/>
      <c r="I6645" s="556"/>
      <c r="J6645" s="556">
        <f t="shared" si="219"/>
        <v>0</v>
      </c>
      <c r="K6645" s="505"/>
      <c r="L6645" s="505"/>
      <c r="M6645" s="505"/>
      <c r="N6645" s="505"/>
      <c r="O6645" s="505"/>
      <c r="P6645" s="505"/>
      <c r="Q6645" s="505"/>
      <c r="R6645" s="505"/>
      <c r="S6645" s="505"/>
      <c r="T6645" s="505"/>
      <c r="U6645" s="505"/>
      <c r="V6645" s="505"/>
      <c r="W6645" s="505"/>
      <c r="X6645" s="505"/>
      <c r="Y6645" s="505"/>
    </row>
    <row r="6646" spans="1:25" s="88" customFormat="1" hidden="1" x14ac:dyDescent="0.25">
      <c r="A6646" s="481"/>
      <c r="B6646" s="288"/>
      <c r="C6646" s="267"/>
      <c r="D6646" s="258"/>
      <c r="E6646" s="679"/>
      <c r="F6646" s="499">
        <v>453</v>
      </c>
      <c r="G6646" s="492" t="s">
        <v>4152</v>
      </c>
      <c r="H6646" s="555"/>
      <c r="I6646" s="556"/>
      <c r="J6646" s="556">
        <f t="shared" si="219"/>
        <v>0</v>
      </c>
      <c r="K6646" s="505"/>
      <c r="L6646" s="505"/>
      <c r="M6646" s="505"/>
      <c r="N6646" s="505"/>
      <c r="O6646" s="505"/>
      <c r="P6646" s="505"/>
      <c r="Q6646" s="505"/>
      <c r="R6646" s="505"/>
      <c r="S6646" s="505"/>
      <c r="T6646" s="505"/>
      <c r="U6646" s="505"/>
      <c r="V6646" s="505"/>
      <c r="W6646" s="505"/>
      <c r="X6646" s="505"/>
      <c r="Y6646" s="505"/>
    </row>
    <row r="6647" spans="1:25" s="88" customFormat="1" hidden="1" x14ac:dyDescent="0.25">
      <c r="A6647" s="481"/>
      <c r="B6647" s="288"/>
      <c r="C6647" s="267"/>
      <c r="D6647" s="258"/>
      <c r="E6647" s="679"/>
      <c r="F6647" s="499">
        <v>454</v>
      </c>
      <c r="G6647" s="492" t="s">
        <v>3805</v>
      </c>
      <c r="H6647" s="555"/>
      <c r="I6647" s="556"/>
      <c r="J6647" s="556">
        <f t="shared" si="219"/>
        <v>0</v>
      </c>
      <c r="K6647" s="505"/>
      <c r="L6647" s="505"/>
      <c r="M6647" s="505"/>
      <c r="N6647" s="505"/>
      <c r="O6647" s="505"/>
      <c r="P6647" s="505"/>
      <c r="Q6647" s="505"/>
      <c r="R6647" s="505"/>
      <c r="S6647" s="505"/>
      <c r="T6647" s="505"/>
      <c r="U6647" s="505"/>
      <c r="V6647" s="505"/>
      <c r="W6647" s="505"/>
      <c r="X6647" s="505"/>
      <c r="Y6647" s="505"/>
    </row>
    <row r="6648" spans="1:25" s="88" customFormat="1" hidden="1" x14ac:dyDescent="0.25">
      <c r="A6648" s="481"/>
      <c r="B6648" s="288"/>
      <c r="C6648" s="267"/>
      <c r="D6648" s="258"/>
      <c r="E6648" s="679"/>
      <c r="F6648" s="499">
        <v>461</v>
      </c>
      <c r="G6648" s="492" t="s">
        <v>4133</v>
      </c>
      <c r="H6648" s="555"/>
      <c r="I6648" s="556"/>
      <c r="J6648" s="556">
        <f t="shared" si="219"/>
        <v>0</v>
      </c>
      <c r="K6648" s="505"/>
      <c r="L6648" s="505"/>
      <c r="M6648" s="505"/>
      <c r="N6648" s="505"/>
      <c r="O6648" s="505"/>
      <c r="P6648" s="505"/>
      <c r="Q6648" s="505"/>
      <c r="R6648" s="505"/>
      <c r="S6648" s="505"/>
      <c r="T6648" s="505"/>
      <c r="U6648" s="505"/>
      <c r="V6648" s="505"/>
      <c r="W6648" s="505"/>
      <c r="X6648" s="505"/>
      <c r="Y6648" s="505"/>
    </row>
    <row r="6649" spans="1:25" s="88" customFormat="1" hidden="1" x14ac:dyDescent="0.25">
      <c r="A6649" s="481"/>
      <c r="B6649" s="288"/>
      <c r="C6649" s="267"/>
      <c r="D6649" s="258"/>
      <c r="E6649" s="679"/>
      <c r="F6649" s="499">
        <v>462</v>
      </c>
      <c r="G6649" s="492" t="s">
        <v>3808</v>
      </c>
      <c r="H6649" s="555"/>
      <c r="I6649" s="556"/>
      <c r="J6649" s="556">
        <f t="shared" si="219"/>
        <v>0</v>
      </c>
      <c r="K6649" s="505"/>
      <c r="L6649" s="505"/>
      <c r="M6649" s="505"/>
      <c r="N6649" s="505"/>
      <c r="O6649" s="505"/>
      <c r="P6649" s="505"/>
      <c r="Q6649" s="505"/>
      <c r="R6649" s="505"/>
      <c r="S6649" s="505"/>
      <c r="T6649" s="505"/>
      <c r="U6649" s="505"/>
      <c r="V6649" s="505"/>
      <c r="W6649" s="505"/>
      <c r="X6649" s="505"/>
      <c r="Y6649" s="505"/>
    </row>
    <row r="6650" spans="1:25" s="88" customFormat="1" hidden="1" x14ac:dyDescent="0.25">
      <c r="A6650" s="481"/>
      <c r="B6650" s="288"/>
      <c r="C6650" s="267"/>
      <c r="D6650" s="258"/>
      <c r="E6650" s="679"/>
      <c r="F6650" s="499">
        <v>4631</v>
      </c>
      <c r="G6650" s="492" t="s">
        <v>3809</v>
      </c>
      <c r="H6650" s="555"/>
      <c r="I6650" s="556"/>
      <c r="J6650" s="556">
        <f t="shared" si="219"/>
        <v>0</v>
      </c>
      <c r="K6650" s="505"/>
      <c r="L6650" s="505"/>
      <c r="M6650" s="505"/>
      <c r="N6650" s="505"/>
      <c r="O6650" s="505"/>
      <c r="P6650" s="505"/>
      <c r="Q6650" s="505"/>
      <c r="R6650" s="505"/>
      <c r="S6650" s="505"/>
      <c r="T6650" s="505"/>
      <c r="U6650" s="505"/>
      <c r="V6650" s="505"/>
      <c r="W6650" s="505"/>
      <c r="X6650" s="505"/>
      <c r="Y6650" s="505"/>
    </row>
    <row r="6651" spans="1:25" s="88" customFormat="1" hidden="1" x14ac:dyDescent="0.25">
      <c r="A6651" s="481"/>
      <c r="B6651" s="288"/>
      <c r="C6651" s="267"/>
      <c r="D6651" s="258"/>
      <c r="E6651" s="679"/>
      <c r="F6651" s="499">
        <v>4632</v>
      </c>
      <c r="G6651" s="492" t="s">
        <v>3810</v>
      </c>
      <c r="H6651" s="555"/>
      <c r="I6651" s="556"/>
      <c r="J6651" s="556">
        <f t="shared" si="219"/>
        <v>0</v>
      </c>
      <c r="K6651" s="505"/>
      <c r="L6651" s="505"/>
      <c r="M6651" s="505"/>
      <c r="N6651" s="505"/>
      <c r="O6651" s="505"/>
      <c r="P6651" s="505"/>
      <c r="Q6651" s="505"/>
      <c r="R6651" s="505"/>
      <c r="S6651" s="505"/>
      <c r="T6651" s="505"/>
      <c r="U6651" s="505"/>
      <c r="V6651" s="505"/>
      <c r="W6651" s="505"/>
      <c r="X6651" s="505"/>
      <c r="Y6651" s="505"/>
    </row>
    <row r="6652" spans="1:25" s="88" customFormat="1" hidden="1" x14ac:dyDescent="0.25">
      <c r="A6652" s="481"/>
      <c r="B6652" s="288"/>
      <c r="C6652" s="267"/>
      <c r="D6652" s="258"/>
      <c r="E6652" s="679"/>
      <c r="F6652" s="499">
        <v>464</v>
      </c>
      <c r="G6652" s="492" t="s">
        <v>3811</v>
      </c>
      <c r="H6652" s="555"/>
      <c r="I6652" s="556"/>
      <c r="J6652" s="556">
        <f t="shared" si="219"/>
        <v>0</v>
      </c>
      <c r="K6652" s="505"/>
      <c r="L6652" s="505"/>
      <c r="M6652" s="505"/>
      <c r="N6652" s="505"/>
      <c r="O6652" s="505"/>
      <c r="P6652" s="505"/>
      <c r="Q6652" s="505"/>
      <c r="R6652" s="505"/>
      <c r="S6652" s="505"/>
      <c r="T6652" s="505"/>
      <c r="U6652" s="505"/>
      <c r="V6652" s="505"/>
      <c r="W6652" s="505"/>
      <c r="X6652" s="505"/>
      <c r="Y6652" s="505"/>
    </row>
    <row r="6653" spans="1:25" s="88" customFormat="1" x14ac:dyDescent="0.25">
      <c r="A6653" s="481"/>
      <c r="B6653" s="288"/>
      <c r="C6653" s="267"/>
      <c r="D6653" s="258"/>
      <c r="E6653" s="679">
        <v>205</v>
      </c>
      <c r="F6653" s="499">
        <v>465</v>
      </c>
      <c r="G6653" s="492" t="s">
        <v>4134</v>
      </c>
      <c r="H6653" s="555">
        <v>186000</v>
      </c>
      <c r="I6653" s="556"/>
      <c r="J6653" s="556">
        <f t="shared" si="219"/>
        <v>186000</v>
      </c>
      <c r="K6653" s="505"/>
      <c r="L6653" s="505"/>
      <c r="M6653" s="505"/>
      <c r="N6653" s="505"/>
      <c r="O6653" s="505"/>
      <c r="P6653" s="505"/>
      <c r="Q6653" s="505"/>
      <c r="R6653" s="505"/>
      <c r="S6653" s="505"/>
      <c r="T6653" s="505"/>
      <c r="U6653" s="505"/>
      <c r="V6653" s="505"/>
      <c r="W6653" s="505"/>
      <c r="X6653" s="505"/>
      <c r="Y6653" s="505"/>
    </row>
    <row r="6654" spans="1:25" s="88" customFormat="1" hidden="1" x14ac:dyDescent="0.25">
      <c r="A6654" s="481"/>
      <c r="B6654" s="288"/>
      <c r="C6654" s="267"/>
      <c r="D6654" s="258"/>
      <c r="E6654" s="679"/>
      <c r="F6654" s="499">
        <v>472</v>
      </c>
      <c r="G6654" s="492" t="s">
        <v>3815</v>
      </c>
      <c r="H6654" s="555"/>
      <c r="I6654" s="556"/>
      <c r="J6654" s="556">
        <f t="shared" si="219"/>
        <v>0</v>
      </c>
      <c r="K6654" s="505"/>
      <c r="L6654" s="505"/>
      <c r="M6654" s="505"/>
      <c r="N6654" s="505"/>
      <c r="O6654" s="505"/>
      <c r="P6654" s="505"/>
      <c r="Q6654" s="505"/>
      <c r="R6654" s="505"/>
      <c r="S6654" s="505"/>
      <c r="T6654" s="505"/>
      <c r="U6654" s="505"/>
      <c r="V6654" s="505"/>
      <c r="W6654" s="505"/>
      <c r="X6654" s="505"/>
      <c r="Y6654" s="505"/>
    </row>
    <row r="6655" spans="1:25" s="88" customFormat="1" hidden="1" x14ac:dyDescent="0.25">
      <c r="A6655" s="481"/>
      <c r="B6655" s="288"/>
      <c r="C6655" s="267"/>
      <c r="D6655" s="258"/>
      <c r="E6655" s="679"/>
      <c r="F6655" s="499"/>
      <c r="G6655" s="492"/>
      <c r="H6655" s="555"/>
      <c r="I6655" s="556"/>
      <c r="J6655" s="556"/>
      <c r="K6655" s="505"/>
      <c r="L6655" s="505"/>
      <c r="M6655" s="505"/>
      <c r="N6655" s="505"/>
      <c r="O6655" s="505"/>
      <c r="P6655" s="505"/>
      <c r="Q6655" s="505"/>
      <c r="R6655" s="505"/>
      <c r="S6655" s="505"/>
      <c r="T6655" s="505"/>
      <c r="U6655" s="505"/>
      <c r="V6655" s="505"/>
      <c r="W6655" s="505"/>
      <c r="X6655" s="505"/>
      <c r="Y6655" s="505"/>
    </row>
    <row r="6656" spans="1:25" s="88" customFormat="1" ht="47.25" hidden="1" customHeight="1" x14ac:dyDescent="0.25">
      <c r="A6656" s="481"/>
      <c r="B6656" s="288"/>
      <c r="C6656" s="267"/>
      <c r="D6656" s="258"/>
      <c r="E6656" s="679" t="s">
        <v>5215</v>
      </c>
      <c r="F6656" s="499">
        <v>481</v>
      </c>
      <c r="G6656" s="492" t="s">
        <v>5223</v>
      </c>
      <c r="H6656" s="555">
        <v>0</v>
      </c>
      <c r="I6656" s="556"/>
      <c r="J6656" s="556">
        <f t="shared" ref="J6656" si="220">SUM(H6656:I6656)</f>
        <v>0</v>
      </c>
      <c r="K6656" s="505"/>
      <c r="L6656" s="505"/>
      <c r="M6656" s="505"/>
      <c r="N6656" s="505"/>
      <c r="O6656" s="505"/>
      <c r="P6656" s="505"/>
      <c r="Q6656" s="505"/>
      <c r="R6656" s="505"/>
      <c r="S6656" s="505"/>
      <c r="T6656" s="505"/>
      <c r="U6656" s="505"/>
      <c r="V6656" s="505"/>
      <c r="W6656" s="505"/>
      <c r="X6656" s="505"/>
      <c r="Y6656" s="505"/>
    </row>
    <row r="6657" spans="1:25" s="88" customFormat="1" ht="14.25" customHeight="1" x14ac:dyDescent="0.25">
      <c r="A6657" s="481"/>
      <c r="B6657" s="288"/>
      <c r="C6657" s="267"/>
      <c r="D6657" s="258"/>
      <c r="E6657" s="679">
        <v>206</v>
      </c>
      <c r="F6657" s="499">
        <v>482</v>
      </c>
      <c r="G6657" s="492" t="s">
        <v>5321</v>
      </c>
      <c r="H6657" s="555">
        <v>15000</v>
      </c>
      <c r="I6657" s="556"/>
      <c r="J6657" s="556">
        <f>SUM(H6657:I6657)</f>
        <v>15000</v>
      </c>
      <c r="K6657" s="505"/>
      <c r="L6657" s="505"/>
      <c r="M6657" s="505"/>
      <c r="N6657" s="505"/>
      <c r="O6657" s="505"/>
      <c r="P6657" s="505"/>
      <c r="Q6657" s="505"/>
      <c r="R6657" s="505"/>
      <c r="S6657" s="505"/>
      <c r="T6657" s="505"/>
      <c r="U6657" s="505"/>
      <c r="V6657" s="505"/>
      <c r="W6657" s="505"/>
      <c r="X6657" s="505"/>
      <c r="Y6657" s="505"/>
    </row>
    <row r="6658" spans="1:25" s="88" customFormat="1" ht="17.25" customHeight="1" x14ac:dyDescent="0.25">
      <c r="A6658" s="481"/>
      <c r="B6658" s="288"/>
      <c r="C6658" s="267"/>
      <c r="D6658" s="258"/>
      <c r="E6658" s="679">
        <v>207</v>
      </c>
      <c r="F6658" s="499">
        <v>511</v>
      </c>
      <c r="G6658" s="492" t="s">
        <v>5322</v>
      </c>
      <c r="H6658" s="555">
        <v>0</v>
      </c>
      <c r="I6658" s="556"/>
      <c r="J6658" s="556">
        <f>SUM(H6658:I6658)</f>
        <v>0</v>
      </c>
      <c r="K6658" s="505"/>
      <c r="L6658" s="505"/>
      <c r="M6658" s="505"/>
      <c r="N6658" s="505"/>
      <c r="O6658" s="505"/>
      <c r="P6658" s="505"/>
      <c r="Q6658" s="505"/>
      <c r="R6658" s="505"/>
      <c r="S6658" s="505"/>
      <c r="T6658" s="505"/>
      <c r="U6658" s="505"/>
      <c r="V6658" s="505"/>
      <c r="W6658" s="505"/>
      <c r="X6658" s="505"/>
      <c r="Y6658" s="505"/>
    </row>
    <row r="6659" spans="1:25" s="88" customFormat="1" ht="17.25" customHeight="1" thickBot="1" x14ac:dyDescent="0.3">
      <c r="A6659" s="481"/>
      <c r="B6659" s="288"/>
      <c r="C6659" s="267"/>
      <c r="D6659" s="258"/>
      <c r="E6659" s="679">
        <v>208</v>
      </c>
      <c r="F6659" s="499">
        <v>512</v>
      </c>
      <c r="G6659" s="492" t="s">
        <v>5040</v>
      </c>
      <c r="H6659" s="555">
        <v>0</v>
      </c>
      <c r="I6659" s="556"/>
      <c r="J6659" s="556">
        <f>SUM(H6659:I6659)</f>
        <v>0</v>
      </c>
      <c r="K6659" s="505"/>
      <c r="L6659" s="505"/>
      <c r="M6659" s="505"/>
      <c r="N6659" s="505"/>
      <c r="O6659" s="505"/>
      <c r="P6659" s="505"/>
      <c r="Q6659" s="505"/>
      <c r="R6659" s="505"/>
      <c r="S6659" s="505"/>
      <c r="T6659" s="505"/>
      <c r="U6659" s="505"/>
      <c r="V6659" s="505"/>
      <c r="W6659" s="505"/>
      <c r="X6659" s="505"/>
      <c r="Y6659" s="505"/>
    </row>
    <row r="6660" spans="1:25" s="88" customFormat="1" ht="15.75" hidden="1" customHeight="1" thickBot="1" x14ac:dyDescent="0.3">
      <c r="A6660" s="481"/>
      <c r="B6660" s="288"/>
      <c r="C6660" s="267"/>
      <c r="D6660" s="258"/>
      <c r="E6660" s="679"/>
      <c r="F6660" s="499">
        <v>515</v>
      </c>
      <c r="G6660" s="492" t="s">
        <v>3834</v>
      </c>
      <c r="H6660" s="555">
        <v>0</v>
      </c>
      <c r="I6660" s="556">
        <v>0</v>
      </c>
      <c r="J6660" s="556">
        <f>SUM(H6660:I6660)</f>
        <v>0</v>
      </c>
      <c r="K6660" s="505"/>
      <c r="L6660" s="505"/>
      <c r="M6660" s="505"/>
      <c r="N6660" s="505"/>
      <c r="O6660" s="505"/>
      <c r="P6660" s="505"/>
      <c r="Q6660" s="505"/>
      <c r="R6660" s="505"/>
      <c r="S6660" s="505"/>
      <c r="T6660" s="505"/>
      <c r="U6660" s="505"/>
      <c r="V6660" s="505"/>
      <c r="W6660" s="505"/>
      <c r="X6660" s="505"/>
      <c r="Y6660" s="505"/>
    </row>
    <row r="6661" spans="1:25" s="88" customFormat="1" ht="13.5" customHeight="1" x14ac:dyDescent="0.25">
      <c r="A6661" s="481"/>
      <c r="B6661" s="288"/>
      <c r="C6661" s="334"/>
      <c r="D6661" s="258"/>
      <c r="E6661" s="489"/>
      <c r="F6661" s="500"/>
      <c r="G6661" s="342" t="s">
        <v>4356</v>
      </c>
      <c r="H6661" s="557"/>
      <c r="I6661" s="583"/>
      <c r="J6661" s="558"/>
      <c r="K6661" s="505"/>
      <c r="L6661" s="505"/>
      <c r="M6661" s="505"/>
      <c r="N6661" s="505"/>
      <c r="O6661" s="505"/>
      <c r="P6661" s="505"/>
      <c r="Q6661" s="505"/>
      <c r="R6661" s="505"/>
      <c r="S6661" s="505"/>
      <c r="T6661" s="505"/>
      <c r="U6661" s="505"/>
      <c r="V6661" s="505"/>
      <c r="W6661" s="505"/>
      <c r="X6661" s="505"/>
      <c r="Y6661" s="505"/>
    </row>
    <row r="6662" spans="1:25" s="88" customFormat="1" ht="17.25" customHeight="1" x14ac:dyDescent="0.25">
      <c r="A6662" s="481"/>
      <c r="B6662" s="288"/>
      <c r="C6662" s="334"/>
      <c r="D6662" s="258"/>
      <c r="E6662" s="693"/>
      <c r="F6662" s="597" t="s">
        <v>234</v>
      </c>
      <c r="G6662" s="598" t="s">
        <v>235</v>
      </c>
      <c r="H6662" s="559">
        <f>SUM(H6620:H6660)</f>
        <v>3903000</v>
      </c>
      <c r="I6662" s="560"/>
      <c r="J6662" s="560">
        <f>SUM(H6662:I6662)</f>
        <v>3903000</v>
      </c>
      <c r="K6662" s="505"/>
      <c r="L6662" s="505"/>
      <c r="M6662" s="505"/>
      <c r="N6662" s="505"/>
      <c r="O6662" s="505"/>
      <c r="P6662" s="505"/>
      <c r="Q6662" s="505"/>
      <c r="R6662" s="505"/>
      <c r="S6662" s="505"/>
      <c r="T6662" s="505"/>
      <c r="U6662" s="505"/>
      <c r="V6662" s="505"/>
      <c r="W6662" s="505"/>
      <c r="X6662" s="505"/>
      <c r="Y6662" s="505"/>
    </row>
    <row r="6663" spans="1:25" s="88" customFormat="1" hidden="1" x14ac:dyDescent="0.25">
      <c r="A6663" s="481"/>
      <c r="B6663" s="288"/>
      <c r="C6663" s="334"/>
      <c r="D6663" s="258"/>
      <c r="E6663" s="679"/>
      <c r="F6663" s="597" t="s">
        <v>236</v>
      </c>
      <c r="G6663" s="598" t="s">
        <v>237</v>
      </c>
      <c r="H6663" s="555"/>
      <c r="I6663" s="556"/>
      <c r="J6663" s="560">
        <f t="shared" ref="J6663:J6677" si="221">SUM(H6663:I6663)</f>
        <v>0</v>
      </c>
      <c r="K6663" s="505"/>
      <c r="L6663" s="505"/>
      <c r="M6663" s="505"/>
      <c r="N6663" s="505"/>
      <c r="O6663" s="505"/>
      <c r="P6663" s="505"/>
      <c r="Q6663" s="505"/>
      <c r="R6663" s="505"/>
      <c r="S6663" s="505"/>
      <c r="T6663" s="505"/>
      <c r="U6663" s="505"/>
      <c r="V6663" s="505"/>
      <c r="W6663" s="505"/>
      <c r="X6663" s="505"/>
      <c r="Y6663" s="505"/>
    </row>
    <row r="6664" spans="1:25" s="88" customFormat="1" hidden="1" x14ac:dyDescent="0.25">
      <c r="A6664" s="481"/>
      <c r="B6664" s="288"/>
      <c r="C6664" s="334"/>
      <c r="D6664" s="258"/>
      <c r="E6664" s="679"/>
      <c r="F6664" s="597" t="s">
        <v>238</v>
      </c>
      <c r="G6664" s="598" t="s">
        <v>239</v>
      </c>
      <c r="H6664" s="555"/>
      <c r="I6664" s="556"/>
      <c r="J6664" s="560">
        <f t="shared" si="221"/>
        <v>0</v>
      </c>
      <c r="K6664" s="505"/>
      <c r="L6664" s="505"/>
      <c r="M6664" s="505"/>
      <c r="N6664" s="505"/>
      <c r="O6664" s="505"/>
      <c r="P6664" s="505"/>
      <c r="Q6664" s="505"/>
      <c r="R6664" s="505"/>
      <c r="S6664" s="505"/>
      <c r="T6664" s="505"/>
      <c r="U6664" s="505"/>
      <c r="V6664" s="505"/>
      <c r="W6664" s="505"/>
      <c r="X6664" s="505"/>
      <c r="Y6664" s="505"/>
    </row>
    <row r="6665" spans="1:25" s="88" customFormat="1" ht="15.75" thickBot="1" x14ac:dyDescent="0.3">
      <c r="A6665" s="481"/>
      <c r="B6665" s="288"/>
      <c r="C6665" s="334"/>
      <c r="D6665" s="258"/>
      <c r="E6665" s="679"/>
      <c r="F6665" s="597" t="s">
        <v>240</v>
      </c>
      <c r="G6665" s="598" t="s">
        <v>241</v>
      </c>
      <c r="H6665" s="555"/>
      <c r="I6665" s="556">
        <f>SUM(I6620:I6660)</f>
        <v>0</v>
      </c>
      <c r="J6665" s="560">
        <f t="shared" si="221"/>
        <v>0</v>
      </c>
      <c r="K6665" s="505"/>
      <c r="L6665" s="505"/>
      <c r="M6665" s="505"/>
      <c r="N6665" s="505"/>
      <c r="O6665" s="505"/>
      <c r="P6665" s="505"/>
      <c r="Q6665" s="505"/>
      <c r="R6665" s="505"/>
      <c r="S6665" s="505"/>
      <c r="T6665" s="505"/>
      <c r="U6665" s="505"/>
      <c r="V6665" s="505"/>
      <c r="W6665" s="505"/>
      <c r="X6665" s="505"/>
      <c r="Y6665" s="505"/>
    </row>
    <row r="6666" spans="1:25" s="88" customFormat="1" ht="15.75" hidden="1" thickBot="1" x14ac:dyDescent="0.3">
      <c r="A6666" s="481"/>
      <c r="B6666" s="288"/>
      <c r="C6666" s="334"/>
      <c r="D6666" s="258"/>
      <c r="E6666" s="679"/>
      <c r="F6666" s="597" t="s">
        <v>242</v>
      </c>
      <c r="G6666" s="598" t="s">
        <v>243</v>
      </c>
      <c r="H6666" s="555"/>
      <c r="I6666" s="556"/>
      <c r="J6666" s="560">
        <f t="shared" si="221"/>
        <v>0</v>
      </c>
      <c r="K6666" s="505"/>
      <c r="L6666" s="505"/>
      <c r="M6666" s="505"/>
      <c r="N6666" s="505"/>
      <c r="O6666" s="505"/>
      <c r="P6666" s="505"/>
      <c r="Q6666" s="505"/>
      <c r="R6666" s="505"/>
      <c r="S6666" s="505"/>
      <c r="T6666" s="505"/>
      <c r="U6666" s="505"/>
      <c r="V6666" s="505"/>
      <c r="W6666" s="505"/>
      <c r="X6666" s="505"/>
      <c r="Y6666" s="505"/>
    </row>
    <row r="6667" spans="1:25" s="88" customFormat="1" ht="15.75" hidden="1" thickBot="1" x14ac:dyDescent="0.3">
      <c r="A6667" s="481"/>
      <c r="B6667" s="288"/>
      <c r="C6667" s="334"/>
      <c r="D6667" s="258"/>
      <c r="E6667" s="679"/>
      <c r="F6667" s="597" t="s">
        <v>244</v>
      </c>
      <c r="G6667" s="598" t="s">
        <v>245</v>
      </c>
      <c r="H6667" s="555"/>
      <c r="I6667" s="556"/>
      <c r="J6667" s="560">
        <f t="shared" si="221"/>
        <v>0</v>
      </c>
      <c r="K6667" s="505"/>
      <c r="L6667" s="505"/>
      <c r="M6667" s="505"/>
      <c r="N6667" s="505"/>
      <c r="O6667" s="505"/>
      <c r="P6667" s="505"/>
      <c r="Q6667" s="505"/>
      <c r="R6667" s="505"/>
      <c r="S6667" s="505"/>
      <c r="T6667" s="505"/>
      <c r="U6667" s="505"/>
      <c r="V6667" s="505"/>
      <c r="W6667" s="505"/>
      <c r="X6667" s="505"/>
      <c r="Y6667" s="505"/>
    </row>
    <row r="6668" spans="1:25" s="88" customFormat="1" ht="15.75" hidden="1" thickBot="1" x14ac:dyDescent="0.3">
      <c r="A6668" s="481"/>
      <c r="B6668" s="288"/>
      <c r="C6668" s="334"/>
      <c r="D6668" s="258"/>
      <c r="E6668" s="679"/>
      <c r="F6668" s="597" t="s">
        <v>246</v>
      </c>
      <c r="G6668" s="598" t="s">
        <v>4996</v>
      </c>
      <c r="H6668" s="555"/>
      <c r="I6668" s="556"/>
      <c r="J6668" s="560">
        <f t="shared" si="221"/>
        <v>0</v>
      </c>
      <c r="K6668" s="505"/>
      <c r="L6668" s="505"/>
      <c r="M6668" s="505"/>
      <c r="N6668" s="505"/>
      <c r="O6668" s="505"/>
      <c r="P6668" s="505"/>
      <c r="Q6668" s="505"/>
      <c r="R6668" s="505"/>
      <c r="S6668" s="505"/>
      <c r="T6668" s="505"/>
      <c r="U6668" s="505"/>
      <c r="V6668" s="505"/>
      <c r="W6668" s="505"/>
      <c r="X6668" s="505"/>
      <c r="Y6668" s="505"/>
    </row>
    <row r="6669" spans="1:25" s="88" customFormat="1" ht="15.75" hidden="1" thickBot="1" x14ac:dyDescent="0.3">
      <c r="A6669" s="481"/>
      <c r="B6669" s="288"/>
      <c r="C6669" s="334"/>
      <c r="D6669" s="258"/>
      <c r="E6669" s="679"/>
      <c r="F6669" s="597" t="s">
        <v>247</v>
      </c>
      <c r="G6669" s="598" t="s">
        <v>4995</v>
      </c>
      <c r="H6669" s="555"/>
      <c r="I6669" s="556"/>
      <c r="J6669" s="560">
        <f t="shared" si="221"/>
        <v>0</v>
      </c>
      <c r="K6669" s="505"/>
      <c r="L6669" s="505"/>
      <c r="M6669" s="505"/>
      <c r="N6669" s="505"/>
      <c r="O6669" s="505"/>
      <c r="P6669" s="505"/>
      <c r="Q6669" s="505"/>
      <c r="R6669" s="505"/>
      <c r="S6669" s="505"/>
      <c r="T6669" s="505"/>
      <c r="U6669" s="505"/>
      <c r="V6669" s="505"/>
      <c r="W6669" s="505"/>
      <c r="X6669" s="505"/>
      <c r="Y6669" s="505"/>
    </row>
    <row r="6670" spans="1:25" s="88" customFormat="1" ht="15.75" hidden="1" thickBot="1" x14ac:dyDescent="0.3">
      <c r="A6670" s="481"/>
      <c r="B6670" s="288"/>
      <c r="C6670" s="334"/>
      <c r="D6670" s="258"/>
      <c r="E6670" s="679"/>
      <c r="F6670" s="597" t="s">
        <v>248</v>
      </c>
      <c r="G6670" s="598" t="s">
        <v>57</v>
      </c>
      <c r="H6670" s="555"/>
      <c r="I6670" s="556"/>
      <c r="J6670" s="560">
        <f t="shared" si="221"/>
        <v>0</v>
      </c>
      <c r="K6670" s="505"/>
      <c r="L6670" s="505"/>
      <c r="M6670" s="505"/>
      <c r="N6670" s="505"/>
      <c r="O6670" s="505"/>
      <c r="P6670" s="505"/>
      <c r="Q6670" s="505"/>
      <c r="R6670" s="505"/>
      <c r="S6670" s="505"/>
      <c r="T6670" s="505"/>
      <c r="U6670" s="505"/>
      <c r="V6670" s="505"/>
      <c r="W6670" s="505"/>
      <c r="X6670" s="505"/>
      <c r="Y6670" s="505"/>
    </row>
    <row r="6671" spans="1:25" s="88" customFormat="1" ht="15.75" hidden="1" thickBot="1" x14ac:dyDescent="0.3">
      <c r="A6671" s="481"/>
      <c r="B6671" s="288"/>
      <c r="C6671" s="334"/>
      <c r="D6671" s="258"/>
      <c r="E6671" s="679"/>
      <c r="F6671" s="597" t="s">
        <v>249</v>
      </c>
      <c r="G6671" s="598" t="s">
        <v>250</v>
      </c>
      <c r="H6671" s="555"/>
      <c r="I6671" s="556"/>
      <c r="J6671" s="560">
        <f t="shared" si="221"/>
        <v>0</v>
      </c>
      <c r="K6671" s="505"/>
      <c r="L6671" s="505"/>
      <c r="M6671" s="505"/>
      <c r="N6671" s="505"/>
      <c r="O6671" s="505"/>
      <c r="P6671" s="505"/>
      <c r="Q6671" s="505"/>
      <c r="R6671" s="505"/>
      <c r="S6671" s="505"/>
      <c r="T6671" s="505"/>
      <c r="U6671" s="505"/>
      <c r="V6671" s="505"/>
      <c r="W6671" s="505"/>
      <c r="X6671" s="505"/>
      <c r="Y6671" s="505"/>
    </row>
    <row r="6672" spans="1:25" s="88" customFormat="1" ht="15.75" hidden="1" thickBot="1" x14ac:dyDescent="0.3">
      <c r="A6672" s="481"/>
      <c r="B6672" s="288"/>
      <c r="C6672" s="334"/>
      <c r="D6672" s="258"/>
      <c r="E6672" s="679"/>
      <c r="F6672" s="597" t="s">
        <v>251</v>
      </c>
      <c r="G6672" s="598" t="s">
        <v>252</v>
      </c>
      <c r="H6672" s="555"/>
      <c r="I6672" s="556"/>
      <c r="J6672" s="560">
        <f t="shared" si="221"/>
        <v>0</v>
      </c>
      <c r="K6672" s="505"/>
      <c r="L6672" s="505"/>
      <c r="M6672" s="505"/>
      <c r="N6672" s="505"/>
      <c r="O6672" s="505"/>
      <c r="P6672" s="505"/>
      <c r="Q6672" s="505"/>
      <c r="R6672" s="505"/>
      <c r="S6672" s="505"/>
      <c r="T6672" s="505"/>
      <c r="U6672" s="505"/>
      <c r="V6672" s="505"/>
      <c r="W6672" s="505"/>
      <c r="X6672" s="505"/>
      <c r="Y6672" s="505"/>
    </row>
    <row r="6673" spans="1:25" s="88" customFormat="1" ht="30.75" hidden="1" thickBot="1" x14ac:dyDescent="0.3">
      <c r="A6673" s="481"/>
      <c r="B6673" s="288"/>
      <c r="C6673" s="334"/>
      <c r="D6673" s="258"/>
      <c r="E6673" s="679"/>
      <c r="F6673" s="597" t="s">
        <v>253</v>
      </c>
      <c r="G6673" s="598" t="s">
        <v>254</v>
      </c>
      <c r="H6673" s="555"/>
      <c r="I6673" s="556"/>
      <c r="J6673" s="560">
        <f t="shared" si="221"/>
        <v>0</v>
      </c>
      <c r="K6673" s="505"/>
      <c r="L6673" s="505"/>
      <c r="M6673" s="505"/>
      <c r="N6673" s="505"/>
      <c r="O6673" s="505"/>
      <c r="P6673" s="505"/>
      <c r="Q6673" s="505"/>
      <c r="R6673" s="505"/>
      <c r="S6673" s="505"/>
      <c r="T6673" s="505"/>
      <c r="U6673" s="505"/>
      <c r="V6673" s="505"/>
      <c r="W6673" s="505"/>
      <c r="X6673" s="505"/>
      <c r="Y6673" s="505"/>
    </row>
    <row r="6674" spans="1:25" s="88" customFormat="1" ht="15.75" hidden="1" thickBot="1" x14ac:dyDescent="0.3">
      <c r="A6674" s="481"/>
      <c r="B6674" s="288"/>
      <c r="C6674" s="334"/>
      <c r="D6674" s="258"/>
      <c r="E6674" s="679"/>
      <c r="F6674" s="597" t="s">
        <v>255</v>
      </c>
      <c r="G6674" s="598" t="s">
        <v>256</v>
      </c>
      <c r="H6674" s="555"/>
      <c r="I6674" s="556"/>
      <c r="J6674" s="560">
        <f t="shared" si="221"/>
        <v>0</v>
      </c>
      <c r="K6674" s="505"/>
      <c r="L6674" s="505"/>
      <c r="M6674" s="505"/>
      <c r="N6674" s="505"/>
      <c r="O6674" s="505"/>
      <c r="P6674" s="505"/>
      <c r="Q6674" s="505"/>
      <c r="R6674" s="505"/>
      <c r="S6674" s="505"/>
      <c r="T6674" s="505"/>
      <c r="U6674" s="505"/>
      <c r="V6674" s="505"/>
      <c r="W6674" s="505"/>
      <c r="X6674" s="505"/>
      <c r="Y6674" s="505"/>
    </row>
    <row r="6675" spans="1:25" s="88" customFormat="1" ht="30.75" hidden="1" thickBot="1" x14ac:dyDescent="0.3">
      <c r="A6675" s="481"/>
      <c r="B6675" s="288"/>
      <c r="C6675" s="334"/>
      <c r="D6675" s="258"/>
      <c r="E6675" s="679"/>
      <c r="F6675" s="597" t="s">
        <v>257</v>
      </c>
      <c r="G6675" s="598" t="s">
        <v>258</v>
      </c>
      <c r="H6675" s="555"/>
      <c r="I6675" s="556"/>
      <c r="J6675" s="560">
        <f t="shared" si="221"/>
        <v>0</v>
      </c>
      <c r="K6675" s="505"/>
      <c r="L6675" s="505"/>
      <c r="M6675" s="505"/>
      <c r="N6675" s="505"/>
      <c r="O6675" s="505"/>
      <c r="P6675" s="505"/>
      <c r="Q6675" s="505"/>
      <c r="R6675" s="505"/>
      <c r="S6675" s="505"/>
      <c r="T6675" s="505"/>
      <c r="U6675" s="505"/>
      <c r="V6675" s="505"/>
      <c r="W6675" s="505"/>
      <c r="X6675" s="505"/>
      <c r="Y6675" s="505"/>
    </row>
    <row r="6676" spans="1:25" s="88" customFormat="1" ht="15.75" hidden="1" thickBot="1" x14ac:dyDescent="0.3">
      <c r="A6676" s="481"/>
      <c r="B6676" s="288"/>
      <c r="C6676" s="334"/>
      <c r="D6676" s="258"/>
      <c r="E6676" s="679"/>
      <c r="F6676" s="597" t="s">
        <v>259</v>
      </c>
      <c r="G6676" s="598" t="s">
        <v>260</v>
      </c>
      <c r="H6676" s="555"/>
      <c r="I6676" s="556"/>
      <c r="J6676" s="560">
        <f t="shared" si="221"/>
        <v>0</v>
      </c>
      <c r="K6676" s="505"/>
      <c r="L6676" s="505"/>
      <c r="M6676" s="505"/>
      <c r="N6676" s="505"/>
      <c r="O6676" s="505"/>
      <c r="P6676" s="505"/>
      <c r="Q6676" s="505"/>
      <c r="R6676" s="505"/>
      <c r="S6676" s="505"/>
      <c r="T6676" s="505"/>
      <c r="U6676" s="505"/>
      <c r="V6676" s="505"/>
      <c r="W6676" s="505"/>
      <c r="X6676" s="505"/>
      <c r="Y6676" s="505"/>
    </row>
    <row r="6677" spans="1:25" s="88" customFormat="1" ht="15.75" hidden="1" thickBot="1" x14ac:dyDescent="0.3">
      <c r="A6677" s="481"/>
      <c r="B6677" s="288"/>
      <c r="C6677" s="334"/>
      <c r="D6677" s="258"/>
      <c r="E6677" s="679"/>
      <c r="F6677" s="597" t="s">
        <v>261</v>
      </c>
      <c r="G6677" s="598" t="s">
        <v>262</v>
      </c>
      <c r="H6677" s="559"/>
      <c r="I6677" s="560"/>
      <c r="J6677" s="560">
        <f t="shared" si="221"/>
        <v>0</v>
      </c>
      <c r="K6677" s="505"/>
      <c r="L6677" s="505"/>
      <c r="M6677" s="505"/>
      <c r="N6677" s="505"/>
      <c r="O6677" s="505"/>
      <c r="P6677" s="505"/>
      <c r="Q6677" s="505"/>
      <c r="R6677" s="505"/>
      <c r="S6677" s="505"/>
      <c r="T6677" s="505"/>
      <c r="U6677" s="505"/>
      <c r="V6677" s="505"/>
      <c r="W6677" s="505"/>
      <c r="X6677" s="505"/>
      <c r="Y6677" s="505"/>
    </row>
    <row r="6678" spans="1:25" s="88" customFormat="1" ht="13.5" customHeight="1" thickBot="1" x14ac:dyDescent="0.3">
      <c r="A6678" s="481"/>
      <c r="B6678" s="288"/>
      <c r="C6678" s="334"/>
      <c r="D6678" s="258"/>
      <c r="E6678" s="679"/>
      <c r="F6678" s="258"/>
      <c r="G6678" s="268" t="s">
        <v>4357</v>
      </c>
      <c r="H6678" s="561">
        <f>SUM(H6662:H6677)</f>
        <v>3903000</v>
      </c>
      <c r="I6678" s="562">
        <f>SUM(I6663:I6677)</f>
        <v>0</v>
      </c>
      <c r="J6678" s="562">
        <f>SUM(J6662:J6677)</f>
        <v>3903000</v>
      </c>
      <c r="K6678" s="505"/>
      <c r="L6678" s="505"/>
      <c r="M6678" s="505"/>
      <c r="N6678" s="505"/>
      <c r="O6678" s="505"/>
      <c r="P6678" s="505"/>
      <c r="Q6678" s="505"/>
      <c r="R6678" s="505"/>
      <c r="S6678" s="505"/>
      <c r="T6678" s="505"/>
      <c r="U6678" s="505"/>
      <c r="V6678" s="505"/>
      <c r="W6678" s="505"/>
      <c r="X6678" s="505"/>
      <c r="Y6678" s="505"/>
    </row>
    <row r="6679" spans="1:25" s="88" customFormat="1" ht="28.5" x14ac:dyDescent="0.25">
      <c r="A6679" s="481"/>
      <c r="B6679" s="288"/>
      <c r="C6679" s="334"/>
      <c r="D6679" s="258"/>
      <c r="E6679" s="489"/>
      <c r="F6679" s="500"/>
      <c r="G6679" s="270" t="s">
        <v>5324</v>
      </c>
      <c r="H6679" s="563"/>
      <c r="I6679" s="584"/>
      <c r="J6679" s="564"/>
      <c r="K6679" s="505"/>
      <c r="L6679" s="505"/>
      <c r="M6679" s="505"/>
      <c r="N6679" s="505"/>
      <c r="O6679" s="505"/>
      <c r="P6679" s="505"/>
      <c r="Q6679" s="505"/>
      <c r="R6679" s="505"/>
      <c r="S6679" s="505"/>
      <c r="T6679" s="505"/>
      <c r="U6679" s="505"/>
      <c r="V6679" s="505"/>
      <c r="W6679" s="505"/>
      <c r="X6679" s="505"/>
      <c r="Y6679" s="505"/>
    </row>
    <row r="6680" spans="1:25" s="88" customFormat="1" ht="15.75" thickBot="1" x14ac:dyDescent="0.3">
      <c r="A6680" s="481"/>
      <c r="B6680" s="288"/>
      <c r="C6680" s="334"/>
      <c r="D6680" s="258"/>
      <c r="E6680" s="693"/>
      <c r="F6680" s="597" t="s">
        <v>234</v>
      </c>
      <c r="G6680" s="598" t="s">
        <v>235</v>
      </c>
      <c r="H6680" s="559">
        <f>SUM(H6678)</f>
        <v>3903000</v>
      </c>
      <c r="I6680" s="560"/>
      <c r="J6680" s="560">
        <f>SUM(H6680:I6680)</f>
        <v>3903000</v>
      </c>
      <c r="K6680" s="505"/>
      <c r="L6680" s="505"/>
      <c r="M6680" s="505"/>
      <c r="N6680" s="505"/>
      <c r="O6680" s="505"/>
      <c r="P6680" s="505"/>
      <c r="Q6680" s="505"/>
      <c r="R6680" s="505"/>
      <c r="S6680" s="505"/>
      <c r="T6680" s="505"/>
      <c r="U6680" s="505"/>
      <c r="V6680" s="505"/>
      <c r="W6680" s="505"/>
      <c r="X6680" s="505"/>
      <c r="Y6680" s="505"/>
    </row>
    <row r="6681" spans="1:25" s="88" customFormat="1" ht="15.75" thickBot="1" x14ac:dyDescent="0.3">
      <c r="A6681" s="481"/>
      <c r="B6681" s="288"/>
      <c r="C6681" s="334"/>
      <c r="D6681" s="286"/>
      <c r="E6681" s="876"/>
      <c r="F6681" s="258"/>
      <c r="G6681" s="268" t="s">
        <v>5325</v>
      </c>
      <c r="H6681" s="561">
        <f>SUM(H6680)</f>
        <v>3903000</v>
      </c>
      <c r="I6681" s="562">
        <f>SUM(I6666:I6680)</f>
        <v>0</v>
      </c>
      <c r="J6681" s="562">
        <f>SUM(H6681)</f>
        <v>3903000</v>
      </c>
      <c r="K6681" s="505"/>
      <c r="L6681" s="505"/>
      <c r="M6681" s="505"/>
      <c r="N6681" s="505"/>
      <c r="O6681" s="505"/>
      <c r="P6681" s="505"/>
      <c r="Q6681" s="505"/>
      <c r="R6681" s="505"/>
      <c r="S6681" s="505"/>
      <c r="T6681" s="505"/>
      <c r="U6681" s="505"/>
      <c r="V6681" s="505"/>
      <c r="W6681" s="505"/>
      <c r="X6681" s="505"/>
      <c r="Y6681" s="505"/>
    </row>
    <row r="6682" spans="1:25" s="88" customFormat="1" x14ac:dyDescent="0.25">
      <c r="A6682" s="258"/>
      <c r="B6682" s="288"/>
      <c r="C6682" s="302" t="s">
        <v>4746</v>
      </c>
      <c r="D6682" s="259"/>
      <c r="E6682" s="702"/>
      <c r="F6682" s="303"/>
      <c r="G6682" s="304" t="s">
        <v>5331</v>
      </c>
      <c r="H6682" s="588"/>
      <c r="I6682" s="571"/>
      <c r="J6682" s="589"/>
      <c r="K6682" s="505"/>
      <c r="L6682" s="505"/>
      <c r="M6682" s="505"/>
      <c r="N6682" s="505"/>
      <c r="O6682" s="505"/>
      <c r="P6682" s="505"/>
      <c r="Q6682" s="505"/>
      <c r="R6682" s="505"/>
      <c r="S6682" s="505"/>
      <c r="T6682" s="505"/>
      <c r="U6682" s="505"/>
      <c r="V6682" s="505"/>
      <c r="W6682" s="505"/>
      <c r="X6682" s="505"/>
      <c r="Y6682" s="505"/>
    </row>
    <row r="6683" spans="1:25" s="88" customFormat="1" ht="17.25" customHeight="1" x14ac:dyDescent="0.25">
      <c r="A6683" s="258"/>
      <c r="B6683" s="288"/>
      <c r="C6683" s="294"/>
      <c r="D6683" s="348" t="s">
        <v>4001</v>
      </c>
      <c r="E6683" s="871"/>
      <c r="F6683" s="345"/>
      <c r="G6683" s="346" t="s">
        <v>207</v>
      </c>
      <c r="H6683" s="555"/>
      <c r="I6683" s="556"/>
      <c r="J6683" s="556"/>
      <c r="K6683" s="505"/>
      <c r="L6683" s="505"/>
      <c r="M6683" s="505"/>
      <c r="N6683" s="505"/>
      <c r="O6683" s="505"/>
      <c r="P6683" s="505"/>
      <c r="Q6683" s="505"/>
      <c r="R6683" s="505"/>
      <c r="S6683" s="505"/>
      <c r="T6683" s="505"/>
      <c r="U6683" s="505"/>
      <c r="V6683" s="505"/>
      <c r="W6683" s="505"/>
      <c r="X6683" s="505"/>
      <c r="Y6683" s="505"/>
    </row>
    <row r="6684" spans="1:25" s="88" customFormat="1" hidden="1" x14ac:dyDescent="0.25">
      <c r="A6684" s="258"/>
      <c r="B6684" s="258"/>
      <c r="C6684" s="261"/>
      <c r="D6684" s="258"/>
      <c r="E6684" s="679"/>
      <c r="F6684" s="499">
        <v>411</v>
      </c>
      <c r="G6684" s="492" t="s">
        <v>4131</v>
      </c>
      <c r="H6684" s="555"/>
      <c r="I6684" s="556"/>
      <c r="J6684" s="556">
        <f>SUM(H6684:I6684)</f>
        <v>0</v>
      </c>
      <c r="K6684" s="505"/>
      <c r="L6684" s="505"/>
      <c r="M6684" s="505"/>
      <c r="N6684" s="505"/>
      <c r="O6684" s="505"/>
      <c r="P6684" s="505"/>
      <c r="Q6684" s="505"/>
      <c r="R6684" s="505"/>
      <c r="S6684" s="505"/>
      <c r="T6684" s="505"/>
      <c r="U6684" s="505"/>
      <c r="V6684" s="505"/>
      <c r="W6684" s="505"/>
      <c r="X6684" s="505"/>
      <c r="Y6684" s="505"/>
    </row>
    <row r="6685" spans="1:25" s="88" customFormat="1" hidden="1" x14ac:dyDescent="0.25">
      <c r="A6685" s="258"/>
      <c r="B6685" s="258"/>
      <c r="C6685" s="261"/>
      <c r="D6685" s="258"/>
      <c r="E6685" s="679"/>
      <c r="F6685" s="499">
        <v>412</v>
      </c>
      <c r="G6685" s="488" t="s">
        <v>3766</v>
      </c>
      <c r="H6685" s="555"/>
      <c r="I6685" s="556"/>
      <c r="J6685" s="556">
        <f t="shared" ref="J6685:J6743" si="222">SUM(H6685:I6685)</f>
        <v>0</v>
      </c>
      <c r="K6685" s="505"/>
      <c r="L6685" s="505"/>
      <c r="M6685" s="505"/>
      <c r="N6685" s="505"/>
      <c r="O6685" s="505"/>
      <c r="P6685" s="505"/>
      <c r="Q6685" s="505"/>
      <c r="R6685" s="505"/>
      <c r="S6685" s="505"/>
      <c r="T6685" s="505"/>
      <c r="U6685" s="505"/>
      <c r="V6685" s="505"/>
      <c r="W6685" s="505"/>
      <c r="X6685" s="505"/>
      <c r="Y6685" s="505"/>
    </row>
    <row r="6686" spans="1:25" s="88" customFormat="1" hidden="1" x14ac:dyDescent="0.25">
      <c r="A6686" s="258"/>
      <c r="B6686" s="258"/>
      <c r="C6686" s="261"/>
      <c r="D6686" s="258"/>
      <c r="E6686" s="679"/>
      <c r="F6686" s="499">
        <v>413</v>
      </c>
      <c r="G6686" s="492" t="s">
        <v>4132</v>
      </c>
      <c r="H6686" s="555"/>
      <c r="I6686" s="556"/>
      <c r="J6686" s="556">
        <f t="shared" si="222"/>
        <v>0</v>
      </c>
      <c r="K6686" s="505"/>
      <c r="L6686" s="505"/>
      <c r="M6686" s="505"/>
      <c r="N6686" s="505"/>
      <c r="O6686" s="505"/>
      <c r="P6686" s="505"/>
      <c r="Q6686" s="505"/>
      <c r="R6686" s="505"/>
      <c r="S6686" s="505"/>
      <c r="T6686" s="505"/>
      <c r="U6686" s="505"/>
      <c r="V6686" s="505"/>
      <c r="W6686" s="505"/>
      <c r="X6686" s="505"/>
      <c r="Y6686" s="505"/>
    </row>
    <row r="6687" spans="1:25" s="88" customFormat="1" hidden="1" x14ac:dyDescent="0.25">
      <c r="A6687" s="258"/>
      <c r="B6687" s="258"/>
      <c r="C6687" s="261"/>
      <c r="D6687" s="258"/>
      <c r="E6687" s="679"/>
      <c r="F6687" s="499">
        <v>414</v>
      </c>
      <c r="G6687" s="492" t="s">
        <v>3769</v>
      </c>
      <c r="H6687" s="555"/>
      <c r="I6687" s="556"/>
      <c r="J6687" s="556">
        <f t="shared" si="222"/>
        <v>0</v>
      </c>
      <c r="K6687" s="505"/>
      <c r="L6687" s="505"/>
      <c r="M6687" s="505"/>
      <c r="N6687" s="505"/>
      <c r="O6687" s="505"/>
      <c r="P6687" s="505"/>
      <c r="Q6687" s="505"/>
      <c r="R6687" s="505"/>
      <c r="S6687" s="505"/>
      <c r="T6687" s="505"/>
      <c r="U6687" s="505"/>
      <c r="V6687" s="505"/>
      <c r="W6687" s="505"/>
      <c r="X6687" s="505"/>
      <c r="Y6687" s="505"/>
    </row>
    <row r="6688" spans="1:25" s="88" customFormat="1" hidden="1" x14ac:dyDescent="0.25">
      <c r="A6688" s="258"/>
      <c r="B6688" s="258"/>
      <c r="C6688" s="261"/>
      <c r="D6688" s="258"/>
      <c r="E6688" s="679"/>
      <c r="F6688" s="499">
        <v>415</v>
      </c>
      <c r="G6688" s="492" t="s">
        <v>4141</v>
      </c>
      <c r="H6688" s="555"/>
      <c r="I6688" s="556"/>
      <c r="J6688" s="556">
        <f t="shared" si="222"/>
        <v>0</v>
      </c>
      <c r="K6688" s="505"/>
      <c r="L6688" s="505"/>
      <c r="M6688" s="505"/>
      <c r="N6688" s="505"/>
      <c r="O6688" s="505"/>
      <c r="P6688" s="505"/>
      <c r="Q6688" s="505"/>
      <c r="R6688" s="505"/>
      <c r="S6688" s="505"/>
      <c r="T6688" s="505"/>
      <c r="U6688" s="505"/>
      <c r="V6688" s="505"/>
      <c r="W6688" s="505"/>
      <c r="X6688" s="505"/>
      <c r="Y6688" s="505"/>
    </row>
    <row r="6689" spans="1:25" s="88" customFormat="1" hidden="1" x14ac:dyDescent="0.25">
      <c r="A6689" s="258"/>
      <c r="B6689" s="258"/>
      <c r="C6689" s="261"/>
      <c r="D6689" s="258"/>
      <c r="E6689" s="679"/>
      <c r="F6689" s="499">
        <v>416</v>
      </c>
      <c r="G6689" s="492" t="s">
        <v>4142</v>
      </c>
      <c r="H6689" s="555"/>
      <c r="I6689" s="556"/>
      <c r="J6689" s="556">
        <f t="shared" si="222"/>
        <v>0</v>
      </c>
      <c r="K6689" s="505"/>
      <c r="L6689" s="505"/>
      <c r="M6689" s="505"/>
      <c r="N6689" s="505"/>
      <c r="O6689" s="505"/>
      <c r="P6689" s="505"/>
      <c r="Q6689" s="505"/>
      <c r="R6689" s="505"/>
      <c r="S6689" s="505"/>
      <c r="T6689" s="505"/>
      <c r="U6689" s="505"/>
      <c r="V6689" s="505"/>
      <c r="W6689" s="505"/>
      <c r="X6689" s="505"/>
      <c r="Y6689" s="505"/>
    </row>
    <row r="6690" spans="1:25" s="88" customFormat="1" hidden="1" x14ac:dyDescent="0.25">
      <c r="A6690" s="258"/>
      <c r="B6690" s="258"/>
      <c r="C6690" s="261"/>
      <c r="D6690" s="258"/>
      <c r="E6690" s="679"/>
      <c r="F6690" s="499">
        <v>417</v>
      </c>
      <c r="G6690" s="492" t="s">
        <v>4143</v>
      </c>
      <c r="H6690" s="555"/>
      <c r="I6690" s="556"/>
      <c r="J6690" s="556">
        <f t="shared" si="222"/>
        <v>0</v>
      </c>
      <c r="K6690" s="505"/>
      <c r="L6690" s="505"/>
      <c r="M6690" s="505"/>
      <c r="N6690" s="505"/>
      <c r="O6690" s="505"/>
      <c r="P6690" s="505"/>
      <c r="Q6690" s="505"/>
      <c r="R6690" s="505"/>
      <c r="S6690" s="505"/>
      <c r="T6690" s="505"/>
      <c r="U6690" s="505"/>
      <c r="V6690" s="505"/>
      <c r="W6690" s="505"/>
      <c r="X6690" s="505"/>
      <c r="Y6690" s="505"/>
    </row>
    <row r="6691" spans="1:25" s="88" customFormat="1" hidden="1" x14ac:dyDescent="0.25">
      <c r="A6691" s="258"/>
      <c r="B6691" s="258"/>
      <c r="C6691" s="261"/>
      <c r="D6691" s="258"/>
      <c r="E6691" s="679"/>
      <c r="F6691" s="499">
        <v>418</v>
      </c>
      <c r="G6691" s="492" t="s">
        <v>3775</v>
      </c>
      <c r="H6691" s="555"/>
      <c r="I6691" s="556"/>
      <c r="J6691" s="556">
        <f t="shared" si="222"/>
        <v>0</v>
      </c>
      <c r="K6691" s="505"/>
      <c r="L6691" s="505"/>
      <c r="M6691" s="505"/>
      <c r="N6691" s="505"/>
      <c r="O6691" s="505"/>
      <c r="P6691" s="505"/>
      <c r="Q6691" s="505"/>
      <c r="R6691" s="505"/>
      <c r="S6691" s="505"/>
      <c r="T6691" s="505"/>
      <c r="U6691" s="505"/>
      <c r="V6691" s="505"/>
      <c r="W6691" s="505"/>
      <c r="X6691" s="505"/>
      <c r="Y6691" s="505"/>
    </row>
    <row r="6692" spans="1:25" s="88" customFormat="1" hidden="1" x14ac:dyDescent="0.25">
      <c r="A6692" s="258"/>
      <c r="B6692" s="258"/>
      <c r="C6692" s="261"/>
      <c r="D6692" s="258"/>
      <c r="E6692" s="679"/>
      <c r="F6692" s="499">
        <v>421</v>
      </c>
      <c r="G6692" s="492" t="s">
        <v>3779</v>
      </c>
      <c r="H6692" s="555">
        <v>0</v>
      </c>
      <c r="I6692" s="556"/>
      <c r="J6692" s="556">
        <f t="shared" si="222"/>
        <v>0</v>
      </c>
      <c r="K6692" s="505"/>
      <c r="L6692" s="505"/>
      <c r="M6692" s="505"/>
      <c r="N6692" s="505"/>
      <c r="O6692" s="505"/>
      <c r="P6692" s="505"/>
      <c r="Q6692" s="505"/>
      <c r="R6692" s="505"/>
      <c r="S6692" s="505"/>
      <c r="T6692" s="505"/>
      <c r="U6692" s="505"/>
      <c r="V6692" s="505"/>
      <c r="W6692" s="505"/>
      <c r="X6692" s="505"/>
      <c r="Y6692" s="505"/>
    </row>
    <row r="6693" spans="1:25" s="88" customFormat="1" x14ac:dyDescent="0.25">
      <c r="A6693" s="258"/>
      <c r="B6693" s="258"/>
      <c r="C6693" s="261"/>
      <c r="D6693" s="258"/>
      <c r="E6693" s="679">
        <v>209</v>
      </c>
      <c r="F6693" s="499">
        <v>422</v>
      </c>
      <c r="G6693" s="492" t="s">
        <v>3780</v>
      </c>
      <c r="H6693" s="555">
        <v>250000</v>
      </c>
      <c r="I6693" s="556">
        <v>150000</v>
      </c>
      <c r="J6693" s="556">
        <f t="shared" si="222"/>
        <v>400000</v>
      </c>
      <c r="K6693" s="505"/>
      <c r="L6693" s="505"/>
      <c r="M6693" s="505"/>
      <c r="N6693" s="505"/>
      <c r="O6693" s="505"/>
      <c r="P6693" s="505"/>
      <c r="Q6693" s="505"/>
      <c r="R6693" s="505"/>
      <c r="S6693" s="505"/>
      <c r="T6693" s="505"/>
      <c r="U6693" s="505"/>
      <c r="V6693" s="505"/>
      <c r="W6693" s="505"/>
      <c r="X6693" s="505"/>
      <c r="Y6693" s="505"/>
    </row>
    <row r="6694" spans="1:25" s="88" customFormat="1" ht="30" x14ac:dyDescent="0.25">
      <c r="A6694" s="258"/>
      <c r="B6694" s="258"/>
      <c r="C6694" s="261"/>
      <c r="D6694" s="258"/>
      <c r="E6694" s="679" t="s">
        <v>5380</v>
      </c>
      <c r="F6694" s="499">
        <v>423</v>
      </c>
      <c r="G6694" s="492" t="s">
        <v>3781</v>
      </c>
      <c r="H6694" s="555">
        <v>1049000</v>
      </c>
      <c r="I6694" s="556">
        <v>300000</v>
      </c>
      <c r="J6694" s="556">
        <f t="shared" si="222"/>
        <v>1349000</v>
      </c>
      <c r="K6694" s="505"/>
      <c r="L6694" s="505"/>
      <c r="M6694" s="505"/>
      <c r="N6694" s="505"/>
      <c r="O6694" s="505"/>
      <c r="P6694" s="505"/>
      <c r="Q6694" s="505"/>
      <c r="R6694" s="505"/>
      <c r="S6694" s="505"/>
      <c r="T6694" s="505"/>
      <c r="U6694" s="505"/>
      <c r="V6694" s="505"/>
      <c r="W6694" s="505"/>
      <c r="X6694" s="505"/>
      <c r="Y6694" s="505"/>
    </row>
    <row r="6695" spans="1:25" s="88" customFormat="1" x14ac:dyDescent="0.25">
      <c r="A6695" s="258"/>
      <c r="B6695" s="258"/>
      <c r="C6695" s="261"/>
      <c r="D6695" s="258"/>
      <c r="E6695" s="258">
        <v>212</v>
      </c>
      <c r="F6695" s="499">
        <v>424</v>
      </c>
      <c r="G6695" s="492" t="s">
        <v>3783</v>
      </c>
      <c r="H6695" s="555">
        <v>60000</v>
      </c>
      <c r="I6695" s="556"/>
      <c r="J6695" s="556">
        <f t="shared" si="222"/>
        <v>60000</v>
      </c>
      <c r="K6695" s="505"/>
      <c r="L6695" s="505"/>
      <c r="M6695" s="505"/>
      <c r="N6695" s="505"/>
      <c r="O6695" s="505"/>
      <c r="P6695" s="505"/>
      <c r="Q6695" s="505"/>
      <c r="R6695" s="505"/>
      <c r="S6695" s="505"/>
      <c r="T6695" s="505"/>
      <c r="U6695" s="505"/>
      <c r="V6695" s="505"/>
      <c r="W6695" s="505"/>
      <c r="X6695" s="505"/>
      <c r="Y6695" s="505"/>
    </row>
    <row r="6696" spans="1:25" s="88" customFormat="1" hidden="1" x14ac:dyDescent="0.25">
      <c r="A6696" s="258"/>
      <c r="B6696" s="258"/>
      <c r="C6696" s="261"/>
      <c r="D6696" s="258"/>
      <c r="E6696" s="258"/>
      <c r="F6696" s="499">
        <v>425</v>
      </c>
      <c r="G6696" s="492" t="s">
        <v>4144</v>
      </c>
      <c r="H6696" s="555"/>
      <c r="I6696" s="556"/>
      <c r="J6696" s="556">
        <f t="shared" si="222"/>
        <v>0</v>
      </c>
      <c r="K6696" s="505"/>
      <c r="L6696" s="505"/>
      <c r="M6696" s="505"/>
      <c r="N6696" s="505"/>
      <c r="O6696" s="505"/>
      <c r="P6696" s="505"/>
      <c r="Q6696" s="505"/>
      <c r="R6696" s="505"/>
      <c r="S6696" s="505"/>
      <c r="T6696" s="505"/>
      <c r="U6696" s="505"/>
      <c r="V6696" s="505"/>
      <c r="W6696" s="505"/>
      <c r="X6696" s="505"/>
      <c r="Y6696" s="505"/>
    </row>
    <row r="6697" spans="1:25" s="88" customFormat="1" x14ac:dyDescent="0.25">
      <c r="A6697" s="258"/>
      <c r="B6697" s="258"/>
      <c r="C6697" s="261"/>
      <c r="D6697" s="258"/>
      <c r="E6697" s="258">
        <v>213</v>
      </c>
      <c r="F6697" s="499">
        <v>426</v>
      </c>
      <c r="G6697" s="492" t="s">
        <v>3787</v>
      </c>
      <c r="H6697" s="555">
        <v>20000</v>
      </c>
      <c r="I6697" s="556"/>
      <c r="J6697" s="556">
        <f t="shared" si="222"/>
        <v>20000</v>
      </c>
      <c r="K6697" s="505"/>
      <c r="L6697" s="505"/>
      <c r="M6697" s="505"/>
      <c r="N6697" s="505"/>
      <c r="O6697" s="505"/>
      <c r="P6697" s="505"/>
      <c r="Q6697" s="505"/>
      <c r="R6697" s="505"/>
      <c r="S6697" s="505"/>
      <c r="T6697" s="505"/>
      <c r="U6697" s="505"/>
      <c r="V6697" s="505"/>
      <c r="W6697" s="505"/>
      <c r="X6697" s="505"/>
      <c r="Y6697" s="505"/>
    </row>
    <row r="6698" spans="1:25" s="88" customFormat="1" hidden="1" x14ac:dyDescent="0.25">
      <c r="A6698" s="258"/>
      <c r="B6698" s="258"/>
      <c r="C6698" s="261"/>
      <c r="D6698" s="258"/>
      <c r="E6698" s="679"/>
      <c r="F6698" s="499">
        <v>431</v>
      </c>
      <c r="G6698" s="492" t="s">
        <v>4145</v>
      </c>
      <c r="H6698" s="555"/>
      <c r="I6698" s="556"/>
      <c r="J6698" s="556">
        <f t="shared" si="222"/>
        <v>0</v>
      </c>
      <c r="K6698" s="505"/>
      <c r="L6698" s="505"/>
      <c r="M6698" s="505"/>
      <c r="N6698" s="505"/>
      <c r="O6698" s="505"/>
      <c r="P6698" s="505"/>
      <c r="Q6698" s="505"/>
      <c r="R6698" s="505"/>
      <c r="S6698" s="505"/>
      <c r="T6698" s="505"/>
      <c r="U6698" s="505"/>
      <c r="V6698" s="505"/>
      <c r="W6698" s="505"/>
      <c r="X6698" s="505"/>
      <c r="Y6698" s="505"/>
    </row>
    <row r="6699" spans="1:25" s="88" customFormat="1" hidden="1" x14ac:dyDescent="0.25">
      <c r="A6699" s="258"/>
      <c r="B6699" s="258"/>
      <c r="C6699" s="261"/>
      <c r="D6699" s="258"/>
      <c r="E6699" s="679"/>
      <c r="F6699" s="499">
        <v>432</v>
      </c>
      <c r="G6699" s="492" t="s">
        <v>4146</v>
      </c>
      <c r="H6699" s="555"/>
      <c r="I6699" s="556"/>
      <c r="J6699" s="556">
        <f t="shared" si="222"/>
        <v>0</v>
      </c>
      <c r="K6699" s="505"/>
      <c r="L6699" s="505"/>
      <c r="M6699" s="505"/>
      <c r="N6699" s="505"/>
      <c r="O6699" s="505"/>
      <c r="P6699" s="505"/>
      <c r="Q6699" s="505"/>
      <c r="R6699" s="505"/>
      <c r="S6699" s="505"/>
      <c r="T6699" s="505"/>
      <c r="U6699" s="505"/>
      <c r="V6699" s="505"/>
      <c r="W6699" s="505"/>
      <c r="X6699" s="505"/>
      <c r="Y6699" s="505"/>
    </row>
    <row r="6700" spans="1:25" s="88" customFormat="1" hidden="1" x14ac:dyDescent="0.25">
      <c r="A6700" s="258"/>
      <c r="B6700" s="258"/>
      <c r="C6700" s="261"/>
      <c r="D6700" s="258"/>
      <c r="E6700" s="679"/>
      <c r="F6700" s="499">
        <v>433</v>
      </c>
      <c r="G6700" s="492" t="s">
        <v>4147</v>
      </c>
      <c r="H6700" s="555"/>
      <c r="I6700" s="556"/>
      <c r="J6700" s="556">
        <f t="shared" si="222"/>
        <v>0</v>
      </c>
      <c r="K6700" s="505"/>
      <c r="L6700" s="505"/>
      <c r="M6700" s="505"/>
      <c r="N6700" s="505"/>
      <c r="O6700" s="505"/>
      <c r="P6700" s="505"/>
      <c r="Q6700" s="505"/>
      <c r="R6700" s="505"/>
      <c r="S6700" s="505"/>
      <c r="T6700" s="505"/>
      <c r="U6700" s="505"/>
      <c r="V6700" s="505"/>
      <c r="W6700" s="505"/>
      <c r="X6700" s="505"/>
      <c r="Y6700" s="505"/>
    </row>
    <row r="6701" spans="1:25" s="88" customFormat="1" hidden="1" x14ac:dyDescent="0.25">
      <c r="A6701" s="258"/>
      <c r="B6701" s="258"/>
      <c r="C6701" s="261"/>
      <c r="D6701" s="258"/>
      <c r="E6701" s="679"/>
      <c r="F6701" s="499">
        <v>434</v>
      </c>
      <c r="G6701" s="492" t="s">
        <v>4148</v>
      </c>
      <c r="H6701" s="555"/>
      <c r="I6701" s="556"/>
      <c r="J6701" s="556">
        <f t="shared" si="222"/>
        <v>0</v>
      </c>
      <c r="K6701" s="505"/>
      <c r="L6701" s="505"/>
      <c r="M6701" s="505"/>
      <c r="N6701" s="505"/>
      <c r="O6701" s="505"/>
      <c r="P6701" s="505"/>
      <c r="Q6701" s="505"/>
      <c r="R6701" s="505"/>
      <c r="S6701" s="505"/>
      <c r="T6701" s="505"/>
      <c r="U6701" s="505"/>
      <c r="V6701" s="505"/>
      <c r="W6701" s="505"/>
      <c r="X6701" s="505"/>
      <c r="Y6701" s="505"/>
    </row>
    <row r="6702" spans="1:25" s="88" customFormat="1" hidden="1" x14ac:dyDescent="0.25">
      <c r="A6702" s="258"/>
      <c r="B6702" s="258"/>
      <c r="C6702" s="261"/>
      <c r="D6702" s="258"/>
      <c r="E6702" s="679"/>
      <c r="F6702" s="499">
        <v>435</v>
      </c>
      <c r="G6702" s="492" t="s">
        <v>3794</v>
      </c>
      <c r="H6702" s="555"/>
      <c r="I6702" s="556"/>
      <c r="J6702" s="556">
        <f t="shared" si="222"/>
        <v>0</v>
      </c>
      <c r="K6702" s="505"/>
      <c r="L6702" s="505"/>
      <c r="M6702" s="505"/>
      <c r="N6702" s="505"/>
      <c r="O6702" s="505"/>
      <c r="P6702" s="505"/>
      <c r="Q6702" s="505"/>
      <c r="R6702" s="505"/>
      <c r="S6702" s="505"/>
      <c r="T6702" s="505"/>
      <c r="U6702" s="505"/>
      <c r="V6702" s="505"/>
      <c r="W6702" s="505"/>
      <c r="X6702" s="505"/>
      <c r="Y6702" s="505"/>
    </row>
    <row r="6703" spans="1:25" s="88" customFormat="1" hidden="1" x14ac:dyDescent="0.25">
      <c r="A6703" s="258"/>
      <c r="B6703" s="258"/>
      <c r="C6703" s="261"/>
      <c r="D6703" s="258"/>
      <c r="E6703" s="679"/>
      <c r="F6703" s="499">
        <v>441</v>
      </c>
      <c r="G6703" s="492" t="s">
        <v>4149</v>
      </c>
      <c r="H6703" s="555"/>
      <c r="I6703" s="556"/>
      <c r="J6703" s="556">
        <f t="shared" si="222"/>
        <v>0</v>
      </c>
      <c r="K6703" s="505"/>
      <c r="L6703" s="505"/>
      <c r="M6703" s="505"/>
      <c r="N6703" s="505"/>
      <c r="O6703" s="505"/>
      <c r="P6703" s="505"/>
      <c r="Q6703" s="505"/>
      <c r="R6703" s="505"/>
      <c r="S6703" s="505"/>
      <c r="T6703" s="505"/>
      <c r="U6703" s="505"/>
      <c r="V6703" s="505"/>
      <c r="W6703" s="505"/>
      <c r="X6703" s="505"/>
      <c r="Y6703" s="505"/>
    </row>
    <row r="6704" spans="1:25" s="88" customFormat="1" hidden="1" x14ac:dyDescent="0.25">
      <c r="A6704" s="258"/>
      <c r="B6704" s="258"/>
      <c r="C6704" s="261"/>
      <c r="D6704" s="258"/>
      <c r="E6704" s="679"/>
      <c r="F6704" s="499">
        <v>442</v>
      </c>
      <c r="G6704" s="492" t="s">
        <v>4150</v>
      </c>
      <c r="H6704" s="555"/>
      <c r="I6704" s="556"/>
      <c r="J6704" s="556">
        <f t="shared" si="222"/>
        <v>0</v>
      </c>
      <c r="K6704" s="505"/>
      <c r="L6704" s="505"/>
      <c r="M6704" s="505"/>
      <c r="N6704" s="505"/>
      <c r="O6704" s="505"/>
      <c r="P6704" s="505"/>
      <c r="Q6704" s="505"/>
      <c r="R6704" s="505"/>
      <c r="S6704" s="505"/>
      <c r="T6704" s="505"/>
      <c r="U6704" s="505"/>
      <c r="V6704" s="505"/>
      <c r="W6704" s="505"/>
      <c r="X6704" s="505"/>
      <c r="Y6704" s="505"/>
    </row>
    <row r="6705" spans="1:25" s="88" customFormat="1" hidden="1" x14ac:dyDescent="0.25">
      <c r="A6705" s="258"/>
      <c r="B6705" s="258"/>
      <c r="C6705" s="261"/>
      <c r="D6705" s="258"/>
      <c r="E6705" s="679"/>
      <c r="F6705" s="499">
        <v>443</v>
      </c>
      <c r="G6705" s="492" t="s">
        <v>3799</v>
      </c>
      <c r="H6705" s="555"/>
      <c r="I6705" s="556"/>
      <c r="J6705" s="556">
        <f t="shared" si="222"/>
        <v>0</v>
      </c>
      <c r="K6705" s="505"/>
      <c r="L6705" s="505"/>
      <c r="M6705" s="505"/>
      <c r="N6705" s="505"/>
      <c r="O6705" s="505"/>
      <c r="P6705" s="505"/>
      <c r="Q6705" s="505"/>
      <c r="R6705" s="505"/>
      <c r="S6705" s="505"/>
      <c r="T6705" s="505"/>
      <c r="U6705" s="505"/>
      <c r="V6705" s="505"/>
      <c r="W6705" s="505"/>
      <c r="X6705" s="505"/>
      <c r="Y6705" s="505"/>
    </row>
    <row r="6706" spans="1:25" s="88" customFormat="1" hidden="1" x14ac:dyDescent="0.25">
      <c r="A6706" s="258"/>
      <c r="B6706" s="258"/>
      <c r="C6706" s="261"/>
      <c r="D6706" s="258"/>
      <c r="E6706" s="679"/>
      <c r="F6706" s="499">
        <v>444</v>
      </c>
      <c r="G6706" s="492" t="s">
        <v>3800</v>
      </c>
      <c r="H6706" s="555"/>
      <c r="I6706" s="556"/>
      <c r="J6706" s="556">
        <f t="shared" si="222"/>
        <v>0</v>
      </c>
      <c r="K6706" s="505"/>
      <c r="L6706" s="505"/>
      <c r="M6706" s="505"/>
      <c r="N6706" s="505"/>
      <c r="O6706" s="505"/>
      <c r="P6706" s="505"/>
      <c r="Q6706" s="505"/>
      <c r="R6706" s="505"/>
      <c r="S6706" s="505"/>
      <c r="T6706" s="505"/>
      <c r="U6706" s="505"/>
      <c r="V6706" s="505"/>
      <c r="W6706" s="505"/>
      <c r="X6706" s="505"/>
      <c r="Y6706" s="505"/>
    </row>
    <row r="6707" spans="1:25" s="88" customFormat="1" ht="30" hidden="1" x14ac:dyDescent="0.25">
      <c r="A6707" s="258"/>
      <c r="B6707" s="258"/>
      <c r="C6707" s="261"/>
      <c r="D6707" s="258"/>
      <c r="E6707" s="679"/>
      <c r="F6707" s="499">
        <v>4511</v>
      </c>
      <c r="G6707" s="776" t="s">
        <v>1690</v>
      </c>
      <c r="H6707" s="555"/>
      <c r="I6707" s="556"/>
      <c r="J6707" s="556">
        <f t="shared" si="222"/>
        <v>0</v>
      </c>
      <c r="K6707" s="505"/>
      <c r="L6707" s="505"/>
      <c r="M6707" s="505"/>
      <c r="N6707" s="505"/>
      <c r="O6707" s="505"/>
      <c r="P6707" s="505"/>
      <c r="Q6707" s="505"/>
      <c r="R6707" s="505"/>
      <c r="S6707" s="505"/>
      <c r="T6707" s="505"/>
      <c r="U6707" s="505"/>
      <c r="V6707" s="505"/>
      <c r="W6707" s="505"/>
      <c r="X6707" s="505"/>
      <c r="Y6707" s="505"/>
    </row>
    <row r="6708" spans="1:25" s="88" customFormat="1" ht="15" hidden="1" customHeight="1" x14ac:dyDescent="0.25">
      <c r="A6708" s="258"/>
      <c r="B6708" s="258"/>
      <c r="C6708" s="261"/>
      <c r="D6708" s="258"/>
      <c r="E6708" s="679">
        <v>69</v>
      </c>
      <c r="F6708" s="691">
        <v>511</v>
      </c>
      <c r="G6708" s="775" t="s">
        <v>5208</v>
      </c>
      <c r="H6708" s="555">
        <v>0</v>
      </c>
      <c r="I6708" s="556"/>
      <c r="J6708" s="556">
        <f t="shared" si="222"/>
        <v>0</v>
      </c>
      <c r="K6708" s="505"/>
      <c r="L6708" s="505"/>
      <c r="M6708" s="505"/>
      <c r="N6708" s="505"/>
      <c r="O6708" s="505"/>
      <c r="P6708" s="505"/>
      <c r="Q6708" s="505"/>
      <c r="R6708" s="505"/>
      <c r="S6708" s="505"/>
      <c r="T6708" s="505"/>
      <c r="U6708" s="505"/>
      <c r="V6708" s="505"/>
      <c r="W6708" s="505"/>
      <c r="X6708" s="505"/>
      <c r="Y6708" s="505"/>
    </row>
    <row r="6709" spans="1:25" s="88" customFormat="1" hidden="1" x14ac:dyDescent="0.25">
      <c r="A6709" s="258"/>
      <c r="B6709" s="258"/>
      <c r="C6709" s="261"/>
      <c r="D6709" s="258"/>
      <c r="E6709" s="679"/>
      <c r="F6709" s="499">
        <v>452</v>
      </c>
      <c r="G6709" s="492" t="s">
        <v>4151</v>
      </c>
      <c r="H6709" s="555"/>
      <c r="I6709" s="556"/>
      <c r="J6709" s="556">
        <f t="shared" si="222"/>
        <v>0</v>
      </c>
      <c r="K6709" s="505"/>
      <c r="L6709" s="505"/>
      <c r="M6709" s="505"/>
      <c r="N6709" s="505"/>
      <c r="O6709" s="505"/>
      <c r="P6709" s="505"/>
      <c r="Q6709" s="505"/>
      <c r="R6709" s="505"/>
      <c r="S6709" s="505"/>
      <c r="T6709" s="505"/>
      <c r="U6709" s="505"/>
      <c r="V6709" s="505"/>
      <c r="W6709" s="505"/>
      <c r="X6709" s="505"/>
      <c r="Y6709" s="505"/>
    </row>
    <row r="6710" spans="1:25" s="88" customFormat="1" hidden="1" x14ac:dyDescent="0.25">
      <c r="A6710" s="258"/>
      <c r="B6710" s="258"/>
      <c r="C6710" s="261"/>
      <c r="D6710" s="258"/>
      <c r="E6710" s="679"/>
      <c r="F6710" s="499">
        <v>453</v>
      </c>
      <c r="G6710" s="492" t="s">
        <v>4152</v>
      </c>
      <c r="H6710" s="555"/>
      <c r="I6710" s="556"/>
      <c r="J6710" s="556">
        <f t="shared" si="222"/>
        <v>0</v>
      </c>
      <c r="K6710" s="505"/>
      <c r="L6710" s="505"/>
      <c r="M6710" s="505"/>
      <c r="N6710" s="505"/>
      <c r="O6710" s="505"/>
      <c r="P6710" s="505"/>
      <c r="Q6710" s="505"/>
      <c r="R6710" s="505"/>
      <c r="S6710" s="505"/>
      <c r="T6710" s="505"/>
      <c r="U6710" s="505"/>
      <c r="V6710" s="505"/>
      <c r="W6710" s="505"/>
      <c r="X6710" s="505"/>
      <c r="Y6710" s="505"/>
    </row>
    <row r="6711" spans="1:25" s="88" customFormat="1" hidden="1" x14ac:dyDescent="0.25">
      <c r="A6711" s="258"/>
      <c r="B6711" s="258"/>
      <c r="C6711" s="261"/>
      <c r="D6711" s="258"/>
      <c r="E6711" s="679"/>
      <c r="F6711" s="499">
        <v>454</v>
      </c>
      <c r="G6711" s="492" t="s">
        <v>3805</v>
      </c>
      <c r="H6711" s="555"/>
      <c r="I6711" s="556"/>
      <c r="J6711" s="556">
        <f t="shared" si="222"/>
        <v>0</v>
      </c>
      <c r="K6711" s="505"/>
      <c r="L6711" s="505"/>
      <c r="M6711" s="505"/>
      <c r="N6711" s="505"/>
      <c r="O6711" s="505"/>
      <c r="P6711" s="505"/>
      <c r="Q6711" s="505"/>
      <c r="R6711" s="505"/>
      <c r="S6711" s="505"/>
      <c r="T6711" s="505"/>
      <c r="U6711" s="505"/>
      <c r="V6711" s="505"/>
      <c r="W6711" s="505"/>
      <c r="X6711" s="505"/>
      <c r="Y6711" s="505"/>
    </row>
    <row r="6712" spans="1:25" s="88" customFormat="1" hidden="1" x14ac:dyDescent="0.25">
      <c r="A6712" s="258"/>
      <c r="B6712" s="258"/>
      <c r="C6712" s="261"/>
      <c r="D6712" s="258"/>
      <c r="E6712" s="679"/>
      <c r="F6712" s="499">
        <v>461</v>
      </c>
      <c r="G6712" s="492" t="s">
        <v>4133</v>
      </c>
      <c r="H6712" s="555"/>
      <c r="I6712" s="556"/>
      <c r="J6712" s="556">
        <f t="shared" si="222"/>
        <v>0</v>
      </c>
      <c r="K6712" s="505"/>
      <c r="L6712" s="505"/>
      <c r="M6712" s="505"/>
      <c r="N6712" s="505"/>
      <c r="O6712" s="505"/>
      <c r="P6712" s="505"/>
      <c r="Q6712" s="505"/>
      <c r="R6712" s="505"/>
      <c r="S6712" s="505"/>
      <c r="T6712" s="505"/>
      <c r="U6712" s="505"/>
      <c r="V6712" s="505"/>
      <c r="W6712" s="505"/>
      <c r="X6712" s="505"/>
      <c r="Y6712" s="505"/>
    </row>
    <row r="6713" spans="1:25" s="88" customFormat="1" hidden="1" x14ac:dyDescent="0.25">
      <c r="A6713" s="258"/>
      <c r="B6713" s="258"/>
      <c r="C6713" s="261"/>
      <c r="D6713" s="258"/>
      <c r="E6713" s="679"/>
      <c r="F6713" s="499">
        <v>462</v>
      </c>
      <c r="G6713" s="492" t="s">
        <v>3808</v>
      </c>
      <c r="H6713" s="555"/>
      <c r="I6713" s="556"/>
      <c r="J6713" s="556">
        <f t="shared" si="222"/>
        <v>0</v>
      </c>
      <c r="K6713" s="505"/>
      <c r="L6713" s="505"/>
      <c r="M6713" s="505"/>
      <c r="N6713" s="505"/>
      <c r="O6713" s="505"/>
      <c r="P6713" s="505"/>
      <c r="Q6713" s="505"/>
      <c r="R6713" s="505"/>
      <c r="S6713" s="505"/>
      <c r="T6713" s="505"/>
      <c r="U6713" s="505"/>
      <c r="V6713" s="505"/>
      <c r="W6713" s="505"/>
      <c r="X6713" s="505"/>
      <c r="Y6713" s="505"/>
    </row>
    <row r="6714" spans="1:25" s="88" customFormat="1" hidden="1" x14ac:dyDescent="0.25">
      <c r="A6714" s="258"/>
      <c r="B6714" s="258"/>
      <c r="C6714" s="261"/>
      <c r="D6714" s="258"/>
      <c r="E6714" s="679"/>
      <c r="F6714" s="499">
        <v>4631</v>
      </c>
      <c r="G6714" s="492" t="s">
        <v>3809</v>
      </c>
      <c r="H6714" s="555"/>
      <c r="I6714" s="556"/>
      <c r="J6714" s="556">
        <f t="shared" si="222"/>
        <v>0</v>
      </c>
      <c r="K6714" s="505"/>
      <c r="L6714" s="505"/>
      <c r="M6714" s="505"/>
      <c r="N6714" s="505"/>
      <c r="O6714" s="505"/>
      <c r="P6714" s="505"/>
      <c r="Q6714" s="505"/>
      <c r="R6714" s="505"/>
      <c r="S6714" s="505"/>
      <c r="T6714" s="505"/>
      <c r="U6714" s="505"/>
      <c r="V6714" s="505"/>
      <c r="W6714" s="505"/>
      <c r="X6714" s="505"/>
      <c r="Y6714" s="505"/>
    </row>
    <row r="6715" spans="1:25" s="88" customFormat="1" hidden="1" x14ac:dyDescent="0.25">
      <c r="A6715" s="258"/>
      <c r="B6715" s="258"/>
      <c r="C6715" s="261"/>
      <c r="D6715" s="258"/>
      <c r="E6715" s="679"/>
      <c r="F6715" s="499">
        <v>4632</v>
      </c>
      <c r="G6715" s="492" t="s">
        <v>3810</v>
      </c>
      <c r="H6715" s="555"/>
      <c r="I6715" s="556"/>
      <c r="J6715" s="556">
        <f t="shared" si="222"/>
        <v>0</v>
      </c>
      <c r="K6715" s="505"/>
      <c r="L6715" s="505"/>
      <c r="M6715" s="505"/>
      <c r="N6715" s="505"/>
      <c r="O6715" s="505"/>
      <c r="P6715" s="505"/>
      <c r="Q6715" s="505"/>
      <c r="R6715" s="505"/>
      <c r="S6715" s="505"/>
      <c r="T6715" s="505"/>
      <c r="U6715" s="505"/>
      <c r="V6715" s="505"/>
      <c r="W6715" s="505"/>
      <c r="X6715" s="505"/>
      <c r="Y6715" s="505"/>
    </row>
    <row r="6716" spans="1:25" s="88" customFormat="1" hidden="1" x14ac:dyDescent="0.25">
      <c r="A6716" s="258"/>
      <c r="B6716" s="258"/>
      <c r="C6716" s="261"/>
      <c r="D6716" s="258"/>
      <c r="E6716" s="679"/>
      <c r="F6716" s="499">
        <v>464</v>
      </c>
      <c r="G6716" s="492" t="s">
        <v>3811</v>
      </c>
      <c r="H6716" s="555"/>
      <c r="I6716" s="556"/>
      <c r="J6716" s="556">
        <f t="shared" si="222"/>
        <v>0</v>
      </c>
      <c r="K6716" s="505"/>
      <c r="L6716" s="505"/>
      <c r="M6716" s="505"/>
      <c r="N6716" s="505"/>
      <c r="O6716" s="505"/>
      <c r="P6716" s="505"/>
      <c r="Q6716" s="505"/>
      <c r="R6716" s="505"/>
      <c r="S6716" s="505"/>
      <c r="T6716" s="505"/>
      <c r="U6716" s="505"/>
      <c r="V6716" s="505"/>
      <c r="W6716" s="505"/>
      <c r="X6716" s="505"/>
      <c r="Y6716" s="505"/>
    </row>
    <row r="6717" spans="1:25" s="88" customFormat="1" hidden="1" x14ac:dyDescent="0.25">
      <c r="A6717" s="258"/>
      <c r="B6717" s="258"/>
      <c r="C6717" s="261"/>
      <c r="D6717" s="258"/>
      <c r="E6717" s="679"/>
      <c r="F6717" s="499">
        <v>465</v>
      </c>
      <c r="G6717" s="492" t="s">
        <v>4134</v>
      </c>
      <c r="H6717" s="555"/>
      <c r="I6717" s="556"/>
      <c r="J6717" s="556">
        <f t="shared" si="222"/>
        <v>0</v>
      </c>
      <c r="K6717" s="505"/>
      <c r="L6717" s="505"/>
      <c r="M6717" s="505"/>
      <c r="N6717" s="505"/>
      <c r="O6717" s="505"/>
      <c r="P6717" s="505"/>
      <c r="Q6717" s="505"/>
      <c r="R6717" s="505"/>
      <c r="S6717" s="505"/>
      <c r="T6717" s="505"/>
      <c r="U6717" s="505"/>
      <c r="V6717" s="505"/>
      <c r="W6717" s="505"/>
      <c r="X6717" s="505"/>
      <c r="Y6717" s="505"/>
    </row>
    <row r="6718" spans="1:25" s="88" customFormat="1" ht="30" x14ac:dyDescent="0.25">
      <c r="A6718" s="258"/>
      <c r="B6718" s="258"/>
      <c r="C6718" s="261"/>
      <c r="D6718" s="258"/>
      <c r="E6718" s="679" t="s">
        <v>5381</v>
      </c>
      <c r="F6718" s="499">
        <v>472</v>
      </c>
      <c r="G6718" s="492" t="s">
        <v>3815</v>
      </c>
      <c r="H6718" s="555">
        <v>50000</v>
      </c>
      <c r="I6718" s="556">
        <v>150000</v>
      </c>
      <c r="J6718" s="556">
        <f t="shared" si="222"/>
        <v>200000</v>
      </c>
      <c r="K6718" s="505"/>
      <c r="L6718" s="505"/>
      <c r="M6718" s="505"/>
      <c r="N6718" s="505"/>
      <c r="O6718" s="505"/>
      <c r="P6718" s="505"/>
      <c r="Q6718" s="505"/>
      <c r="R6718" s="505"/>
      <c r="S6718" s="505"/>
      <c r="T6718" s="505"/>
      <c r="U6718" s="505"/>
      <c r="V6718" s="505"/>
      <c r="W6718" s="505"/>
      <c r="X6718" s="505"/>
      <c r="Y6718" s="505"/>
    </row>
    <row r="6719" spans="1:25" s="88" customFormat="1" hidden="1" x14ac:dyDescent="0.25">
      <c r="A6719" s="258"/>
      <c r="B6719" s="258"/>
      <c r="C6719" s="261"/>
      <c r="D6719" s="258"/>
      <c r="E6719" s="679"/>
      <c r="F6719" s="499">
        <v>481</v>
      </c>
      <c r="G6719" s="492" t="s">
        <v>4153</v>
      </c>
      <c r="H6719" s="555"/>
      <c r="I6719" s="556"/>
      <c r="J6719" s="556">
        <f t="shared" si="222"/>
        <v>0</v>
      </c>
      <c r="K6719" s="505"/>
      <c r="L6719" s="505"/>
      <c r="M6719" s="505"/>
      <c r="N6719" s="505"/>
      <c r="O6719" s="505"/>
      <c r="P6719" s="505"/>
      <c r="Q6719" s="505"/>
      <c r="R6719" s="505"/>
      <c r="S6719" s="505"/>
      <c r="T6719" s="505"/>
      <c r="U6719" s="505"/>
      <c r="V6719" s="505"/>
      <c r="W6719" s="505"/>
      <c r="X6719" s="505"/>
      <c r="Y6719" s="505"/>
    </row>
    <row r="6720" spans="1:25" s="88" customFormat="1" hidden="1" x14ac:dyDescent="0.25">
      <c r="A6720" s="258"/>
      <c r="B6720" s="258"/>
      <c r="C6720" s="261"/>
      <c r="D6720" s="258"/>
      <c r="E6720" s="679"/>
      <c r="F6720" s="499">
        <v>482</v>
      </c>
      <c r="G6720" s="492" t="s">
        <v>4154</v>
      </c>
      <c r="H6720" s="555"/>
      <c r="I6720" s="556"/>
      <c r="J6720" s="556">
        <f t="shared" si="222"/>
        <v>0</v>
      </c>
      <c r="K6720" s="505"/>
      <c r="L6720" s="505"/>
      <c r="M6720" s="505"/>
      <c r="N6720" s="505"/>
      <c r="O6720" s="505"/>
      <c r="P6720" s="505"/>
      <c r="Q6720" s="505"/>
      <c r="R6720" s="505"/>
      <c r="S6720" s="505"/>
      <c r="T6720" s="505"/>
      <c r="U6720" s="505"/>
      <c r="V6720" s="505"/>
      <c r="W6720" s="505"/>
      <c r="X6720" s="505"/>
      <c r="Y6720" s="505"/>
    </row>
    <row r="6721" spans="1:25" s="88" customFormat="1" hidden="1" x14ac:dyDescent="0.25">
      <c r="A6721" s="258"/>
      <c r="B6721" s="258"/>
      <c r="C6721" s="261"/>
      <c r="D6721" s="258"/>
      <c r="E6721" s="679"/>
      <c r="F6721" s="499">
        <v>483</v>
      </c>
      <c r="G6721" s="496" t="s">
        <v>4155</v>
      </c>
      <c r="H6721" s="555"/>
      <c r="I6721" s="556"/>
      <c r="J6721" s="556">
        <f t="shared" si="222"/>
        <v>0</v>
      </c>
      <c r="K6721" s="505"/>
      <c r="L6721" s="505"/>
      <c r="M6721" s="505"/>
      <c r="N6721" s="505"/>
      <c r="O6721" s="505"/>
      <c r="P6721" s="505"/>
      <c r="Q6721" s="505"/>
      <c r="R6721" s="505"/>
      <c r="S6721" s="505"/>
      <c r="T6721" s="505"/>
      <c r="U6721" s="505"/>
      <c r="V6721" s="505"/>
      <c r="W6721" s="505"/>
      <c r="X6721" s="505"/>
      <c r="Y6721" s="505"/>
    </row>
    <row r="6722" spans="1:25" s="88" customFormat="1" ht="30" hidden="1" x14ac:dyDescent="0.25">
      <c r="A6722" s="258"/>
      <c r="B6722" s="258"/>
      <c r="C6722" s="261"/>
      <c r="D6722" s="258"/>
      <c r="E6722" s="679"/>
      <c r="F6722" s="499">
        <v>484</v>
      </c>
      <c r="G6722" s="492" t="s">
        <v>4156</v>
      </c>
      <c r="H6722" s="555"/>
      <c r="I6722" s="556"/>
      <c r="J6722" s="556">
        <f t="shared" si="222"/>
        <v>0</v>
      </c>
      <c r="K6722" s="505"/>
      <c r="L6722" s="505"/>
      <c r="M6722" s="505"/>
      <c r="N6722" s="505"/>
      <c r="O6722" s="505"/>
      <c r="P6722" s="505"/>
      <c r="Q6722" s="505"/>
      <c r="R6722" s="505"/>
      <c r="S6722" s="505"/>
      <c r="T6722" s="505"/>
      <c r="U6722" s="505"/>
      <c r="V6722" s="505"/>
      <c r="W6722" s="505"/>
      <c r="X6722" s="505"/>
      <c r="Y6722" s="505"/>
    </row>
    <row r="6723" spans="1:25" s="88" customFormat="1" ht="30" hidden="1" x14ac:dyDescent="0.25">
      <c r="A6723" s="258"/>
      <c r="B6723" s="258"/>
      <c r="C6723" s="261"/>
      <c r="D6723" s="258"/>
      <c r="E6723" s="679"/>
      <c r="F6723" s="499">
        <v>485</v>
      </c>
      <c r="G6723" s="492" t="s">
        <v>4157</v>
      </c>
      <c r="H6723" s="555"/>
      <c r="I6723" s="556"/>
      <c r="J6723" s="556">
        <f t="shared" si="222"/>
        <v>0</v>
      </c>
      <c r="K6723" s="505"/>
      <c r="L6723" s="505"/>
      <c r="M6723" s="505"/>
      <c r="N6723" s="505"/>
      <c r="O6723" s="505"/>
      <c r="P6723" s="505"/>
      <c r="Q6723" s="505"/>
      <c r="R6723" s="505"/>
      <c r="S6723" s="505"/>
      <c r="T6723" s="505"/>
      <c r="U6723" s="505"/>
      <c r="V6723" s="505"/>
      <c r="W6723" s="505"/>
      <c r="X6723" s="505"/>
      <c r="Y6723" s="505"/>
    </row>
    <row r="6724" spans="1:25" s="88" customFormat="1" ht="30" hidden="1" x14ac:dyDescent="0.25">
      <c r="A6724" s="258"/>
      <c r="B6724" s="258"/>
      <c r="C6724" s="261"/>
      <c r="D6724" s="258"/>
      <c r="E6724" s="679"/>
      <c r="F6724" s="499">
        <v>489</v>
      </c>
      <c r="G6724" s="492" t="s">
        <v>3823</v>
      </c>
      <c r="H6724" s="555"/>
      <c r="I6724" s="556"/>
      <c r="J6724" s="556">
        <f t="shared" si="222"/>
        <v>0</v>
      </c>
      <c r="K6724" s="505"/>
      <c r="L6724" s="505"/>
      <c r="M6724" s="505"/>
      <c r="N6724" s="505"/>
      <c r="O6724" s="505"/>
      <c r="P6724" s="505"/>
      <c r="Q6724" s="505"/>
      <c r="R6724" s="505"/>
      <c r="S6724" s="505"/>
      <c r="T6724" s="505"/>
      <c r="U6724" s="505"/>
      <c r="V6724" s="505"/>
      <c r="W6724" s="505"/>
      <c r="X6724" s="505"/>
      <c r="Y6724" s="505"/>
    </row>
    <row r="6725" spans="1:25" s="88" customFormat="1" hidden="1" x14ac:dyDescent="0.25">
      <c r="A6725" s="258"/>
      <c r="B6725" s="258"/>
      <c r="C6725" s="261"/>
      <c r="D6725" s="258"/>
      <c r="E6725" s="679"/>
      <c r="F6725" s="499">
        <v>494</v>
      </c>
      <c r="G6725" s="492" t="s">
        <v>4135</v>
      </c>
      <c r="H6725" s="555"/>
      <c r="I6725" s="556"/>
      <c r="J6725" s="556">
        <f t="shared" si="222"/>
        <v>0</v>
      </c>
      <c r="K6725" s="505"/>
      <c r="L6725" s="505"/>
      <c r="M6725" s="505"/>
      <c r="N6725" s="505"/>
      <c r="O6725" s="505"/>
      <c r="P6725" s="505"/>
      <c r="Q6725" s="505"/>
      <c r="R6725" s="505"/>
      <c r="S6725" s="505"/>
      <c r="T6725" s="505"/>
      <c r="U6725" s="505"/>
      <c r="V6725" s="505"/>
      <c r="W6725" s="505"/>
      <c r="X6725" s="505"/>
      <c r="Y6725" s="505"/>
    </row>
    <row r="6726" spans="1:25" s="88" customFormat="1" ht="30" hidden="1" x14ac:dyDescent="0.25">
      <c r="A6726" s="258"/>
      <c r="B6726" s="258"/>
      <c r="C6726" s="261"/>
      <c r="D6726" s="258"/>
      <c r="E6726" s="679"/>
      <c r="F6726" s="499">
        <v>495</v>
      </c>
      <c r="G6726" s="492" t="s">
        <v>4136</v>
      </c>
      <c r="H6726" s="555"/>
      <c r="I6726" s="556"/>
      <c r="J6726" s="556">
        <f t="shared" si="222"/>
        <v>0</v>
      </c>
      <c r="K6726" s="505"/>
      <c r="L6726" s="505"/>
      <c r="M6726" s="505"/>
      <c r="N6726" s="505"/>
      <c r="O6726" s="505"/>
      <c r="P6726" s="505"/>
      <c r="Q6726" s="505"/>
      <c r="R6726" s="505"/>
      <c r="S6726" s="505"/>
      <c r="T6726" s="505"/>
      <c r="U6726" s="505"/>
      <c r="V6726" s="505"/>
      <c r="W6726" s="505"/>
      <c r="X6726" s="505"/>
      <c r="Y6726" s="505"/>
    </row>
    <row r="6727" spans="1:25" s="88" customFormat="1" ht="30" hidden="1" x14ac:dyDescent="0.25">
      <c r="A6727" s="258"/>
      <c r="B6727" s="258"/>
      <c r="C6727" s="261"/>
      <c r="D6727" s="258"/>
      <c r="E6727" s="679"/>
      <c r="F6727" s="499">
        <v>496</v>
      </c>
      <c r="G6727" s="492" t="s">
        <v>4137</v>
      </c>
      <c r="H6727" s="555"/>
      <c r="I6727" s="556"/>
      <c r="J6727" s="556">
        <f t="shared" si="222"/>
        <v>0</v>
      </c>
      <c r="K6727" s="505"/>
      <c r="L6727" s="505"/>
      <c r="M6727" s="505"/>
      <c r="N6727" s="505"/>
      <c r="O6727" s="505"/>
      <c r="P6727" s="505"/>
      <c r="Q6727" s="505"/>
      <c r="R6727" s="505"/>
      <c r="S6727" s="505"/>
      <c r="T6727" s="505"/>
      <c r="U6727" s="505"/>
      <c r="V6727" s="505"/>
      <c r="W6727" s="505"/>
      <c r="X6727" s="505"/>
      <c r="Y6727" s="505"/>
    </row>
    <row r="6728" spans="1:25" s="88" customFormat="1" ht="30" hidden="1" x14ac:dyDescent="0.25">
      <c r="A6728" s="258"/>
      <c r="B6728" s="258"/>
      <c r="C6728" s="261"/>
      <c r="D6728" s="258"/>
      <c r="E6728" s="679"/>
      <c r="F6728" s="499">
        <v>499</v>
      </c>
      <c r="G6728" s="492" t="s">
        <v>4138</v>
      </c>
      <c r="H6728" s="555"/>
      <c r="I6728" s="556"/>
      <c r="J6728" s="556">
        <f t="shared" si="222"/>
        <v>0</v>
      </c>
      <c r="K6728" s="505"/>
      <c r="L6728" s="505"/>
      <c r="M6728" s="505"/>
      <c r="N6728" s="505"/>
      <c r="O6728" s="505"/>
      <c r="P6728" s="505"/>
      <c r="Q6728" s="505"/>
      <c r="R6728" s="505"/>
      <c r="S6728" s="505"/>
      <c r="T6728" s="505"/>
      <c r="U6728" s="505"/>
      <c r="V6728" s="505"/>
      <c r="W6728" s="505"/>
      <c r="X6728" s="505"/>
      <c r="Y6728" s="505"/>
    </row>
    <row r="6729" spans="1:25" s="88" customFormat="1" hidden="1" x14ac:dyDescent="0.25">
      <c r="A6729" s="258"/>
      <c r="B6729" s="258"/>
      <c r="C6729" s="261"/>
      <c r="D6729" s="258"/>
      <c r="E6729" s="679"/>
      <c r="F6729" s="499">
        <v>511</v>
      </c>
      <c r="G6729" s="496" t="s">
        <v>4158</v>
      </c>
      <c r="H6729" s="555">
        <v>0</v>
      </c>
      <c r="I6729" s="556"/>
      <c r="J6729" s="556">
        <f t="shared" si="222"/>
        <v>0</v>
      </c>
      <c r="K6729" s="505"/>
      <c r="L6729" s="505"/>
      <c r="M6729" s="505"/>
      <c r="N6729" s="505"/>
      <c r="O6729" s="505"/>
      <c r="P6729" s="505"/>
      <c r="Q6729" s="505"/>
      <c r="R6729" s="505"/>
      <c r="S6729" s="505"/>
      <c r="T6729" s="505"/>
      <c r="U6729" s="505"/>
      <c r="V6729" s="505"/>
      <c r="W6729" s="505"/>
      <c r="X6729" s="505"/>
      <c r="Y6729" s="505"/>
    </row>
    <row r="6730" spans="1:25" s="88" customFormat="1" hidden="1" x14ac:dyDescent="0.25">
      <c r="A6730" s="258"/>
      <c r="B6730" s="258"/>
      <c r="C6730" s="261"/>
      <c r="D6730" s="258"/>
      <c r="E6730" s="679"/>
      <c r="F6730" s="499">
        <v>512</v>
      </c>
      <c r="G6730" s="496" t="s">
        <v>4159</v>
      </c>
      <c r="H6730" s="555"/>
      <c r="I6730" s="556"/>
      <c r="J6730" s="556">
        <f t="shared" si="222"/>
        <v>0</v>
      </c>
      <c r="K6730" s="505"/>
      <c r="L6730" s="505"/>
      <c r="M6730" s="505"/>
      <c r="N6730" s="505"/>
      <c r="O6730" s="505"/>
      <c r="P6730" s="505"/>
      <c r="Q6730" s="505"/>
      <c r="R6730" s="505"/>
      <c r="S6730" s="505"/>
      <c r="T6730" s="505"/>
      <c r="U6730" s="505"/>
      <c r="V6730" s="505"/>
      <c r="W6730" s="505"/>
      <c r="X6730" s="505"/>
      <c r="Y6730" s="505"/>
    </row>
    <row r="6731" spans="1:25" s="88" customFormat="1" hidden="1" x14ac:dyDescent="0.25">
      <c r="A6731" s="258"/>
      <c r="B6731" s="258"/>
      <c r="C6731" s="261"/>
      <c r="D6731" s="258"/>
      <c r="E6731" s="679"/>
      <c r="F6731" s="499">
        <v>513</v>
      </c>
      <c r="G6731" s="496" t="s">
        <v>4160</v>
      </c>
      <c r="H6731" s="555"/>
      <c r="I6731" s="556"/>
      <c r="J6731" s="556">
        <f t="shared" si="222"/>
        <v>0</v>
      </c>
      <c r="K6731" s="505"/>
      <c r="L6731" s="505"/>
      <c r="M6731" s="505"/>
      <c r="N6731" s="505"/>
      <c r="O6731" s="505"/>
      <c r="P6731" s="505"/>
      <c r="Q6731" s="505"/>
      <c r="R6731" s="505"/>
      <c r="S6731" s="505"/>
      <c r="T6731" s="505"/>
      <c r="U6731" s="505"/>
      <c r="V6731" s="505"/>
      <c r="W6731" s="505"/>
      <c r="X6731" s="505"/>
      <c r="Y6731" s="505"/>
    </row>
    <row r="6732" spans="1:25" s="88" customFormat="1" hidden="1" x14ac:dyDescent="0.25">
      <c r="A6732" s="258"/>
      <c r="B6732" s="258"/>
      <c r="C6732" s="261"/>
      <c r="D6732" s="258"/>
      <c r="E6732" s="679"/>
      <c r="F6732" s="499">
        <v>514</v>
      </c>
      <c r="G6732" s="492" t="s">
        <v>4161</v>
      </c>
      <c r="H6732" s="555"/>
      <c r="I6732" s="556"/>
      <c r="J6732" s="556">
        <f t="shared" si="222"/>
        <v>0</v>
      </c>
      <c r="K6732" s="505"/>
      <c r="L6732" s="505"/>
      <c r="M6732" s="505"/>
      <c r="N6732" s="505"/>
      <c r="O6732" s="505"/>
      <c r="P6732" s="505"/>
      <c r="Q6732" s="505"/>
      <c r="R6732" s="505"/>
      <c r="S6732" s="505"/>
      <c r="T6732" s="505"/>
      <c r="U6732" s="505"/>
      <c r="V6732" s="505"/>
      <c r="W6732" s="505"/>
      <c r="X6732" s="505"/>
      <c r="Y6732" s="505"/>
    </row>
    <row r="6733" spans="1:25" s="88" customFormat="1" hidden="1" x14ac:dyDescent="0.25">
      <c r="A6733" s="258"/>
      <c r="B6733" s="258"/>
      <c r="C6733" s="261"/>
      <c r="D6733" s="258"/>
      <c r="E6733" s="679"/>
      <c r="F6733" s="499">
        <v>515</v>
      </c>
      <c r="G6733" s="492" t="s">
        <v>3834</v>
      </c>
      <c r="H6733" s="555"/>
      <c r="I6733" s="556"/>
      <c r="J6733" s="556">
        <f t="shared" si="222"/>
        <v>0</v>
      </c>
      <c r="K6733" s="505"/>
      <c r="L6733" s="505"/>
      <c r="M6733" s="505"/>
      <c r="N6733" s="505"/>
      <c r="O6733" s="505"/>
      <c r="P6733" s="505"/>
      <c r="Q6733" s="505"/>
      <c r="R6733" s="505"/>
      <c r="S6733" s="505"/>
      <c r="T6733" s="505"/>
      <c r="U6733" s="505"/>
      <c r="V6733" s="505"/>
      <c r="W6733" s="505"/>
      <c r="X6733" s="505"/>
      <c r="Y6733" s="505"/>
    </row>
    <row r="6734" spans="1:25" s="88" customFormat="1" hidden="1" x14ac:dyDescent="0.25">
      <c r="A6734" s="258"/>
      <c r="B6734" s="258"/>
      <c r="C6734" s="261"/>
      <c r="D6734" s="258"/>
      <c r="E6734" s="679"/>
      <c r="F6734" s="499">
        <v>521</v>
      </c>
      <c r="G6734" s="492" t="s">
        <v>4162</v>
      </c>
      <c r="H6734" s="555"/>
      <c r="I6734" s="556"/>
      <c r="J6734" s="556">
        <f t="shared" si="222"/>
        <v>0</v>
      </c>
      <c r="K6734" s="505"/>
      <c r="L6734" s="505"/>
      <c r="M6734" s="505"/>
      <c r="N6734" s="505"/>
      <c r="O6734" s="505"/>
      <c r="P6734" s="505"/>
      <c r="Q6734" s="505"/>
      <c r="R6734" s="505"/>
      <c r="S6734" s="505"/>
      <c r="T6734" s="505"/>
      <c r="U6734" s="505"/>
      <c r="V6734" s="505"/>
      <c r="W6734" s="505"/>
      <c r="X6734" s="505"/>
      <c r="Y6734" s="505"/>
    </row>
    <row r="6735" spans="1:25" s="88" customFormat="1" hidden="1" x14ac:dyDescent="0.25">
      <c r="A6735" s="258"/>
      <c r="B6735" s="258"/>
      <c r="C6735" s="261"/>
      <c r="D6735" s="258"/>
      <c r="E6735" s="679"/>
      <c r="F6735" s="499">
        <v>522</v>
      </c>
      <c r="G6735" s="492" t="s">
        <v>4163</v>
      </c>
      <c r="H6735" s="555"/>
      <c r="I6735" s="556"/>
      <c r="J6735" s="556">
        <f t="shared" si="222"/>
        <v>0</v>
      </c>
      <c r="K6735" s="505"/>
      <c r="L6735" s="505"/>
      <c r="M6735" s="505"/>
      <c r="N6735" s="505"/>
      <c r="O6735" s="505"/>
      <c r="P6735" s="505"/>
      <c r="Q6735" s="505"/>
      <c r="R6735" s="505"/>
      <c r="S6735" s="505"/>
      <c r="T6735" s="505"/>
      <c r="U6735" s="505"/>
      <c r="V6735" s="505"/>
      <c r="W6735" s="505"/>
      <c r="X6735" s="505"/>
      <c r="Y6735" s="505"/>
    </row>
    <row r="6736" spans="1:25" s="88" customFormat="1" hidden="1" x14ac:dyDescent="0.25">
      <c r="A6736" s="258"/>
      <c r="B6736" s="258"/>
      <c r="C6736" s="261"/>
      <c r="D6736" s="258"/>
      <c r="E6736" s="679"/>
      <c r="F6736" s="499">
        <v>523</v>
      </c>
      <c r="G6736" s="492" t="s">
        <v>3839</v>
      </c>
      <c r="H6736" s="555"/>
      <c r="I6736" s="556"/>
      <c r="J6736" s="556">
        <f t="shared" si="222"/>
        <v>0</v>
      </c>
      <c r="K6736" s="505"/>
      <c r="L6736" s="505"/>
      <c r="M6736" s="505"/>
      <c r="N6736" s="505"/>
      <c r="O6736" s="505"/>
      <c r="P6736" s="505"/>
      <c r="Q6736" s="505"/>
      <c r="R6736" s="505"/>
      <c r="S6736" s="505"/>
      <c r="T6736" s="505"/>
      <c r="U6736" s="505"/>
      <c r="V6736" s="505"/>
      <c r="W6736" s="505"/>
      <c r="X6736" s="505"/>
      <c r="Y6736" s="505"/>
    </row>
    <row r="6737" spans="1:25" s="88" customFormat="1" hidden="1" x14ac:dyDescent="0.25">
      <c r="A6737" s="258"/>
      <c r="B6737" s="258"/>
      <c r="C6737" s="261"/>
      <c r="D6737" s="258"/>
      <c r="E6737" s="679"/>
      <c r="F6737" s="499">
        <v>531</v>
      </c>
      <c r="G6737" s="488" t="s">
        <v>4139</v>
      </c>
      <c r="H6737" s="555"/>
      <c r="I6737" s="556"/>
      <c r="J6737" s="556">
        <f t="shared" si="222"/>
        <v>0</v>
      </c>
      <c r="K6737" s="505"/>
      <c r="L6737" s="505"/>
      <c r="M6737" s="505"/>
      <c r="N6737" s="505"/>
      <c r="O6737" s="505"/>
      <c r="P6737" s="505"/>
      <c r="Q6737" s="505"/>
      <c r="R6737" s="505"/>
      <c r="S6737" s="505"/>
      <c r="T6737" s="505"/>
      <c r="U6737" s="505"/>
      <c r="V6737" s="505"/>
      <c r="W6737" s="505"/>
      <c r="X6737" s="505"/>
      <c r="Y6737" s="505"/>
    </row>
    <row r="6738" spans="1:25" s="88" customFormat="1" hidden="1" x14ac:dyDescent="0.25">
      <c r="A6738" s="258"/>
      <c r="B6738" s="258"/>
      <c r="C6738" s="261"/>
      <c r="D6738" s="258"/>
      <c r="E6738" s="679"/>
      <c r="F6738" s="499">
        <v>541</v>
      </c>
      <c r="G6738" s="492" t="s">
        <v>4164</v>
      </c>
      <c r="H6738" s="555"/>
      <c r="I6738" s="556"/>
      <c r="J6738" s="556">
        <f t="shared" si="222"/>
        <v>0</v>
      </c>
      <c r="K6738" s="505"/>
      <c r="L6738" s="505"/>
      <c r="M6738" s="505"/>
      <c r="N6738" s="505"/>
      <c r="O6738" s="505"/>
      <c r="P6738" s="505"/>
      <c r="Q6738" s="505"/>
      <c r="R6738" s="505"/>
      <c r="S6738" s="505"/>
      <c r="T6738" s="505"/>
      <c r="U6738" s="505"/>
      <c r="V6738" s="505"/>
      <c r="W6738" s="505"/>
      <c r="X6738" s="505"/>
      <c r="Y6738" s="505"/>
    </row>
    <row r="6739" spans="1:25" s="88" customFormat="1" hidden="1" x14ac:dyDescent="0.25">
      <c r="A6739" s="258"/>
      <c r="B6739" s="258"/>
      <c r="C6739" s="261"/>
      <c r="D6739" s="258"/>
      <c r="E6739" s="679"/>
      <c r="F6739" s="499">
        <v>542</v>
      </c>
      <c r="G6739" s="492" t="s">
        <v>4165</v>
      </c>
      <c r="H6739" s="555"/>
      <c r="I6739" s="556"/>
      <c r="J6739" s="556">
        <f t="shared" si="222"/>
        <v>0</v>
      </c>
      <c r="K6739" s="505"/>
      <c r="L6739" s="505"/>
      <c r="M6739" s="505"/>
      <c r="N6739" s="505"/>
      <c r="O6739" s="505"/>
      <c r="P6739" s="505"/>
      <c r="Q6739" s="505"/>
      <c r="R6739" s="505"/>
      <c r="S6739" s="505"/>
      <c r="T6739" s="505"/>
      <c r="U6739" s="505"/>
      <c r="V6739" s="505"/>
      <c r="W6739" s="505"/>
      <c r="X6739" s="505"/>
      <c r="Y6739" s="505"/>
    </row>
    <row r="6740" spans="1:25" s="88" customFormat="1" hidden="1" x14ac:dyDescent="0.25">
      <c r="A6740" s="258"/>
      <c r="B6740" s="258"/>
      <c r="C6740" s="261"/>
      <c r="D6740" s="258"/>
      <c r="E6740" s="679"/>
      <c r="F6740" s="499">
        <v>543</v>
      </c>
      <c r="G6740" s="492" t="s">
        <v>3844</v>
      </c>
      <c r="H6740" s="555"/>
      <c r="I6740" s="556"/>
      <c r="J6740" s="556">
        <f t="shared" si="222"/>
        <v>0</v>
      </c>
      <c r="K6740" s="505"/>
      <c r="L6740" s="505"/>
      <c r="M6740" s="505"/>
      <c r="N6740" s="505"/>
      <c r="O6740" s="505"/>
      <c r="P6740" s="505"/>
      <c r="Q6740" s="505"/>
      <c r="R6740" s="505"/>
      <c r="S6740" s="505"/>
      <c r="T6740" s="505"/>
      <c r="U6740" s="505"/>
      <c r="V6740" s="505"/>
      <c r="W6740" s="505"/>
      <c r="X6740" s="505"/>
      <c r="Y6740" s="505"/>
    </row>
    <row r="6741" spans="1:25" s="88" customFormat="1" ht="30" hidden="1" x14ac:dyDescent="0.25">
      <c r="A6741" s="258"/>
      <c r="B6741" s="258"/>
      <c r="C6741" s="261"/>
      <c r="D6741" s="258"/>
      <c r="E6741" s="679"/>
      <c r="F6741" s="499">
        <v>551</v>
      </c>
      <c r="G6741" s="492" t="s">
        <v>4140</v>
      </c>
      <c r="H6741" s="555"/>
      <c r="I6741" s="556"/>
      <c r="J6741" s="556">
        <f t="shared" si="222"/>
        <v>0</v>
      </c>
      <c r="K6741" s="505"/>
      <c r="L6741" s="505"/>
      <c r="M6741" s="505"/>
      <c r="N6741" s="505"/>
      <c r="O6741" s="505"/>
      <c r="P6741" s="505"/>
      <c r="Q6741" s="505"/>
      <c r="R6741" s="505"/>
      <c r="S6741" s="505"/>
      <c r="T6741" s="505"/>
      <c r="U6741" s="505"/>
      <c r="V6741" s="505"/>
      <c r="W6741" s="505"/>
      <c r="X6741" s="505"/>
      <c r="Y6741" s="505"/>
    </row>
    <row r="6742" spans="1:25" s="88" customFormat="1" hidden="1" x14ac:dyDescent="0.25">
      <c r="A6742" s="258"/>
      <c r="B6742" s="258"/>
      <c r="C6742" s="261"/>
      <c r="D6742" s="258"/>
      <c r="E6742" s="679"/>
      <c r="F6742" s="500">
        <v>611</v>
      </c>
      <c r="G6742" s="498" t="s">
        <v>3850</v>
      </c>
      <c r="H6742" s="555"/>
      <c r="I6742" s="556"/>
      <c r="J6742" s="556">
        <f t="shared" si="222"/>
        <v>0</v>
      </c>
      <c r="K6742" s="505"/>
      <c r="L6742" s="505"/>
      <c r="M6742" s="505"/>
      <c r="N6742" s="505"/>
      <c r="O6742" s="505"/>
      <c r="P6742" s="505"/>
      <c r="Q6742" s="505"/>
      <c r="R6742" s="505"/>
      <c r="S6742" s="505"/>
      <c r="T6742" s="505"/>
      <c r="U6742" s="505"/>
      <c r="V6742" s="505"/>
      <c r="W6742" s="505"/>
      <c r="X6742" s="505"/>
      <c r="Y6742" s="505"/>
    </row>
    <row r="6743" spans="1:25" s="88" customFormat="1" ht="0.75" customHeight="1" thickBot="1" x14ac:dyDescent="0.3">
      <c r="A6743" s="258"/>
      <c r="B6743" s="258"/>
      <c r="C6743" s="261"/>
      <c r="D6743" s="258"/>
      <c r="E6743" s="679"/>
      <c r="F6743" s="500">
        <v>620</v>
      </c>
      <c r="G6743" s="498" t="s">
        <v>88</v>
      </c>
      <c r="H6743" s="555"/>
      <c r="I6743" s="556"/>
      <c r="J6743" s="556">
        <f t="shared" si="222"/>
        <v>0</v>
      </c>
      <c r="K6743" s="505"/>
      <c r="L6743" s="505"/>
      <c r="M6743" s="505"/>
      <c r="N6743" s="505"/>
      <c r="O6743" s="505"/>
      <c r="P6743" s="505"/>
      <c r="Q6743" s="505"/>
      <c r="R6743" s="505"/>
      <c r="S6743" s="505"/>
      <c r="T6743" s="505"/>
      <c r="U6743" s="505"/>
      <c r="V6743" s="505"/>
      <c r="W6743" s="505"/>
      <c r="X6743" s="505"/>
      <c r="Y6743" s="505"/>
    </row>
    <row r="6744" spans="1:25" s="88" customFormat="1" x14ac:dyDescent="0.25">
      <c r="A6744" s="258"/>
      <c r="B6744" s="258"/>
      <c r="C6744" s="261"/>
      <c r="D6744" s="258"/>
      <c r="E6744" s="489"/>
      <c r="F6744" s="500"/>
      <c r="G6744" s="343" t="s">
        <v>4356</v>
      </c>
      <c r="H6744" s="557"/>
      <c r="I6744" s="583"/>
      <c r="J6744" s="558"/>
      <c r="K6744" s="505"/>
      <c r="L6744" s="505"/>
      <c r="M6744" s="505"/>
      <c r="N6744" s="505"/>
      <c r="O6744" s="505"/>
      <c r="P6744" s="505"/>
      <c r="Q6744" s="505"/>
      <c r="R6744" s="505"/>
      <c r="S6744" s="505"/>
      <c r="T6744" s="505"/>
      <c r="U6744" s="505"/>
      <c r="V6744" s="505"/>
      <c r="W6744" s="505"/>
      <c r="X6744" s="505"/>
      <c r="Y6744" s="505"/>
    </row>
    <row r="6745" spans="1:25" s="88" customFormat="1" x14ac:dyDescent="0.25">
      <c r="A6745" s="258"/>
      <c r="B6745" s="258"/>
      <c r="C6745" s="261"/>
      <c r="D6745" s="258"/>
      <c r="E6745" s="693"/>
      <c r="F6745" s="597" t="s">
        <v>234</v>
      </c>
      <c r="G6745" s="598" t="s">
        <v>235</v>
      </c>
      <c r="H6745" s="559">
        <f>SUM(H6684:H6743)</f>
        <v>1429000</v>
      </c>
      <c r="I6745" s="560"/>
      <c r="J6745" s="560">
        <f t="shared" ref="J6745:J6760" si="223">SUM(H6745:I6745)</f>
        <v>1429000</v>
      </c>
      <c r="K6745" s="505"/>
      <c r="L6745" s="505"/>
      <c r="M6745" s="505"/>
      <c r="N6745" s="505"/>
      <c r="O6745" s="505"/>
      <c r="P6745" s="505"/>
      <c r="Q6745" s="505"/>
      <c r="R6745" s="505"/>
      <c r="S6745" s="505"/>
      <c r="T6745" s="505"/>
      <c r="U6745" s="505"/>
      <c r="V6745" s="505"/>
      <c r="W6745" s="505"/>
      <c r="X6745" s="505"/>
      <c r="Y6745" s="505"/>
    </row>
    <row r="6746" spans="1:25" s="88" customFormat="1" hidden="1" x14ac:dyDescent="0.25">
      <c r="A6746" s="258"/>
      <c r="B6746" s="258"/>
      <c r="C6746" s="261"/>
      <c r="D6746" s="258"/>
      <c r="E6746" s="679"/>
      <c r="F6746" s="597" t="s">
        <v>236</v>
      </c>
      <c r="G6746" s="598" t="s">
        <v>237</v>
      </c>
      <c r="H6746" s="555"/>
      <c r="I6746" s="556"/>
      <c r="J6746" s="560">
        <f t="shared" si="223"/>
        <v>0</v>
      </c>
      <c r="K6746" s="505"/>
      <c r="L6746" s="505"/>
      <c r="M6746" s="505"/>
      <c r="N6746" s="505"/>
      <c r="O6746" s="505"/>
      <c r="P6746" s="505"/>
      <c r="Q6746" s="505"/>
      <c r="R6746" s="505"/>
      <c r="S6746" s="505"/>
      <c r="T6746" s="505"/>
      <c r="U6746" s="505"/>
      <c r="V6746" s="505"/>
      <c r="W6746" s="505"/>
      <c r="X6746" s="505"/>
      <c r="Y6746" s="505"/>
    </row>
    <row r="6747" spans="1:25" s="88" customFormat="1" hidden="1" x14ac:dyDescent="0.25">
      <c r="A6747" s="258"/>
      <c r="B6747" s="258"/>
      <c r="C6747" s="261"/>
      <c r="D6747" s="258"/>
      <c r="E6747" s="679"/>
      <c r="F6747" s="597" t="s">
        <v>238</v>
      </c>
      <c r="G6747" s="598" t="s">
        <v>239</v>
      </c>
      <c r="H6747" s="555"/>
      <c r="I6747" s="556"/>
      <c r="J6747" s="560">
        <f t="shared" si="223"/>
        <v>0</v>
      </c>
      <c r="K6747" s="505"/>
      <c r="L6747" s="505"/>
      <c r="M6747" s="505"/>
      <c r="N6747" s="505"/>
      <c r="O6747" s="505"/>
      <c r="P6747" s="505"/>
      <c r="Q6747" s="505"/>
      <c r="R6747" s="505"/>
      <c r="S6747" s="505"/>
      <c r="T6747" s="505"/>
      <c r="U6747" s="505"/>
      <c r="V6747" s="505"/>
      <c r="W6747" s="505"/>
      <c r="X6747" s="505"/>
      <c r="Y6747" s="505"/>
    </row>
    <row r="6748" spans="1:25" s="88" customFormat="1" hidden="1" x14ac:dyDescent="0.25">
      <c r="A6748" s="258"/>
      <c r="B6748" s="258"/>
      <c r="C6748" s="261"/>
      <c r="D6748" s="258"/>
      <c r="E6748" s="679"/>
      <c r="F6748" s="597" t="s">
        <v>240</v>
      </c>
      <c r="G6748" s="598" t="s">
        <v>241</v>
      </c>
      <c r="H6748" s="555"/>
      <c r="I6748" s="556"/>
      <c r="J6748" s="560">
        <f t="shared" si="223"/>
        <v>0</v>
      </c>
      <c r="K6748" s="505"/>
      <c r="L6748" s="505"/>
      <c r="M6748" s="505"/>
      <c r="N6748" s="505"/>
      <c r="O6748" s="505"/>
      <c r="P6748" s="505"/>
      <c r="Q6748" s="505"/>
      <c r="R6748" s="505"/>
      <c r="S6748" s="505"/>
      <c r="T6748" s="505"/>
      <c r="U6748" s="505"/>
      <c r="V6748" s="505"/>
      <c r="W6748" s="505"/>
      <c r="X6748" s="505"/>
      <c r="Y6748" s="505"/>
    </row>
    <row r="6749" spans="1:25" s="88" customFormat="1" hidden="1" x14ac:dyDescent="0.25">
      <c r="A6749" s="258"/>
      <c r="B6749" s="258"/>
      <c r="C6749" s="261"/>
      <c r="D6749" s="258"/>
      <c r="E6749" s="679"/>
      <c r="F6749" s="597" t="s">
        <v>242</v>
      </c>
      <c r="G6749" s="598" t="s">
        <v>243</v>
      </c>
      <c r="H6749" s="555"/>
      <c r="I6749" s="556"/>
      <c r="J6749" s="560">
        <f t="shared" si="223"/>
        <v>0</v>
      </c>
      <c r="K6749" s="505"/>
      <c r="L6749" s="505"/>
      <c r="M6749" s="505"/>
      <c r="N6749" s="505"/>
      <c r="O6749" s="505"/>
      <c r="P6749" s="505"/>
      <c r="Q6749" s="505"/>
      <c r="R6749" s="505"/>
      <c r="S6749" s="505"/>
      <c r="T6749" s="505"/>
      <c r="U6749" s="505"/>
      <c r="V6749" s="505"/>
      <c r="W6749" s="505"/>
      <c r="X6749" s="505"/>
      <c r="Y6749" s="505"/>
    </row>
    <row r="6750" spans="1:25" s="88" customFormat="1" hidden="1" x14ac:dyDescent="0.25">
      <c r="A6750" s="258"/>
      <c r="B6750" s="258"/>
      <c r="C6750" s="261"/>
      <c r="D6750" s="258"/>
      <c r="E6750" s="679"/>
      <c r="F6750" s="597" t="s">
        <v>244</v>
      </c>
      <c r="G6750" s="598" t="s">
        <v>245</v>
      </c>
      <c r="H6750" s="555"/>
      <c r="I6750" s="556"/>
      <c r="J6750" s="560">
        <f t="shared" si="223"/>
        <v>0</v>
      </c>
      <c r="K6750" s="505"/>
      <c r="L6750" s="505"/>
      <c r="M6750" s="505"/>
      <c r="N6750" s="505"/>
      <c r="O6750" s="505"/>
      <c r="P6750" s="505"/>
      <c r="Q6750" s="505"/>
      <c r="R6750" s="505"/>
      <c r="S6750" s="505"/>
      <c r="T6750" s="505"/>
      <c r="U6750" s="505"/>
      <c r="V6750" s="505"/>
      <c r="W6750" s="505"/>
      <c r="X6750" s="505"/>
      <c r="Y6750" s="505"/>
    </row>
    <row r="6751" spans="1:25" s="88" customFormat="1" x14ac:dyDescent="0.25">
      <c r="A6751" s="258"/>
      <c r="B6751" s="258"/>
      <c r="C6751" s="261"/>
      <c r="D6751" s="258"/>
      <c r="E6751" s="679"/>
      <c r="F6751" s="597" t="s">
        <v>246</v>
      </c>
      <c r="G6751" s="598" t="s">
        <v>4996</v>
      </c>
      <c r="H6751" s="555"/>
      <c r="I6751" s="556">
        <v>300000</v>
      </c>
      <c r="J6751" s="560">
        <f t="shared" si="223"/>
        <v>300000</v>
      </c>
      <c r="K6751" s="505"/>
      <c r="L6751" s="505"/>
      <c r="M6751" s="505"/>
      <c r="N6751" s="505"/>
      <c r="O6751" s="505"/>
      <c r="P6751" s="505"/>
      <c r="Q6751" s="505"/>
      <c r="R6751" s="505"/>
      <c r="S6751" s="505"/>
      <c r="T6751" s="505"/>
      <c r="U6751" s="505"/>
      <c r="V6751" s="505"/>
      <c r="W6751" s="505"/>
      <c r="X6751" s="505"/>
      <c r="Y6751" s="505"/>
    </row>
    <row r="6752" spans="1:25" s="88" customFormat="1" ht="15.75" thickBot="1" x14ac:dyDescent="0.3">
      <c r="A6752" s="258"/>
      <c r="B6752" s="258"/>
      <c r="C6752" s="261"/>
      <c r="D6752" s="258"/>
      <c r="E6752" s="679"/>
      <c r="F6752" s="597" t="s">
        <v>247</v>
      </c>
      <c r="G6752" s="598" t="s">
        <v>4995</v>
      </c>
      <c r="H6752" s="555"/>
      <c r="I6752" s="556">
        <v>300000</v>
      </c>
      <c r="J6752" s="560">
        <f t="shared" si="223"/>
        <v>300000</v>
      </c>
      <c r="K6752" s="505"/>
      <c r="L6752" s="505"/>
      <c r="M6752" s="505"/>
      <c r="N6752" s="505"/>
      <c r="O6752" s="505"/>
      <c r="P6752" s="505"/>
      <c r="Q6752" s="505"/>
      <c r="R6752" s="505"/>
      <c r="S6752" s="505"/>
      <c r="T6752" s="505"/>
      <c r="U6752" s="505"/>
      <c r="V6752" s="505"/>
      <c r="W6752" s="505"/>
      <c r="X6752" s="505"/>
      <c r="Y6752" s="505"/>
    </row>
    <row r="6753" spans="1:25" s="88" customFormat="1" hidden="1" x14ac:dyDescent="0.25">
      <c r="A6753" s="258"/>
      <c r="B6753" s="258"/>
      <c r="C6753" s="261"/>
      <c r="D6753" s="258"/>
      <c r="E6753" s="679"/>
      <c r="F6753" s="597" t="s">
        <v>248</v>
      </c>
      <c r="G6753" s="598" t="s">
        <v>57</v>
      </c>
      <c r="H6753" s="555"/>
      <c r="I6753" s="556"/>
      <c r="J6753" s="560">
        <f t="shared" si="223"/>
        <v>0</v>
      </c>
      <c r="K6753" s="505"/>
      <c r="L6753" s="505"/>
      <c r="M6753" s="505"/>
      <c r="N6753" s="505"/>
      <c r="O6753" s="505"/>
      <c r="P6753" s="505"/>
      <c r="Q6753" s="505"/>
      <c r="R6753" s="505"/>
      <c r="S6753" s="505"/>
      <c r="T6753" s="505"/>
      <c r="U6753" s="505"/>
      <c r="V6753" s="505"/>
      <c r="W6753" s="505"/>
      <c r="X6753" s="505"/>
      <c r="Y6753" s="505"/>
    </row>
    <row r="6754" spans="1:25" s="88" customFormat="1" hidden="1" x14ac:dyDescent="0.25">
      <c r="A6754" s="258"/>
      <c r="B6754" s="258"/>
      <c r="C6754" s="261"/>
      <c r="D6754" s="258"/>
      <c r="E6754" s="679"/>
      <c r="F6754" s="597" t="s">
        <v>249</v>
      </c>
      <c r="G6754" s="598" t="s">
        <v>250</v>
      </c>
      <c r="H6754" s="555"/>
      <c r="I6754" s="556"/>
      <c r="J6754" s="560">
        <f t="shared" si="223"/>
        <v>0</v>
      </c>
      <c r="K6754" s="505"/>
      <c r="L6754" s="505"/>
      <c r="M6754" s="505"/>
      <c r="N6754" s="505"/>
      <c r="O6754" s="505"/>
      <c r="P6754" s="505"/>
      <c r="Q6754" s="505"/>
      <c r="R6754" s="505"/>
      <c r="S6754" s="505"/>
      <c r="T6754" s="505"/>
      <c r="U6754" s="505"/>
      <c r="V6754" s="505"/>
      <c r="W6754" s="505"/>
      <c r="X6754" s="505"/>
      <c r="Y6754" s="505"/>
    </row>
    <row r="6755" spans="1:25" s="88" customFormat="1" hidden="1" x14ac:dyDescent="0.25">
      <c r="A6755" s="258"/>
      <c r="B6755" s="258"/>
      <c r="C6755" s="261"/>
      <c r="D6755" s="258"/>
      <c r="E6755" s="679"/>
      <c r="F6755" s="597" t="s">
        <v>251</v>
      </c>
      <c r="G6755" s="598" t="s">
        <v>252</v>
      </c>
      <c r="H6755" s="555"/>
      <c r="I6755" s="556"/>
      <c r="J6755" s="560">
        <f t="shared" si="223"/>
        <v>0</v>
      </c>
      <c r="K6755" s="505"/>
      <c r="L6755" s="505"/>
      <c r="M6755" s="505"/>
      <c r="N6755" s="505"/>
      <c r="O6755" s="505"/>
      <c r="P6755" s="505"/>
      <c r="Q6755" s="505"/>
      <c r="R6755" s="505"/>
      <c r="S6755" s="505"/>
      <c r="T6755" s="505"/>
      <c r="U6755" s="505"/>
      <c r="V6755" s="505"/>
      <c r="W6755" s="505"/>
      <c r="X6755" s="505"/>
      <c r="Y6755" s="505"/>
    </row>
    <row r="6756" spans="1:25" s="88" customFormat="1" ht="30" hidden="1" x14ac:dyDescent="0.25">
      <c r="A6756" s="258"/>
      <c r="B6756" s="258"/>
      <c r="C6756" s="261"/>
      <c r="D6756" s="258"/>
      <c r="E6756" s="679"/>
      <c r="F6756" s="597" t="s">
        <v>253</v>
      </c>
      <c r="G6756" s="598" t="s">
        <v>254</v>
      </c>
      <c r="H6756" s="555"/>
      <c r="I6756" s="556"/>
      <c r="J6756" s="560">
        <f t="shared" si="223"/>
        <v>0</v>
      </c>
      <c r="K6756" s="505"/>
      <c r="L6756" s="505"/>
      <c r="M6756" s="505"/>
      <c r="N6756" s="505"/>
      <c r="O6756" s="505"/>
      <c r="P6756" s="505"/>
      <c r="Q6756" s="505"/>
      <c r="R6756" s="505"/>
      <c r="S6756" s="505"/>
      <c r="T6756" s="505"/>
      <c r="U6756" s="505"/>
      <c r="V6756" s="505"/>
      <c r="W6756" s="505"/>
      <c r="X6756" s="505"/>
      <c r="Y6756" s="505"/>
    </row>
    <row r="6757" spans="1:25" s="88" customFormat="1" hidden="1" x14ac:dyDescent="0.25">
      <c r="A6757" s="258"/>
      <c r="B6757" s="258"/>
      <c r="C6757" s="261"/>
      <c r="D6757" s="258"/>
      <c r="E6757" s="679"/>
      <c r="F6757" s="597" t="s">
        <v>255</v>
      </c>
      <c r="G6757" s="598" t="s">
        <v>256</v>
      </c>
      <c r="H6757" s="555"/>
      <c r="I6757" s="556"/>
      <c r="J6757" s="560">
        <f t="shared" si="223"/>
        <v>0</v>
      </c>
      <c r="K6757" s="505"/>
      <c r="L6757" s="505"/>
      <c r="M6757" s="505"/>
      <c r="N6757" s="505"/>
      <c r="O6757" s="505"/>
      <c r="P6757" s="505"/>
      <c r="Q6757" s="505"/>
      <c r="R6757" s="505"/>
      <c r="S6757" s="505"/>
      <c r="T6757" s="505"/>
      <c r="U6757" s="505"/>
      <c r="V6757" s="505"/>
      <c r="W6757" s="505"/>
      <c r="X6757" s="505"/>
      <c r="Y6757" s="505"/>
    </row>
    <row r="6758" spans="1:25" s="88" customFormat="1" ht="30" hidden="1" x14ac:dyDescent="0.25">
      <c r="A6758" s="258"/>
      <c r="B6758" s="258"/>
      <c r="C6758" s="261"/>
      <c r="D6758" s="258"/>
      <c r="E6758" s="679"/>
      <c r="F6758" s="597" t="s">
        <v>257</v>
      </c>
      <c r="G6758" s="598" t="s">
        <v>258</v>
      </c>
      <c r="H6758" s="555"/>
      <c r="I6758" s="556"/>
      <c r="J6758" s="560">
        <f t="shared" si="223"/>
        <v>0</v>
      </c>
      <c r="K6758" s="505"/>
      <c r="L6758" s="505"/>
      <c r="M6758" s="505"/>
      <c r="N6758" s="505"/>
      <c r="O6758" s="505"/>
      <c r="P6758" s="505"/>
      <c r="Q6758" s="505"/>
      <c r="R6758" s="505"/>
      <c r="S6758" s="505"/>
      <c r="T6758" s="505"/>
      <c r="U6758" s="505"/>
      <c r="V6758" s="505"/>
      <c r="W6758" s="505"/>
      <c r="X6758" s="505"/>
      <c r="Y6758" s="505"/>
    </row>
    <row r="6759" spans="1:25" s="88" customFormat="1" hidden="1" x14ac:dyDescent="0.25">
      <c r="A6759" s="258"/>
      <c r="B6759" s="258"/>
      <c r="C6759" s="261"/>
      <c r="D6759" s="258"/>
      <c r="E6759" s="679"/>
      <c r="F6759" s="597" t="s">
        <v>259</v>
      </c>
      <c r="G6759" s="598" t="s">
        <v>260</v>
      </c>
      <c r="H6759" s="555"/>
      <c r="I6759" s="556"/>
      <c r="J6759" s="560">
        <f t="shared" si="223"/>
        <v>0</v>
      </c>
      <c r="K6759" s="505"/>
      <c r="L6759" s="505"/>
      <c r="M6759" s="505"/>
      <c r="N6759" s="505"/>
      <c r="O6759" s="505"/>
      <c r="P6759" s="505"/>
      <c r="Q6759" s="505"/>
      <c r="R6759" s="505"/>
      <c r="S6759" s="505"/>
      <c r="T6759" s="505"/>
      <c r="U6759" s="505"/>
      <c r="V6759" s="505"/>
      <c r="W6759" s="505"/>
      <c r="X6759" s="505"/>
      <c r="Y6759" s="505"/>
    </row>
    <row r="6760" spans="1:25" s="88" customFormat="1" ht="15.75" hidden="1" thickBot="1" x14ac:dyDescent="0.3">
      <c r="A6760" s="258"/>
      <c r="B6760" s="258"/>
      <c r="C6760" s="261"/>
      <c r="D6760" s="258"/>
      <c r="E6760" s="679"/>
      <c r="F6760" s="597" t="s">
        <v>261</v>
      </c>
      <c r="G6760" s="598" t="s">
        <v>262</v>
      </c>
      <c r="H6760" s="559"/>
      <c r="I6760" s="560"/>
      <c r="J6760" s="560">
        <f t="shared" si="223"/>
        <v>0</v>
      </c>
      <c r="K6760" s="505"/>
      <c r="L6760" s="505"/>
      <c r="M6760" s="505"/>
      <c r="N6760" s="505"/>
      <c r="O6760" s="505"/>
      <c r="P6760" s="505"/>
      <c r="Q6760" s="505"/>
      <c r="R6760" s="505"/>
      <c r="S6760" s="505"/>
      <c r="T6760" s="505"/>
      <c r="U6760" s="505"/>
      <c r="V6760" s="505"/>
      <c r="W6760" s="505"/>
      <c r="X6760" s="505"/>
      <c r="Y6760" s="505"/>
    </row>
    <row r="6761" spans="1:25" s="88" customFormat="1" ht="18" customHeight="1" thickBot="1" x14ac:dyDescent="0.3">
      <c r="A6761" s="258"/>
      <c r="B6761" s="258"/>
      <c r="C6761" s="261"/>
      <c r="D6761" s="258"/>
      <c r="E6761" s="679"/>
      <c r="F6761" s="258"/>
      <c r="G6761" s="268" t="s">
        <v>4357</v>
      </c>
      <c r="H6761" s="561">
        <f>SUM(H6745:H6760)</f>
        <v>1429000</v>
      </c>
      <c r="I6761" s="562">
        <f>SUM(I6745:I6760)</f>
        <v>600000</v>
      </c>
      <c r="J6761" s="562">
        <f>SUM(J6745:J6760)</f>
        <v>2029000</v>
      </c>
      <c r="K6761" s="505"/>
      <c r="L6761" s="505"/>
      <c r="M6761" s="505"/>
      <c r="N6761" s="505"/>
      <c r="O6761" s="505"/>
      <c r="P6761" s="505"/>
      <c r="Q6761" s="505"/>
      <c r="R6761" s="505"/>
      <c r="S6761" s="505"/>
      <c r="T6761" s="505"/>
      <c r="U6761" s="505"/>
      <c r="V6761" s="505"/>
      <c r="W6761" s="505"/>
      <c r="X6761" s="505"/>
      <c r="Y6761" s="505"/>
    </row>
    <row r="6762" spans="1:25" s="88" customFormat="1" ht="28.5" x14ac:dyDescent="0.25">
      <c r="A6762" s="258"/>
      <c r="B6762" s="258"/>
      <c r="C6762" s="261"/>
      <c r="D6762" s="258"/>
      <c r="E6762" s="489"/>
      <c r="F6762" s="500"/>
      <c r="G6762" s="270" t="s">
        <v>5330</v>
      </c>
      <c r="H6762" s="563"/>
      <c r="I6762" s="584"/>
      <c r="J6762" s="564"/>
      <c r="K6762" s="505"/>
      <c r="L6762" s="505"/>
      <c r="M6762" s="505"/>
      <c r="N6762" s="505"/>
      <c r="O6762" s="505"/>
      <c r="P6762" s="505"/>
      <c r="Q6762" s="505"/>
      <c r="R6762" s="505"/>
      <c r="S6762" s="505"/>
      <c r="T6762" s="505"/>
      <c r="U6762" s="505"/>
      <c r="V6762" s="505"/>
      <c r="W6762" s="505"/>
      <c r="X6762" s="505"/>
      <c r="Y6762" s="505"/>
    </row>
    <row r="6763" spans="1:25" s="88" customFormat="1" x14ac:dyDescent="0.25">
      <c r="A6763" s="258"/>
      <c r="B6763" s="258"/>
      <c r="C6763" s="261"/>
      <c r="D6763" s="258"/>
      <c r="E6763" s="693"/>
      <c r="F6763" s="597" t="s">
        <v>234</v>
      </c>
      <c r="G6763" s="598" t="s">
        <v>235</v>
      </c>
      <c r="H6763" s="559">
        <f>SUM(H6684:H6743)</f>
        <v>1429000</v>
      </c>
      <c r="I6763" s="560"/>
      <c r="J6763" s="560">
        <f>SUM(H6763:I6763)</f>
        <v>1429000</v>
      </c>
      <c r="K6763" s="505"/>
      <c r="L6763" s="505"/>
      <c r="M6763" s="505"/>
      <c r="N6763" s="505"/>
      <c r="O6763" s="505"/>
      <c r="P6763" s="505"/>
      <c r="Q6763" s="505"/>
      <c r="R6763" s="505"/>
      <c r="S6763" s="505"/>
      <c r="T6763" s="505"/>
      <c r="U6763" s="505"/>
      <c r="V6763" s="505"/>
      <c r="W6763" s="505"/>
      <c r="X6763" s="505"/>
      <c r="Y6763" s="505"/>
    </row>
    <row r="6764" spans="1:25" s="88" customFormat="1" hidden="1" x14ac:dyDescent="0.25">
      <c r="A6764" s="258"/>
      <c r="B6764" s="258"/>
      <c r="C6764" s="261"/>
      <c r="D6764" s="258"/>
      <c r="E6764" s="679"/>
      <c r="F6764" s="597" t="s">
        <v>236</v>
      </c>
      <c r="G6764" s="598" t="s">
        <v>237</v>
      </c>
      <c r="H6764" s="555"/>
      <c r="I6764" s="556"/>
      <c r="J6764" s="560">
        <f t="shared" ref="J6764:J6778" si="224">SUM(H6764:I6764)</f>
        <v>0</v>
      </c>
      <c r="K6764" s="505"/>
      <c r="L6764" s="505"/>
      <c r="M6764" s="505"/>
      <c r="N6764" s="505"/>
      <c r="O6764" s="505"/>
      <c r="P6764" s="505"/>
      <c r="Q6764" s="505"/>
      <c r="R6764" s="505"/>
      <c r="S6764" s="505"/>
      <c r="T6764" s="505"/>
      <c r="U6764" s="505"/>
      <c r="V6764" s="505"/>
      <c r="W6764" s="505"/>
      <c r="X6764" s="505"/>
      <c r="Y6764" s="505"/>
    </row>
    <row r="6765" spans="1:25" s="88" customFormat="1" hidden="1" x14ac:dyDescent="0.25">
      <c r="A6765" s="258"/>
      <c r="B6765" s="258"/>
      <c r="C6765" s="261"/>
      <c r="D6765" s="258"/>
      <c r="E6765" s="679"/>
      <c r="F6765" s="597" t="s">
        <v>238</v>
      </c>
      <c r="G6765" s="598" t="s">
        <v>239</v>
      </c>
      <c r="H6765" s="555"/>
      <c r="I6765" s="556"/>
      <c r="J6765" s="560">
        <f t="shared" si="224"/>
        <v>0</v>
      </c>
      <c r="K6765" s="505"/>
      <c r="L6765" s="505"/>
      <c r="M6765" s="505"/>
      <c r="N6765" s="505"/>
      <c r="O6765" s="505"/>
      <c r="P6765" s="505"/>
      <c r="Q6765" s="505"/>
      <c r="R6765" s="505"/>
      <c r="S6765" s="505"/>
      <c r="T6765" s="505"/>
      <c r="U6765" s="505"/>
      <c r="V6765" s="505"/>
      <c r="W6765" s="505"/>
      <c r="X6765" s="505"/>
      <c r="Y6765" s="505"/>
    </row>
    <row r="6766" spans="1:25" s="88" customFormat="1" hidden="1" x14ac:dyDescent="0.25">
      <c r="A6766" s="258"/>
      <c r="B6766" s="258"/>
      <c r="C6766" s="261"/>
      <c r="D6766" s="258"/>
      <c r="E6766" s="679"/>
      <c r="F6766" s="597" t="s">
        <v>240</v>
      </c>
      <c r="G6766" s="598" t="s">
        <v>241</v>
      </c>
      <c r="H6766" s="555"/>
      <c r="I6766" s="556"/>
      <c r="J6766" s="560">
        <f t="shared" si="224"/>
        <v>0</v>
      </c>
      <c r="K6766" s="505"/>
      <c r="L6766" s="505"/>
      <c r="M6766" s="505"/>
      <c r="N6766" s="505"/>
      <c r="O6766" s="505"/>
      <c r="P6766" s="505"/>
      <c r="Q6766" s="505"/>
      <c r="R6766" s="505"/>
      <c r="S6766" s="505"/>
      <c r="T6766" s="505"/>
      <c r="U6766" s="505"/>
      <c r="V6766" s="505"/>
      <c r="W6766" s="505"/>
      <c r="X6766" s="505"/>
      <c r="Y6766" s="505"/>
    </row>
    <row r="6767" spans="1:25" s="88" customFormat="1" hidden="1" x14ac:dyDescent="0.25">
      <c r="A6767" s="258"/>
      <c r="B6767" s="258"/>
      <c r="C6767" s="261"/>
      <c r="D6767" s="258"/>
      <c r="E6767" s="679"/>
      <c r="F6767" s="597" t="s">
        <v>242</v>
      </c>
      <c r="G6767" s="598" t="s">
        <v>243</v>
      </c>
      <c r="H6767" s="555"/>
      <c r="I6767" s="556"/>
      <c r="J6767" s="560">
        <f t="shared" si="224"/>
        <v>0</v>
      </c>
      <c r="K6767" s="505"/>
      <c r="L6767" s="505"/>
      <c r="M6767" s="505"/>
      <c r="N6767" s="505"/>
      <c r="O6767" s="505"/>
      <c r="P6767" s="505"/>
      <c r="Q6767" s="505"/>
      <c r="R6767" s="505"/>
      <c r="S6767" s="505"/>
      <c r="T6767" s="505"/>
      <c r="U6767" s="505"/>
      <c r="V6767" s="505"/>
      <c r="W6767" s="505"/>
      <c r="X6767" s="505"/>
      <c r="Y6767" s="505"/>
    </row>
    <row r="6768" spans="1:25" s="88" customFormat="1" hidden="1" x14ac:dyDescent="0.25">
      <c r="A6768" s="258"/>
      <c r="B6768" s="258"/>
      <c r="C6768" s="261"/>
      <c r="D6768" s="258"/>
      <c r="E6768" s="679"/>
      <c r="F6768" s="597" t="s">
        <v>244</v>
      </c>
      <c r="G6768" s="598" t="s">
        <v>245</v>
      </c>
      <c r="H6768" s="555"/>
      <c r="I6768" s="556"/>
      <c r="J6768" s="560">
        <f t="shared" si="224"/>
        <v>0</v>
      </c>
      <c r="K6768" s="505"/>
      <c r="L6768" s="505"/>
      <c r="M6768" s="505"/>
      <c r="N6768" s="505"/>
      <c r="O6768" s="505"/>
      <c r="P6768" s="505"/>
      <c r="Q6768" s="505"/>
      <c r="R6768" s="505"/>
      <c r="S6768" s="505"/>
      <c r="T6768" s="505"/>
      <c r="U6768" s="505"/>
      <c r="V6768" s="505"/>
      <c r="W6768" s="505"/>
      <c r="X6768" s="505"/>
      <c r="Y6768" s="505"/>
    </row>
    <row r="6769" spans="1:25" s="88" customFormat="1" x14ac:dyDescent="0.25">
      <c r="A6769" s="258"/>
      <c r="B6769" s="258"/>
      <c r="C6769" s="261"/>
      <c r="D6769" s="258"/>
      <c r="E6769" s="679"/>
      <c r="F6769" s="597" t="s">
        <v>246</v>
      </c>
      <c r="G6769" s="598" t="s">
        <v>4996</v>
      </c>
      <c r="H6769" s="555"/>
      <c r="I6769" s="556">
        <v>300000</v>
      </c>
      <c r="J6769" s="560">
        <f t="shared" si="224"/>
        <v>300000</v>
      </c>
      <c r="K6769" s="505"/>
      <c r="L6769" s="505"/>
      <c r="M6769" s="505"/>
      <c r="N6769" s="505"/>
      <c r="O6769" s="505"/>
      <c r="P6769" s="505"/>
      <c r="Q6769" s="505"/>
      <c r="R6769" s="505"/>
      <c r="S6769" s="505"/>
      <c r="T6769" s="505"/>
      <c r="U6769" s="505"/>
      <c r="V6769" s="505"/>
      <c r="W6769" s="505"/>
      <c r="X6769" s="505"/>
      <c r="Y6769" s="505"/>
    </row>
    <row r="6770" spans="1:25" s="88" customFormat="1" ht="15.75" thickBot="1" x14ac:dyDescent="0.3">
      <c r="A6770" s="258"/>
      <c r="B6770" s="258"/>
      <c r="C6770" s="261"/>
      <c r="D6770" s="258"/>
      <c r="E6770" s="679"/>
      <c r="F6770" s="597" t="s">
        <v>247</v>
      </c>
      <c r="G6770" s="598" t="s">
        <v>4995</v>
      </c>
      <c r="H6770" s="555"/>
      <c r="I6770" s="556">
        <v>300000</v>
      </c>
      <c r="J6770" s="560">
        <f t="shared" si="224"/>
        <v>300000</v>
      </c>
      <c r="K6770" s="505"/>
      <c r="L6770" s="505"/>
      <c r="M6770" s="505"/>
      <c r="N6770" s="505"/>
      <c r="O6770" s="505"/>
      <c r="P6770" s="505"/>
      <c r="Q6770" s="505"/>
      <c r="R6770" s="505"/>
      <c r="S6770" s="505"/>
      <c r="T6770" s="505"/>
      <c r="U6770" s="505"/>
      <c r="V6770" s="505"/>
      <c r="W6770" s="505"/>
      <c r="X6770" s="505"/>
      <c r="Y6770" s="505"/>
    </row>
    <row r="6771" spans="1:25" s="88" customFormat="1" hidden="1" x14ac:dyDescent="0.25">
      <c r="A6771" s="258"/>
      <c r="B6771" s="258"/>
      <c r="C6771" s="261"/>
      <c r="D6771" s="258"/>
      <c r="E6771" s="679"/>
      <c r="F6771" s="597" t="s">
        <v>248</v>
      </c>
      <c r="G6771" s="598" t="s">
        <v>57</v>
      </c>
      <c r="H6771" s="555"/>
      <c r="I6771" s="556"/>
      <c r="J6771" s="560">
        <f t="shared" si="224"/>
        <v>0</v>
      </c>
      <c r="K6771" s="505"/>
      <c r="L6771" s="505"/>
      <c r="M6771" s="505"/>
      <c r="N6771" s="505"/>
      <c r="O6771" s="505"/>
      <c r="P6771" s="505"/>
      <c r="Q6771" s="505"/>
      <c r="R6771" s="505"/>
      <c r="S6771" s="505"/>
      <c r="T6771" s="505"/>
      <c r="U6771" s="505"/>
      <c r="V6771" s="505"/>
      <c r="W6771" s="505"/>
      <c r="X6771" s="505"/>
      <c r="Y6771" s="505"/>
    </row>
    <row r="6772" spans="1:25" s="88" customFormat="1" hidden="1" x14ac:dyDescent="0.25">
      <c r="A6772" s="258"/>
      <c r="B6772" s="258"/>
      <c r="C6772" s="261"/>
      <c r="D6772" s="258"/>
      <c r="E6772" s="679"/>
      <c r="F6772" s="597" t="s">
        <v>249</v>
      </c>
      <c r="G6772" s="598" t="s">
        <v>250</v>
      </c>
      <c r="H6772" s="555"/>
      <c r="I6772" s="556"/>
      <c r="J6772" s="560">
        <f t="shared" si="224"/>
        <v>0</v>
      </c>
      <c r="K6772" s="505"/>
      <c r="L6772" s="505"/>
      <c r="M6772" s="505"/>
      <c r="N6772" s="505"/>
      <c r="O6772" s="505"/>
      <c r="P6772" s="505"/>
      <c r="Q6772" s="505"/>
      <c r="R6772" s="505"/>
      <c r="S6772" s="505"/>
      <c r="T6772" s="505"/>
      <c r="U6772" s="505"/>
      <c r="V6772" s="505"/>
      <c r="W6772" s="505"/>
      <c r="X6772" s="505"/>
      <c r="Y6772" s="505"/>
    </row>
    <row r="6773" spans="1:25" s="88" customFormat="1" hidden="1" x14ac:dyDescent="0.25">
      <c r="A6773" s="258"/>
      <c r="B6773" s="258"/>
      <c r="C6773" s="261"/>
      <c r="D6773" s="258"/>
      <c r="E6773" s="679"/>
      <c r="F6773" s="597" t="s">
        <v>251</v>
      </c>
      <c r="G6773" s="598" t="s">
        <v>252</v>
      </c>
      <c r="H6773" s="555"/>
      <c r="I6773" s="556"/>
      <c r="J6773" s="560">
        <f t="shared" si="224"/>
        <v>0</v>
      </c>
      <c r="K6773" s="505"/>
      <c r="L6773" s="505"/>
      <c r="M6773" s="505"/>
      <c r="N6773" s="505"/>
      <c r="O6773" s="505"/>
      <c r="P6773" s="505"/>
      <c r="Q6773" s="505"/>
      <c r="R6773" s="505"/>
      <c r="S6773" s="505"/>
      <c r="T6773" s="505"/>
      <c r="U6773" s="505"/>
      <c r="V6773" s="505"/>
      <c r="W6773" s="505"/>
      <c r="X6773" s="505"/>
      <c r="Y6773" s="505"/>
    </row>
    <row r="6774" spans="1:25" s="88" customFormat="1" ht="30" hidden="1" x14ac:dyDescent="0.25">
      <c r="A6774" s="258"/>
      <c r="B6774" s="258"/>
      <c r="C6774" s="261"/>
      <c r="D6774" s="258"/>
      <c r="E6774" s="679"/>
      <c r="F6774" s="597" t="s">
        <v>253</v>
      </c>
      <c r="G6774" s="598" t="s">
        <v>254</v>
      </c>
      <c r="H6774" s="555"/>
      <c r="I6774" s="556"/>
      <c r="J6774" s="560">
        <f t="shared" si="224"/>
        <v>0</v>
      </c>
      <c r="K6774" s="505"/>
      <c r="L6774" s="505"/>
      <c r="M6774" s="505"/>
      <c r="N6774" s="505"/>
      <c r="O6774" s="505"/>
      <c r="P6774" s="505"/>
      <c r="Q6774" s="505"/>
      <c r="R6774" s="505"/>
      <c r="S6774" s="505"/>
      <c r="T6774" s="505"/>
      <c r="U6774" s="505"/>
      <c r="V6774" s="505"/>
      <c r="W6774" s="505"/>
      <c r="X6774" s="505"/>
      <c r="Y6774" s="505"/>
    </row>
    <row r="6775" spans="1:25" s="88" customFormat="1" hidden="1" x14ac:dyDescent="0.25">
      <c r="A6775" s="258"/>
      <c r="B6775" s="258"/>
      <c r="C6775" s="261"/>
      <c r="D6775" s="258"/>
      <c r="E6775" s="679"/>
      <c r="F6775" s="597" t="s">
        <v>255</v>
      </c>
      <c r="G6775" s="598" t="s">
        <v>256</v>
      </c>
      <c r="H6775" s="555"/>
      <c r="I6775" s="556"/>
      <c r="J6775" s="560">
        <f t="shared" si="224"/>
        <v>0</v>
      </c>
      <c r="K6775" s="505"/>
      <c r="L6775" s="505"/>
      <c r="M6775" s="505"/>
      <c r="N6775" s="505"/>
      <c r="O6775" s="505"/>
      <c r="P6775" s="505"/>
      <c r="Q6775" s="505"/>
      <c r="R6775" s="505"/>
      <c r="S6775" s="505"/>
      <c r="T6775" s="505"/>
      <c r="U6775" s="505"/>
      <c r="V6775" s="505"/>
      <c r="W6775" s="505"/>
      <c r="X6775" s="505"/>
      <c r="Y6775" s="505"/>
    </row>
    <row r="6776" spans="1:25" s="88" customFormat="1" ht="30" hidden="1" x14ac:dyDescent="0.25">
      <c r="A6776" s="258"/>
      <c r="B6776" s="258"/>
      <c r="C6776" s="261"/>
      <c r="D6776" s="258"/>
      <c r="E6776" s="679"/>
      <c r="F6776" s="597" t="s">
        <v>257</v>
      </c>
      <c r="G6776" s="598" t="s">
        <v>258</v>
      </c>
      <c r="H6776" s="555"/>
      <c r="I6776" s="556"/>
      <c r="J6776" s="560">
        <f t="shared" si="224"/>
        <v>0</v>
      </c>
      <c r="K6776" s="505"/>
      <c r="L6776" s="505"/>
      <c r="M6776" s="505"/>
      <c r="N6776" s="505"/>
      <c r="O6776" s="505"/>
      <c r="P6776" s="505"/>
      <c r="Q6776" s="505"/>
      <c r="R6776" s="505"/>
      <c r="S6776" s="505"/>
      <c r="T6776" s="505"/>
      <c r="U6776" s="505"/>
      <c r="V6776" s="505"/>
      <c r="W6776" s="505"/>
      <c r="X6776" s="505"/>
      <c r="Y6776" s="505"/>
    </row>
    <row r="6777" spans="1:25" s="88" customFormat="1" hidden="1" x14ac:dyDescent="0.25">
      <c r="A6777" s="258"/>
      <c r="B6777" s="258"/>
      <c r="C6777" s="261"/>
      <c r="D6777" s="258"/>
      <c r="E6777" s="679"/>
      <c r="F6777" s="597" t="s">
        <v>259</v>
      </c>
      <c r="G6777" s="598" t="s">
        <v>260</v>
      </c>
      <c r="H6777" s="555"/>
      <c r="I6777" s="556"/>
      <c r="J6777" s="560">
        <f t="shared" si="224"/>
        <v>0</v>
      </c>
      <c r="K6777" s="505"/>
      <c r="L6777" s="505"/>
      <c r="M6777" s="505"/>
      <c r="N6777" s="505"/>
      <c r="O6777" s="505"/>
      <c r="P6777" s="505"/>
      <c r="Q6777" s="505"/>
      <c r="R6777" s="505"/>
      <c r="S6777" s="505"/>
      <c r="T6777" s="505"/>
      <c r="U6777" s="505"/>
      <c r="V6777" s="505"/>
      <c r="W6777" s="505"/>
      <c r="X6777" s="505"/>
      <c r="Y6777" s="505"/>
    </row>
    <row r="6778" spans="1:25" s="88" customFormat="1" ht="15.75" hidden="1" thickBot="1" x14ac:dyDescent="0.3">
      <c r="A6778" s="258"/>
      <c r="B6778" s="258"/>
      <c r="C6778" s="261"/>
      <c r="D6778" s="258"/>
      <c r="E6778" s="679"/>
      <c r="F6778" s="597" t="s">
        <v>261</v>
      </c>
      <c r="G6778" s="598" t="s">
        <v>262</v>
      </c>
      <c r="H6778" s="559"/>
      <c r="I6778" s="560"/>
      <c r="J6778" s="560">
        <f t="shared" si="224"/>
        <v>0</v>
      </c>
      <c r="K6778" s="505"/>
      <c r="L6778" s="505"/>
      <c r="M6778" s="505"/>
      <c r="N6778" s="505"/>
      <c r="O6778" s="505"/>
      <c r="P6778" s="505"/>
      <c r="Q6778" s="505"/>
      <c r="R6778" s="505"/>
      <c r="S6778" s="505"/>
      <c r="T6778" s="505"/>
      <c r="U6778" s="505"/>
      <c r="V6778" s="505"/>
      <c r="W6778" s="505"/>
      <c r="X6778" s="505"/>
      <c r="Y6778" s="505"/>
    </row>
    <row r="6779" spans="1:25" s="88" customFormat="1" ht="18" customHeight="1" thickBot="1" x14ac:dyDescent="0.3">
      <c r="A6779" s="258"/>
      <c r="B6779" s="258"/>
      <c r="C6779" s="261"/>
      <c r="D6779" s="258"/>
      <c r="E6779" s="679"/>
      <c r="F6779" s="258"/>
      <c r="G6779" s="268" t="s">
        <v>4922</v>
      </c>
      <c r="H6779" s="561">
        <f>SUM(H6763:H6778)</f>
        <v>1429000</v>
      </c>
      <c r="I6779" s="562">
        <f>SUM(I6764:I6778)</f>
        <v>600000</v>
      </c>
      <c r="J6779" s="562">
        <f>SUM(J6763:J6778)</f>
        <v>2029000</v>
      </c>
      <c r="K6779" s="505"/>
      <c r="L6779" s="505"/>
      <c r="M6779" s="505"/>
      <c r="N6779" s="505"/>
      <c r="O6779" s="505"/>
      <c r="P6779" s="505"/>
      <c r="Q6779" s="505"/>
      <c r="R6779" s="505"/>
      <c r="S6779" s="505"/>
      <c r="T6779" s="505"/>
      <c r="U6779" s="505"/>
      <c r="V6779" s="505"/>
      <c r="W6779" s="505"/>
      <c r="X6779" s="505"/>
      <c r="Y6779" s="505"/>
    </row>
    <row r="6780" spans="1:25" s="88" customFormat="1" x14ac:dyDescent="0.25">
      <c r="A6780" s="258"/>
      <c r="B6780" s="288"/>
      <c r="C6780" s="302" t="s">
        <v>4747</v>
      </c>
      <c r="D6780" s="259"/>
      <c r="E6780" s="702"/>
      <c r="F6780" s="303"/>
      <c r="G6780" s="304" t="s">
        <v>5332</v>
      </c>
      <c r="H6780" s="588"/>
      <c r="I6780" s="571"/>
      <c r="J6780" s="589"/>
      <c r="K6780" s="505"/>
      <c r="L6780" s="505"/>
      <c r="M6780" s="505"/>
      <c r="N6780" s="505"/>
      <c r="O6780" s="505"/>
      <c r="P6780" s="505"/>
      <c r="Q6780" s="505"/>
      <c r="R6780" s="505"/>
      <c r="S6780" s="505"/>
      <c r="T6780" s="505"/>
      <c r="U6780" s="505"/>
      <c r="V6780" s="505"/>
      <c r="W6780" s="505"/>
      <c r="X6780" s="505"/>
      <c r="Y6780" s="505"/>
    </row>
    <row r="6781" spans="1:25" s="88" customFormat="1" ht="17.25" customHeight="1" x14ac:dyDescent="0.25">
      <c r="A6781" s="258"/>
      <c r="B6781" s="288"/>
      <c r="C6781" s="294"/>
      <c r="D6781" s="348" t="s">
        <v>4001</v>
      </c>
      <c r="E6781" s="871"/>
      <c r="F6781" s="345"/>
      <c r="G6781" s="346" t="s">
        <v>207</v>
      </c>
      <c r="H6781" s="555"/>
      <c r="I6781" s="556"/>
      <c r="J6781" s="556"/>
      <c r="K6781" s="505"/>
      <c r="L6781" s="505"/>
      <c r="M6781" s="505"/>
      <c r="N6781" s="505"/>
      <c r="O6781" s="505"/>
      <c r="P6781" s="505"/>
      <c r="Q6781" s="505"/>
      <c r="R6781" s="505"/>
      <c r="S6781" s="505"/>
      <c r="T6781" s="505"/>
      <c r="U6781" s="505"/>
      <c r="V6781" s="505"/>
      <c r="W6781" s="505"/>
      <c r="X6781" s="505"/>
      <c r="Y6781" s="505"/>
    </row>
    <row r="6782" spans="1:25" s="88" customFormat="1" hidden="1" x14ac:dyDescent="0.25">
      <c r="A6782" s="258"/>
      <c r="B6782" s="258"/>
      <c r="C6782" s="261"/>
      <c r="D6782" s="258"/>
      <c r="E6782" s="679"/>
      <c r="F6782" s="499">
        <v>411</v>
      </c>
      <c r="G6782" s="492" t="s">
        <v>4131</v>
      </c>
      <c r="H6782" s="555"/>
      <c r="I6782" s="556"/>
      <c r="J6782" s="556">
        <f>SUM(H6782:I6782)</f>
        <v>0</v>
      </c>
      <c r="K6782" s="505"/>
      <c r="L6782" s="505"/>
      <c r="M6782" s="505"/>
      <c r="N6782" s="505"/>
      <c r="O6782" s="505"/>
      <c r="P6782" s="505"/>
      <c r="Q6782" s="505"/>
      <c r="R6782" s="505"/>
      <c r="S6782" s="505"/>
      <c r="T6782" s="505"/>
      <c r="U6782" s="505"/>
      <c r="V6782" s="505"/>
      <c r="W6782" s="505"/>
      <c r="X6782" s="505"/>
      <c r="Y6782" s="505"/>
    </row>
    <row r="6783" spans="1:25" s="88" customFormat="1" hidden="1" x14ac:dyDescent="0.25">
      <c r="A6783" s="258"/>
      <c r="B6783" s="258"/>
      <c r="C6783" s="261"/>
      <c r="D6783" s="258"/>
      <c r="E6783" s="679"/>
      <c r="F6783" s="499">
        <v>412</v>
      </c>
      <c r="G6783" s="488" t="s">
        <v>3766</v>
      </c>
      <c r="H6783" s="555"/>
      <c r="I6783" s="556"/>
      <c r="J6783" s="556">
        <f t="shared" ref="J6783:J6841" si="225">SUM(H6783:I6783)</f>
        <v>0</v>
      </c>
      <c r="K6783" s="505"/>
      <c r="L6783" s="505"/>
      <c r="M6783" s="505"/>
      <c r="N6783" s="505"/>
      <c r="O6783" s="505"/>
      <c r="P6783" s="505"/>
      <c r="Q6783" s="505"/>
      <c r="R6783" s="505"/>
      <c r="S6783" s="505"/>
      <c r="T6783" s="505"/>
      <c r="U6783" s="505"/>
      <c r="V6783" s="505"/>
      <c r="W6783" s="505"/>
      <c r="X6783" s="505"/>
      <c r="Y6783" s="505"/>
    </row>
    <row r="6784" spans="1:25" s="88" customFormat="1" hidden="1" x14ac:dyDescent="0.25">
      <c r="A6784" s="258"/>
      <c r="B6784" s="258"/>
      <c r="C6784" s="261"/>
      <c r="D6784" s="258"/>
      <c r="E6784" s="679"/>
      <c r="F6784" s="499">
        <v>413</v>
      </c>
      <c r="G6784" s="492" t="s">
        <v>4132</v>
      </c>
      <c r="H6784" s="555"/>
      <c r="I6784" s="556"/>
      <c r="J6784" s="556">
        <f t="shared" si="225"/>
        <v>0</v>
      </c>
      <c r="K6784" s="505"/>
      <c r="L6784" s="505"/>
      <c r="M6784" s="505"/>
      <c r="N6784" s="505"/>
      <c r="O6784" s="505"/>
      <c r="P6784" s="505"/>
      <c r="Q6784" s="505"/>
      <c r="R6784" s="505"/>
      <c r="S6784" s="505"/>
      <c r="T6784" s="505"/>
      <c r="U6784" s="505"/>
      <c r="V6784" s="505"/>
      <c r="W6784" s="505"/>
      <c r="X6784" s="505"/>
      <c r="Y6784" s="505"/>
    </row>
    <row r="6785" spans="1:25" s="88" customFormat="1" hidden="1" x14ac:dyDescent="0.25">
      <c r="A6785" s="258"/>
      <c r="B6785" s="258"/>
      <c r="C6785" s="261"/>
      <c r="D6785" s="258"/>
      <c r="E6785" s="679"/>
      <c r="F6785" s="499">
        <v>414</v>
      </c>
      <c r="G6785" s="492" t="s">
        <v>3769</v>
      </c>
      <c r="H6785" s="555"/>
      <c r="I6785" s="556"/>
      <c r="J6785" s="556">
        <f t="shared" si="225"/>
        <v>0</v>
      </c>
      <c r="K6785" s="505"/>
      <c r="L6785" s="505"/>
      <c r="M6785" s="505"/>
      <c r="N6785" s="505"/>
      <c r="O6785" s="505"/>
      <c r="P6785" s="505"/>
      <c r="Q6785" s="505"/>
      <c r="R6785" s="505"/>
      <c r="S6785" s="505"/>
      <c r="T6785" s="505"/>
      <c r="U6785" s="505"/>
      <c r="V6785" s="505"/>
      <c r="W6785" s="505"/>
      <c r="X6785" s="505"/>
      <c r="Y6785" s="505"/>
    </row>
    <row r="6786" spans="1:25" s="88" customFormat="1" hidden="1" x14ac:dyDescent="0.25">
      <c r="A6786" s="258"/>
      <c r="B6786" s="258"/>
      <c r="C6786" s="261"/>
      <c r="D6786" s="258"/>
      <c r="E6786" s="679"/>
      <c r="F6786" s="499">
        <v>415</v>
      </c>
      <c r="G6786" s="492" t="s">
        <v>4141</v>
      </c>
      <c r="H6786" s="555"/>
      <c r="I6786" s="556"/>
      <c r="J6786" s="556">
        <f t="shared" si="225"/>
        <v>0</v>
      </c>
      <c r="K6786" s="505"/>
      <c r="L6786" s="505"/>
      <c r="M6786" s="505"/>
      <c r="N6786" s="505"/>
      <c r="O6786" s="505"/>
      <c r="P6786" s="505"/>
      <c r="Q6786" s="505"/>
      <c r="R6786" s="505"/>
      <c r="S6786" s="505"/>
      <c r="T6786" s="505"/>
      <c r="U6786" s="505"/>
      <c r="V6786" s="505"/>
      <c r="W6786" s="505"/>
      <c r="X6786" s="505"/>
      <c r="Y6786" s="505"/>
    </row>
    <row r="6787" spans="1:25" s="88" customFormat="1" hidden="1" x14ac:dyDescent="0.25">
      <c r="A6787" s="258"/>
      <c r="B6787" s="258"/>
      <c r="C6787" s="261"/>
      <c r="D6787" s="258"/>
      <c r="E6787" s="679"/>
      <c r="F6787" s="499">
        <v>416</v>
      </c>
      <c r="G6787" s="492" t="s">
        <v>4142</v>
      </c>
      <c r="H6787" s="555"/>
      <c r="I6787" s="556"/>
      <c r="J6787" s="556">
        <f t="shared" si="225"/>
        <v>0</v>
      </c>
      <c r="K6787" s="505"/>
      <c r="L6787" s="505"/>
      <c r="M6787" s="505"/>
      <c r="N6787" s="505"/>
      <c r="O6787" s="505"/>
      <c r="P6787" s="505"/>
      <c r="Q6787" s="505"/>
      <c r="R6787" s="505"/>
      <c r="S6787" s="505"/>
      <c r="T6787" s="505"/>
      <c r="U6787" s="505"/>
      <c r="V6787" s="505"/>
      <c r="W6787" s="505"/>
      <c r="X6787" s="505"/>
      <c r="Y6787" s="505"/>
    </row>
    <row r="6788" spans="1:25" s="88" customFormat="1" hidden="1" x14ac:dyDescent="0.25">
      <c r="A6788" s="258"/>
      <c r="B6788" s="258"/>
      <c r="C6788" s="261"/>
      <c r="D6788" s="258"/>
      <c r="E6788" s="679"/>
      <c r="F6788" s="499">
        <v>417</v>
      </c>
      <c r="G6788" s="492" t="s">
        <v>4143</v>
      </c>
      <c r="H6788" s="555"/>
      <c r="I6788" s="556"/>
      <c r="J6788" s="556">
        <f t="shared" si="225"/>
        <v>0</v>
      </c>
      <c r="K6788" s="505"/>
      <c r="L6788" s="505"/>
      <c r="M6788" s="505"/>
      <c r="N6788" s="505"/>
      <c r="O6788" s="505"/>
      <c r="P6788" s="505"/>
      <c r="Q6788" s="505"/>
      <c r="R6788" s="505"/>
      <c r="S6788" s="505"/>
      <c r="T6788" s="505"/>
      <c r="U6788" s="505"/>
      <c r="V6788" s="505"/>
      <c r="W6788" s="505"/>
      <c r="X6788" s="505"/>
      <c r="Y6788" s="505"/>
    </row>
    <row r="6789" spans="1:25" s="88" customFormat="1" hidden="1" x14ac:dyDescent="0.25">
      <c r="A6789" s="258"/>
      <c r="B6789" s="258"/>
      <c r="C6789" s="261"/>
      <c r="D6789" s="258"/>
      <c r="E6789" s="679"/>
      <c r="F6789" s="499">
        <v>418</v>
      </c>
      <c r="G6789" s="492" t="s">
        <v>3775</v>
      </c>
      <c r="H6789" s="555"/>
      <c r="I6789" s="556"/>
      <c r="J6789" s="556">
        <f t="shared" si="225"/>
        <v>0</v>
      </c>
      <c r="K6789" s="505"/>
      <c r="L6789" s="505"/>
      <c r="M6789" s="505"/>
      <c r="N6789" s="505"/>
      <c r="O6789" s="505"/>
      <c r="P6789" s="505"/>
      <c r="Q6789" s="505"/>
      <c r="R6789" s="505"/>
      <c r="S6789" s="505"/>
      <c r="T6789" s="505"/>
      <c r="U6789" s="505"/>
      <c r="V6789" s="505"/>
      <c r="W6789" s="505"/>
      <c r="X6789" s="505"/>
      <c r="Y6789" s="505"/>
    </row>
    <row r="6790" spans="1:25" s="88" customFormat="1" hidden="1" x14ac:dyDescent="0.25">
      <c r="A6790" s="258"/>
      <c r="B6790" s="258"/>
      <c r="C6790" s="261"/>
      <c r="D6790" s="258"/>
      <c r="E6790" s="679"/>
      <c r="F6790" s="499">
        <v>421</v>
      </c>
      <c r="G6790" s="492" t="s">
        <v>3779</v>
      </c>
      <c r="H6790" s="555"/>
      <c r="I6790" s="556"/>
      <c r="J6790" s="556">
        <f t="shared" si="225"/>
        <v>0</v>
      </c>
      <c r="K6790" s="505"/>
      <c r="L6790" s="505"/>
      <c r="M6790" s="505"/>
      <c r="N6790" s="505"/>
      <c r="O6790" s="505"/>
      <c r="P6790" s="505"/>
      <c r="Q6790" s="505"/>
      <c r="R6790" s="505"/>
      <c r="S6790" s="505"/>
      <c r="T6790" s="505"/>
      <c r="U6790" s="505"/>
      <c r="V6790" s="505"/>
      <c r="W6790" s="505"/>
      <c r="X6790" s="505"/>
      <c r="Y6790" s="505"/>
    </row>
    <row r="6791" spans="1:25" s="88" customFormat="1" x14ac:dyDescent="0.25">
      <c r="A6791" s="258"/>
      <c r="B6791" s="258"/>
      <c r="C6791" s="261"/>
      <c r="D6791" s="258"/>
      <c r="E6791" s="679"/>
      <c r="F6791" s="499">
        <v>422</v>
      </c>
      <c r="G6791" s="492" t="s">
        <v>3780</v>
      </c>
      <c r="H6791" s="555">
        <v>20000</v>
      </c>
      <c r="I6791" s="556"/>
      <c r="J6791" s="556">
        <f t="shared" si="225"/>
        <v>20000</v>
      </c>
      <c r="K6791" s="505"/>
      <c r="L6791" s="505"/>
      <c r="M6791" s="505"/>
      <c r="N6791" s="505"/>
      <c r="O6791" s="505"/>
      <c r="P6791" s="505"/>
      <c r="Q6791" s="505"/>
      <c r="R6791" s="505"/>
      <c r="S6791" s="505"/>
      <c r="T6791" s="505"/>
      <c r="U6791" s="505"/>
      <c r="V6791" s="505"/>
      <c r="W6791" s="505"/>
      <c r="X6791" s="505"/>
      <c r="Y6791" s="505"/>
    </row>
    <row r="6792" spans="1:25" s="88" customFormat="1" x14ac:dyDescent="0.25">
      <c r="A6792" s="258"/>
      <c r="B6792" s="258"/>
      <c r="C6792" s="261"/>
      <c r="D6792" s="258"/>
      <c r="E6792" s="679">
        <v>216</v>
      </c>
      <c r="F6792" s="499">
        <v>423</v>
      </c>
      <c r="G6792" s="492" t="s">
        <v>3781</v>
      </c>
      <c r="H6792" s="555">
        <v>1080000</v>
      </c>
      <c r="I6792" s="556"/>
      <c r="J6792" s="556">
        <f t="shared" si="225"/>
        <v>1080000</v>
      </c>
      <c r="K6792" s="505"/>
      <c r="L6792" s="505"/>
      <c r="M6792" s="505"/>
      <c r="N6792" s="505"/>
      <c r="O6792" s="505"/>
      <c r="P6792" s="505"/>
      <c r="Q6792" s="505"/>
      <c r="R6792" s="505"/>
      <c r="S6792" s="505"/>
      <c r="T6792" s="505"/>
      <c r="U6792" s="505"/>
      <c r="V6792" s="505"/>
      <c r="W6792" s="505"/>
      <c r="X6792" s="505"/>
      <c r="Y6792" s="505"/>
    </row>
    <row r="6793" spans="1:25" s="88" customFormat="1" hidden="1" x14ac:dyDescent="0.25">
      <c r="A6793" s="258"/>
      <c r="B6793" s="258"/>
      <c r="C6793" s="261"/>
      <c r="D6793" s="258"/>
      <c r="E6793" s="679"/>
      <c r="F6793" s="499">
        <v>424</v>
      </c>
      <c r="G6793" s="492" t="s">
        <v>3783</v>
      </c>
      <c r="H6793" s="555"/>
      <c r="I6793" s="556"/>
      <c r="J6793" s="556">
        <f t="shared" si="225"/>
        <v>0</v>
      </c>
      <c r="K6793" s="505"/>
      <c r="L6793" s="505"/>
      <c r="M6793" s="505"/>
      <c r="N6793" s="505"/>
      <c r="O6793" s="505"/>
      <c r="P6793" s="505"/>
      <c r="Q6793" s="505"/>
      <c r="R6793" s="505"/>
      <c r="S6793" s="505"/>
      <c r="T6793" s="505"/>
      <c r="U6793" s="505"/>
      <c r="V6793" s="505"/>
      <c r="W6793" s="505"/>
      <c r="X6793" s="505"/>
      <c r="Y6793" s="505"/>
    </row>
    <row r="6794" spans="1:25" s="88" customFormat="1" hidden="1" x14ac:dyDescent="0.25">
      <c r="A6794" s="258"/>
      <c r="B6794" s="258"/>
      <c r="C6794" s="261"/>
      <c r="D6794" s="258"/>
      <c r="E6794" s="679"/>
      <c r="F6794" s="499">
        <v>425</v>
      </c>
      <c r="G6794" s="492" t="s">
        <v>4144</v>
      </c>
      <c r="H6794" s="555"/>
      <c r="I6794" s="556"/>
      <c r="J6794" s="556">
        <f t="shared" si="225"/>
        <v>0</v>
      </c>
      <c r="K6794" s="505"/>
      <c r="L6794" s="505"/>
      <c r="M6794" s="505"/>
      <c r="N6794" s="505"/>
      <c r="O6794" s="505"/>
      <c r="P6794" s="505"/>
      <c r="Q6794" s="505"/>
      <c r="R6794" s="505"/>
      <c r="S6794" s="505"/>
      <c r="T6794" s="505"/>
      <c r="U6794" s="505"/>
      <c r="V6794" s="505"/>
      <c r="W6794" s="505"/>
      <c r="X6794" s="505"/>
      <c r="Y6794" s="505"/>
    </row>
    <row r="6795" spans="1:25" s="88" customFormat="1" x14ac:dyDescent="0.25">
      <c r="A6795" s="258"/>
      <c r="B6795" s="258"/>
      <c r="C6795" s="261"/>
      <c r="D6795" s="258"/>
      <c r="E6795" s="679">
        <v>217</v>
      </c>
      <c r="F6795" s="499">
        <v>426</v>
      </c>
      <c r="G6795" s="492" t="s">
        <v>3787</v>
      </c>
      <c r="H6795" s="555">
        <v>70000</v>
      </c>
      <c r="I6795" s="556"/>
      <c r="J6795" s="556">
        <f t="shared" si="225"/>
        <v>70000</v>
      </c>
      <c r="K6795" s="505"/>
      <c r="L6795" s="505"/>
      <c r="M6795" s="505"/>
      <c r="N6795" s="505"/>
      <c r="O6795" s="505"/>
      <c r="P6795" s="505"/>
      <c r="Q6795" s="505"/>
      <c r="R6795" s="505"/>
      <c r="S6795" s="505"/>
      <c r="T6795" s="505"/>
      <c r="U6795" s="505"/>
      <c r="V6795" s="505"/>
      <c r="W6795" s="505"/>
      <c r="X6795" s="505"/>
      <c r="Y6795" s="505"/>
    </row>
    <row r="6796" spans="1:25" s="88" customFormat="1" hidden="1" x14ac:dyDescent="0.25">
      <c r="A6796" s="258"/>
      <c r="B6796" s="258"/>
      <c r="C6796" s="261"/>
      <c r="D6796" s="258"/>
      <c r="E6796" s="679"/>
      <c r="F6796" s="499">
        <v>431</v>
      </c>
      <c r="G6796" s="492" t="s">
        <v>4145</v>
      </c>
      <c r="H6796" s="555"/>
      <c r="I6796" s="556"/>
      <c r="J6796" s="556">
        <f t="shared" si="225"/>
        <v>0</v>
      </c>
      <c r="K6796" s="505"/>
      <c r="L6796" s="505"/>
      <c r="M6796" s="505"/>
      <c r="N6796" s="505"/>
      <c r="O6796" s="505"/>
      <c r="P6796" s="505"/>
      <c r="Q6796" s="505"/>
      <c r="R6796" s="505"/>
      <c r="S6796" s="505"/>
      <c r="T6796" s="505"/>
      <c r="U6796" s="505"/>
      <c r="V6796" s="505"/>
      <c r="W6796" s="505"/>
      <c r="X6796" s="505"/>
      <c r="Y6796" s="505"/>
    </row>
    <row r="6797" spans="1:25" s="88" customFormat="1" hidden="1" x14ac:dyDescent="0.25">
      <c r="A6797" s="258"/>
      <c r="B6797" s="258"/>
      <c r="C6797" s="261"/>
      <c r="D6797" s="258"/>
      <c r="E6797" s="679"/>
      <c r="F6797" s="499">
        <v>432</v>
      </c>
      <c r="G6797" s="492" t="s">
        <v>4146</v>
      </c>
      <c r="H6797" s="555"/>
      <c r="I6797" s="556"/>
      <c r="J6797" s="556">
        <f t="shared" si="225"/>
        <v>0</v>
      </c>
      <c r="K6797" s="505"/>
      <c r="L6797" s="505"/>
      <c r="M6797" s="505"/>
      <c r="N6797" s="505"/>
      <c r="O6797" s="505"/>
      <c r="P6797" s="505"/>
      <c r="Q6797" s="505"/>
      <c r="R6797" s="505"/>
      <c r="S6797" s="505"/>
      <c r="T6797" s="505"/>
      <c r="U6797" s="505"/>
      <c r="V6797" s="505"/>
      <c r="W6797" s="505"/>
      <c r="X6797" s="505"/>
      <c r="Y6797" s="505"/>
    </row>
    <row r="6798" spans="1:25" s="88" customFormat="1" hidden="1" x14ac:dyDescent="0.25">
      <c r="A6798" s="258"/>
      <c r="B6798" s="258"/>
      <c r="C6798" s="261"/>
      <c r="D6798" s="258"/>
      <c r="E6798" s="679"/>
      <c r="F6798" s="499">
        <v>433</v>
      </c>
      <c r="G6798" s="492" t="s">
        <v>4147</v>
      </c>
      <c r="H6798" s="555"/>
      <c r="I6798" s="556"/>
      <c r="J6798" s="556">
        <f t="shared" si="225"/>
        <v>0</v>
      </c>
      <c r="K6798" s="505"/>
      <c r="L6798" s="505"/>
      <c r="M6798" s="505"/>
      <c r="N6798" s="505"/>
      <c r="O6798" s="505"/>
      <c r="P6798" s="505"/>
      <c r="Q6798" s="505"/>
      <c r="R6798" s="505"/>
      <c r="S6798" s="505"/>
      <c r="T6798" s="505"/>
      <c r="U6798" s="505"/>
      <c r="V6798" s="505"/>
      <c r="W6798" s="505"/>
      <c r="X6798" s="505"/>
      <c r="Y6798" s="505"/>
    </row>
    <row r="6799" spans="1:25" s="88" customFormat="1" hidden="1" x14ac:dyDescent="0.25">
      <c r="A6799" s="258"/>
      <c r="B6799" s="258"/>
      <c r="C6799" s="261"/>
      <c r="D6799" s="258"/>
      <c r="E6799" s="679"/>
      <c r="F6799" s="499">
        <v>434</v>
      </c>
      <c r="G6799" s="492" t="s">
        <v>4148</v>
      </c>
      <c r="H6799" s="555"/>
      <c r="I6799" s="556"/>
      <c r="J6799" s="556">
        <f t="shared" si="225"/>
        <v>0</v>
      </c>
      <c r="K6799" s="505"/>
      <c r="L6799" s="505"/>
      <c r="M6799" s="505"/>
      <c r="N6799" s="505"/>
      <c r="O6799" s="505"/>
      <c r="P6799" s="505"/>
      <c r="Q6799" s="505"/>
      <c r="R6799" s="505"/>
      <c r="S6799" s="505"/>
      <c r="T6799" s="505"/>
      <c r="U6799" s="505"/>
      <c r="V6799" s="505"/>
      <c r="W6799" s="505"/>
      <c r="X6799" s="505"/>
      <c r="Y6799" s="505"/>
    </row>
    <row r="6800" spans="1:25" s="88" customFormat="1" hidden="1" x14ac:dyDescent="0.25">
      <c r="A6800" s="258"/>
      <c r="B6800" s="258"/>
      <c r="C6800" s="261"/>
      <c r="D6800" s="258"/>
      <c r="E6800" s="679"/>
      <c r="F6800" s="499">
        <v>435</v>
      </c>
      <c r="G6800" s="492" t="s">
        <v>3794</v>
      </c>
      <c r="H6800" s="555"/>
      <c r="I6800" s="556"/>
      <c r="J6800" s="556">
        <f t="shared" si="225"/>
        <v>0</v>
      </c>
      <c r="K6800" s="505"/>
      <c r="L6800" s="505"/>
      <c r="M6800" s="505"/>
      <c r="N6800" s="505"/>
      <c r="O6800" s="505"/>
      <c r="P6800" s="505"/>
      <c r="Q6800" s="505"/>
      <c r="R6800" s="505"/>
      <c r="S6800" s="505"/>
      <c r="T6800" s="505"/>
      <c r="U6800" s="505"/>
      <c r="V6800" s="505"/>
      <c r="W6800" s="505"/>
      <c r="X6800" s="505"/>
      <c r="Y6800" s="505"/>
    </row>
    <row r="6801" spans="1:25" s="88" customFormat="1" hidden="1" x14ac:dyDescent="0.25">
      <c r="A6801" s="258"/>
      <c r="B6801" s="258"/>
      <c r="C6801" s="261"/>
      <c r="D6801" s="258"/>
      <c r="E6801" s="679"/>
      <c r="F6801" s="499">
        <v>441</v>
      </c>
      <c r="G6801" s="492" t="s">
        <v>4149</v>
      </c>
      <c r="H6801" s="555"/>
      <c r="I6801" s="556"/>
      <c r="J6801" s="556">
        <f t="shared" si="225"/>
        <v>0</v>
      </c>
      <c r="K6801" s="505"/>
      <c r="L6801" s="505"/>
      <c r="M6801" s="505"/>
      <c r="N6801" s="505"/>
      <c r="O6801" s="505"/>
      <c r="P6801" s="505"/>
      <c r="Q6801" s="505"/>
      <c r="R6801" s="505"/>
      <c r="S6801" s="505"/>
      <c r="T6801" s="505"/>
      <c r="U6801" s="505"/>
      <c r="V6801" s="505"/>
      <c r="W6801" s="505"/>
      <c r="X6801" s="505"/>
      <c r="Y6801" s="505"/>
    </row>
    <row r="6802" spans="1:25" s="88" customFormat="1" hidden="1" x14ac:dyDescent="0.25">
      <c r="A6802" s="258"/>
      <c r="B6802" s="258"/>
      <c r="C6802" s="261"/>
      <c r="D6802" s="258"/>
      <c r="E6802" s="679"/>
      <c r="F6802" s="499">
        <v>442</v>
      </c>
      <c r="G6802" s="492" t="s">
        <v>4150</v>
      </c>
      <c r="H6802" s="555"/>
      <c r="I6802" s="556"/>
      <c r="J6802" s="556">
        <f t="shared" si="225"/>
        <v>0</v>
      </c>
      <c r="K6802" s="505"/>
      <c r="L6802" s="505"/>
      <c r="M6802" s="505"/>
      <c r="N6802" s="505"/>
      <c r="O6802" s="505"/>
      <c r="P6802" s="505"/>
      <c r="Q6802" s="505"/>
      <c r="R6802" s="505"/>
      <c r="S6802" s="505"/>
      <c r="T6802" s="505"/>
      <c r="U6802" s="505"/>
      <c r="V6802" s="505"/>
      <c r="W6802" s="505"/>
      <c r="X6802" s="505"/>
      <c r="Y6802" s="505"/>
    </row>
    <row r="6803" spans="1:25" s="88" customFormat="1" hidden="1" x14ac:dyDescent="0.25">
      <c r="A6803" s="258"/>
      <c r="B6803" s="258"/>
      <c r="C6803" s="261"/>
      <c r="D6803" s="258"/>
      <c r="E6803" s="679"/>
      <c r="F6803" s="499">
        <v>443</v>
      </c>
      <c r="G6803" s="492" t="s">
        <v>3799</v>
      </c>
      <c r="H6803" s="555"/>
      <c r="I6803" s="556"/>
      <c r="J6803" s="556">
        <f t="shared" si="225"/>
        <v>0</v>
      </c>
      <c r="K6803" s="505"/>
      <c r="L6803" s="505"/>
      <c r="M6803" s="505"/>
      <c r="N6803" s="505"/>
      <c r="O6803" s="505"/>
      <c r="P6803" s="505"/>
      <c r="Q6803" s="505"/>
      <c r="R6803" s="505"/>
      <c r="S6803" s="505"/>
      <c r="T6803" s="505"/>
      <c r="U6803" s="505"/>
      <c r="V6803" s="505"/>
      <c r="W6803" s="505"/>
      <c r="X6803" s="505"/>
      <c r="Y6803" s="505"/>
    </row>
    <row r="6804" spans="1:25" s="88" customFormat="1" hidden="1" x14ac:dyDescent="0.25">
      <c r="A6804" s="258"/>
      <c r="B6804" s="258"/>
      <c r="C6804" s="261"/>
      <c r="D6804" s="258"/>
      <c r="E6804" s="679"/>
      <c r="F6804" s="499">
        <v>444</v>
      </c>
      <c r="G6804" s="492" t="s">
        <v>3800</v>
      </c>
      <c r="H6804" s="555"/>
      <c r="I6804" s="556"/>
      <c r="J6804" s="556">
        <f t="shared" si="225"/>
        <v>0</v>
      </c>
      <c r="K6804" s="505"/>
      <c r="L6804" s="505"/>
      <c r="M6804" s="505"/>
      <c r="N6804" s="505"/>
      <c r="O6804" s="505"/>
      <c r="P6804" s="505"/>
      <c r="Q6804" s="505"/>
      <c r="R6804" s="505"/>
      <c r="S6804" s="505"/>
      <c r="T6804" s="505"/>
      <c r="U6804" s="505"/>
      <c r="V6804" s="505"/>
      <c r="W6804" s="505"/>
      <c r="X6804" s="505"/>
      <c r="Y6804" s="505"/>
    </row>
    <row r="6805" spans="1:25" s="88" customFormat="1" ht="30" hidden="1" x14ac:dyDescent="0.25">
      <c r="A6805" s="258"/>
      <c r="B6805" s="258"/>
      <c r="C6805" s="261"/>
      <c r="D6805" s="258"/>
      <c r="E6805" s="679"/>
      <c r="F6805" s="499">
        <v>4511</v>
      </c>
      <c r="G6805" s="776" t="s">
        <v>1690</v>
      </c>
      <c r="H6805" s="555"/>
      <c r="I6805" s="556"/>
      <c r="J6805" s="556">
        <f t="shared" si="225"/>
        <v>0</v>
      </c>
      <c r="K6805" s="505"/>
      <c r="L6805" s="505"/>
      <c r="M6805" s="505"/>
      <c r="N6805" s="505"/>
      <c r="O6805" s="505"/>
      <c r="P6805" s="505"/>
      <c r="Q6805" s="505"/>
      <c r="R6805" s="505"/>
      <c r="S6805" s="505"/>
      <c r="T6805" s="505"/>
      <c r="U6805" s="505"/>
      <c r="V6805" s="505"/>
      <c r="W6805" s="505"/>
      <c r="X6805" s="505"/>
      <c r="Y6805" s="505"/>
    </row>
    <row r="6806" spans="1:25" s="88" customFormat="1" ht="15" hidden="1" customHeight="1" x14ac:dyDescent="0.25">
      <c r="A6806" s="258"/>
      <c r="B6806" s="258"/>
      <c r="C6806" s="261"/>
      <c r="D6806" s="258"/>
      <c r="E6806" s="679">
        <v>69</v>
      </c>
      <c r="F6806" s="691">
        <v>511</v>
      </c>
      <c r="G6806" s="775" t="s">
        <v>5208</v>
      </c>
      <c r="H6806" s="555">
        <v>0</v>
      </c>
      <c r="I6806" s="556"/>
      <c r="J6806" s="556">
        <f t="shared" si="225"/>
        <v>0</v>
      </c>
      <c r="K6806" s="505"/>
      <c r="L6806" s="505"/>
      <c r="M6806" s="505"/>
      <c r="N6806" s="505"/>
      <c r="O6806" s="505"/>
      <c r="P6806" s="505"/>
      <c r="Q6806" s="505"/>
      <c r="R6806" s="505"/>
      <c r="S6806" s="505"/>
      <c r="T6806" s="505"/>
      <c r="U6806" s="505"/>
      <c r="V6806" s="505"/>
      <c r="W6806" s="505"/>
      <c r="X6806" s="505"/>
      <c r="Y6806" s="505"/>
    </row>
    <row r="6807" spans="1:25" s="88" customFormat="1" hidden="1" x14ac:dyDescent="0.25">
      <c r="A6807" s="258"/>
      <c r="B6807" s="258"/>
      <c r="C6807" s="261"/>
      <c r="D6807" s="258"/>
      <c r="E6807" s="679"/>
      <c r="F6807" s="499">
        <v>452</v>
      </c>
      <c r="G6807" s="492" t="s">
        <v>4151</v>
      </c>
      <c r="H6807" s="555"/>
      <c r="I6807" s="556"/>
      <c r="J6807" s="556">
        <f t="shared" si="225"/>
        <v>0</v>
      </c>
      <c r="K6807" s="505"/>
      <c r="L6807" s="505"/>
      <c r="M6807" s="505"/>
      <c r="N6807" s="505"/>
      <c r="O6807" s="505"/>
      <c r="P6807" s="505"/>
      <c r="Q6807" s="505"/>
      <c r="R6807" s="505"/>
      <c r="S6807" s="505"/>
      <c r="T6807" s="505"/>
      <c r="U6807" s="505"/>
      <c r="V6807" s="505"/>
      <c r="W6807" s="505"/>
      <c r="X6807" s="505"/>
      <c r="Y6807" s="505"/>
    </row>
    <row r="6808" spans="1:25" s="88" customFormat="1" hidden="1" x14ac:dyDescent="0.25">
      <c r="A6808" s="258"/>
      <c r="B6808" s="258"/>
      <c r="C6808" s="261"/>
      <c r="D6808" s="258"/>
      <c r="E6808" s="679"/>
      <c r="F6808" s="499">
        <v>453</v>
      </c>
      <c r="G6808" s="492" t="s">
        <v>4152</v>
      </c>
      <c r="H6808" s="555"/>
      <c r="I6808" s="556"/>
      <c r="J6808" s="556">
        <f t="shared" si="225"/>
        <v>0</v>
      </c>
      <c r="K6808" s="505"/>
      <c r="L6808" s="505"/>
      <c r="M6808" s="505"/>
      <c r="N6808" s="505"/>
      <c r="O6808" s="505"/>
      <c r="P6808" s="505"/>
      <c r="Q6808" s="505"/>
      <c r="R6808" s="505"/>
      <c r="S6808" s="505"/>
      <c r="T6808" s="505"/>
      <c r="U6808" s="505"/>
      <c r="V6808" s="505"/>
      <c r="W6808" s="505"/>
      <c r="X6808" s="505"/>
      <c r="Y6808" s="505"/>
    </row>
    <row r="6809" spans="1:25" s="88" customFormat="1" hidden="1" x14ac:dyDescent="0.25">
      <c r="A6809" s="258"/>
      <c r="B6809" s="258"/>
      <c r="C6809" s="261"/>
      <c r="D6809" s="258"/>
      <c r="E6809" s="679"/>
      <c r="F6809" s="499">
        <v>454</v>
      </c>
      <c r="G6809" s="492" t="s">
        <v>3805</v>
      </c>
      <c r="H6809" s="555"/>
      <c r="I6809" s="556"/>
      <c r="J6809" s="556">
        <f t="shared" si="225"/>
        <v>0</v>
      </c>
      <c r="K6809" s="505"/>
      <c r="L6809" s="505"/>
      <c r="M6809" s="505"/>
      <c r="N6809" s="505"/>
      <c r="O6809" s="505"/>
      <c r="P6809" s="505"/>
      <c r="Q6809" s="505"/>
      <c r="R6809" s="505"/>
      <c r="S6809" s="505"/>
      <c r="T6809" s="505"/>
      <c r="U6809" s="505"/>
      <c r="V6809" s="505"/>
      <c r="W6809" s="505"/>
      <c r="X6809" s="505"/>
      <c r="Y6809" s="505"/>
    </row>
    <row r="6810" spans="1:25" s="88" customFormat="1" hidden="1" x14ac:dyDescent="0.25">
      <c r="A6810" s="258"/>
      <c r="B6810" s="258"/>
      <c r="C6810" s="261"/>
      <c r="D6810" s="258"/>
      <c r="E6810" s="679"/>
      <c r="F6810" s="499">
        <v>461</v>
      </c>
      <c r="G6810" s="492" t="s">
        <v>4133</v>
      </c>
      <c r="H6810" s="555"/>
      <c r="I6810" s="556"/>
      <c r="J6810" s="556">
        <f t="shared" si="225"/>
        <v>0</v>
      </c>
      <c r="K6810" s="505"/>
      <c r="L6810" s="505"/>
      <c r="M6810" s="505"/>
      <c r="N6810" s="505"/>
      <c r="O6810" s="505"/>
      <c r="P6810" s="505"/>
      <c r="Q6810" s="505"/>
      <c r="R6810" s="505"/>
      <c r="S6810" s="505"/>
      <c r="T6810" s="505"/>
      <c r="U6810" s="505"/>
      <c r="V6810" s="505"/>
      <c r="W6810" s="505"/>
      <c r="X6810" s="505"/>
      <c r="Y6810" s="505"/>
    </row>
    <row r="6811" spans="1:25" s="88" customFormat="1" hidden="1" x14ac:dyDescent="0.25">
      <c r="A6811" s="258"/>
      <c r="B6811" s="258"/>
      <c r="C6811" s="261"/>
      <c r="D6811" s="258"/>
      <c r="E6811" s="679"/>
      <c r="F6811" s="499">
        <v>462</v>
      </c>
      <c r="G6811" s="492" t="s">
        <v>3808</v>
      </c>
      <c r="H6811" s="555"/>
      <c r="I6811" s="556"/>
      <c r="J6811" s="556">
        <f t="shared" si="225"/>
        <v>0</v>
      </c>
      <c r="K6811" s="505"/>
      <c r="L6811" s="505"/>
      <c r="M6811" s="505"/>
      <c r="N6811" s="505"/>
      <c r="O6811" s="505"/>
      <c r="P6811" s="505"/>
      <c r="Q6811" s="505"/>
      <c r="R6811" s="505"/>
      <c r="S6811" s="505"/>
      <c r="T6811" s="505"/>
      <c r="U6811" s="505"/>
      <c r="V6811" s="505"/>
      <c r="W6811" s="505"/>
      <c r="X6811" s="505"/>
      <c r="Y6811" s="505"/>
    </row>
    <row r="6812" spans="1:25" s="88" customFormat="1" hidden="1" x14ac:dyDescent="0.25">
      <c r="A6812" s="258"/>
      <c r="B6812" s="258"/>
      <c r="C6812" s="261"/>
      <c r="D6812" s="258"/>
      <c r="E6812" s="679"/>
      <c r="F6812" s="499">
        <v>4631</v>
      </c>
      <c r="G6812" s="492" t="s">
        <v>3809</v>
      </c>
      <c r="H6812" s="555"/>
      <c r="I6812" s="556"/>
      <c r="J6812" s="556">
        <f t="shared" si="225"/>
        <v>0</v>
      </c>
      <c r="K6812" s="505"/>
      <c r="L6812" s="505"/>
      <c r="M6812" s="505"/>
      <c r="N6812" s="505"/>
      <c r="O6812" s="505"/>
      <c r="P6812" s="505"/>
      <c r="Q6812" s="505"/>
      <c r="R6812" s="505"/>
      <c r="S6812" s="505"/>
      <c r="T6812" s="505"/>
      <c r="U6812" s="505"/>
      <c r="V6812" s="505"/>
      <c r="W6812" s="505"/>
      <c r="X6812" s="505"/>
      <c r="Y6812" s="505"/>
    </row>
    <row r="6813" spans="1:25" s="88" customFormat="1" hidden="1" x14ac:dyDescent="0.25">
      <c r="A6813" s="258"/>
      <c r="B6813" s="258"/>
      <c r="C6813" s="261"/>
      <c r="D6813" s="258"/>
      <c r="E6813" s="679"/>
      <c r="F6813" s="499">
        <v>4632</v>
      </c>
      <c r="G6813" s="492" t="s">
        <v>3810</v>
      </c>
      <c r="H6813" s="555"/>
      <c r="I6813" s="556"/>
      <c r="J6813" s="556">
        <f t="shared" si="225"/>
        <v>0</v>
      </c>
      <c r="K6813" s="505"/>
      <c r="L6813" s="505"/>
      <c r="M6813" s="505"/>
      <c r="N6813" s="505"/>
      <c r="O6813" s="505"/>
      <c r="P6813" s="505"/>
      <c r="Q6813" s="505"/>
      <c r="R6813" s="505"/>
      <c r="S6813" s="505"/>
      <c r="T6813" s="505"/>
      <c r="U6813" s="505"/>
      <c r="V6813" s="505"/>
      <c r="W6813" s="505"/>
      <c r="X6813" s="505"/>
      <c r="Y6813" s="505"/>
    </row>
    <row r="6814" spans="1:25" s="88" customFormat="1" hidden="1" x14ac:dyDescent="0.25">
      <c r="A6814" s="258"/>
      <c r="B6814" s="258"/>
      <c r="C6814" s="261"/>
      <c r="D6814" s="258"/>
      <c r="E6814" s="679"/>
      <c r="F6814" s="499">
        <v>464</v>
      </c>
      <c r="G6814" s="492" t="s">
        <v>3811</v>
      </c>
      <c r="H6814" s="555"/>
      <c r="I6814" s="556"/>
      <c r="J6814" s="556">
        <f t="shared" si="225"/>
        <v>0</v>
      </c>
      <c r="K6814" s="505"/>
      <c r="L6814" s="505"/>
      <c r="M6814" s="505"/>
      <c r="N6814" s="505"/>
      <c r="O6814" s="505"/>
      <c r="P6814" s="505"/>
      <c r="Q6814" s="505"/>
      <c r="R6814" s="505"/>
      <c r="S6814" s="505"/>
      <c r="T6814" s="505"/>
      <c r="U6814" s="505"/>
      <c r="V6814" s="505"/>
      <c r="W6814" s="505"/>
      <c r="X6814" s="505"/>
      <c r="Y6814" s="505"/>
    </row>
    <row r="6815" spans="1:25" s="88" customFormat="1" hidden="1" x14ac:dyDescent="0.25">
      <c r="A6815" s="258"/>
      <c r="B6815" s="258"/>
      <c r="C6815" s="261"/>
      <c r="D6815" s="258"/>
      <c r="E6815" s="679"/>
      <c r="F6815" s="499">
        <v>465</v>
      </c>
      <c r="G6815" s="492" t="s">
        <v>4134</v>
      </c>
      <c r="H6815" s="555"/>
      <c r="I6815" s="556"/>
      <c r="J6815" s="556">
        <f t="shared" si="225"/>
        <v>0</v>
      </c>
      <c r="K6815" s="505"/>
      <c r="L6815" s="505"/>
      <c r="M6815" s="505"/>
      <c r="N6815" s="505"/>
      <c r="O6815" s="505"/>
      <c r="P6815" s="505"/>
      <c r="Q6815" s="505"/>
      <c r="R6815" s="505"/>
      <c r="S6815" s="505"/>
      <c r="T6815" s="505"/>
      <c r="U6815" s="505"/>
      <c r="V6815" s="505"/>
      <c r="W6815" s="505"/>
      <c r="X6815" s="505"/>
      <c r="Y6815" s="505"/>
    </row>
    <row r="6816" spans="1:25" s="88" customFormat="1" hidden="1" x14ac:dyDescent="0.25">
      <c r="A6816" s="258"/>
      <c r="B6816" s="258"/>
      <c r="C6816" s="261"/>
      <c r="D6816" s="258"/>
      <c r="E6816" s="679"/>
      <c r="F6816" s="499">
        <v>472</v>
      </c>
      <c r="G6816" s="492" t="s">
        <v>3815</v>
      </c>
      <c r="H6816" s="555"/>
      <c r="I6816" s="556"/>
      <c r="J6816" s="556">
        <f t="shared" si="225"/>
        <v>0</v>
      </c>
      <c r="K6816" s="505"/>
      <c r="L6816" s="505"/>
      <c r="M6816" s="505"/>
      <c r="N6816" s="505"/>
      <c r="O6816" s="505"/>
      <c r="P6816" s="505"/>
      <c r="Q6816" s="505"/>
      <c r="R6816" s="505"/>
      <c r="S6816" s="505"/>
      <c r="T6816" s="505"/>
      <c r="U6816" s="505"/>
      <c r="V6816" s="505"/>
      <c r="W6816" s="505"/>
      <c r="X6816" s="505"/>
      <c r="Y6816" s="505"/>
    </row>
    <row r="6817" spans="1:25" s="88" customFormat="1" hidden="1" x14ac:dyDescent="0.25">
      <c r="A6817" s="258"/>
      <c r="B6817" s="258"/>
      <c r="C6817" s="261"/>
      <c r="D6817" s="258"/>
      <c r="E6817" s="679"/>
      <c r="F6817" s="499">
        <v>481</v>
      </c>
      <c r="G6817" s="492" t="s">
        <v>4153</v>
      </c>
      <c r="H6817" s="555"/>
      <c r="I6817" s="556"/>
      <c r="J6817" s="556">
        <f t="shared" si="225"/>
        <v>0</v>
      </c>
      <c r="K6817" s="505"/>
      <c r="L6817" s="505"/>
      <c r="M6817" s="505"/>
      <c r="N6817" s="505"/>
      <c r="O6817" s="505"/>
      <c r="P6817" s="505"/>
      <c r="Q6817" s="505"/>
      <c r="R6817" s="505"/>
      <c r="S6817" s="505"/>
      <c r="T6817" s="505"/>
      <c r="U6817" s="505"/>
      <c r="V6817" s="505"/>
      <c r="W6817" s="505"/>
      <c r="X6817" s="505"/>
      <c r="Y6817" s="505"/>
    </row>
    <row r="6818" spans="1:25" s="88" customFormat="1" hidden="1" x14ac:dyDescent="0.25">
      <c r="A6818" s="258"/>
      <c r="B6818" s="258"/>
      <c r="C6818" s="261"/>
      <c r="D6818" s="258"/>
      <c r="E6818" s="679"/>
      <c r="F6818" s="499">
        <v>482</v>
      </c>
      <c r="G6818" s="492" t="s">
        <v>4154</v>
      </c>
      <c r="H6818" s="555"/>
      <c r="I6818" s="556"/>
      <c r="J6818" s="556">
        <f t="shared" si="225"/>
        <v>0</v>
      </c>
      <c r="K6818" s="505"/>
      <c r="L6818" s="505"/>
      <c r="M6818" s="505"/>
      <c r="N6818" s="505"/>
      <c r="O6818" s="505"/>
      <c r="P6818" s="505"/>
      <c r="Q6818" s="505"/>
      <c r="R6818" s="505"/>
      <c r="S6818" s="505"/>
      <c r="T6818" s="505"/>
      <c r="U6818" s="505"/>
      <c r="V6818" s="505"/>
      <c r="W6818" s="505"/>
      <c r="X6818" s="505"/>
      <c r="Y6818" s="505"/>
    </row>
    <row r="6819" spans="1:25" s="88" customFormat="1" hidden="1" x14ac:dyDescent="0.25">
      <c r="A6819" s="258"/>
      <c r="B6819" s="258"/>
      <c r="C6819" s="261"/>
      <c r="D6819" s="258"/>
      <c r="E6819" s="679"/>
      <c r="F6819" s="499">
        <v>483</v>
      </c>
      <c r="G6819" s="496" t="s">
        <v>4155</v>
      </c>
      <c r="H6819" s="555"/>
      <c r="I6819" s="556"/>
      <c r="J6819" s="556">
        <f t="shared" si="225"/>
        <v>0</v>
      </c>
      <c r="K6819" s="505"/>
      <c r="L6819" s="505"/>
      <c r="M6819" s="505"/>
      <c r="N6819" s="505"/>
      <c r="O6819" s="505"/>
      <c r="P6819" s="505"/>
      <c r="Q6819" s="505"/>
      <c r="R6819" s="505"/>
      <c r="S6819" s="505"/>
      <c r="T6819" s="505"/>
      <c r="U6819" s="505"/>
      <c r="V6819" s="505"/>
      <c r="W6819" s="505"/>
      <c r="X6819" s="505"/>
      <c r="Y6819" s="505"/>
    </row>
    <row r="6820" spans="1:25" s="88" customFormat="1" ht="30" hidden="1" x14ac:dyDescent="0.25">
      <c r="A6820" s="258"/>
      <c r="B6820" s="258"/>
      <c r="C6820" s="261"/>
      <c r="D6820" s="258"/>
      <c r="E6820" s="679"/>
      <c r="F6820" s="499">
        <v>484</v>
      </c>
      <c r="G6820" s="492" t="s">
        <v>4156</v>
      </c>
      <c r="H6820" s="555"/>
      <c r="I6820" s="556"/>
      <c r="J6820" s="556">
        <f t="shared" si="225"/>
        <v>0</v>
      </c>
      <c r="K6820" s="505"/>
      <c r="L6820" s="505"/>
      <c r="M6820" s="505"/>
      <c r="N6820" s="505"/>
      <c r="O6820" s="505"/>
      <c r="P6820" s="505"/>
      <c r="Q6820" s="505"/>
      <c r="R6820" s="505"/>
      <c r="S6820" s="505"/>
      <c r="T6820" s="505"/>
      <c r="U6820" s="505"/>
      <c r="V6820" s="505"/>
      <c r="W6820" s="505"/>
      <c r="X6820" s="505"/>
      <c r="Y6820" s="505"/>
    </row>
    <row r="6821" spans="1:25" s="88" customFormat="1" ht="30" hidden="1" x14ac:dyDescent="0.25">
      <c r="A6821" s="258"/>
      <c r="B6821" s="258"/>
      <c r="C6821" s="261"/>
      <c r="D6821" s="258"/>
      <c r="E6821" s="679"/>
      <c r="F6821" s="499">
        <v>485</v>
      </c>
      <c r="G6821" s="492" t="s">
        <v>4157</v>
      </c>
      <c r="H6821" s="555"/>
      <c r="I6821" s="556"/>
      <c r="J6821" s="556">
        <f t="shared" si="225"/>
        <v>0</v>
      </c>
      <c r="K6821" s="505"/>
      <c r="L6821" s="505"/>
      <c r="M6821" s="505"/>
      <c r="N6821" s="505"/>
      <c r="O6821" s="505"/>
      <c r="P6821" s="505"/>
      <c r="Q6821" s="505"/>
      <c r="R6821" s="505"/>
      <c r="S6821" s="505"/>
      <c r="T6821" s="505"/>
      <c r="U6821" s="505"/>
      <c r="V6821" s="505"/>
      <c r="W6821" s="505"/>
      <c r="X6821" s="505"/>
      <c r="Y6821" s="505"/>
    </row>
    <row r="6822" spans="1:25" s="88" customFormat="1" ht="30" hidden="1" x14ac:dyDescent="0.25">
      <c r="A6822" s="258"/>
      <c r="B6822" s="258"/>
      <c r="C6822" s="261"/>
      <c r="D6822" s="258"/>
      <c r="E6822" s="679"/>
      <c r="F6822" s="499">
        <v>489</v>
      </c>
      <c r="G6822" s="492" t="s">
        <v>3823</v>
      </c>
      <c r="H6822" s="555"/>
      <c r="I6822" s="556"/>
      <c r="J6822" s="556">
        <f t="shared" si="225"/>
        <v>0</v>
      </c>
      <c r="K6822" s="505"/>
      <c r="L6822" s="505"/>
      <c r="M6822" s="505"/>
      <c r="N6822" s="505"/>
      <c r="O6822" s="505"/>
      <c r="P6822" s="505"/>
      <c r="Q6822" s="505"/>
      <c r="R6822" s="505"/>
      <c r="S6822" s="505"/>
      <c r="T6822" s="505"/>
      <c r="U6822" s="505"/>
      <c r="V6822" s="505"/>
      <c r="W6822" s="505"/>
      <c r="X6822" s="505"/>
      <c r="Y6822" s="505"/>
    </row>
    <row r="6823" spans="1:25" s="88" customFormat="1" hidden="1" x14ac:dyDescent="0.25">
      <c r="A6823" s="258"/>
      <c r="B6823" s="258"/>
      <c r="C6823" s="261"/>
      <c r="D6823" s="258"/>
      <c r="E6823" s="679"/>
      <c r="F6823" s="499">
        <v>494</v>
      </c>
      <c r="G6823" s="492" t="s">
        <v>4135</v>
      </c>
      <c r="H6823" s="555"/>
      <c r="I6823" s="556"/>
      <c r="J6823" s="556">
        <f t="shared" si="225"/>
        <v>0</v>
      </c>
      <c r="K6823" s="505"/>
      <c r="L6823" s="505"/>
      <c r="M6823" s="505"/>
      <c r="N6823" s="505"/>
      <c r="O6823" s="505"/>
      <c r="P6823" s="505"/>
      <c r="Q6823" s="505"/>
      <c r="R6823" s="505"/>
      <c r="S6823" s="505"/>
      <c r="T6823" s="505"/>
      <c r="U6823" s="505"/>
      <c r="V6823" s="505"/>
      <c r="W6823" s="505"/>
      <c r="X6823" s="505"/>
      <c r="Y6823" s="505"/>
    </row>
    <row r="6824" spans="1:25" s="88" customFormat="1" ht="30" hidden="1" x14ac:dyDescent="0.25">
      <c r="A6824" s="258"/>
      <c r="B6824" s="258"/>
      <c r="C6824" s="261"/>
      <c r="D6824" s="258"/>
      <c r="E6824" s="679"/>
      <c r="F6824" s="499">
        <v>495</v>
      </c>
      <c r="G6824" s="492" t="s">
        <v>4136</v>
      </c>
      <c r="H6824" s="555"/>
      <c r="I6824" s="556"/>
      <c r="J6824" s="556">
        <f t="shared" si="225"/>
        <v>0</v>
      </c>
      <c r="K6824" s="505"/>
      <c r="L6824" s="505"/>
      <c r="M6824" s="505"/>
      <c r="N6824" s="505"/>
      <c r="O6824" s="505"/>
      <c r="P6824" s="505"/>
      <c r="Q6824" s="505"/>
      <c r="R6824" s="505"/>
      <c r="S6824" s="505"/>
      <c r="T6824" s="505"/>
      <c r="U6824" s="505"/>
      <c r="V6824" s="505"/>
      <c r="W6824" s="505"/>
      <c r="X6824" s="505"/>
      <c r="Y6824" s="505"/>
    </row>
    <row r="6825" spans="1:25" s="88" customFormat="1" ht="30" hidden="1" x14ac:dyDescent="0.25">
      <c r="A6825" s="258"/>
      <c r="B6825" s="258"/>
      <c r="C6825" s="261"/>
      <c r="D6825" s="258"/>
      <c r="E6825" s="679"/>
      <c r="F6825" s="499">
        <v>496</v>
      </c>
      <c r="G6825" s="492" t="s">
        <v>4137</v>
      </c>
      <c r="H6825" s="555"/>
      <c r="I6825" s="556"/>
      <c r="J6825" s="556">
        <f t="shared" si="225"/>
        <v>0</v>
      </c>
      <c r="K6825" s="505"/>
      <c r="L6825" s="505"/>
      <c r="M6825" s="505"/>
      <c r="N6825" s="505"/>
      <c r="O6825" s="505"/>
      <c r="P6825" s="505"/>
      <c r="Q6825" s="505"/>
      <c r="R6825" s="505"/>
      <c r="S6825" s="505"/>
      <c r="T6825" s="505"/>
      <c r="U6825" s="505"/>
      <c r="V6825" s="505"/>
      <c r="W6825" s="505"/>
      <c r="X6825" s="505"/>
      <c r="Y6825" s="505"/>
    </row>
    <row r="6826" spans="1:25" s="88" customFormat="1" ht="30" hidden="1" x14ac:dyDescent="0.25">
      <c r="A6826" s="258"/>
      <c r="B6826" s="258"/>
      <c r="C6826" s="261"/>
      <c r="D6826" s="258"/>
      <c r="E6826" s="679"/>
      <c r="F6826" s="499">
        <v>499</v>
      </c>
      <c r="G6826" s="492" t="s">
        <v>4138</v>
      </c>
      <c r="H6826" s="555"/>
      <c r="I6826" s="556"/>
      <c r="J6826" s="556">
        <f t="shared" si="225"/>
        <v>0</v>
      </c>
      <c r="K6826" s="505"/>
      <c r="L6826" s="505"/>
      <c r="M6826" s="505"/>
      <c r="N6826" s="505"/>
      <c r="O6826" s="505"/>
      <c r="P6826" s="505"/>
      <c r="Q6826" s="505"/>
      <c r="R6826" s="505"/>
      <c r="S6826" s="505"/>
      <c r="T6826" s="505"/>
      <c r="U6826" s="505"/>
      <c r="V6826" s="505"/>
      <c r="W6826" s="505"/>
      <c r="X6826" s="505"/>
      <c r="Y6826" s="505"/>
    </row>
    <row r="6827" spans="1:25" s="88" customFormat="1" hidden="1" x14ac:dyDescent="0.25">
      <c r="A6827" s="258"/>
      <c r="B6827" s="258"/>
      <c r="C6827" s="261"/>
      <c r="D6827" s="258"/>
      <c r="E6827" s="679"/>
      <c r="F6827" s="499">
        <v>511</v>
      </c>
      <c r="G6827" s="496" t="s">
        <v>4158</v>
      </c>
      <c r="H6827" s="555">
        <v>0</v>
      </c>
      <c r="I6827" s="556"/>
      <c r="J6827" s="556">
        <f t="shared" si="225"/>
        <v>0</v>
      </c>
      <c r="K6827" s="505"/>
      <c r="L6827" s="505"/>
      <c r="M6827" s="505"/>
      <c r="N6827" s="505"/>
      <c r="O6827" s="505"/>
      <c r="P6827" s="505"/>
      <c r="Q6827" s="505"/>
      <c r="R6827" s="505"/>
      <c r="S6827" s="505"/>
      <c r="T6827" s="505"/>
      <c r="U6827" s="505"/>
      <c r="V6827" s="505"/>
      <c r="W6827" s="505"/>
      <c r="X6827" s="505"/>
      <c r="Y6827" s="505"/>
    </row>
    <row r="6828" spans="1:25" s="88" customFormat="1" hidden="1" x14ac:dyDescent="0.25">
      <c r="A6828" s="258"/>
      <c r="B6828" s="258"/>
      <c r="C6828" s="261"/>
      <c r="D6828" s="258"/>
      <c r="E6828" s="679"/>
      <c r="F6828" s="499">
        <v>512</v>
      </c>
      <c r="G6828" s="496" t="s">
        <v>4159</v>
      </c>
      <c r="H6828" s="555"/>
      <c r="I6828" s="556"/>
      <c r="J6828" s="556">
        <f t="shared" si="225"/>
        <v>0</v>
      </c>
      <c r="K6828" s="505"/>
      <c r="L6828" s="505"/>
      <c r="M6828" s="505"/>
      <c r="N6828" s="505"/>
      <c r="O6828" s="505"/>
      <c r="P6828" s="505"/>
      <c r="Q6828" s="505"/>
      <c r="R6828" s="505"/>
      <c r="S6828" s="505"/>
      <c r="T6828" s="505"/>
      <c r="U6828" s="505"/>
      <c r="V6828" s="505"/>
      <c r="W6828" s="505"/>
      <c r="X6828" s="505"/>
      <c r="Y6828" s="505"/>
    </row>
    <row r="6829" spans="1:25" s="88" customFormat="1" hidden="1" x14ac:dyDescent="0.25">
      <c r="A6829" s="258"/>
      <c r="B6829" s="258"/>
      <c r="C6829" s="261"/>
      <c r="D6829" s="258"/>
      <c r="E6829" s="679"/>
      <c r="F6829" s="499">
        <v>513</v>
      </c>
      <c r="G6829" s="496" t="s">
        <v>4160</v>
      </c>
      <c r="H6829" s="555"/>
      <c r="I6829" s="556"/>
      <c r="J6829" s="556">
        <f t="shared" si="225"/>
        <v>0</v>
      </c>
      <c r="K6829" s="505"/>
      <c r="L6829" s="505"/>
      <c r="M6829" s="505"/>
      <c r="N6829" s="505"/>
      <c r="O6829" s="505"/>
      <c r="P6829" s="505"/>
      <c r="Q6829" s="505"/>
      <c r="R6829" s="505"/>
      <c r="S6829" s="505"/>
      <c r="T6829" s="505"/>
      <c r="U6829" s="505"/>
      <c r="V6829" s="505"/>
      <c r="W6829" s="505"/>
      <c r="X6829" s="505"/>
      <c r="Y6829" s="505"/>
    </row>
    <row r="6830" spans="1:25" s="88" customFormat="1" hidden="1" x14ac:dyDescent="0.25">
      <c r="A6830" s="258"/>
      <c r="B6830" s="258"/>
      <c r="C6830" s="261"/>
      <c r="D6830" s="258"/>
      <c r="E6830" s="679"/>
      <c r="F6830" s="499">
        <v>514</v>
      </c>
      <c r="G6830" s="492" t="s">
        <v>4161</v>
      </c>
      <c r="H6830" s="555"/>
      <c r="I6830" s="556"/>
      <c r="J6830" s="556">
        <f t="shared" si="225"/>
        <v>0</v>
      </c>
      <c r="K6830" s="505"/>
      <c r="L6830" s="505"/>
      <c r="M6830" s="505"/>
      <c r="N6830" s="505"/>
      <c r="O6830" s="505"/>
      <c r="P6830" s="505"/>
      <c r="Q6830" s="505"/>
      <c r="R6830" s="505"/>
      <c r="S6830" s="505"/>
      <c r="T6830" s="505"/>
      <c r="U6830" s="505"/>
      <c r="V6830" s="505"/>
      <c r="W6830" s="505"/>
      <c r="X6830" s="505"/>
      <c r="Y6830" s="505"/>
    </row>
    <row r="6831" spans="1:25" s="88" customFormat="1" hidden="1" x14ac:dyDescent="0.25">
      <c r="A6831" s="258"/>
      <c r="B6831" s="258"/>
      <c r="C6831" s="261"/>
      <c r="D6831" s="258"/>
      <c r="E6831" s="679"/>
      <c r="F6831" s="499">
        <v>515</v>
      </c>
      <c r="G6831" s="492" t="s">
        <v>3834</v>
      </c>
      <c r="H6831" s="555"/>
      <c r="I6831" s="556"/>
      <c r="J6831" s="556">
        <f t="shared" si="225"/>
        <v>0</v>
      </c>
      <c r="K6831" s="505"/>
      <c r="L6831" s="505"/>
      <c r="M6831" s="505"/>
      <c r="N6831" s="505"/>
      <c r="O6831" s="505"/>
      <c r="P6831" s="505"/>
      <c r="Q6831" s="505"/>
      <c r="R6831" s="505"/>
      <c r="S6831" s="505"/>
      <c r="T6831" s="505"/>
      <c r="U6831" s="505"/>
      <c r="V6831" s="505"/>
      <c r="W6831" s="505"/>
      <c r="X6831" s="505"/>
      <c r="Y6831" s="505"/>
    </row>
    <row r="6832" spans="1:25" s="88" customFormat="1" hidden="1" x14ac:dyDescent="0.25">
      <c r="A6832" s="258"/>
      <c r="B6832" s="258"/>
      <c r="C6832" s="261"/>
      <c r="D6832" s="258"/>
      <c r="E6832" s="679"/>
      <c r="F6832" s="499">
        <v>521</v>
      </c>
      <c r="G6832" s="492" t="s">
        <v>4162</v>
      </c>
      <c r="H6832" s="555"/>
      <c r="I6832" s="556"/>
      <c r="J6832" s="556">
        <f t="shared" si="225"/>
        <v>0</v>
      </c>
      <c r="K6832" s="505"/>
      <c r="L6832" s="505"/>
      <c r="M6832" s="505"/>
      <c r="N6832" s="505"/>
      <c r="O6832" s="505"/>
      <c r="P6832" s="505"/>
      <c r="Q6832" s="505"/>
      <c r="R6832" s="505"/>
      <c r="S6832" s="505"/>
      <c r="T6832" s="505"/>
      <c r="U6832" s="505"/>
      <c r="V6832" s="505"/>
      <c r="W6832" s="505"/>
      <c r="X6832" s="505"/>
      <c r="Y6832" s="505"/>
    </row>
    <row r="6833" spans="1:25" s="88" customFormat="1" hidden="1" x14ac:dyDescent="0.25">
      <c r="A6833" s="258"/>
      <c r="B6833" s="258"/>
      <c r="C6833" s="261"/>
      <c r="D6833" s="258"/>
      <c r="E6833" s="679"/>
      <c r="F6833" s="499">
        <v>522</v>
      </c>
      <c r="G6833" s="492" t="s">
        <v>4163</v>
      </c>
      <c r="H6833" s="555"/>
      <c r="I6833" s="556"/>
      <c r="J6833" s="556">
        <f t="shared" si="225"/>
        <v>0</v>
      </c>
      <c r="K6833" s="505"/>
      <c r="L6833" s="505"/>
      <c r="M6833" s="505"/>
      <c r="N6833" s="505"/>
      <c r="O6833" s="505"/>
      <c r="P6833" s="505"/>
      <c r="Q6833" s="505"/>
      <c r="R6833" s="505"/>
      <c r="S6833" s="505"/>
      <c r="T6833" s="505"/>
      <c r="U6833" s="505"/>
      <c r="V6833" s="505"/>
      <c r="W6833" s="505"/>
      <c r="X6833" s="505"/>
      <c r="Y6833" s="505"/>
    </row>
    <row r="6834" spans="1:25" s="88" customFormat="1" hidden="1" x14ac:dyDescent="0.25">
      <c r="A6834" s="258"/>
      <c r="B6834" s="258"/>
      <c r="C6834" s="261"/>
      <c r="D6834" s="258"/>
      <c r="E6834" s="679"/>
      <c r="F6834" s="499">
        <v>523</v>
      </c>
      <c r="G6834" s="492" t="s">
        <v>3839</v>
      </c>
      <c r="H6834" s="555"/>
      <c r="I6834" s="556"/>
      <c r="J6834" s="556">
        <f t="shared" si="225"/>
        <v>0</v>
      </c>
      <c r="K6834" s="505"/>
      <c r="L6834" s="505"/>
      <c r="M6834" s="505"/>
      <c r="N6834" s="505"/>
      <c r="O6834" s="505"/>
      <c r="P6834" s="505"/>
      <c r="Q6834" s="505"/>
      <c r="R6834" s="505"/>
      <c r="S6834" s="505"/>
      <c r="T6834" s="505"/>
      <c r="U6834" s="505"/>
      <c r="V6834" s="505"/>
      <c r="W6834" s="505"/>
      <c r="X6834" s="505"/>
      <c r="Y6834" s="505"/>
    </row>
    <row r="6835" spans="1:25" s="88" customFormat="1" hidden="1" x14ac:dyDescent="0.25">
      <c r="A6835" s="258"/>
      <c r="B6835" s="258"/>
      <c r="C6835" s="261"/>
      <c r="D6835" s="258"/>
      <c r="E6835" s="679"/>
      <c r="F6835" s="499">
        <v>531</v>
      </c>
      <c r="G6835" s="488" t="s">
        <v>4139</v>
      </c>
      <c r="H6835" s="555"/>
      <c r="I6835" s="556"/>
      <c r="J6835" s="556">
        <f t="shared" si="225"/>
        <v>0</v>
      </c>
      <c r="K6835" s="505"/>
      <c r="L6835" s="505"/>
      <c r="M6835" s="505"/>
      <c r="N6835" s="505"/>
      <c r="O6835" s="505"/>
      <c r="P6835" s="505"/>
      <c r="Q6835" s="505"/>
      <c r="R6835" s="505"/>
      <c r="S6835" s="505"/>
      <c r="T6835" s="505"/>
      <c r="U6835" s="505"/>
      <c r="V6835" s="505"/>
      <c r="W6835" s="505"/>
      <c r="X6835" s="505"/>
      <c r="Y6835" s="505"/>
    </row>
    <row r="6836" spans="1:25" s="88" customFormat="1" hidden="1" x14ac:dyDescent="0.25">
      <c r="A6836" s="258"/>
      <c r="B6836" s="258"/>
      <c r="C6836" s="261"/>
      <c r="D6836" s="258"/>
      <c r="E6836" s="679"/>
      <c r="F6836" s="499">
        <v>541</v>
      </c>
      <c r="G6836" s="492" t="s">
        <v>4164</v>
      </c>
      <c r="H6836" s="555"/>
      <c r="I6836" s="556"/>
      <c r="J6836" s="556">
        <f t="shared" si="225"/>
        <v>0</v>
      </c>
      <c r="K6836" s="505"/>
      <c r="L6836" s="505"/>
      <c r="M6836" s="505"/>
      <c r="N6836" s="505"/>
      <c r="O6836" s="505"/>
      <c r="P6836" s="505"/>
      <c r="Q6836" s="505"/>
      <c r="R6836" s="505"/>
      <c r="S6836" s="505"/>
      <c r="T6836" s="505"/>
      <c r="U6836" s="505"/>
      <c r="V6836" s="505"/>
      <c r="W6836" s="505"/>
      <c r="X6836" s="505"/>
      <c r="Y6836" s="505"/>
    </row>
    <row r="6837" spans="1:25" s="88" customFormat="1" hidden="1" x14ac:dyDescent="0.25">
      <c r="A6837" s="258"/>
      <c r="B6837" s="258"/>
      <c r="C6837" s="261"/>
      <c r="D6837" s="258"/>
      <c r="E6837" s="679"/>
      <c r="F6837" s="499">
        <v>542</v>
      </c>
      <c r="G6837" s="492" t="s">
        <v>4165</v>
      </c>
      <c r="H6837" s="555"/>
      <c r="I6837" s="556"/>
      <c r="J6837" s="556">
        <f t="shared" si="225"/>
        <v>0</v>
      </c>
      <c r="K6837" s="505"/>
      <c r="L6837" s="505"/>
      <c r="M6837" s="505"/>
      <c r="N6837" s="505"/>
      <c r="O6837" s="505"/>
      <c r="P6837" s="505"/>
      <c r="Q6837" s="505"/>
      <c r="R6837" s="505"/>
      <c r="S6837" s="505"/>
      <c r="T6837" s="505"/>
      <c r="U6837" s="505"/>
      <c r="V6837" s="505"/>
      <c r="W6837" s="505"/>
      <c r="X6837" s="505"/>
      <c r="Y6837" s="505"/>
    </row>
    <row r="6838" spans="1:25" s="88" customFormat="1" hidden="1" x14ac:dyDescent="0.25">
      <c r="A6838" s="258"/>
      <c r="B6838" s="258"/>
      <c r="C6838" s="261"/>
      <c r="D6838" s="258"/>
      <c r="E6838" s="679"/>
      <c r="F6838" s="499">
        <v>543</v>
      </c>
      <c r="G6838" s="492" t="s">
        <v>3844</v>
      </c>
      <c r="H6838" s="555"/>
      <c r="I6838" s="556"/>
      <c r="J6838" s="556">
        <f t="shared" si="225"/>
        <v>0</v>
      </c>
      <c r="K6838" s="505"/>
      <c r="L6838" s="505"/>
      <c r="M6838" s="505"/>
      <c r="N6838" s="505"/>
      <c r="O6838" s="505"/>
      <c r="P6838" s="505"/>
      <c r="Q6838" s="505"/>
      <c r="R6838" s="505"/>
      <c r="S6838" s="505"/>
      <c r="T6838" s="505"/>
      <c r="U6838" s="505"/>
      <c r="V6838" s="505"/>
      <c r="W6838" s="505"/>
      <c r="X6838" s="505"/>
      <c r="Y6838" s="505"/>
    </row>
    <row r="6839" spans="1:25" s="88" customFormat="1" ht="30" hidden="1" x14ac:dyDescent="0.25">
      <c r="A6839" s="258"/>
      <c r="B6839" s="258"/>
      <c r="C6839" s="261"/>
      <c r="D6839" s="258"/>
      <c r="E6839" s="679"/>
      <c r="F6839" s="499">
        <v>551</v>
      </c>
      <c r="G6839" s="492" t="s">
        <v>4140</v>
      </c>
      <c r="H6839" s="555"/>
      <c r="I6839" s="556"/>
      <c r="J6839" s="556">
        <f t="shared" si="225"/>
        <v>0</v>
      </c>
      <c r="K6839" s="505"/>
      <c r="L6839" s="505"/>
      <c r="M6839" s="505"/>
      <c r="N6839" s="505"/>
      <c r="O6839" s="505"/>
      <c r="P6839" s="505"/>
      <c r="Q6839" s="505"/>
      <c r="R6839" s="505"/>
      <c r="S6839" s="505"/>
      <c r="T6839" s="505"/>
      <c r="U6839" s="505"/>
      <c r="V6839" s="505"/>
      <c r="W6839" s="505"/>
      <c r="X6839" s="505"/>
      <c r="Y6839" s="505"/>
    </row>
    <row r="6840" spans="1:25" s="88" customFormat="1" hidden="1" x14ac:dyDescent="0.25">
      <c r="A6840" s="258"/>
      <c r="B6840" s="258"/>
      <c r="C6840" s="261"/>
      <c r="D6840" s="258"/>
      <c r="E6840" s="679"/>
      <c r="F6840" s="500">
        <v>611</v>
      </c>
      <c r="G6840" s="498" t="s">
        <v>3850</v>
      </c>
      <c r="H6840" s="555"/>
      <c r="I6840" s="556"/>
      <c r="J6840" s="556">
        <f t="shared" si="225"/>
        <v>0</v>
      </c>
      <c r="K6840" s="505"/>
      <c r="L6840" s="505"/>
      <c r="M6840" s="505"/>
      <c r="N6840" s="505"/>
      <c r="O6840" s="505"/>
      <c r="P6840" s="505"/>
      <c r="Q6840" s="505"/>
      <c r="R6840" s="505"/>
      <c r="S6840" s="505"/>
      <c r="T6840" s="505"/>
      <c r="U6840" s="505"/>
      <c r="V6840" s="505"/>
      <c r="W6840" s="505"/>
      <c r="X6840" s="505"/>
      <c r="Y6840" s="505"/>
    </row>
    <row r="6841" spans="1:25" s="88" customFormat="1" ht="0.75" customHeight="1" thickBot="1" x14ac:dyDescent="0.3">
      <c r="A6841" s="258"/>
      <c r="B6841" s="258"/>
      <c r="C6841" s="261"/>
      <c r="D6841" s="258"/>
      <c r="E6841" s="679"/>
      <c r="F6841" s="500">
        <v>620</v>
      </c>
      <c r="G6841" s="498" t="s">
        <v>88</v>
      </c>
      <c r="H6841" s="555"/>
      <c r="I6841" s="556"/>
      <c r="J6841" s="556">
        <f t="shared" si="225"/>
        <v>0</v>
      </c>
      <c r="K6841" s="505"/>
      <c r="L6841" s="505"/>
      <c r="M6841" s="505"/>
      <c r="N6841" s="505"/>
      <c r="O6841" s="505"/>
      <c r="P6841" s="505"/>
      <c r="Q6841" s="505"/>
      <c r="R6841" s="505"/>
      <c r="S6841" s="505"/>
      <c r="T6841" s="505"/>
      <c r="U6841" s="505"/>
      <c r="V6841" s="505"/>
      <c r="W6841" s="505"/>
      <c r="X6841" s="505"/>
      <c r="Y6841" s="505"/>
    </row>
    <row r="6842" spans="1:25" s="88" customFormat="1" x14ac:dyDescent="0.25">
      <c r="A6842" s="258"/>
      <c r="B6842" s="258"/>
      <c r="C6842" s="261"/>
      <c r="D6842" s="258"/>
      <c r="E6842" s="489"/>
      <c r="F6842" s="500"/>
      <c r="G6842" s="343" t="s">
        <v>4356</v>
      </c>
      <c r="H6842" s="557"/>
      <c r="I6842" s="583"/>
      <c r="J6842" s="558"/>
      <c r="K6842" s="505"/>
      <c r="L6842" s="505"/>
      <c r="M6842" s="505"/>
      <c r="N6842" s="505"/>
      <c r="O6842" s="505"/>
      <c r="P6842" s="505"/>
      <c r="Q6842" s="505"/>
      <c r="R6842" s="505"/>
      <c r="S6842" s="505"/>
      <c r="T6842" s="505"/>
      <c r="U6842" s="505"/>
      <c r="V6842" s="505"/>
      <c r="W6842" s="505"/>
      <c r="X6842" s="505"/>
      <c r="Y6842" s="505"/>
    </row>
    <row r="6843" spans="1:25" s="88" customFormat="1" ht="15.75" thickBot="1" x14ac:dyDescent="0.3">
      <c r="A6843" s="258"/>
      <c r="B6843" s="258"/>
      <c r="C6843" s="261"/>
      <c r="D6843" s="258"/>
      <c r="E6843" s="693"/>
      <c r="F6843" s="597" t="s">
        <v>234</v>
      </c>
      <c r="G6843" s="598" t="s">
        <v>235</v>
      </c>
      <c r="H6843" s="559">
        <f>SUM(H6783:H6840)</f>
        <v>1170000</v>
      </c>
      <c r="I6843" s="560"/>
      <c r="J6843" s="560">
        <f t="shared" ref="J6843:J6858" si="226">SUM(H6843:I6843)</f>
        <v>1170000</v>
      </c>
      <c r="K6843" s="505"/>
      <c r="L6843" s="505"/>
      <c r="M6843" s="505"/>
      <c r="N6843" s="505"/>
      <c r="O6843" s="505"/>
      <c r="P6843" s="505"/>
      <c r="Q6843" s="505"/>
      <c r="R6843" s="505"/>
      <c r="S6843" s="505"/>
      <c r="T6843" s="505"/>
      <c r="U6843" s="505"/>
      <c r="V6843" s="505"/>
      <c r="W6843" s="505"/>
      <c r="X6843" s="505"/>
      <c r="Y6843" s="505"/>
    </row>
    <row r="6844" spans="1:25" s="88" customFormat="1" ht="15.75" hidden="1" thickBot="1" x14ac:dyDescent="0.3">
      <c r="A6844" s="258"/>
      <c r="B6844" s="258"/>
      <c r="C6844" s="261"/>
      <c r="D6844" s="258"/>
      <c r="E6844" s="679"/>
      <c r="F6844" s="597" t="s">
        <v>236</v>
      </c>
      <c r="G6844" s="598" t="s">
        <v>237</v>
      </c>
      <c r="H6844" s="555"/>
      <c r="I6844" s="556"/>
      <c r="J6844" s="560">
        <f t="shared" si="226"/>
        <v>0</v>
      </c>
      <c r="K6844" s="505"/>
      <c r="L6844" s="505"/>
      <c r="M6844" s="505"/>
      <c r="N6844" s="505"/>
      <c r="O6844" s="505"/>
      <c r="P6844" s="505"/>
      <c r="Q6844" s="505"/>
      <c r="R6844" s="505"/>
      <c r="S6844" s="505"/>
      <c r="T6844" s="505"/>
      <c r="U6844" s="505"/>
      <c r="V6844" s="505"/>
      <c r="W6844" s="505"/>
      <c r="X6844" s="505"/>
      <c r="Y6844" s="505"/>
    </row>
    <row r="6845" spans="1:25" s="88" customFormat="1" ht="15.75" hidden="1" thickBot="1" x14ac:dyDescent="0.3">
      <c r="A6845" s="258"/>
      <c r="B6845" s="258"/>
      <c r="C6845" s="261"/>
      <c r="D6845" s="258"/>
      <c r="E6845" s="679"/>
      <c r="F6845" s="597" t="s">
        <v>238</v>
      </c>
      <c r="G6845" s="598" t="s">
        <v>239</v>
      </c>
      <c r="H6845" s="555"/>
      <c r="I6845" s="556"/>
      <c r="J6845" s="560">
        <f t="shared" si="226"/>
        <v>0</v>
      </c>
      <c r="K6845" s="505"/>
      <c r="L6845" s="505"/>
      <c r="M6845" s="505"/>
      <c r="N6845" s="505"/>
      <c r="O6845" s="505"/>
      <c r="P6845" s="505"/>
      <c r="Q6845" s="505"/>
      <c r="R6845" s="505"/>
      <c r="S6845" s="505"/>
      <c r="T6845" s="505"/>
      <c r="U6845" s="505"/>
      <c r="V6845" s="505"/>
      <c r="W6845" s="505"/>
      <c r="X6845" s="505"/>
      <c r="Y6845" s="505"/>
    </row>
    <row r="6846" spans="1:25" s="88" customFormat="1" ht="15.75" hidden="1" thickBot="1" x14ac:dyDescent="0.3">
      <c r="A6846" s="258"/>
      <c r="B6846" s="258"/>
      <c r="C6846" s="261"/>
      <c r="D6846" s="258"/>
      <c r="E6846" s="679"/>
      <c r="F6846" s="597" t="s">
        <v>240</v>
      </c>
      <c r="G6846" s="598" t="s">
        <v>241</v>
      </c>
      <c r="H6846" s="555"/>
      <c r="I6846" s="556"/>
      <c r="J6846" s="560">
        <f t="shared" si="226"/>
        <v>0</v>
      </c>
      <c r="K6846" s="505"/>
      <c r="L6846" s="505"/>
      <c r="M6846" s="505"/>
      <c r="N6846" s="505"/>
      <c r="O6846" s="505"/>
      <c r="P6846" s="505"/>
      <c r="Q6846" s="505"/>
      <c r="R6846" s="505"/>
      <c r="S6846" s="505"/>
      <c r="T6846" s="505"/>
      <c r="U6846" s="505"/>
      <c r="V6846" s="505"/>
      <c r="W6846" s="505"/>
      <c r="X6846" s="505"/>
      <c r="Y6846" s="505"/>
    </row>
    <row r="6847" spans="1:25" s="88" customFormat="1" ht="15.75" hidden="1" thickBot="1" x14ac:dyDescent="0.3">
      <c r="A6847" s="258"/>
      <c r="B6847" s="258"/>
      <c r="C6847" s="261"/>
      <c r="D6847" s="258"/>
      <c r="E6847" s="679"/>
      <c r="F6847" s="597" t="s">
        <v>242</v>
      </c>
      <c r="G6847" s="598" t="s">
        <v>243</v>
      </c>
      <c r="H6847" s="555"/>
      <c r="I6847" s="556"/>
      <c r="J6847" s="560">
        <f t="shared" si="226"/>
        <v>0</v>
      </c>
      <c r="K6847" s="505"/>
      <c r="L6847" s="505"/>
      <c r="M6847" s="505"/>
      <c r="N6847" s="505"/>
      <c r="O6847" s="505"/>
      <c r="P6847" s="505"/>
      <c r="Q6847" s="505"/>
      <c r="R6847" s="505"/>
      <c r="S6847" s="505"/>
      <c r="T6847" s="505"/>
      <c r="U6847" s="505"/>
      <c r="V6847" s="505"/>
      <c r="W6847" s="505"/>
      <c r="X6847" s="505"/>
      <c r="Y6847" s="505"/>
    </row>
    <row r="6848" spans="1:25" s="88" customFormat="1" ht="15.75" hidden="1" thickBot="1" x14ac:dyDescent="0.3">
      <c r="A6848" s="258"/>
      <c r="B6848" s="258"/>
      <c r="C6848" s="261"/>
      <c r="D6848" s="258"/>
      <c r="E6848" s="679"/>
      <c r="F6848" s="597" t="s">
        <v>244</v>
      </c>
      <c r="G6848" s="598" t="s">
        <v>245</v>
      </c>
      <c r="H6848" s="555"/>
      <c r="I6848" s="556"/>
      <c r="J6848" s="560">
        <f t="shared" si="226"/>
        <v>0</v>
      </c>
      <c r="K6848" s="505"/>
      <c r="L6848" s="505"/>
      <c r="M6848" s="505"/>
      <c r="N6848" s="505"/>
      <c r="O6848" s="505"/>
      <c r="P6848" s="505"/>
      <c r="Q6848" s="505"/>
      <c r="R6848" s="505"/>
      <c r="S6848" s="505"/>
      <c r="T6848" s="505"/>
      <c r="U6848" s="505"/>
      <c r="V6848" s="505"/>
      <c r="W6848" s="505"/>
      <c r="X6848" s="505"/>
      <c r="Y6848" s="505"/>
    </row>
    <row r="6849" spans="1:25" s="88" customFormat="1" ht="15.75" hidden="1" thickBot="1" x14ac:dyDescent="0.3">
      <c r="A6849" s="258"/>
      <c r="B6849" s="258"/>
      <c r="C6849" s="261"/>
      <c r="D6849" s="258"/>
      <c r="E6849" s="679"/>
      <c r="F6849" s="597" t="s">
        <v>246</v>
      </c>
      <c r="G6849" s="598" t="s">
        <v>4996</v>
      </c>
      <c r="H6849" s="555"/>
      <c r="I6849" s="556"/>
      <c r="J6849" s="560">
        <f t="shared" si="226"/>
        <v>0</v>
      </c>
      <c r="K6849" s="505"/>
      <c r="L6849" s="505"/>
      <c r="M6849" s="505"/>
      <c r="N6849" s="505"/>
      <c r="O6849" s="505"/>
      <c r="P6849" s="505"/>
      <c r="Q6849" s="505"/>
      <c r="R6849" s="505"/>
      <c r="S6849" s="505"/>
      <c r="T6849" s="505"/>
      <c r="U6849" s="505"/>
      <c r="V6849" s="505"/>
      <c r="W6849" s="505"/>
      <c r="X6849" s="505"/>
      <c r="Y6849" s="505"/>
    </row>
    <row r="6850" spans="1:25" s="88" customFormat="1" ht="15.75" hidden="1" thickBot="1" x14ac:dyDescent="0.3">
      <c r="A6850" s="258"/>
      <c r="B6850" s="258"/>
      <c r="C6850" s="261"/>
      <c r="D6850" s="258"/>
      <c r="E6850" s="679"/>
      <c r="F6850" s="597" t="s">
        <v>247</v>
      </c>
      <c r="G6850" s="598" t="s">
        <v>4995</v>
      </c>
      <c r="H6850" s="555"/>
      <c r="I6850" s="556"/>
      <c r="J6850" s="560">
        <f t="shared" si="226"/>
        <v>0</v>
      </c>
      <c r="K6850" s="505"/>
      <c r="L6850" s="505"/>
      <c r="M6850" s="505"/>
      <c r="N6850" s="505"/>
      <c r="O6850" s="505"/>
      <c r="P6850" s="505"/>
      <c r="Q6850" s="505"/>
      <c r="R6850" s="505"/>
      <c r="S6850" s="505"/>
      <c r="T6850" s="505"/>
      <c r="U6850" s="505"/>
      <c r="V6850" s="505"/>
      <c r="W6850" s="505"/>
      <c r="X6850" s="505"/>
      <c r="Y6850" s="505"/>
    </row>
    <row r="6851" spans="1:25" s="88" customFormat="1" ht="15.75" hidden="1" thickBot="1" x14ac:dyDescent="0.3">
      <c r="A6851" s="258"/>
      <c r="B6851" s="258"/>
      <c r="C6851" s="261"/>
      <c r="D6851" s="258"/>
      <c r="E6851" s="679"/>
      <c r="F6851" s="597" t="s">
        <v>248</v>
      </c>
      <c r="G6851" s="598" t="s">
        <v>57</v>
      </c>
      <c r="H6851" s="555"/>
      <c r="I6851" s="556"/>
      <c r="J6851" s="560">
        <f t="shared" si="226"/>
        <v>0</v>
      </c>
      <c r="K6851" s="505"/>
      <c r="L6851" s="505"/>
      <c r="M6851" s="505"/>
      <c r="N6851" s="505"/>
      <c r="O6851" s="505"/>
      <c r="P6851" s="505"/>
      <c r="Q6851" s="505"/>
      <c r="R6851" s="505"/>
      <c r="S6851" s="505"/>
      <c r="T6851" s="505"/>
      <c r="U6851" s="505"/>
      <c r="V6851" s="505"/>
      <c r="W6851" s="505"/>
      <c r="X6851" s="505"/>
      <c r="Y6851" s="505"/>
    </row>
    <row r="6852" spans="1:25" s="88" customFormat="1" ht="15.75" hidden="1" thickBot="1" x14ac:dyDescent="0.3">
      <c r="A6852" s="258"/>
      <c r="B6852" s="258"/>
      <c r="C6852" s="261"/>
      <c r="D6852" s="258"/>
      <c r="E6852" s="679"/>
      <c r="F6852" s="597" t="s">
        <v>249</v>
      </c>
      <c r="G6852" s="598" t="s">
        <v>250</v>
      </c>
      <c r="H6852" s="555"/>
      <c r="I6852" s="556"/>
      <c r="J6852" s="560">
        <f t="shared" si="226"/>
        <v>0</v>
      </c>
      <c r="K6852" s="505"/>
      <c r="L6852" s="505"/>
      <c r="M6852" s="505"/>
      <c r="N6852" s="505"/>
      <c r="O6852" s="505"/>
      <c r="P6852" s="505"/>
      <c r="Q6852" s="505"/>
      <c r="R6852" s="505"/>
      <c r="S6852" s="505"/>
      <c r="T6852" s="505"/>
      <c r="U6852" s="505"/>
      <c r="V6852" s="505"/>
      <c r="W6852" s="505"/>
      <c r="X6852" s="505"/>
      <c r="Y6852" s="505"/>
    </row>
    <row r="6853" spans="1:25" s="88" customFormat="1" ht="15.75" hidden="1" thickBot="1" x14ac:dyDescent="0.3">
      <c r="A6853" s="258"/>
      <c r="B6853" s="258"/>
      <c r="C6853" s="261"/>
      <c r="D6853" s="258"/>
      <c r="E6853" s="679"/>
      <c r="F6853" s="597" t="s">
        <v>251</v>
      </c>
      <c r="G6853" s="598" t="s">
        <v>252</v>
      </c>
      <c r="H6853" s="555"/>
      <c r="I6853" s="556"/>
      <c r="J6853" s="560">
        <f t="shared" si="226"/>
        <v>0</v>
      </c>
      <c r="K6853" s="505"/>
      <c r="L6853" s="505"/>
      <c r="M6853" s="505"/>
      <c r="N6853" s="505"/>
      <c r="O6853" s="505"/>
      <c r="P6853" s="505"/>
      <c r="Q6853" s="505"/>
      <c r="R6853" s="505"/>
      <c r="S6853" s="505"/>
      <c r="T6853" s="505"/>
      <c r="U6853" s="505"/>
      <c r="V6853" s="505"/>
      <c r="W6853" s="505"/>
      <c r="X6853" s="505"/>
      <c r="Y6853" s="505"/>
    </row>
    <row r="6854" spans="1:25" s="88" customFormat="1" ht="30.75" hidden="1" thickBot="1" x14ac:dyDescent="0.3">
      <c r="A6854" s="258"/>
      <c r="B6854" s="258"/>
      <c r="C6854" s="261"/>
      <c r="D6854" s="258"/>
      <c r="E6854" s="679"/>
      <c r="F6854" s="597" t="s">
        <v>253</v>
      </c>
      <c r="G6854" s="598" t="s">
        <v>254</v>
      </c>
      <c r="H6854" s="555"/>
      <c r="I6854" s="556"/>
      <c r="J6854" s="560">
        <f t="shared" si="226"/>
        <v>0</v>
      </c>
      <c r="K6854" s="505"/>
      <c r="L6854" s="505"/>
      <c r="M6854" s="505"/>
      <c r="N6854" s="505"/>
      <c r="O6854" s="505"/>
      <c r="P6854" s="505"/>
      <c r="Q6854" s="505"/>
      <c r="R6854" s="505"/>
      <c r="S6854" s="505"/>
      <c r="T6854" s="505"/>
      <c r="U6854" s="505"/>
      <c r="V6854" s="505"/>
      <c r="W6854" s="505"/>
      <c r="X6854" s="505"/>
      <c r="Y6854" s="505"/>
    </row>
    <row r="6855" spans="1:25" s="88" customFormat="1" ht="15.75" hidden="1" thickBot="1" x14ac:dyDescent="0.3">
      <c r="A6855" s="258"/>
      <c r="B6855" s="258"/>
      <c r="C6855" s="261"/>
      <c r="D6855" s="258"/>
      <c r="E6855" s="679"/>
      <c r="F6855" s="597" t="s">
        <v>255</v>
      </c>
      <c r="G6855" s="598" t="s">
        <v>256</v>
      </c>
      <c r="H6855" s="555"/>
      <c r="I6855" s="556"/>
      <c r="J6855" s="560">
        <f t="shared" si="226"/>
        <v>0</v>
      </c>
      <c r="K6855" s="505"/>
      <c r="L6855" s="505"/>
      <c r="M6855" s="505"/>
      <c r="N6855" s="505"/>
      <c r="O6855" s="505"/>
      <c r="P6855" s="505"/>
      <c r="Q6855" s="505"/>
      <c r="R6855" s="505"/>
      <c r="S6855" s="505"/>
      <c r="T6855" s="505"/>
      <c r="U6855" s="505"/>
      <c r="V6855" s="505"/>
      <c r="W6855" s="505"/>
      <c r="X6855" s="505"/>
      <c r="Y6855" s="505"/>
    </row>
    <row r="6856" spans="1:25" s="88" customFormat="1" ht="30.75" hidden="1" thickBot="1" x14ac:dyDescent="0.3">
      <c r="A6856" s="258"/>
      <c r="B6856" s="258"/>
      <c r="C6856" s="261"/>
      <c r="D6856" s="258"/>
      <c r="E6856" s="679"/>
      <c r="F6856" s="597" t="s">
        <v>257</v>
      </c>
      <c r="G6856" s="598" t="s">
        <v>258</v>
      </c>
      <c r="H6856" s="555"/>
      <c r="I6856" s="556"/>
      <c r="J6856" s="560">
        <f t="shared" si="226"/>
        <v>0</v>
      </c>
      <c r="K6856" s="505"/>
      <c r="L6856" s="505"/>
      <c r="M6856" s="505"/>
      <c r="N6856" s="505"/>
      <c r="O6856" s="505"/>
      <c r="P6856" s="505"/>
      <c r="Q6856" s="505"/>
      <c r="R6856" s="505"/>
      <c r="S6856" s="505"/>
      <c r="T6856" s="505"/>
      <c r="U6856" s="505"/>
      <c r="V6856" s="505"/>
      <c r="W6856" s="505"/>
      <c r="X6856" s="505"/>
      <c r="Y6856" s="505"/>
    </row>
    <row r="6857" spans="1:25" s="88" customFormat="1" ht="15.75" hidden="1" thickBot="1" x14ac:dyDescent="0.3">
      <c r="A6857" s="258"/>
      <c r="B6857" s="258"/>
      <c r="C6857" s="261"/>
      <c r="D6857" s="258"/>
      <c r="E6857" s="679"/>
      <c r="F6857" s="597" t="s">
        <v>259</v>
      </c>
      <c r="G6857" s="598" t="s">
        <v>260</v>
      </c>
      <c r="H6857" s="555"/>
      <c r="I6857" s="556"/>
      <c r="J6857" s="560">
        <f t="shared" si="226"/>
        <v>0</v>
      </c>
      <c r="K6857" s="505"/>
      <c r="L6857" s="505"/>
      <c r="M6857" s="505"/>
      <c r="N6857" s="505"/>
      <c r="O6857" s="505"/>
      <c r="P6857" s="505"/>
      <c r="Q6857" s="505"/>
      <c r="R6857" s="505"/>
      <c r="S6857" s="505"/>
      <c r="T6857" s="505"/>
      <c r="U6857" s="505"/>
      <c r="V6857" s="505"/>
      <c r="W6857" s="505"/>
      <c r="X6857" s="505"/>
      <c r="Y6857" s="505"/>
    </row>
    <row r="6858" spans="1:25" s="88" customFormat="1" ht="15.75" hidden="1" thickBot="1" x14ac:dyDescent="0.3">
      <c r="A6858" s="258"/>
      <c r="B6858" s="258"/>
      <c r="C6858" s="261"/>
      <c r="D6858" s="258"/>
      <c r="E6858" s="679"/>
      <c r="F6858" s="597" t="s">
        <v>261</v>
      </c>
      <c r="G6858" s="598" t="s">
        <v>262</v>
      </c>
      <c r="H6858" s="559"/>
      <c r="I6858" s="560"/>
      <c r="J6858" s="560">
        <f t="shared" si="226"/>
        <v>0</v>
      </c>
      <c r="K6858" s="505"/>
      <c r="L6858" s="505"/>
      <c r="M6858" s="505"/>
      <c r="N6858" s="505"/>
      <c r="O6858" s="505"/>
      <c r="P6858" s="505"/>
      <c r="Q6858" s="505"/>
      <c r="R6858" s="505"/>
      <c r="S6858" s="505"/>
      <c r="T6858" s="505"/>
      <c r="U6858" s="505"/>
      <c r="V6858" s="505"/>
      <c r="W6858" s="505"/>
      <c r="X6858" s="505"/>
      <c r="Y6858" s="505"/>
    </row>
    <row r="6859" spans="1:25" s="88" customFormat="1" ht="18" customHeight="1" thickBot="1" x14ac:dyDescent="0.3">
      <c r="A6859" s="258"/>
      <c r="B6859" s="258"/>
      <c r="C6859" s="261"/>
      <c r="D6859" s="258"/>
      <c r="E6859" s="679"/>
      <c r="F6859" s="258"/>
      <c r="G6859" s="268" t="s">
        <v>4357</v>
      </c>
      <c r="H6859" s="561">
        <f>SUM(H6843:H6858)</f>
        <v>1170000</v>
      </c>
      <c r="I6859" s="562">
        <f>SUM(I6844:I6858)</f>
        <v>0</v>
      </c>
      <c r="J6859" s="562">
        <f>SUM(J6843:J6858)</f>
        <v>1170000</v>
      </c>
      <c r="K6859" s="505"/>
      <c r="L6859" s="505"/>
      <c r="M6859" s="505"/>
      <c r="N6859" s="505"/>
      <c r="O6859" s="505"/>
      <c r="P6859" s="505"/>
      <c r="Q6859" s="505"/>
      <c r="R6859" s="505"/>
      <c r="S6859" s="505"/>
      <c r="T6859" s="505"/>
      <c r="U6859" s="505"/>
      <c r="V6859" s="505"/>
      <c r="W6859" s="505"/>
      <c r="X6859" s="505"/>
      <c r="Y6859" s="505"/>
    </row>
    <row r="6860" spans="1:25" s="88" customFormat="1" ht="28.5" x14ac:dyDescent="0.25">
      <c r="A6860" s="258"/>
      <c r="B6860" s="258"/>
      <c r="C6860" s="261"/>
      <c r="D6860" s="258"/>
      <c r="E6860" s="489"/>
      <c r="F6860" s="500"/>
      <c r="G6860" s="270" t="s">
        <v>5333</v>
      </c>
      <c r="H6860" s="563"/>
      <c r="I6860" s="584"/>
      <c r="J6860" s="564"/>
      <c r="K6860" s="505"/>
      <c r="L6860" s="505"/>
      <c r="M6860" s="505"/>
      <c r="N6860" s="505"/>
      <c r="O6860" s="505"/>
      <c r="P6860" s="505"/>
      <c r="Q6860" s="505"/>
      <c r="R6860" s="505"/>
      <c r="S6860" s="505"/>
      <c r="T6860" s="505"/>
      <c r="U6860" s="505"/>
      <c r="V6860" s="505"/>
      <c r="W6860" s="505"/>
      <c r="X6860" s="505"/>
      <c r="Y6860" s="505"/>
    </row>
    <row r="6861" spans="1:25" s="88" customFormat="1" ht="15.75" thickBot="1" x14ac:dyDescent="0.3">
      <c r="A6861" s="258"/>
      <c r="B6861" s="258"/>
      <c r="C6861" s="261"/>
      <c r="D6861" s="258"/>
      <c r="E6861" s="693"/>
      <c r="F6861" s="597" t="s">
        <v>234</v>
      </c>
      <c r="G6861" s="598" t="s">
        <v>235</v>
      </c>
      <c r="H6861" s="559">
        <f>SUM(H6782:H6840)</f>
        <v>1170000</v>
      </c>
      <c r="I6861" s="560"/>
      <c r="J6861" s="560">
        <f>SUM(H6861:I6861)</f>
        <v>1170000</v>
      </c>
      <c r="K6861" s="505"/>
      <c r="L6861" s="505"/>
      <c r="M6861" s="505"/>
      <c r="N6861" s="505"/>
      <c r="O6861" s="505"/>
      <c r="P6861" s="505"/>
      <c r="Q6861" s="505"/>
      <c r="R6861" s="505"/>
      <c r="S6861" s="505"/>
      <c r="T6861" s="505"/>
      <c r="U6861" s="505"/>
      <c r="V6861" s="505"/>
      <c r="W6861" s="505"/>
      <c r="X6861" s="505"/>
      <c r="Y6861" s="505"/>
    </row>
    <row r="6862" spans="1:25" s="88" customFormat="1" ht="15.75" hidden="1" thickBot="1" x14ac:dyDescent="0.3">
      <c r="A6862" s="258"/>
      <c r="B6862" s="258"/>
      <c r="C6862" s="261"/>
      <c r="D6862" s="258"/>
      <c r="E6862" s="679"/>
      <c r="F6862" s="597" t="s">
        <v>236</v>
      </c>
      <c r="G6862" s="598" t="s">
        <v>237</v>
      </c>
      <c r="H6862" s="555"/>
      <c r="I6862" s="556"/>
      <c r="J6862" s="560">
        <f t="shared" ref="J6862:J6876" si="227">SUM(H6862:I6862)</f>
        <v>0</v>
      </c>
      <c r="K6862" s="505"/>
      <c r="L6862" s="505"/>
      <c r="M6862" s="505"/>
      <c r="N6862" s="505"/>
      <c r="O6862" s="505"/>
      <c r="P6862" s="505"/>
      <c r="Q6862" s="505"/>
      <c r="R6862" s="505"/>
      <c r="S6862" s="505"/>
      <c r="T6862" s="505"/>
      <c r="U6862" s="505"/>
      <c r="V6862" s="505"/>
      <c r="W6862" s="505"/>
      <c r="X6862" s="505"/>
      <c r="Y6862" s="505"/>
    </row>
    <row r="6863" spans="1:25" s="88" customFormat="1" ht="15.75" hidden="1" thickBot="1" x14ac:dyDescent="0.3">
      <c r="A6863" s="258"/>
      <c r="B6863" s="258"/>
      <c r="C6863" s="261"/>
      <c r="D6863" s="258"/>
      <c r="E6863" s="679"/>
      <c r="F6863" s="597" t="s">
        <v>238</v>
      </c>
      <c r="G6863" s="598" t="s">
        <v>239</v>
      </c>
      <c r="H6863" s="555"/>
      <c r="I6863" s="556"/>
      <c r="J6863" s="560">
        <f t="shared" si="227"/>
        <v>0</v>
      </c>
      <c r="K6863" s="505"/>
      <c r="L6863" s="505"/>
      <c r="M6863" s="505"/>
      <c r="N6863" s="505"/>
      <c r="O6863" s="505"/>
      <c r="P6863" s="505"/>
      <c r="Q6863" s="505"/>
      <c r="R6863" s="505"/>
      <c r="S6863" s="505"/>
      <c r="T6863" s="505"/>
      <c r="U6863" s="505"/>
      <c r="V6863" s="505"/>
      <c r="W6863" s="505"/>
      <c r="X6863" s="505"/>
      <c r="Y6863" s="505"/>
    </row>
    <row r="6864" spans="1:25" s="88" customFormat="1" ht="15.75" hidden="1" thickBot="1" x14ac:dyDescent="0.3">
      <c r="A6864" s="258"/>
      <c r="B6864" s="258"/>
      <c r="C6864" s="261"/>
      <c r="D6864" s="258"/>
      <c r="E6864" s="679"/>
      <c r="F6864" s="597" t="s">
        <v>240</v>
      </c>
      <c r="G6864" s="598" t="s">
        <v>241</v>
      </c>
      <c r="H6864" s="555"/>
      <c r="I6864" s="556"/>
      <c r="J6864" s="560">
        <f t="shared" si="227"/>
        <v>0</v>
      </c>
      <c r="K6864" s="505"/>
      <c r="L6864" s="505"/>
      <c r="M6864" s="505"/>
      <c r="N6864" s="505"/>
      <c r="O6864" s="505"/>
      <c r="P6864" s="505"/>
      <c r="Q6864" s="505"/>
      <c r="R6864" s="505"/>
      <c r="S6864" s="505"/>
      <c r="T6864" s="505"/>
      <c r="U6864" s="505"/>
      <c r="V6864" s="505"/>
      <c r="W6864" s="505"/>
      <c r="X6864" s="505"/>
      <c r="Y6864" s="505"/>
    </row>
    <row r="6865" spans="1:25" s="88" customFormat="1" ht="15.75" hidden="1" thickBot="1" x14ac:dyDescent="0.3">
      <c r="A6865" s="258"/>
      <c r="B6865" s="258"/>
      <c r="C6865" s="261"/>
      <c r="D6865" s="258"/>
      <c r="E6865" s="679"/>
      <c r="F6865" s="597" t="s">
        <v>242</v>
      </c>
      <c r="G6865" s="598" t="s">
        <v>243</v>
      </c>
      <c r="H6865" s="555"/>
      <c r="I6865" s="556"/>
      <c r="J6865" s="560">
        <f t="shared" si="227"/>
        <v>0</v>
      </c>
      <c r="K6865" s="505"/>
      <c r="L6865" s="505"/>
      <c r="M6865" s="505"/>
      <c r="N6865" s="505"/>
      <c r="O6865" s="505"/>
      <c r="P6865" s="505"/>
      <c r="Q6865" s="505"/>
      <c r="R6865" s="505"/>
      <c r="S6865" s="505"/>
      <c r="T6865" s="505"/>
      <c r="U6865" s="505"/>
      <c r="V6865" s="505"/>
      <c r="W6865" s="505"/>
      <c r="X6865" s="505"/>
      <c r="Y6865" s="505"/>
    </row>
    <row r="6866" spans="1:25" s="88" customFormat="1" ht="15.75" hidden="1" thickBot="1" x14ac:dyDescent="0.3">
      <c r="A6866" s="258"/>
      <c r="B6866" s="258"/>
      <c r="C6866" s="261"/>
      <c r="D6866" s="258"/>
      <c r="E6866" s="679"/>
      <c r="F6866" s="597" t="s">
        <v>244</v>
      </c>
      <c r="G6866" s="598" t="s">
        <v>245</v>
      </c>
      <c r="H6866" s="555"/>
      <c r="I6866" s="556"/>
      <c r="J6866" s="560">
        <f t="shared" si="227"/>
        <v>0</v>
      </c>
      <c r="K6866" s="505"/>
      <c r="L6866" s="505"/>
      <c r="M6866" s="505"/>
      <c r="N6866" s="505"/>
      <c r="O6866" s="505"/>
      <c r="P6866" s="505"/>
      <c r="Q6866" s="505"/>
      <c r="R6866" s="505"/>
      <c r="S6866" s="505"/>
      <c r="T6866" s="505"/>
      <c r="U6866" s="505"/>
      <c r="V6866" s="505"/>
      <c r="W6866" s="505"/>
      <c r="X6866" s="505"/>
      <c r="Y6866" s="505"/>
    </row>
    <row r="6867" spans="1:25" s="88" customFormat="1" ht="15.75" hidden="1" thickBot="1" x14ac:dyDescent="0.3">
      <c r="A6867" s="258"/>
      <c r="B6867" s="258"/>
      <c r="C6867" s="261"/>
      <c r="D6867" s="258"/>
      <c r="E6867" s="679"/>
      <c r="F6867" s="597" t="s">
        <v>246</v>
      </c>
      <c r="G6867" s="598" t="s">
        <v>4996</v>
      </c>
      <c r="H6867" s="555"/>
      <c r="I6867" s="556"/>
      <c r="J6867" s="560">
        <f t="shared" si="227"/>
        <v>0</v>
      </c>
      <c r="K6867" s="505"/>
      <c r="L6867" s="505"/>
      <c r="M6867" s="505"/>
      <c r="N6867" s="505"/>
      <c r="O6867" s="505"/>
      <c r="P6867" s="505"/>
      <c r="Q6867" s="505"/>
      <c r="R6867" s="505"/>
      <c r="S6867" s="505"/>
      <c r="T6867" s="505"/>
      <c r="U6867" s="505"/>
      <c r="V6867" s="505"/>
      <c r="W6867" s="505"/>
      <c r="X6867" s="505"/>
      <c r="Y6867" s="505"/>
    </row>
    <row r="6868" spans="1:25" s="88" customFormat="1" ht="15.75" hidden="1" thickBot="1" x14ac:dyDescent="0.3">
      <c r="A6868" s="258"/>
      <c r="B6868" s="258"/>
      <c r="C6868" s="261"/>
      <c r="D6868" s="258"/>
      <c r="E6868" s="679"/>
      <c r="F6868" s="597" t="s">
        <v>247</v>
      </c>
      <c r="G6868" s="598" t="s">
        <v>4995</v>
      </c>
      <c r="H6868" s="555"/>
      <c r="I6868" s="556"/>
      <c r="J6868" s="560">
        <f t="shared" si="227"/>
        <v>0</v>
      </c>
      <c r="K6868" s="505"/>
      <c r="L6868" s="505"/>
      <c r="M6868" s="505"/>
      <c r="N6868" s="505"/>
      <c r="O6868" s="505"/>
      <c r="P6868" s="505"/>
      <c r="Q6868" s="505"/>
      <c r="R6868" s="505"/>
      <c r="S6868" s="505"/>
      <c r="T6868" s="505"/>
      <c r="U6868" s="505"/>
      <c r="V6868" s="505"/>
      <c r="W6868" s="505"/>
      <c r="X6868" s="505"/>
      <c r="Y6868" s="505"/>
    </row>
    <row r="6869" spans="1:25" s="88" customFormat="1" ht="15.75" hidden="1" thickBot="1" x14ac:dyDescent="0.3">
      <c r="A6869" s="258"/>
      <c r="B6869" s="258"/>
      <c r="C6869" s="261"/>
      <c r="D6869" s="258"/>
      <c r="E6869" s="679"/>
      <c r="F6869" s="597" t="s">
        <v>248</v>
      </c>
      <c r="G6869" s="598" t="s">
        <v>57</v>
      </c>
      <c r="H6869" s="555"/>
      <c r="I6869" s="556"/>
      <c r="J6869" s="560">
        <f t="shared" si="227"/>
        <v>0</v>
      </c>
      <c r="K6869" s="505"/>
      <c r="L6869" s="505"/>
      <c r="M6869" s="505"/>
      <c r="N6869" s="505"/>
      <c r="O6869" s="505"/>
      <c r="P6869" s="505"/>
      <c r="Q6869" s="505"/>
      <c r="R6869" s="505"/>
      <c r="S6869" s="505"/>
      <c r="T6869" s="505"/>
      <c r="U6869" s="505"/>
      <c r="V6869" s="505"/>
      <c r="W6869" s="505"/>
      <c r="X6869" s="505"/>
      <c r="Y6869" s="505"/>
    </row>
    <row r="6870" spans="1:25" s="88" customFormat="1" ht="15.75" hidden="1" thickBot="1" x14ac:dyDescent="0.3">
      <c r="A6870" s="258"/>
      <c r="B6870" s="258"/>
      <c r="C6870" s="261"/>
      <c r="D6870" s="258"/>
      <c r="E6870" s="679"/>
      <c r="F6870" s="597" t="s">
        <v>249</v>
      </c>
      <c r="G6870" s="598" t="s">
        <v>250</v>
      </c>
      <c r="H6870" s="555"/>
      <c r="I6870" s="556"/>
      <c r="J6870" s="560">
        <f t="shared" si="227"/>
        <v>0</v>
      </c>
      <c r="K6870" s="505"/>
      <c r="L6870" s="505"/>
      <c r="M6870" s="505"/>
      <c r="N6870" s="505"/>
      <c r="O6870" s="505"/>
      <c r="P6870" s="505"/>
      <c r="Q6870" s="505"/>
      <c r="R6870" s="505"/>
      <c r="S6870" s="505"/>
      <c r="T6870" s="505"/>
      <c r="U6870" s="505"/>
      <c r="V6870" s="505"/>
      <c r="W6870" s="505"/>
      <c r="X6870" s="505"/>
      <c r="Y6870" s="505"/>
    </row>
    <row r="6871" spans="1:25" s="88" customFormat="1" ht="15.75" hidden="1" thickBot="1" x14ac:dyDescent="0.3">
      <c r="A6871" s="258"/>
      <c r="B6871" s="258"/>
      <c r="C6871" s="261"/>
      <c r="D6871" s="258"/>
      <c r="E6871" s="679"/>
      <c r="F6871" s="597" t="s">
        <v>251</v>
      </c>
      <c r="G6871" s="598" t="s">
        <v>252</v>
      </c>
      <c r="H6871" s="555"/>
      <c r="I6871" s="556"/>
      <c r="J6871" s="560">
        <f t="shared" si="227"/>
        <v>0</v>
      </c>
      <c r="K6871" s="505"/>
      <c r="L6871" s="505"/>
      <c r="M6871" s="505"/>
      <c r="N6871" s="505"/>
      <c r="O6871" s="505"/>
      <c r="P6871" s="505"/>
      <c r="Q6871" s="505"/>
      <c r="R6871" s="505"/>
      <c r="S6871" s="505"/>
      <c r="T6871" s="505"/>
      <c r="U6871" s="505"/>
      <c r="V6871" s="505"/>
      <c r="W6871" s="505"/>
      <c r="X6871" s="505"/>
      <c r="Y6871" s="505"/>
    </row>
    <row r="6872" spans="1:25" s="88" customFormat="1" ht="30.75" hidden="1" thickBot="1" x14ac:dyDescent="0.3">
      <c r="A6872" s="258"/>
      <c r="B6872" s="258"/>
      <c r="C6872" s="261"/>
      <c r="D6872" s="258"/>
      <c r="E6872" s="679"/>
      <c r="F6872" s="597" t="s">
        <v>253</v>
      </c>
      <c r="G6872" s="598" t="s">
        <v>254</v>
      </c>
      <c r="H6872" s="555"/>
      <c r="I6872" s="556"/>
      <c r="J6872" s="560">
        <f t="shared" si="227"/>
        <v>0</v>
      </c>
      <c r="K6872" s="505"/>
      <c r="L6872" s="505"/>
      <c r="M6872" s="505"/>
      <c r="N6872" s="505"/>
      <c r="O6872" s="505"/>
      <c r="P6872" s="505"/>
      <c r="Q6872" s="505"/>
      <c r="R6872" s="505"/>
      <c r="S6872" s="505"/>
      <c r="T6872" s="505"/>
      <c r="U6872" s="505"/>
      <c r="V6872" s="505"/>
      <c r="W6872" s="505"/>
      <c r="X6872" s="505"/>
      <c r="Y6872" s="505"/>
    </row>
    <row r="6873" spans="1:25" s="88" customFormat="1" ht="15.75" hidden="1" thickBot="1" x14ac:dyDescent="0.3">
      <c r="A6873" s="258"/>
      <c r="B6873" s="258"/>
      <c r="C6873" s="261"/>
      <c r="D6873" s="258"/>
      <c r="E6873" s="679"/>
      <c r="F6873" s="597" t="s">
        <v>255</v>
      </c>
      <c r="G6873" s="598" t="s">
        <v>256</v>
      </c>
      <c r="H6873" s="555"/>
      <c r="I6873" s="556"/>
      <c r="J6873" s="560">
        <f t="shared" si="227"/>
        <v>0</v>
      </c>
      <c r="K6873" s="505"/>
      <c r="L6873" s="505"/>
      <c r="M6873" s="505"/>
      <c r="N6873" s="505"/>
      <c r="O6873" s="505"/>
      <c r="P6873" s="505"/>
      <c r="Q6873" s="505"/>
      <c r="R6873" s="505"/>
      <c r="S6873" s="505"/>
      <c r="T6873" s="505"/>
      <c r="U6873" s="505"/>
      <c r="V6873" s="505"/>
      <c r="W6873" s="505"/>
      <c r="X6873" s="505"/>
      <c r="Y6873" s="505"/>
    </row>
    <row r="6874" spans="1:25" s="88" customFormat="1" ht="30.75" hidden="1" thickBot="1" x14ac:dyDescent="0.3">
      <c r="A6874" s="258"/>
      <c r="B6874" s="258"/>
      <c r="C6874" s="261"/>
      <c r="D6874" s="258"/>
      <c r="E6874" s="679"/>
      <c r="F6874" s="597" t="s">
        <v>257</v>
      </c>
      <c r="G6874" s="598" t="s">
        <v>258</v>
      </c>
      <c r="H6874" s="555"/>
      <c r="I6874" s="556"/>
      <c r="J6874" s="560">
        <f t="shared" si="227"/>
        <v>0</v>
      </c>
      <c r="K6874" s="505"/>
      <c r="L6874" s="505"/>
      <c r="M6874" s="505"/>
      <c r="N6874" s="505"/>
      <c r="O6874" s="505"/>
      <c r="P6874" s="505"/>
      <c r="Q6874" s="505"/>
      <c r="R6874" s="505"/>
      <c r="S6874" s="505"/>
      <c r="T6874" s="505"/>
      <c r="U6874" s="505"/>
      <c r="V6874" s="505"/>
      <c r="W6874" s="505"/>
      <c r="X6874" s="505"/>
      <c r="Y6874" s="505"/>
    </row>
    <row r="6875" spans="1:25" s="88" customFormat="1" ht="15.75" hidden="1" thickBot="1" x14ac:dyDescent="0.3">
      <c r="A6875" s="258"/>
      <c r="B6875" s="258"/>
      <c r="C6875" s="261"/>
      <c r="D6875" s="258"/>
      <c r="E6875" s="679"/>
      <c r="F6875" s="597" t="s">
        <v>259</v>
      </c>
      <c r="G6875" s="598" t="s">
        <v>260</v>
      </c>
      <c r="H6875" s="555"/>
      <c r="I6875" s="556"/>
      <c r="J6875" s="560">
        <f t="shared" si="227"/>
        <v>0</v>
      </c>
      <c r="K6875" s="505"/>
      <c r="L6875" s="505"/>
      <c r="M6875" s="505"/>
      <c r="N6875" s="505"/>
      <c r="O6875" s="505"/>
      <c r="P6875" s="505"/>
      <c r="Q6875" s="505"/>
      <c r="R6875" s="505"/>
      <c r="S6875" s="505"/>
      <c r="T6875" s="505"/>
      <c r="U6875" s="505"/>
      <c r="V6875" s="505"/>
      <c r="W6875" s="505"/>
      <c r="X6875" s="505"/>
      <c r="Y6875" s="505"/>
    </row>
    <row r="6876" spans="1:25" s="88" customFormat="1" ht="15.75" hidden="1" thickBot="1" x14ac:dyDescent="0.3">
      <c r="A6876" s="258"/>
      <c r="B6876" s="258"/>
      <c r="C6876" s="261"/>
      <c r="D6876" s="258"/>
      <c r="E6876" s="679"/>
      <c r="F6876" s="597" t="s">
        <v>261</v>
      </c>
      <c r="G6876" s="598" t="s">
        <v>262</v>
      </c>
      <c r="H6876" s="559"/>
      <c r="I6876" s="560"/>
      <c r="J6876" s="560">
        <f t="shared" si="227"/>
        <v>0</v>
      </c>
      <c r="K6876" s="505"/>
      <c r="L6876" s="505"/>
      <c r="M6876" s="505"/>
      <c r="N6876" s="505"/>
      <c r="O6876" s="505"/>
      <c r="P6876" s="505"/>
      <c r="Q6876" s="505"/>
      <c r="R6876" s="505"/>
      <c r="S6876" s="505"/>
      <c r="T6876" s="505"/>
      <c r="U6876" s="505"/>
      <c r="V6876" s="505"/>
      <c r="W6876" s="505"/>
      <c r="X6876" s="505"/>
      <c r="Y6876" s="505"/>
    </row>
    <row r="6877" spans="1:25" s="88" customFormat="1" ht="18" customHeight="1" thickBot="1" x14ac:dyDescent="0.3">
      <c r="A6877" s="258"/>
      <c r="B6877" s="258"/>
      <c r="C6877" s="261"/>
      <c r="D6877" s="258"/>
      <c r="E6877" s="679"/>
      <c r="F6877" s="258"/>
      <c r="G6877" s="268" t="s">
        <v>4923</v>
      </c>
      <c r="H6877" s="561">
        <f>SUM(H6861:H6876)</f>
        <v>1170000</v>
      </c>
      <c r="I6877" s="562">
        <f>SUM(I6862:I6876)</f>
        <v>0</v>
      </c>
      <c r="J6877" s="562">
        <f>SUM(J6861:J6876)</f>
        <v>1170000</v>
      </c>
      <c r="K6877" s="505"/>
      <c r="L6877" s="505"/>
      <c r="M6877" s="505"/>
      <c r="N6877" s="505"/>
      <c r="O6877" s="505"/>
      <c r="P6877" s="505"/>
      <c r="Q6877" s="505"/>
      <c r="R6877" s="505"/>
      <c r="S6877" s="505"/>
      <c r="T6877" s="505"/>
      <c r="U6877" s="505"/>
      <c r="V6877" s="505"/>
      <c r="W6877" s="505"/>
      <c r="X6877" s="505"/>
      <c r="Y6877" s="505"/>
    </row>
    <row r="6878" spans="1:25" s="88" customFormat="1" x14ac:dyDescent="0.25">
      <c r="A6878" s="258"/>
      <c r="B6878" s="288"/>
      <c r="C6878" s="302" t="s">
        <v>4748</v>
      </c>
      <c r="D6878" s="259"/>
      <c r="E6878" s="702"/>
      <c r="F6878" s="303"/>
      <c r="G6878" s="304" t="s">
        <v>5335</v>
      </c>
      <c r="H6878" s="588"/>
      <c r="I6878" s="571"/>
      <c r="J6878" s="589"/>
      <c r="K6878" s="505"/>
      <c r="L6878" s="505"/>
      <c r="M6878" s="505"/>
      <c r="N6878" s="505"/>
      <c r="O6878" s="505"/>
      <c r="P6878" s="505"/>
      <c r="Q6878" s="505"/>
      <c r="R6878" s="505"/>
      <c r="S6878" s="505"/>
      <c r="T6878" s="505"/>
      <c r="U6878" s="505"/>
      <c r="V6878" s="505"/>
      <c r="W6878" s="505"/>
      <c r="X6878" s="505"/>
      <c r="Y6878" s="505"/>
    </row>
    <row r="6879" spans="1:25" s="88" customFormat="1" ht="17.25" customHeight="1" x14ac:dyDescent="0.25">
      <c r="A6879" s="258"/>
      <c r="B6879" s="288"/>
      <c r="C6879" s="294"/>
      <c r="D6879" s="348" t="s">
        <v>4001</v>
      </c>
      <c r="E6879" s="871"/>
      <c r="F6879" s="345"/>
      <c r="G6879" s="346" t="s">
        <v>207</v>
      </c>
      <c r="H6879" s="555"/>
      <c r="I6879" s="556"/>
      <c r="J6879" s="556"/>
      <c r="K6879" s="505"/>
      <c r="L6879" s="505"/>
      <c r="M6879" s="505"/>
      <c r="N6879" s="505"/>
      <c r="O6879" s="505"/>
      <c r="P6879" s="505"/>
      <c r="Q6879" s="505"/>
      <c r="R6879" s="505"/>
      <c r="S6879" s="505"/>
      <c r="T6879" s="505"/>
      <c r="U6879" s="505"/>
      <c r="V6879" s="505"/>
      <c r="W6879" s="505"/>
      <c r="X6879" s="505"/>
      <c r="Y6879" s="505"/>
    </row>
    <row r="6880" spans="1:25" s="88" customFormat="1" hidden="1" x14ac:dyDescent="0.25">
      <c r="A6880" s="258"/>
      <c r="B6880" s="258"/>
      <c r="C6880" s="261"/>
      <c r="D6880" s="258"/>
      <c r="E6880" s="679"/>
      <c r="F6880" s="499">
        <v>411</v>
      </c>
      <c r="G6880" s="492" t="s">
        <v>4131</v>
      </c>
      <c r="H6880" s="555"/>
      <c r="I6880" s="556"/>
      <c r="J6880" s="556">
        <f>SUM(H6880:I6880)</f>
        <v>0</v>
      </c>
      <c r="K6880" s="505"/>
      <c r="L6880" s="505"/>
      <c r="M6880" s="505"/>
      <c r="N6880" s="505"/>
      <c r="O6880" s="505"/>
      <c r="P6880" s="505"/>
      <c r="Q6880" s="505"/>
      <c r="R6880" s="505"/>
      <c r="S6880" s="505"/>
      <c r="T6880" s="505"/>
      <c r="U6880" s="505"/>
      <c r="V6880" s="505"/>
      <c r="W6880" s="505"/>
      <c r="X6880" s="505"/>
      <c r="Y6880" s="505"/>
    </row>
    <row r="6881" spans="1:25" s="88" customFormat="1" hidden="1" x14ac:dyDescent="0.25">
      <c r="A6881" s="258"/>
      <c r="B6881" s="258"/>
      <c r="C6881" s="261"/>
      <c r="D6881" s="258"/>
      <c r="E6881" s="679"/>
      <c r="F6881" s="499">
        <v>412</v>
      </c>
      <c r="G6881" s="488" t="s">
        <v>3766</v>
      </c>
      <c r="H6881" s="555"/>
      <c r="I6881" s="556"/>
      <c r="J6881" s="556">
        <f t="shared" ref="J6881:J6939" si="228">SUM(H6881:I6881)</f>
        <v>0</v>
      </c>
      <c r="K6881" s="505"/>
      <c r="L6881" s="505"/>
      <c r="M6881" s="505"/>
      <c r="N6881" s="505"/>
      <c r="O6881" s="505"/>
      <c r="P6881" s="505"/>
      <c r="Q6881" s="505"/>
      <c r="R6881" s="505"/>
      <c r="S6881" s="505"/>
      <c r="T6881" s="505"/>
      <c r="U6881" s="505"/>
      <c r="V6881" s="505"/>
      <c r="W6881" s="505"/>
      <c r="X6881" s="505"/>
      <c r="Y6881" s="505"/>
    </row>
    <row r="6882" spans="1:25" s="88" customFormat="1" hidden="1" x14ac:dyDescent="0.25">
      <c r="A6882" s="258"/>
      <c r="B6882" s="258"/>
      <c r="C6882" s="261"/>
      <c r="D6882" s="258"/>
      <c r="E6882" s="679"/>
      <c r="F6882" s="499">
        <v>413</v>
      </c>
      <c r="G6882" s="492" t="s">
        <v>4132</v>
      </c>
      <c r="H6882" s="555"/>
      <c r="I6882" s="556"/>
      <c r="J6882" s="556">
        <f t="shared" si="228"/>
        <v>0</v>
      </c>
      <c r="K6882" s="505"/>
      <c r="L6882" s="505"/>
      <c r="M6882" s="505"/>
      <c r="N6882" s="505"/>
      <c r="O6882" s="505"/>
      <c r="P6882" s="505"/>
      <c r="Q6882" s="505"/>
      <c r="R6882" s="505"/>
      <c r="S6882" s="505"/>
      <c r="T6882" s="505"/>
      <c r="U6882" s="505"/>
      <c r="V6882" s="505"/>
      <c r="W6882" s="505"/>
      <c r="X6882" s="505"/>
      <c r="Y6882" s="505"/>
    </row>
    <row r="6883" spans="1:25" s="88" customFormat="1" hidden="1" x14ac:dyDescent="0.25">
      <c r="A6883" s="258"/>
      <c r="B6883" s="258"/>
      <c r="C6883" s="261"/>
      <c r="D6883" s="258"/>
      <c r="E6883" s="679"/>
      <c r="F6883" s="499">
        <v>414</v>
      </c>
      <c r="G6883" s="492" t="s">
        <v>3769</v>
      </c>
      <c r="H6883" s="555"/>
      <c r="I6883" s="556"/>
      <c r="J6883" s="556">
        <f t="shared" si="228"/>
        <v>0</v>
      </c>
      <c r="K6883" s="505"/>
      <c r="L6883" s="505"/>
      <c r="M6883" s="505"/>
      <c r="N6883" s="505"/>
      <c r="O6883" s="505"/>
      <c r="P6883" s="505"/>
      <c r="Q6883" s="505"/>
      <c r="R6883" s="505"/>
      <c r="S6883" s="505"/>
      <c r="T6883" s="505"/>
      <c r="U6883" s="505"/>
      <c r="V6883" s="505"/>
      <c r="W6883" s="505"/>
      <c r="X6883" s="505"/>
      <c r="Y6883" s="505"/>
    </row>
    <row r="6884" spans="1:25" s="88" customFormat="1" hidden="1" x14ac:dyDescent="0.25">
      <c r="A6884" s="258"/>
      <c r="B6884" s="258"/>
      <c r="C6884" s="261"/>
      <c r="D6884" s="258"/>
      <c r="E6884" s="679"/>
      <c r="F6884" s="499">
        <v>415</v>
      </c>
      <c r="G6884" s="492" t="s">
        <v>4141</v>
      </c>
      <c r="H6884" s="555"/>
      <c r="I6884" s="556"/>
      <c r="J6884" s="556">
        <f t="shared" si="228"/>
        <v>0</v>
      </c>
      <c r="K6884" s="505"/>
      <c r="L6884" s="505"/>
      <c r="M6884" s="505"/>
      <c r="N6884" s="505"/>
      <c r="O6884" s="505"/>
      <c r="P6884" s="505"/>
      <c r="Q6884" s="505"/>
      <c r="R6884" s="505"/>
      <c r="S6884" s="505"/>
      <c r="T6884" s="505"/>
      <c r="U6884" s="505"/>
      <c r="V6884" s="505"/>
      <c r="W6884" s="505"/>
      <c r="X6884" s="505"/>
      <c r="Y6884" s="505"/>
    </row>
    <row r="6885" spans="1:25" s="88" customFormat="1" hidden="1" x14ac:dyDescent="0.25">
      <c r="A6885" s="258"/>
      <c r="B6885" s="258"/>
      <c r="C6885" s="261"/>
      <c r="D6885" s="258"/>
      <c r="E6885" s="679"/>
      <c r="F6885" s="499">
        <v>416</v>
      </c>
      <c r="G6885" s="492" t="s">
        <v>4142</v>
      </c>
      <c r="H6885" s="555"/>
      <c r="I6885" s="556"/>
      <c r="J6885" s="556">
        <f t="shared" si="228"/>
        <v>0</v>
      </c>
      <c r="K6885" s="505"/>
      <c r="L6885" s="505"/>
      <c r="M6885" s="505"/>
      <c r="N6885" s="505"/>
      <c r="O6885" s="505"/>
      <c r="P6885" s="505"/>
      <c r="Q6885" s="505"/>
      <c r="R6885" s="505"/>
      <c r="S6885" s="505"/>
      <c r="T6885" s="505"/>
      <c r="U6885" s="505"/>
      <c r="V6885" s="505"/>
      <c r="W6885" s="505"/>
      <c r="X6885" s="505"/>
      <c r="Y6885" s="505"/>
    </row>
    <row r="6886" spans="1:25" s="88" customFormat="1" hidden="1" x14ac:dyDescent="0.25">
      <c r="A6886" s="258"/>
      <c r="B6886" s="258"/>
      <c r="C6886" s="261"/>
      <c r="D6886" s="258"/>
      <c r="E6886" s="679"/>
      <c r="F6886" s="499">
        <v>417</v>
      </c>
      <c r="G6886" s="492" t="s">
        <v>4143</v>
      </c>
      <c r="H6886" s="555"/>
      <c r="I6886" s="556"/>
      <c r="J6886" s="556">
        <f t="shared" si="228"/>
        <v>0</v>
      </c>
      <c r="K6886" s="505"/>
      <c r="L6886" s="505"/>
      <c r="M6886" s="505"/>
      <c r="N6886" s="505"/>
      <c r="O6886" s="505"/>
      <c r="P6886" s="505"/>
      <c r="Q6886" s="505"/>
      <c r="R6886" s="505"/>
      <c r="S6886" s="505"/>
      <c r="T6886" s="505"/>
      <c r="U6886" s="505"/>
      <c r="V6886" s="505"/>
      <c r="W6886" s="505"/>
      <c r="X6886" s="505"/>
      <c r="Y6886" s="505"/>
    </row>
    <row r="6887" spans="1:25" s="88" customFormat="1" hidden="1" x14ac:dyDescent="0.25">
      <c r="A6887" s="258"/>
      <c r="B6887" s="258"/>
      <c r="C6887" s="261"/>
      <c r="D6887" s="258"/>
      <c r="E6887" s="679"/>
      <c r="F6887" s="499">
        <v>418</v>
      </c>
      <c r="G6887" s="492" t="s">
        <v>3775</v>
      </c>
      <c r="H6887" s="555"/>
      <c r="I6887" s="556"/>
      <c r="J6887" s="556">
        <f t="shared" si="228"/>
        <v>0</v>
      </c>
      <c r="K6887" s="505"/>
      <c r="L6887" s="505"/>
      <c r="M6887" s="505"/>
      <c r="N6887" s="505"/>
      <c r="O6887" s="505"/>
      <c r="P6887" s="505"/>
      <c r="Q6887" s="505"/>
      <c r="R6887" s="505"/>
      <c r="S6887" s="505"/>
      <c r="T6887" s="505"/>
      <c r="U6887" s="505"/>
      <c r="V6887" s="505"/>
      <c r="W6887" s="505"/>
      <c r="X6887" s="505"/>
      <c r="Y6887" s="505"/>
    </row>
    <row r="6888" spans="1:25" s="88" customFormat="1" hidden="1" x14ac:dyDescent="0.25">
      <c r="A6888" s="258"/>
      <c r="B6888" s="258"/>
      <c r="C6888" s="261"/>
      <c r="D6888" s="258"/>
      <c r="E6888" s="679"/>
      <c r="F6888" s="499">
        <v>421</v>
      </c>
      <c r="G6888" s="492" t="s">
        <v>3779</v>
      </c>
      <c r="H6888" s="555"/>
      <c r="I6888" s="556"/>
      <c r="J6888" s="556">
        <f t="shared" si="228"/>
        <v>0</v>
      </c>
      <c r="K6888" s="505"/>
      <c r="L6888" s="505"/>
      <c r="M6888" s="505"/>
      <c r="N6888" s="505"/>
      <c r="O6888" s="505"/>
      <c r="P6888" s="505"/>
      <c r="Q6888" s="505"/>
      <c r="R6888" s="505"/>
      <c r="S6888" s="505"/>
      <c r="T6888" s="505"/>
      <c r="U6888" s="505"/>
      <c r="V6888" s="505"/>
      <c r="W6888" s="505"/>
      <c r="X6888" s="505"/>
      <c r="Y6888" s="505"/>
    </row>
    <row r="6889" spans="1:25" s="88" customFormat="1" x14ac:dyDescent="0.25">
      <c r="A6889" s="258"/>
      <c r="B6889" s="258"/>
      <c r="C6889" s="261"/>
      <c r="D6889" s="258"/>
      <c r="E6889" s="679"/>
      <c r="F6889" s="499">
        <v>422</v>
      </c>
      <c r="G6889" s="492" t="s">
        <v>3780</v>
      </c>
      <c r="H6889" s="555">
        <v>10000</v>
      </c>
      <c r="I6889" s="556"/>
      <c r="J6889" s="556">
        <f t="shared" si="228"/>
        <v>10000</v>
      </c>
      <c r="K6889" s="505"/>
      <c r="L6889" s="505"/>
      <c r="M6889" s="505"/>
      <c r="N6889" s="505"/>
      <c r="O6889" s="505"/>
      <c r="P6889" s="505"/>
      <c r="Q6889" s="505"/>
      <c r="R6889" s="505"/>
      <c r="S6889" s="505"/>
      <c r="T6889" s="505"/>
      <c r="U6889" s="505"/>
      <c r="V6889" s="505"/>
      <c r="W6889" s="505"/>
      <c r="X6889" s="505"/>
      <c r="Y6889" s="505"/>
    </row>
    <row r="6890" spans="1:25" s="88" customFormat="1" ht="26.25" customHeight="1" thickBot="1" x14ac:dyDescent="0.3">
      <c r="A6890" s="258"/>
      <c r="B6890" s="258"/>
      <c r="C6890" s="261"/>
      <c r="D6890" s="258"/>
      <c r="E6890" s="679" t="s">
        <v>5382</v>
      </c>
      <c r="F6890" s="499">
        <v>423</v>
      </c>
      <c r="G6890" s="492" t="s">
        <v>3781</v>
      </c>
      <c r="H6890" s="555">
        <v>430000</v>
      </c>
      <c r="I6890" s="556">
        <v>50000</v>
      </c>
      <c r="J6890" s="556">
        <f t="shared" si="228"/>
        <v>480000</v>
      </c>
      <c r="K6890" s="505"/>
      <c r="L6890" s="505"/>
      <c r="M6890" s="505"/>
      <c r="N6890" s="505"/>
      <c r="O6890" s="505"/>
      <c r="P6890" s="505"/>
      <c r="Q6890" s="505"/>
      <c r="R6890" s="505"/>
      <c r="S6890" s="505"/>
      <c r="T6890" s="505"/>
      <c r="U6890" s="505"/>
      <c r="V6890" s="505"/>
      <c r="W6890" s="505"/>
      <c r="X6890" s="505"/>
      <c r="Y6890" s="505"/>
    </row>
    <row r="6891" spans="1:25" s="88" customFormat="1" hidden="1" x14ac:dyDescent="0.25">
      <c r="A6891" s="258"/>
      <c r="B6891" s="258"/>
      <c r="C6891" s="261"/>
      <c r="D6891" s="258"/>
      <c r="E6891" s="679"/>
      <c r="F6891" s="499">
        <v>424</v>
      </c>
      <c r="G6891" s="492" t="s">
        <v>3783</v>
      </c>
      <c r="H6891" s="555"/>
      <c r="I6891" s="556"/>
      <c r="J6891" s="556">
        <f t="shared" si="228"/>
        <v>0</v>
      </c>
      <c r="K6891" s="505"/>
      <c r="L6891" s="505"/>
      <c r="M6891" s="505"/>
      <c r="N6891" s="505"/>
      <c r="O6891" s="505"/>
      <c r="P6891" s="505"/>
      <c r="Q6891" s="505"/>
      <c r="R6891" s="505"/>
      <c r="S6891" s="505"/>
      <c r="T6891" s="505"/>
      <c r="U6891" s="505"/>
      <c r="V6891" s="505"/>
      <c r="W6891" s="505"/>
      <c r="X6891" s="505"/>
      <c r="Y6891" s="505"/>
    </row>
    <row r="6892" spans="1:25" s="88" customFormat="1" hidden="1" x14ac:dyDescent="0.25">
      <c r="A6892" s="258"/>
      <c r="B6892" s="258"/>
      <c r="C6892" s="261"/>
      <c r="D6892" s="258"/>
      <c r="E6892" s="679"/>
      <c r="F6892" s="499">
        <v>425</v>
      </c>
      <c r="G6892" s="492" t="s">
        <v>4144</v>
      </c>
      <c r="H6892" s="555"/>
      <c r="I6892" s="556"/>
      <c r="J6892" s="556">
        <f t="shared" si="228"/>
        <v>0</v>
      </c>
      <c r="K6892" s="505"/>
      <c r="L6892" s="505"/>
      <c r="M6892" s="505"/>
      <c r="N6892" s="505"/>
      <c r="O6892" s="505"/>
      <c r="P6892" s="505"/>
      <c r="Q6892" s="505"/>
      <c r="R6892" s="505"/>
      <c r="S6892" s="505"/>
      <c r="T6892" s="505"/>
      <c r="U6892" s="505"/>
      <c r="V6892" s="505"/>
      <c r="W6892" s="505"/>
      <c r="X6892" s="505"/>
      <c r="Y6892" s="505"/>
    </row>
    <row r="6893" spans="1:25" s="88" customFormat="1" hidden="1" x14ac:dyDescent="0.25">
      <c r="A6893" s="258"/>
      <c r="B6893" s="258"/>
      <c r="C6893" s="261"/>
      <c r="D6893" s="258"/>
      <c r="E6893" s="679"/>
      <c r="F6893" s="499">
        <v>426</v>
      </c>
      <c r="G6893" s="492" t="s">
        <v>3787</v>
      </c>
      <c r="H6893" s="555"/>
      <c r="I6893" s="556"/>
      <c r="J6893" s="556">
        <f t="shared" si="228"/>
        <v>0</v>
      </c>
      <c r="K6893" s="505"/>
      <c r="L6893" s="505"/>
      <c r="M6893" s="505"/>
      <c r="N6893" s="505"/>
      <c r="O6893" s="505"/>
      <c r="P6893" s="505"/>
      <c r="Q6893" s="505"/>
      <c r="R6893" s="505"/>
      <c r="S6893" s="505"/>
      <c r="T6893" s="505"/>
      <c r="U6893" s="505"/>
      <c r="V6893" s="505"/>
      <c r="W6893" s="505"/>
      <c r="X6893" s="505"/>
      <c r="Y6893" s="505"/>
    </row>
    <row r="6894" spans="1:25" s="88" customFormat="1" hidden="1" x14ac:dyDescent="0.25">
      <c r="A6894" s="258"/>
      <c r="B6894" s="258"/>
      <c r="C6894" s="261"/>
      <c r="D6894" s="258"/>
      <c r="E6894" s="679"/>
      <c r="F6894" s="499">
        <v>431</v>
      </c>
      <c r="G6894" s="492" t="s">
        <v>4145</v>
      </c>
      <c r="H6894" s="555"/>
      <c r="I6894" s="556"/>
      <c r="J6894" s="556">
        <f t="shared" si="228"/>
        <v>0</v>
      </c>
      <c r="K6894" s="505"/>
      <c r="L6894" s="505"/>
      <c r="M6894" s="505"/>
      <c r="N6894" s="505"/>
      <c r="O6894" s="505"/>
      <c r="P6894" s="505"/>
      <c r="Q6894" s="505"/>
      <c r="R6894" s="505"/>
      <c r="S6894" s="505"/>
      <c r="T6894" s="505"/>
      <c r="U6894" s="505"/>
      <c r="V6894" s="505"/>
      <c r="W6894" s="505"/>
      <c r="X6894" s="505"/>
      <c r="Y6894" s="505"/>
    </row>
    <row r="6895" spans="1:25" s="88" customFormat="1" hidden="1" x14ac:dyDescent="0.25">
      <c r="A6895" s="258"/>
      <c r="B6895" s="258"/>
      <c r="C6895" s="261"/>
      <c r="D6895" s="258"/>
      <c r="E6895" s="679"/>
      <c r="F6895" s="499">
        <v>432</v>
      </c>
      <c r="G6895" s="492" t="s">
        <v>4146</v>
      </c>
      <c r="H6895" s="555"/>
      <c r="I6895" s="556"/>
      <c r="J6895" s="556">
        <f t="shared" si="228"/>
        <v>0</v>
      </c>
      <c r="K6895" s="505"/>
      <c r="L6895" s="505"/>
      <c r="M6895" s="505"/>
      <c r="N6895" s="505"/>
      <c r="O6895" s="505"/>
      <c r="P6895" s="505"/>
      <c r="Q6895" s="505"/>
      <c r="R6895" s="505"/>
      <c r="S6895" s="505"/>
      <c r="T6895" s="505"/>
      <c r="U6895" s="505"/>
      <c r="V6895" s="505"/>
      <c r="W6895" s="505"/>
      <c r="X6895" s="505"/>
      <c r="Y6895" s="505"/>
    </row>
    <row r="6896" spans="1:25" s="88" customFormat="1" hidden="1" x14ac:dyDescent="0.25">
      <c r="A6896" s="258"/>
      <c r="B6896" s="258"/>
      <c r="C6896" s="261"/>
      <c r="D6896" s="258"/>
      <c r="E6896" s="679"/>
      <c r="F6896" s="499">
        <v>433</v>
      </c>
      <c r="G6896" s="492" t="s">
        <v>4147</v>
      </c>
      <c r="H6896" s="555"/>
      <c r="I6896" s="556"/>
      <c r="J6896" s="556">
        <f t="shared" si="228"/>
        <v>0</v>
      </c>
      <c r="K6896" s="505"/>
      <c r="L6896" s="505"/>
      <c r="M6896" s="505"/>
      <c r="N6896" s="505"/>
      <c r="O6896" s="505"/>
      <c r="P6896" s="505"/>
      <c r="Q6896" s="505"/>
      <c r="R6896" s="505"/>
      <c r="S6896" s="505"/>
      <c r="T6896" s="505"/>
      <c r="U6896" s="505"/>
      <c r="V6896" s="505"/>
      <c r="W6896" s="505"/>
      <c r="X6896" s="505"/>
      <c r="Y6896" s="505"/>
    </row>
    <row r="6897" spans="1:25" s="88" customFormat="1" hidden="1" x14ac:dyDescent="0.25">
      <c r="A6897" s="258"/>
      <c r="B6897" s="258"/>
      <c r="C6897" s="261"/>
      <c r="D6897" s="258"/>
      <c r="E6897" s="679"/>
      <c r="F6897" s="499">
        <v>434</v>
      </c>
      <c r="G6897" s="492" t="s">
        <v>4148</v>
      </c>
      <c r="H6897" s="555"/>
      <c r="I6897" s="556"/>
      <c r="J6897" s="556">
        <f t="shared" si="228"/>
        <v>0</v>
      </c>
      <c r="K6897" s="505"/>
      <c r="L6897" s="505"/>
      <c r="M6897" s="505"/>
      <c r="N6897" s="505"/>
      <c r="O6897" s="505"/>
      <c r="P6897" s="505"/>
      <c r="Q6897" s="505"/>
      <c r="R6897" s="505"/>
      <c r="S6897" s="505"/>
      <c r="T6897" s="505"/>
      <c r="U6897" s="505"/>
      <c r="V6897" s="505"/>
      <c r="W6897" s="505"/>
      <c r="X6897" s="505"/>
      <c r="Y6897" s="505"/>
    </row>
    <row r="6898" spans="1:25" s="88" customFormat="1" hidden="1" x14ac:dyDescent="0.25">
      <c r="A6898" s="258"/>
      <c r="B6898" s="258"/>
      <c r="C6898" s="261"/>
      <c r="D6898" s="258"/>
      <c r="E6898" s="679"/>
      <c r="F6898" s="499">
        <v>435</v>
      </c>
      <c r="G6898" s="492" t="s">
        <v>3794</v>
      </c>
      <c r="H6898" s="555"/>
      <c r="I6898" s="556"/>
      <c r="J6898" s="556">
        <f t="shared" si="228"/>
        <v>0</v>
      </c>
      <c r="K6898" s="505"/>
      <c r="L6898" s="505"/>
      <c r="M6898" s="505"/>
      <c r="N6898" s="505"/>
      <c r="O6898" s="505"/>
      <c r="P6898" s="505"/>
      <c r="Q6898" s="505"/>
      <c r="R6898" s="505"/>
      <c r="S6898" s="505"/>
      <c r="T6898" s="505"/>
      <c r="U6898" s="505"/>
      <c r="V6898" s="505"/>
      <c r="W6898" s="505"/>
      <c r="X6898" s="505"/>
      <c r="Y6898" s="505"/>
    </row>
    <row r="6899" spans="1:25" s="88" customFormat="1" hidden="1" x14ac:dyDescent="0.25">
      <c r="A6899" s="258"/>
      <c r="B6899" s="258"/>
      <c r="C6899" s="261"/>
      <c r="D6899" s="258"/>
      <c r="E6899" s="679"/>
      <c r="F6899" s="499">
        <v>441</v>
      </c>
      <c r="G6899" s="492" t="s">
        <v>4149</v>
      </c>
      <c r="H6899" s="555"/>
      <c r="I6899" s="556"/>
      <c r="J6899" s="556">
        <f t="shared" si="228"/>
        <v>0</v>
      </c>
      <c r="K6899" s="505"/>
      <c r="L6899" s="505"/>
      <c r="M6899" s="505"/>
      <c r="N6899" s="505"/>
      <c r="O6899" s="505"/>
      <c r="P6899" s="505"/>
      <c r="Q6899" s="505"/>
      <c r="R6899" s="505"/>
      <c r="S6899" s="505"/>
      <c r="T6899" s="505"/>
      <c r="U6899" s="505"/>
      <c r="V6899" s="505"/>
      <c r="W6899" s="505"/>
      <c r="X6899" s="505"/>
      <c r="Y6899" s="505"/>
    </row>
    <row r="6900" spans="1:25" s="88" customFormat="1" hidden="1" x14ac:dyDescent="0.25">
      <c r="A6900" s="258"/>
      <c r="B6900" s="258"/>
      <c r="C6900" s="261"/>
      <c r="D6900" s="258"/>
      <c r="E6900" s="679"/>
      <c r="F6900" s="499">
        <v>442</v>
      </c>
      <c r="G6900" s="492" t="s">
        <v>4150</v>
      </c>
      <c r="H6900" s="555"/>
      <c r="I6900" s="556"/>
      <c r="J6900" s="556">
        <f t="shared" si="228"/>
        <v>0</v>
      </c>
      <c r="K6900" s="505"/>
      <c r="L6900" s="505"/>
      <c r="M6900" s="505"/>
      <c r="N6900" s="505"/>
      <c r="O6900" s="505"/>
      <c r="P6900" s="505"/>
      <c r="Q6900" s="505"/>
      <c r="R6900" s="505"/>
      <c r="S6900" s="505"/>
      <c r="T6900" s="505"/>
      <c r="U6900" s="505"/>
      <c r="V6900" s="505"/>
      <c r="W6900" s="505"/>
      <c r="X6900" s="505"/>
      <c r="Y6900" s="505"/>
    </row>
    <row r="6901" spans="1:25" s="88" customFormat="1" hidden="1" x14ac:dyDescent="0.25">
      <c r="A6901" s="258"/>
      <c r="B6901" s="258"/>
      <c r="C6901" s="261"/>
      <c r="D6901" s="258"/>
      <c r="E6901" s="679"/>
      <c r="F6901" s="499">
        <v>443</v>
      </c>
      <c r="G6901" s="492" t="s">
        <v>3799</v>
      </c>
      <c r="H6901" s="555"/>
      <c r="I6901" s="556"/>
      <c r="J6901" s="556">
        <f t="shared" si="228"/>
        <v>0</v>
      </c>
      <c r="K6901" s="505"/>
      <c r="L6901" s="505"/>
      <c r="M6901" s="505"/>
      <c r="N6901" s="505"/>
      <c r="O6901" s="505"/>
      <c r="P6901" s="505"/>
      <c r="Q6901" s="505"/>
      <c r="R6901" s="505"/>
      <c r="S6901" s="505"/>
      <c r="T6901" s="505"/>
      <c r="U6901" s="505"/>
      <c r="V6901" s="505"/>
      <c r="W6901" s="505"/>
      <c r="X6901" s="505"/>
      <c r="Y6901" s="505"/>
    </row>
    <row r="6902" spans="1:25" s="88" customFormat="1" hidden="1" x14ac:dyDescent="0.25">
      <c r="A6902" s="258"/>
      <c r="B6902" s="258"/>
      <c r="C6902" s="261"/>
      <c r="D6902" s="258"/>
      <c r="E6902" s="679"/>
      <c r="F6902" s="499">
        <v>444</v>
      </c>
      <c r="G6902" s="492" t="s">
        <v>3800</v>
      </c>
      <c r="H6902" s="555"/>
      <c r="I6902" s="556"/>
      <c r="J6902" s="556">
        <f t="shared" si="228"/>
        <v>0</v>
      </c>
      <c r="K6902" s="505"/>
      <c r="L6902" s="505"/>
      <c r="M6902" s="505"/>
      <c r="N6902" s="505"/>
      <c r="O6902" s="505"/>
      <c r="P6902" s="505"/>
      <c r="Q6902" s="505"/>
      <c r="R6902" s="505"/>
      <c r="S6902" s="505"/>
      <c r="T6902" s="505"/>
      <c r="U6902" s="505"/>
      <c r="V6902" s="505"/>
      <c r="W6902" s="505"/>
      <c r="X6902" s="505"/>
      <c r="Y6902" s="505"/>
    </row>
    <row r="6903" spans="1:25" s="88" customFormat="1" ht="30" hidden="1" x14ac:dyDescent="0.25">
      <c r="A6903" s="258"/>
      <c r="B6903" s="258"/>
      <c r="C6903" s="261"/>
      <c r="D6903" s="258"/>
      <c r="E6903" s="679"/>
      <c r="F6903" s="499">
        <v>4511</v>
      </c>
      <c r="G6903" s="776" t="s">
        <v>1690</v>
      </c>
      <c r="H6903" s="555"/>
      <c r="I6903" s="556"/>
      <c r="J6903" s="556">
        <f t="shared" si="228"/>
        <v>0</v>
      </c>
      <c r="K6903" s="505"/>
      <c r="L6903" s="505"/>
      <c r="M6903" s="505"/>
      <c r="N6903" s="505"/>
      <c r="O6903" s="505"/>
      <c r="P6903" s="505"/>
      <c r="Q6903" s="505"/>
      <c r="R6903" s="505"/>
      <c r="S6903" s="505"/>
      <c r="T6903" s="505"/>
      <c r="U6903" s="505"/>
      <c r="V6903" s="505"/>
      <c r="W6903" s="505"/>
      <c r="X6903" s="505"/>
      <c r="Y6903" s="505"/>
    </row>
    <row r="6904" spans="1:25" s="88" customFormat="1" ht="15" hidden="1" customHeight="1" x14ac:dyDescent="0.25">
      <c r="A6904" s="258"/>
      <c r="B6904" s="258"/>
      <c r="C6904" s="261"/>
      <c r="D6904" s="258"/>
      <c r="E6904" s="679">
        <v>69</v>
      </c>
      <c r="F6904" s="691">
        <v>511</v>
      </c>
      <c r="G6904" s="775" t="s">
        <v>5208</v>
      </c>
      <c r="H6904" s="555">
        <v>0</v>
      </c>
      <c r="I6904" s="556"/>
      <c r="J6904" s="556">
        <f t="shared" si="228"/>
        <v>0</v>
      </c>
      <c r="K6904" s="505"/>
      <c r="L6904" s="505"/>
      <c r="M6904" s="505"/>
      <c r="N6904" s="505"/>
      <c r="O6904" s="505"/>
      <c r="P6904" s="505"/>
      <c r="Q6904" s="505"/>
      <c r="R6904" s="505"/>
      <c r="S6904" s="505"/>
      <c r="T6904" s="505"/>
      <c r="U6904" s="505"/>
      <c r="V6904" s="505"/>
      <c r="W6904" s="505"/>
      <c r="X6904" s="505"/>
      <c r="Y6904" s="505"/>
    </row>
    <row r="6905" spans="1:25" s="88" customFormat="1" hidden="1" x14ac:dyDescent="0.25">
      <c r="A6905" s="258"/>
      <c r="B6905" s="258"/>
      <c r="C6905" s="261"/>
      <c r="D6905" s="258"/>
      <c r="E6905" s="679"/>
      <c r="F6905" s="499">
        <v>452</v>
      </c>
      <c r="G6905" s="492" t="s">
        <v>4151</v>
      </c>
      <c r="H6905" s="555"/>
      <c r="I6905" s="556"/>
      <c r="J6905" s="556">
        <f t="shared" si="228"/>
        <v>0</v>
      </c>
      <c r="K6905" s="505"/>
      <c r="L6905" s="505"/>
      <c r="M6905" s="505"/>
      <c r="N6905" s="505"/>
      <c r="O6905" s="505"/>
      <c r="P6905" s="505"/>
      <c r="Q6905" s="505"/>
      <c r="R6905" s="505"/>
      <c r="S6905" s="505"/>
      <c r="T6905" s="505"/>
      <c r="U6905" s="505"/>
      <c r="V6905" s="505"/>
      <c r="W6905" s="505"/>
      <c r="X6905" s="505"/>
      <c r="Y6905" s="505"/>
    </row>
    <row r="6906" spans="1:25" s="88" customFormat="1" hidden="1" x14ac:dyDescent="0.25">
      <c r="A6906" s="258"/>
      <c r="B6906" s="258"/>
      <c r="C6906" s="261"/>
      <c r="D6906" s="258"/>
      <c r="E6906" s="679"/>
      <c r="F6906" s="499">
        <v>453</v>
      </c>
      <c r="G6906" s="492" t="s">
        <v>4152</v>
      </c>
      <c r="H6906" s="555"/>
      <c r="I6906" s="556"/>
      <c r="J6906" s="556">
        <f t="shared" si="228"/>
        <v>0</v>
      </c>
      <c r="K6906" s="505"/>
      <c r="L6906" s="505"/>
      <c r="M6906" s="505"/>
      <c r="N6906" s="505"/>
      <c r="O6906" s="505"/>
      <c r="P6906" s="505"/>
      <c r="Q6906" s="505"/>
      <c r="R6906" s="505"/>
      <c r="S6906" s="505"/>
      <c r="T6906" s="505"/>
      <c r="U6906" s="505"/>
      <c r="V6906" s="505"/>
      <c r="W6906" s="505"/>
      <c r="X6906" s="505"/>
      <c r="Y6906" s="505"/>
    </row>
    <row r="6907" spans="1:25" s="88" customFormat="1" hidden="1" x14ac:dyDescent="0.25">
      <c r="A6907" s="258"/>
      <c r="B6907" s="258"/>
      <c r="C6907" s="261"/>
      <c r="D6907" s="258"/>
      <c r="E6907" s="679"/>
      <c r="F6907" s="499">
        <v>454</v>
      </c>
      <c r="G6907" s="492" t="s">
        <v>3805</v>
      </c>
      <c r="H6907" s="555"/>
      <c r="I6907" s="556"/>
      <c r="J6907" s="556">
        <f t="shared" si="228"/>
        <v>0</v>
      </c>
      <c r="K6907" s="505"/>
      <c r="L6907" s="505"/>
      <c r="M6907" s="505"/>
      <c r="N6907" s="505"/>
      <c r="O6907" s="505"/>
      <c r="P6907" s="505"/>
      <c r="Q6907" s="505"/>
      <c r="R6907" s="505"/>
      <c r="S6907" s="505"/>
      <c r="T6907" s="505"/>
      <c r="U6907" s="505"/>
      <c r="V6907" s="505"/>
      <c r="W6907" s="505"/>
      <c r="X6907" s="505"/>
      <c r="Y6907" s="505"/>
    </row>
    <row r="6908" spans="1:25" s="88" customFormat="1" hidden="1" x14ac:dyDescent="0.25">
      <c r="A6908" s="258"/>
      <c r="B6908" s="258"/>
      <c r="C6908" s="261"/>
      <c r="D6908" s="258"/>
      <c r="E6908" s="679"/>
      <c r="F6908" s="499">
        <v>461</v>
      </c>
      <c r="G6908" s="492" t="s">
        <v>4133</v>
      </c>
      <c r="H6908" s="555"/>
      <c r="I6908" s="556"/>
      <c r="J6908" s="556">
        <f t="shared" si="228"/>
        <v>0</v>
      </c>
      <c r="K6908" s="505"/>
      <c r="L6908" s="505"/>
      <c r="M6908" s="505"/>
      <c r="N6908" s="505"/>
      <c r="O6908" s="505"/>
      <c r="P6908" s="505"/>
      <c r="Q6908" s="505"/>
      <c r="R6908" s="505"/>
      <c r="S6908" s="505"/>
      <c r="T6908" s="505"/>
      <c r="U6908" s="505"/>
      <c r="V6908" s="505"/>
      <c r="W6908" s="505"/>
      <c r="X6908" s="505"/>
      <c r="Y6908" s="505"/>
    </row>
    <row r="6909" spans="1:25" s="88" customFormat="1" hidden="1" x14ac:dyDescent="0.25">
      <c r="A6909" s="258"/>
      <c r="B6909" s="258"/>
      <c r="C6909" s="261"/>
      <c r="D6909" s="258"/>
      <c r="E6909" s="679"/>
      <c r="F6909" s="499">
        <v>462</v>
      </c>
      <c r="G6909" s="492" t="s">
        <v>3808</v>
      </c>
      <c r="H6909" s="555"/>
      <c r="I6909" s="556"/>
      <c r="J6909" s="556">
        <f t="shared" si="228"/>
        <v>0</v>
      </c>
      <c r="K6909" s="505"/>
      <c r="L6909" s="505"/>
      <c r="M6909" s="505"/>
      <c r="N6909" s="505"/>
      <c r="O6909" s="505"/>
      <c r="P6909" s="505"/>
      <c r="Q6909" s="505"/>
      <c r="R6909" s="505"/>
      <c r="S6909" s="505"/>
      <c r="T6909" s="505"/>
      <c r="U6909" s="505"/>
      <c r="V6909" s="505"/>
      <c r="W6909" s="505"/>
      <c r="X6909" s="505"/>
      <c r="Y6909" s="505"/>
    </row>
    <row r="6910" spans="1:25" s="88" customFormat="1" hidden="1" x14ac:dyDescent="0.25">
      <c r="A6910" s="258"/>
      <c r="B6910" s="258"/>
      <c r="C6910" s="261"/>
      <c r="D6910" s="258"/>
      <c r="E6910" s="679"/>
      <c r="F6910" s="499">
        <v>4631</v>
      </c>
      <c r="G6910" s="492" t="s">
        <v>3809</v>
      </c>
      <c r="H6910" s="555"/>
      <c r="I6910" s="556"/>
      <c r="J6910" s="556">
        <f t="shared" si="228"/>
        <v>0</v>
      </c>
      <c r="K6910" s="505"/>
      <c r="L6910" s="505"/>
      <c r="M6910" s="505"/>
      <c r="N6910" s="505"/>
      <c r="O6910" s="505"/>
      <c r="P6910" s="505"/>
      <c r="Q6910" s="505"/>
      <c r="R6910" s="505"/>
      <c r="S6910" s="505"/>
      <c r="T6910" s="505"/>
      <c r="U6910" s="505"/>
      <c r="V6910" s="505"/>
      <c r="W6910" s="505"/>
      <c r="X6910" s="505"/>
      <c r="Y6910" s="505"/>
    </row>
    <row r="6911" spans="1:25" s="88" customFormat="1" hidden="1" x14ac:dyDescent="0.25">
      <c r="A6911" s="258"/>
      <c r="B6911" s="258"/>
      <c r="C6911" s="261"/>
      <c r="D6911" s="258"/>
      <c r="E6911" s="679"/>
      <c r="F6911" s="499">
        <v>4632</v>
      </c>
      <c r="G6911" s="492" t="s">
        <v>3810</v>
      </c>
      <c r="H6911" s="555"/>
      <c r="I6911" s="556"/>
      <c r="J6911" s="556">
        <f t="shared" si="228"/>
        <v>0</v>
      </c>
      <c r="K6911" s="505"/>
      <c r="L6911" s="505"/>
      <c r="M6911" s="505"/>
      <c r="N6911" s="505"/>
      <c r="O6911" s="505"/>
      <c r="P6911" s="505"/>
      <c r="Q6911" s="505"/>
      <c r="R6911" s="505"/>
      <c r="S6911" s="505"/>
      <c r="T6911" s="505"/>
      <c r="U6911" s="505"/>
      <c r="V6911" s="505"/>
      <c r="W6911" s="505"/>
      <c r="X6911" s="505"/>
      <c r="Y6911" s="505"/>
    </row>
    <row r="6912" spans="1:25" s="88" customFormat="1" hidden="1" x14ac:dyDescent="0.25">
      <c r="A6912" s="258"/>
      <c r="B6912" s="258"/>
      <c r="C6912" s="261"/>
      <c r="D6912" s="258"/>
      <c r="E6912" s="679"/>
      <c r="F6912" s="499">
        <v>464</v>
      </c>
      <c r="G6912" s="492" t="s">
        <v>3811</v>
      </c>
      <c r="H6912" s="555"/>
      <c r="I6912" s="556"/>
      <c r="J6912" s="556">
        <f t="shared" si="228"/>
        <v>0</v>
      </c>
      <c r="K6912" s="505"/>
      <c r="L6912" s="505"/>
      <c r="M6912" s="505"/>
      <c r="N6912" s="505"/>
      <c r="O6912" s="505"/>
      <c r="P6912" s="505"/>
      <c r="Q6912" s="505"/>
      <c r="R6912" s="505"/>
      <c r="S6912" s="505"/>
      <c r="T6912" s="505"/>
      <c r="U6912" s="505"/>
      <c r="V6912" s="505"/>
      <c r="W6912" s="505"/>
      <c r="X6912" s="505"/>
      <c r="Y6912" s="505"/>
    </row>
    <row r="6913" spans="1:25" s="88" customFormat="1" hidden="1" x14ac:dyDescent="0.25">
      <c r="A6913" s="258"/>
      <c r="B6913" s="258"/>
      <c r="C6913" s="261"/>
      <c r="D6913" s="258"/>
      <c r="E6913" s="679"/>
      <c r="F6913" s="499">
        <v>465</v>
      </c>
      <c r="G6913" s="492" t="s">
        <v>4134</v>
      </c>
      <c r="H6913" s="555"/>
      <c r="I6913" s="556"/>
      <c r="J6913" s="556">
        <f t="shared" si="228"/>
        <v>0</v>
      </c>
      <c r="K6913" s="505"/>
      <c r="L6913" s="505"/>
      <c r="M6913" s="505"/>
      <c r="N6913" s="505"/>
      <c r="O6913" s="505"/>
      <c r="P6913" s="505"/>
      <c r="Q6913" s="505"/>
      <c r="R6913" s="505"/>
      <c r="S6913" s="505"/>
      <c r="T6913" s="505"/>
      <c r="U6913" s="505"/>
      <c r="V6913" s="505"/>
      <c r="W6913" s="505"/>
      <c r="X6913" s="505"/>
      <c r="Y6913" s="505"/>
    </row>
    <row r="6914" spans="1:25" s="88" customFormat="1" hidden="1" x14ac:dyDescent="0.25">
      <c r="A6914" s="258"/>
      <c r="B6914" s="258"/>
      <c r="C6914" s="261"/>
      <c r="D6914" s="258"/>
      <c r="E6914" s="679"/>
      <c r="F6914" s="499">
        <v>472</v>
      </c>
      <c r="G6914" s="492" t="s">
        <v>3815</v>
      </c>
      <c r="H6914" s="555"/>
      <c r="I6914" s="556"/>
      <c r="J6914" s="556">
        <f t="shared" si="228"/>
        <v>0</v>
      </c>
      <c r="K6914" s="505"/>
      <c r="L6914" s="505"/>
      <c r="M6914" s="505"/>
      <c r="N6914" s="505"/>
      <c r="O6914" s="505"/>
      <c r="P6914" s="505"/>
      <c r="Q6914" s="505"/>
      <c r="R6914" s="505"/>
      <c r="S6914" s="505"/>
      <c r="T6914" s="505"/>
      <c r="U6914" s="505"/>
      <c r="V6914" s="505"/>
      <c r="W6914" s="505"/>
      <c r="X6914" s="505"/>
      <c r="Y6914" s="505"/>
    </row>
    <row r="6915" spans="1:25" s="88" customFormat="1" hidden="1" x14ac:dyDescent="0.25">
      <c r="A6915" s="258"/>
      <c r="B6915" s="258"/>
      <c r="C6915" s="261"/>
      <c r="D6915" s="258"/>
      <c r="E6915" s="679"/>
      <c r="F6915" s="499">
        <v>481</v>
      </c>
      <c r="G6915" s="492" t="s">
        <v>4153</v>
      </c>
      <c r="H6915" s="555"/>
      <c r="I6915" s="556"/>
      <c r="J6915" s="556">
        <f t="shared" si="228"/>
        <v>0</v>
      </c>
      <c r="K6915" s="505"/>
      <c r="L6915" s="505"/>
      <c r="M6915" s="505"/>
      <c r="N6915" s="505"/>
      <c r="O6915" s="505"/>
      <c r="P6915" s="505"/>
      <c r="Q6915" s="505"/>
      <c r="R6915" s="505"/>
      <c r="S6915" s="505"/>
      <c r="T6915" s="505"/>
      <c r="U6915" s="505"/>
      <c r="V6915" s="505"/>
      <c r="W6915" s="505"/>
      <c r="X6915" s="505"/>
      <c r="Y6915" s="505"/>
    </row>
    <row r="6916" spans="1:25" s="88" customFormat="1" hidden="1" x14ac:dyDescent="0.25">
      <c r="A6916" s="258"/>
      <c r="B6916" s="258"/>
      <c r="C6916" s="261"/>
      <c r="D6916" s="258"/>
      <c r="E6916" s="679"/>
      <c r="F6916" s="499">
        <v>482</v>
      </c>
      <c r="G6916" s="492" t="s">
        <v>4154</v>
      </c>
      <c r="H6916" s="555"/>
      <c r="I6916" s="556"/>
      <c r="J6916" s="556">
        <f t="shared" si="228"/>
        <v>0</v>
      </c>
      <c r="K6916" s="505"/>
      <c r="L6916" s="505"/>
      <c r="M6916" s="505"/>
      <c r="N6916" s="505"/>
      <c r="O6916" s="505"/>
      <c r="P6916" s="505"/>
      <c r="Q6916" s="505"/>
      <c r="R6916" s="505"/>
      <c r="S6916" s="505"/>
      <c r="T6916" s="505"/>
      <c r="U6916" s="505"/>
      <c r="V6916" s="505"/>
      <c r="W6916" s="505"/>
      <c r="X6916" s="505"/>
      <c r="Y6916" s="505"/>
    </row>
    <row r="6917" spans="1:25" s="88" customFormat="1" hidden="1" x14ac:dyDescent="0.25">
      <c r="A6917" s="258"/>
      <c r="B6917" s="258"/>
      <c r="C6917" s="261"/>
      <c r="D6917" s="258"/>
      <c r="E6917" s="679"/>
      <c r="F6917" s="499">
        <v>483</v>
      </c>
      <c r="G6917" s="496" t="s">
        <v>4155</v>
      </c>
      <c r="H6917" s="555"/>
      <c r="I6917" s="556"/>
      <c r="J6917" s="556">
        <f t="shared" si="228"/>
        <v>0</v>
      </c>
      <c r="K6917" s="505"/>
      <c r="L6917" s="505"/>
      <c r="M6917" s="505"/>
      <c r="N6917" s="505"/>
      <c r="O6917" s="505"/>
      <c r="P6917" s="505"/>
      <c r="Q6917" s="505"/>
      <c r="R6917" s="505"/>
      <c r="S6917" s="505"/>
      <c r="T6917" s="505"/>
      <c r="U6917" s="505"/>
      <c r="V6917" s="505"/>
      <c r="W6917" s="505"/>
      <c r="X6917" s="505"/>
      <c r="Y6917" s="505"/>
    </row>
    <row r="6918" spans="1:25" s="88" customFormat="1" ht="30" hidden="1" x14ac:dyDescent="0.25">
      <c r="A6918" s="258"/>
      <c r="B6918" s="258"/>
      <c r="C6918" s="261"/>
      <c r="D6918" s="258"/>
      <c r="E6918" s="679"/>
      <c r="F6918" s="499">
        <v>484</v>
      </c>
      <c r="G6918" s="492" t="s">
        <v>4156</v>
      </c>
      <c r="H6918" s="555"/>
      <c r="I6918" s="556"/>
      <c r="J6918" s="556">
        <f t="shared" si="228"/>
        <v>0</v>
      </c>
      <c r="K6918" s="505"/>
      <c r="L6918" s="505"/>
      <c r="M6918" s="505"/>
      <c r="N6918" s="505"/>
      <c r="O6918" s="505"/>
      <c r="P6918" s="505"/>
      <c r="Q6918" s="505"/>
      <c r="R6918" s="505"/>
      <c r="S6918" s="505"/>
      <c r="T6918" s="505"/>
      <c r="U6918" s="505"/>
      <c r="V6918" s="505"/>
      <c r="W6918" s="505"/>
      <c r="X6918" s="505"/>
      <c r="Y6918" s="505"/>
    </row>
    <row r="6919" spans="1:25" s="88" customFormat="1" ht="30" hidden="1" x14ac:dyDescent="0.25">
      <c r="A6919" s="258"/>
      <c r="B6919" s="258"/>
      <c r="C6919" s="261"/>
      <c r="D6919" s="258"/>
      <c r="E6919" s="679"/>
      <c r="F6919" s="499">
        <v>485</v>
      </c>
      <c r="G6919" s="492" t="s">
        <v>4157</v>
      </c>
      <c r="H6919" s="555"/>
      <c r="I6919" s="556"/>
      <c r="J6919" s="556">
        <f t="shared" si="228"/>
        <v>0</v>
      </c>
      <c r="K6919" s="505"/>
      <c r="L6919" s="505"/>
      <c r="M6919" s="505"/>
      <c r="N6919" s="505"/>
      <c r="O6919" s="505"/>
      <c r="P6919" s="505"/>
      <c r="Q6919" s="505"/>
      <c r="R6919" s="505"/>
      <c r="S6919" s="505"/>
      <c r="T6919" s="505"/>
      <c r="U6919" s="505"/>
      <c r="V6919" s="505"/>
      <c r="W6919" s="505"/>
      <c r="X6919" s="505"/>
      <c r="Y6919" s="505"/>
    </row>
    <row r="6920" spans="1:25" s="88" customFormat="1" ht="30" hidden="1" x14ac:dyDescent="0.25">
      <c r="A6920" s="258"/>
      <c r="B6920" s="258"/>
      <c r="C6920" s="261"/>
      <c r="D6920" s="258"/>
      <c r="E6920" s="679"/>
      <c r="F6920" s="499">
        <v>489</v>
      </c>
      <c r="G6920" s="492" t="s">
        <v>3823</v>
      </c>
      <c r="H6920" s="555"/>
      <c r="I6920" s="556"/>
      <c r="J6920" s="556">
        <f t="shared" si="228"/>
        <v>0</v>
      </c>
      <c r="K6920" s="505"/>
      <c r="L6920" s="505"/>
      <c r="M6920" s="505"/>
      <c r="N6920" s="505"/>
      <c r="O6920" s="505"/>
      <c r="P6920" s="505"/>
      <c r="Q6920" s="505"/>
      <c r="R6920" s="505"/>
      <c r="S6920" s="505"/>
      <c r="T6920" s="505"/>
      <c r="U6920" s="505"/>
      <c r="V6920" s="505"/>
      <c r="W6920" s="505"/>
      <c r="X6920" s="505"/>
      <c r="Y6920" s="505"/>
    </row>
    <row r="6921" spans="1:25" s="88" customFormat="1" hidden="1" x14ac:dyDescent="0.25">
      <c r="A6921" s="258"/>
      <c r="B6921" s="258"/>
      <c r="C6921" s="261"/>
      <c r="D6921" s="258"/>
      <c r="E6921" s="679"/>
      <c r="F6921" s="499">
        <v>494</v>
      </c>
      <c r="G6921" s="492" t="s">
        <v>4135</v>
      </c>
      <c r="H6921" s="555"/>
      <c r="I6921" s="556"/>
      <c r="J6921" s="556">
        <f t="shared" si="228"/>
        <v>0</v>
      </c>
      <c r="K6921" s="505"/>
      <c r="L6921" s="505"/>
      <c r="M6921" s="505"/>
      <c r="N6921" s="505"/>
      <c r="O6921" s="505"/>
      <c r="P6921" s="505"/>
      <c r="Q6921" s="505"/>
      <c r="R6921" s="505"/>
      <c r="S6921" s="505"/>
      <c r="T6921" s="505"/>
      <c r="U6921" s="505"/>
      <c r="V6921" s="505"/>
      <c r="W6921" s="505"/>
      <c r="X6921" s="505"/>
      <c r="Y6921" s="505"/>
    </row>
    <row r="6922" spans="1:25" s="88" customFormat="1" ht="30" hidden="1" x14ac:dyDescent="0.25">
      <c r="A6922" s="258"/>
      <c r="B6922" s="258"/>
      <c r="C6922" s="261"/>
      <c r="D6922" s="258"/>
      <c r="E6922" s="679"/>
      <c r="F6922" s="499">
        <v>495</v>
      </c>
      <c r="G6922" s="492" t="s">
        <v>4136</v>
      </c>
      <c r="H6922" s="555"/>
      <c r="I6922" s="556"/>
      <c r="J6922" s="556">
        <f t="shared" si="228"/>
        <v>0</v>
      </c>
      <c r="K6922" s="505"/>
      <c r="L6922" s="505"/>
      <c r="M6922" s="505"/>
      <c r="N6922" s="505"/>
      <c r="O6922" s="505"/>
      <c r="P6922" s="505"/>
      <c r="Q6922" s="505"/>
      <c r="R6922" s="505"/>
      <c r="S6922" s="505"/>
      <c r="T6922" s="505"/>
      <c r="U6922" s="505"/>
      <c r="V6922" s="505"/>
      <c r="W6922" s="505"/>
      <c r="X6922" s="505"/>
      <c r="Y6922" s="505"/>
    </row>
    <row r="6923" spans="1:25" s="88" customFormat="1" ht="30" hidden="1" x14ac:dyDescent="0.25">
      <c r="A6923" s="258"/>
      <c r="B6923" s="258"/>
      <c r="C6923" s="261"/>
      <c r="D6923" s="258"/>
      <c r="E6923" s="679"/>
      <c r="F6923" s="499">
        <v>496</v>
      </c>
      <c r="G6923" s="492" t="s">
        <v>4137</v>
      </c>
      <c r="H6923" s="555"/>
      <c r="I6923" s="556"/>
      <c r="J6923" s="556">
        <f t="shared" si="228"/>
        <v>0</v>
      </c>
      <c r="K6923" s="505"/>
      <c r="L6923" s="505"/>
      <c r="M6923" s="505"/>
      <c r="N6923" s="505"/>
      <c r="O6923" s="505"/>
      <c r="P6923" s="505"/>
      <c r="Q6923" s="505"/>
      <c r="R6923" s="505"/>
      <c r="S6923" s="505"/>
      <c r="T6923" s="505"/>
      <c r="U6923" s="505"/>
      <c r="V6923" s="505"/>
      <c r="W6923" s="505"/>
      <c r="X6923" s="505"/>
      <c r="Y6923" s="505"/>
    </row>
    <row r="6924" spans="1:25" s="88" customFormat="1" ht="30" hidden="1" x14ac:dyDescent="0.25">
      <c r="A6924" s="258"/>
      <c r="B6924" s="258"/>
      <c r="C6924" s="261"/>
      <c r="D6924" s="258"/>
      <c r="E6924" s="679"/>
      <c r="F6924" s="499">
        <v>499</v>
      </c>
      <c r="G6924" s="492" t="s">
        <v>4138</v>
      </c>
      <c r="H6924" s="555"/>
      <c r="I6924" s="556"/>
      <c r="J6924" s="556">
        <f t="shared" si="228"/>
        <v>0</v>
      </c>
      <c r="K6924" s="505"/>
      <c r="L6924" s="505"/>
      <c r="M6924" s="505"/>
      <c r="N6924" s="505"/>
      <c r="O6924" s="505"/>
      <c r="P6924" s="505"/>
      <c r="Q6924" s="505"/>
      <c r="R6924" s="505"/>
      <c r="S6924" s="505"/>
      <c r="T6924" s="505"/>
      <c r="U6924" s="505"/>
      <c r="V6924" s="505"/>
      <c r="W6924" s="505"/>
      <c r="X6924" s="505"/>
      <c r="Y6924" s="505"/>
    </row>
    <row r="6925" spans="1:25" s="88" customFormat="1" hidden="1" x14ac:dyDescent="0.25">
      <c r="A6925" s="258"/>
      <c r="B6925" s="258"/>
      <c r="C6925" s="261"/>
      <c r="D6925" s="258"/>
      <c r="E6925" s="679"/>
      <c r="F6925" s="499">
        <v>511</v>
      </c>
      <c r="G6925" s="496" t="s">
        <v>4158</v>
      </c>
      <c r="H6925" s="555">
        <v>0</v>
      </c>
      <c r="I6925" s="556"/>
      <c r="J6925" s="556">
        <f t="shared" si="228"/>
        <v>0</v>
      </c>
      <c r="K6925" s="505"/>
      <c r="L6925" s="505"/>
      <c r="M6925" s="505"/>
      <c r="N6925" s="505"/>
      <c r="O6925" s="505"/>
      <c r="P6925" s="505"/>
      <c r="Q6925" s="505"/>
      <c r="R6925" s="505"/>
      <c r="S6925" s="505"/>
      <c r="T6925" s="505"/>
      <c r="U6925" s="505"/>
      <c r="V6925" s="505"/>
      <c r="W6925" s="505"/>
      <c r="X6925" s="505"/>
      <c r="Y6925" s="505"/>
    </row>
    <row r="6926" spans="1:25" s="88" customFormat="1" hidden="1" x14ac:dyDescent="0.25">
      <c r="A6926" s="258"/>
      <c r="B6926" s="258"/>
      <c r="C6926" s="261"/>
      <c r="D6926" s="258"/>
      <c r="E6926" s="679"/>
      <c r="F6926" s="499">
        <v>512</v>
      </c>
      <c r="G6926" s="496" t="s">
        <v>4159</v>
      </c>
      <c r="H6926" s="555">
        <v>0</v>
      </c>
      <c r="I6926" s="556"/>
      <c r="J6926" s="556">
        <f t="shared" si="228"/>
        <v>0</v>
      </c>
      <c r="K6926" s="505"/>
      <c r="L6926" s="505"/>
      <c r="M6926" s="505"/>
      <c r="N6926" s="505"/>
      <c r="O6926" s="505"/>
      <c r="P6926" s="505"/>
      <c r="Q6926" s="505"/>
      <c r="R6926" s="505"/>
      <c r="S6926" s="505"/>
      <c r="T6926" s="505"/>
      <c r="U6926" s="505"/>
      <c r="V6926" s="505"/>
      <c r="W6926" s="505"/>
      <c r="X6926" s="505"/>
      <c r="Y6926" s="505"/>
    </row>
    <row r="6927" spans="1:25" s="88" customFormat="1" hidden="1" x14ac:dyDescent="0.25">
      <c r="A6927" s="258"/>
      <c r="B6927" s="258"/>
      <c r="C6927" s="261"/>
      <c r="D6927" s="258"/>
      <c r="E6927" s="679"/>
      <c r="F6927" s="499">
        <v>513</v>
      </c>
      <c r="G6927" s="496" t="s">
        <v>4160</v>
      </c>
      <c r="H6927" s="555"/>
      <c r="I6927" s="556"/>
      <c r="J6927" s="556">
        <f t="shared" si="228"/>
        <v>0</v>
      </c>
      <c r="K6927" s="505"/>
      <c r="L6927" s="505"/>
      <c r="M6927" s="505"/>
      <c r="N6927" s="505"/>
      <c r="O6927" s="505"/>
      <c r="P6927" s="505"/>
      <c r="Q6927" s="505"/>
      <c r="R6927" s="505"/>
      <c r="S6927" s="505"/>
      <c r="T6927" s="505"/>
      <c r="U6927" s="505"/>
      <c r="V6927" s="505"/>
      <c r="W6927" s="505"/>
      <c r="X6927" s="505"/>
      <c r="Y6927" s="505"/>
    </row>
    <row r="6928" spans="1:25" s="88" customFormat="1" hidden="1" x14ac:dyDescent="0.25">
      <c r="A6928" s="258"/>
      <c r="B6928" s="258"/>
      <c r="C6928" s="261"/>
      <c r="D6928" s="258"/>
      <c r="E6928" s="679"/>
      <c r="F6928" s="499">
        <v>514</v>
      </c>
      <c r="G6928" s="492" t="s">
        <v>4161</v>
      </c>
      <c r="H6928" s="555"/>
      <c r="I6928" s="556"/>
      <c r="J6928" s="556">
        <f t="shared" si="228"/>
        <v>0</v>
      </c>
      <c r="K6928" s="505"/>
      <c r="L6928" s="505"/>
      <c r="M6928" s="505"/>
      <c r="N6928" s="505"/>
      <c r="O6928" s="505"/>
      <c r="P6928" s="505"/>
      <c r="Q6928" s="505"/>
      <c r="R6928" s="505"/>
      <c r="S6928" s="505"/>
      <c r="T6928" s="505"/>
      <c r="U6928" s="505"/>
      <c r="V6928" s="505"/>
      <c r="W6928" s="505"/>
      <c r="X6928" s="505"/>
      <c r="Y6928" s="505"/>
    </row>
    <row r="6929" spans="1:25" s="88" customFormat="1" hidden="1" x14ac:dyDescent="0.25">
      <c r="A6929" s="258"/>
      <c r="B6929" s="258"/>
      <c r="C6929" s="261"/>
      <c r="D6929" s="258"/>
      <c r="E6929" s="679"/>
      <c r="F6929" s="499">
        <v>515</v>
      </c>
      <c r="G6929" s="492" t="s">
        <v>3834</v>
      </c>
      <c r="H6929" s="555"/>
      <c r="I6929" s="556"/>
      <c r="J6929" s="556">
        <f t="shared" si="228"/>
        <v>0</v>
      </c>
      <c r="K6929" s="505"/>
      <c r="L6929" s="505"/>
      <c r="M6929" s="505"/>
      <c r="N6929" s="505"/>
      <c r="O6929" s="505"/>
      <c r="P6929" s="505"/>
      <c r="Q6929" s="505"/>
      <c r="R6929" s="505"/>
      <c r="S6929" s="505"/>
      <c r="T6929" s="505"/>
      <c r="U6929" s="505"/>
      <c r="V6929" s="505"/>
      <c r="W6929" s="505"/>
      <c r="X6929" s="505"/>
      <c r="Y6929" s="505"/>
    </row>
    <row r="6930" spans="1:25" s="88" customFormat="1" hidden="1" x14ac:dyDescent="0.25">
      <c r="A6930" s="258"/>
      <c r="B6930" s="258"/>
      <c r="C6930" s="261"/>
      <c r="D6930" s="258"/>
      <c r="E6930" s="679"/>
      <c r="F6930" s="499">
        <v>521</v>
      </c>
      <c r="G6930" s="492" t="s">
        <v>4162</v>
      </c>
      <c r="H6930" s="555"/>
      <c r="I6930" s="556"/>
      <c r="J6930" s="556">
        <f t="shared" si="228"/>
        <v>0</v>
      </c>
      <c r="K6930" s="505"/>
      <c r="L6930" s="505"/>
      <c r="M6930" s="505"/>
      <c r="N6930" s="505"/>
      <c r="O6930" s="505"/>
      <c r="P6930" s="505"/>
      <c r="Q6930" s="505"/>
      <c r="R6930" s="505"/>
      <c r="S6930" s="505"/>
      <c r="T6930" s="505"/>
      <c r="U6930" s="505"/>
      <c r="V6930" s="505"/>
      <c r="W6930" s="505"/>
      <c r="X6930" s="505"/>
      <c r="Y6930" s="505"/>
    </row>
    <row r="6931" spans="1:25" s="88" customFormat="1" hidden="1" x14ac:dyDescent="0.25">
      <c r="A6931" s="258"/>
      <c r="B6931" s="258"/>
      <c r="C6931" s="261"/>
      <c r="D6931" s="258"/>
      <c r="E6931" s="679"/>
      <c r="F6931" s="499">
        <v>522</v>
      </c>
      <c r="G6931" s="492" t="s">
        <v>4163</v>
      </c>
      <c r="H6931" s="555"/>
      <c r="I6931" s="556"/>
      <c r="J6931" s="556">
        <f t="shared" si="228"/>
        <v>0</v>
      </c>
      <c r="K6931" s="505"/>
      <c r="L6931" s="505"/>
      <c r="M6931" s="505"/>
      <c r="N6931" s="505"/>
      <c r="O6931" s="505"/>
      <c r="P6931" s="505"/>
      <c r="Q6931" s="505"/>
      <c r="R6931" s="505"/>
      <c r="S6931" s="505"/>
      <c r="T6931" s="505"/>
      <c r="U6931" s="505"/>
      <c r="V6931" s="505"/>
      <c r="W6931" s="505"/>
      <c r="X6931" s="505"/>
      <c r="Y6931" s="505"/>
    </row>
    <row r="6932" spans="1:25" s="88" customFormat="1" hidden="1" x14ac:dyDescent="0.25">
      <c r="A6932" s="258"/>
      <c r="B6932" s="258"/>
      <c r="C6932" s="261"/>
      <c r="D6932" s="258"/>
      <c r="E6932" s="679"/>
      <c r="F6932" s="499">
        <v>523</v>
      </c>
      <c r="G6932" s="492" t="s">
        <v>3839</v>
      </c>
      <c r="H6932" s="555"/>
      <c r="I6932" s="556"/>
      <c r="J6932" s="556">
        <f t="shared" si="228"/>
        <v>0</v>
      </c>
      <c r="K6932" s="505"/>
      <c r="L6932" s="505"/>
      <c r="M6932" s="505"/>
      <c r="N6932" s="505"/>
      <c r="O6932" s="505"/>
      <c r="P6932" s="505"/>
      <c r="Q6932" s="505"/>
      <c r="R6932" s="505"/>
      <c r="S6932" s="505"/>
      <c r="T6932" s="505"/>
      <c r="U6932" s="505"/>
      <c r="V6932" s="505"/>
      <c r="W6932" s="505"/>
      <c r="X6932" s="505"/>
      <c r="Y6932" s="505"/>
    </row>
    <row r="6933" spans="1:25" s="88" customFormat="1" hidden="1" x14ac:dyDescent="0.25">
      <c r="A6933" s="258"/>
      <c r="B6933" s="258"/>
      <c r="C6933" s="261"/>
      <c r="D6933" s="258"/>
      <c r="E6933" s="679"/>
      <c r="F6933" s="499">
        <v>531</v>
      </c>
      <c r="G6933" s="488" t="s">
        <v>4139</v>
      </c>
      <c r="H6933" s="555"/>
      <c r="I6933" s="556"/>
      <c r="J6933" s="556">
        <f t="shared" si="228"/>
        <v>0</v>
      </c>
      <c r="K6933" s="505"/>
      <c r="L6933" s="505"/>
      <c r="M6933" s="505"/>
      <c r="N6933" s="505"/>
      <c r="O6933" s="505"/>
      <c r="P6933" s="505"/>
      <c r="Q6933" s="505"/>
      <c r="R6933" s="505"/>
      <c r="S6933" s="505"/>
      <c r="T6933" s="505"/>
      <c r="U6933" s="505"/>
      <c r="V6933" s="505"/>
      <c r="W6933" s="505"/>
      <c r="X6933" s="505"/>
      <c r="Y6933" s="505"/>
    </row>
    <row r="6934" spans="1:25" s="88" customFormat="1" hidden="1" x14ac:dyDescent="0.25">
      <c r="A6934" s="258"/>
      <c r="B6934" s="258"/>
      <c r="C6934" s="261"/>
      <c r="D6934" s="258"/>
      <c r="E6934" s="679"/>
      <c r="F6934" s="499">
        <v>541</v>
      </c>
      <c r="G6934" s="492" t="s">
        <v>4164</v>
      </c>
      <c r="H6934" s="555"/>
      <c r="I6934" s="556"/>
      <c r="J6934" s="556">
        <f t="shared" si="228"/>
        <v>0</v>
      </c>
      <c r="K6934" s="505"/>
      <c r="L6934" s="505"/>
      <c r="M6934" s="505"/>
      <c r="N6934" s="505"/>
      <c r="O6934" s="505"/>
      <c r="P6934" s="505"/>
      <c r="Q6934" s="505"/>
      <c r="R6934" s="505"/>
      <c r="S6934" s="505"/>
      <c r="T6934" s="505"/>
      <c r="U6934" s="505"/>
      <c r="V6934" s="505"/>
      <c r="W6934" s="505"/>
      <c r="X6934" s="505"/>
      <c r="Y6934" s="505"/>
    </row>
    <row r="6935" spans="1:25" s="88" customFormat="1" hidden="1" x14ac:dyDescent="0.25">
      <c r="A6935" s="258"/>
      <c r="B6935" s="258"/>
      <c r="C6935" s="261"/>
      <c r="D6935" s="258"/>
      <c r="E6935" s="679"/>
      <c r="F6935" s="499">
        <v>542</v>
      </c>
      <c r="G6935" s="492" t="s">
        <v>4165</v>
      </c>
      <c r="H6935" s="555"/>
      <c r="I6935" s="556"/>
      <c r="J6935" s="556">
        <f t="shared" si="228"/>
        <v>0</v>
      </c>
      <c r="K6935" s="505"/>
      <c r="L6935" s="505"/>
      <c r="M6935" s="505"/>
      <c r="N6935" s="505"/>
      <c r="O6935" s="505"/>
      <c r="P6935" s="505"/>
      <c r="Q6935" s="505"/>
      <c r="R6935" s="505"/>
      <c r="S6935" s="505"/>
      <c r="T6935" s="505"/>
      <c r="U6935" s="505"/>
      <c r="V6935" s="505"/>
      <c r="W6935" s="505"/>
      <c r="X6935" s="505"/>
      <c r="Y6935" s="505"/>
    </row>
    <row r="6936" spans="1:25" s="88" customFormat="1" hidden="1" x14ac:dyDescent="0.25">
      <c r="A6936" s="258"/>
      <c r="B6936" s="258"/>
      <c r="C6936" s="261"/>
      <c r="D6936" s="258"/>
      <c r="E6936" s="679"/>
      <c r="F6936" s="499">
        <v>543</v>
      </c>
      <c r="G6936" s="492" t="s">
        <v>3844</v>
      </c>
      <c r="H6936" s="555"/>
      <c r="I6936" s="556"/>
      <c r="J6936" s="556">
        <f t="shared" si="228"/>
        <v>0</v>
      </c>
      <c r="K6936" s="505"/>
      <c r="L6936" s="505"/>
      <c r="M6936" s="505"/>
      <c r="N6936" s="505"/>
      <c r="O6936" s="505"/>
      <c r="P6936" s="505"/>
      <c r="Q6936" s="505"/>
      <c r="R6936" s="505"/>
      <c r="S6936" s="505"/>
      <c r="T6936" s="505"/>
      <c r="U6936" s="505"/>
      <c r="V6936" s="505"/>
      <c r="W6936" s="505"/>
      <c r="X6936" s="505"/>
      <c r="Y6936" s="505"/>
    </row>
    <row r="6937" spans="1:25" s="88" customFormat="1" ht="30" hidden="1" x14ac:dyDescent="0.25">
      <c r="A6937" s="258"/>
      <c r="B6937" s="258"/>
      <c r="C6937" s="261"/>
      <c r="D6937" s="258"/>
      <c r="E6937" s="679"/>
      <c r="F6937" s="499">
        <v>551</v>
      </c>
      <c r="G6937" s="492" t="s">
        <v>4140</v>
      </c>
      <c r="H6937" s="555"/>
      <c r="I6937" s="556"/>
      <c r="J6937" s="556">
        <f t="shared" si="228"/>
        <v>0</v>
      </c>
      <c r="K6937" s="505"/>
      <c r="L6937" s="505"/>
      <c r="M6937" s="505"/>
      <c r="N6937" s="505"/>
      <c r="O6937" s="505"/>
      <c r="P6937" s="505"/>
      <c r="Q6937" s="505"/>
      <c r="R6937" s="505"/>
      <c r="S6937" s="505"/>
      <c r="T6937" s="505"/>
      <c r="U6937" s="505"/>
      <c r="V6937" s="505"/>
      <c r="W6937" s="505"/>
      <c r="X6937" s="505"/>
      <c r="Y6937" s="505"/>
    </row>
    <row r="6938" spans="1:25" s="88" customFormat="1" hidden="1" x14ac:dyDescent="0.25">
      <c r="A6938" s="258"/>
      <c r="B6938" s="258"/>
      <c r="C6938" s="261"/>
      <c r="D6938" s="258"/>
      <c r="E6938" s="679"/>
      <c r="F6938" s="500">
        <v>611</v>
      </c>
      <c r="G6938" s="498" t="s">
        <v>3850</v>
      </c>
      <c r="H6938" s="555"/>
      <c r="I6938" s="556"/>
      <c r="J6938" s="556">
        <f t="shared" si="228"/>
        <v>0</v>
      </c>
      <c r="K6938" s="505"/>
      <c r="L6938" s="505"/>
      <c r="M6938" s="505"/>
      <c r="N6938" s="505"/>
      <c r="O6938" s="505"/>
      <c r="P6938" s="505"/>
      <c r="Q6938" s="505"/>
      <c r="R6938" s="505"/>
      <c r="S6938" s="505"/>
      <c r="T6938" s="505"/>
      <c r="U6938" s="505"/>
      <c r="V6938" s="505"/>
      <c r="W6938" s="505"/>
      <c r="X6938" s="505"/>
      <c r="Y6938" s="505"/>
    </row>
    <row r="6939" spans="1:25" s="88" customFormat="1" ht="0.75" hidden="1" customHeight="1" thickBot="1" x14ac:dyDescent="0.3">
      <c r="A6939" s="258"/>
      <c r="B6939" s="258"/>
      <c r="C6939" s="261"/>
      <c r="D6939" s="258"/>
      <c r="E6939" s="679"/>
      <c r="F6939" s="500">
        <v>620</v>
      </c>
      <c r="G6939" s="498" t="s">
        <v>88</v>
      </c>
      <c r="H6939" s="555"/>
      <c r="I6939" s="556"/>
      <c r="J6939" s="556">
        <f t="shared" si="228"/>
        <v>0</v>
      </c>
      <c r="K6939" s="505"/>
      <c r="L6939" s="505"/>
      <c r="M6939" s="505"/>
      <c r="N6939" s="505"/>
      <c r="O6939" s="505"/>
      <c r="P6939" s="505"/>
      <c r="Q6939" s="505"/>
      <c r="R6939" s="505"/>
      <c r="S6939" s="505"/>
      <c r="T6939" s="505"/>
      <c r="U6939" s="505"/>
      <c r="V6939" s="505"/>
      <c r="W6939" s="505"/>
      <c r="X6939" s="505"/>
      <c r="Y6939" s="505"/>
    </row>
    <row r="6940" spans="1:25" s="88" customFormat="1" x14ac:dyDescent="0.25">
      <c r="A6940" s="258"/>
      <c r="B6940" s="258"/>
      <c r="C6940" s="261"/>
      <c r="D6940" s="258"/>
      <c r="E6940" s="489"/>
      <c r="F6940" s="500"/>
      <c r="G6940" s="343" t="s">
        <v>4356</v>
      </c>
      <c r="H6940" s="557"/>
      <c r="I6940" s="583"/>
      <c r="J6940" s="558"/>
      <c r="K6940" s="505"/>
      <c r="L6940" s="505"/>
      <c r="M6940" s="505"/>
      <c r="N6940" s="505"/>
      <c r="O6940" s="505"/>
      <c r="P6940" s="505"/>
      <c r="Q6940" s="505"/>
      <c r="R6940" s="505"/>
      <c r="S6940" s="505"/>
      <c r="T6940" s="505"/>
      <c r="U6940" s="505"/>
      <c r="V6940" s="505"/>
      <c r="W6940" s="505"/>
      <c r="X6940" s="505"/>
      <c r="Y6940" s="505"/>
    </row>
    <row r="6941" spans="1:25" s="88" customFormat="1" x14ac:dyDescent="0.25">
      <c r="A6941" s="258"/>
      <c r="B6941" s="258"/>
      <c r="C6941" s="261"/>
      <c r="D6941" s="258"/>
      <c r="E6941" s="693"/>
      <c r="F6941" s="597" t="s">
        <v>234</v>
      </c>
      <c r="G6941" s="598" t="s">
        <v>235</v>
      </c>
      <c r="H6941" s="559">
        <f>SUM(H6880:H6939)</f>
        <v>440000</v>
      </c>
      <c r="I6941" s="560"/>
      <c r="J6941" s="560">
        <f t="shared" ref="J6941:J6956" si="229">SUM(H6941:I6941)</f>
        <v>440000</v>
      </c>
      <c r="K6941" s="505"/>
      <c r="L6941" s="505"/>
      <c r="M6941" s="505"/>
      <c r="N6941" s="505"/>
      <c r="O6941" s="505"/>
      <c r="P6941" s="505"/>
      <c r="Q6941" s="505"/>
      <c r="R6941" s="505"/>
      <c r="S6941" s="505"/>
      <c r="T6941" s="505"/>
      <c r="U6941" s="505"/>
      <c r="V6941" s="505"/>
      <c r="W6941" s="505"/>
      <c r="X6941" s="505"/>
      <c r="Y6941" s="505"/>
    </row>
    <row r="6942" spans="1:25" s="88" customFormat="1" hidden="1" x14ac:dyDescent="0.25">
      <c r="A6942" s="258"/>
      <c r="B6942" s="258"/>
      <c r="C6942" s="261"/>
      <c r="D6942" s="258"/>
      <c r="E6942" s="679"/>
      <c r="F6942" s="597" t="s">
        <v>236</v>
      </c>
      <c r="G6942" s="598" t="s">
        <v>237</v>
      </c>
      <c r="H6942" s="555"/>
      <c r="I6942" s="556"/>
      <c r="J6942" s="560">
        <f t="shared" si="229"/>
        <v>0</v>
      </c>
      <c r="K6942" s="505"/>
      <c r="L6942" s="505"/>
      <c r="M6942" s="505"/>
      <c r="N6942" s="505"/>
      <c r="O6942" s="505"/>
      <c r="P6942" s="505"/>
      <c r="Q6942" s="505"/>
      <c r="R6942" s="505"/>
      <c r="S6942" s="505"/>
      <c r="T6942" s="505"/>
      <c r="U6942" s="505"/>
      <c r="V6942" s="505"/>
      <c r="W6942" s="505"/>
      <c r="X6942" s="505"/>
      <c r="Y6942" s="505"/>
    </row>
    <row r="6943" spans="1:25" s="88" customFormat="1" hidden="1" x14ac:dyDescent="0.25">
      <c r="A6943" s="258"/>
      <c r="B6943" s="258"/>
      <c r="C6943" s="261"/>
      <c r="D6943" s="258"/>
      <c r="E6943" s="679"/>
      <c r="F6943" s="597" t="s">
        <v>238</v>
      </c>
      <c r="G6943" s="598" t="s">
        <v>239</v>
      </c>
      <c r="H6943" s="555"/>
      <c r="I6943" s="556"/>
      <c r="J6943" s="560">
        <f t="shared" si="229"/>
        <v>0</v>
      </c>
      <c r="K6943" s="505"/>
      <c r="L6943" s="505"/>
      <c r="M6943" s="505"/>
      <c r="N6943" s="505"/>
      <c r="O6943" s="505"/>
      <c r="P6943" s="505"/>
      <c r="Q6943" s="505"/>
      <c r="R6943" s="505"/>
      <c r="S6943" s="505"/>
      <c r="T6943" s="505"/>
      <c r="U6943" s="505"/>
      <c r="V6943" s="505"/>
      <c r="W6943" s="505"/>
      <c r="X6943" s="505"/>
      <c r="Y6943" s="505"/>
    </row>
    <row r="6944" spans="1:25" s="88" customFormat="1" hidden="1" x14ac:dyDescent="0.25">
      <c r="A6944" s="258"/>
      <c r="B6944" s="258"/>
      <c r="C6944" s="261"/>
      <c r="D6944" s="258"/>
      <c r="E6944" s="679"/>
      <c r="F6944" s="597" t="s">
        <v>240</v>
      </c>
      <c r="G6944" s="598" t="s">
        <v>241</v>
      </c>
      <c r="H6944" s="555"/>
      <c r="I6944" s="556"/>
      <c r="J6944" s="560">
        <f t="shared" si="229"/>
        <v>0</v>
      </c>
      <c r="K6944" s="505"/>
      <c r="L6944" s="505"/>
      <c r="M6944" s="505"/>
      <c r="N6944" s="505"/>
      <c r="O6944" s="505"/>
      <c r="P6944" s="505"/>
      <c r="Q6944" s="505"/>
      <c r="R6944" s="505"/>
      <c r="S6944" s="505"/>
      <c r="T6944" s="505"/>
      <c r="U6944" s="505"/>
      <c r="V6944" s="505"/>
      <c r="W6944" s="505"/>
      <c r="X6944" s="505"/>
      <c r="Y6944" s="505"/>
    </row>
    <row r="6945" spans="1:25" s="88" customFormat="1" hidden="1" x14ac:dyDescent="0.25">
      <c r="A6945" s="258"/>
      <c r="B6945" s="258"/>
      <c r="C6945" s="261"/>
      <c r="D6945" s="258"/>
      <c r="E6945" s="679"/>
      <c r="F6945" s="597" t="s">
        <v>242</v>
      </c>
      <c r="G6945" s="598" t="s">
        <v>243</v>
      </c>
      <c r="H6945" s="555"/>
      <c r="I6945" s="556"/>
      <c r="J6945" s="560">
        <f t="shared" si="229"/>
        <v>0</v>
      </c>
      <c r="K6945" s="505"/>
      <c r="L6945" s="505"/>
      <c r="M6945" s="505"/>
      <c r="N6945" s="505"/>
      <c r="O6945" s="505"/>
      <c r="P6945" s="505"/>
      <c r="Q6945" s="505"/>
      <c r="R6945" s="505"/>
      <c r="S6945" s="505"/>
      <c r="T6945" s="505"/>
      <c r="U6945" s="505"/>
      <c r="V6945" s="505"/>
      <c r="W6945" s="505"/>
      <c r="X6945" s="505"/>
      <c r="Y6945" s="505"/>
    </row>
    <row r="6946" spans="1:25" s="88" customFormat="1" hidden="1" x14ac:dyDescent="0.25">
      <c r="A6946" s="258"/>
      <c r="B6946" s="258"/>
      <c r="C6946" s="261"/>
      <c r="D6946" s="258"/>
      <c r="E6946" s="679"/>
      <c r="F6946" s="597" t="s">
        <v>244</v>
      </c>
      <c r="G6946" s="598" t="s">
        <v>245</v>
      </c>
      <c r="H6946" s="555"/>
      <c r="I6946" s="556"/>
      <c r="J6946" s="560">
        <f t="shared" si="229"/>
        <v>0</v>
      </c>
      <c r="K6946" s="505"/>
      <c r="L6946" s="505"/>
      <c r="M6946" s="505"/>
      <c r="N6946" s="505"/>
      <c r="O6946" s="505"/>
      <c r="P6946" s="505"/>
      <c r="Q6946" s="505"/>
      <c r="R6946" s="505"/>
      <c r="S6946" s="505"/>
      <c r="T6946" s="505"/>
      <c r="U6946" s="505"/>
      <c r="V6946" s="505"/>
      <c r="W6946" s="505"/>
      <c r="X6946" s="505"/>
      <c r="Y6946" s="505"/>
    </row>
    <row r="6947" spans="1:25" s="88" customFormat="1" hidden="1" x14ac:dyDescent="0.25">
      <c r="A6947" s="258"/>
      <c r="B6947" s="258"/>
      <c r="C6947" s="261"/>
      <c r="D6947" s="258"/>
      <c r="E6947" s="679"/>
      <c r="F6947" s="597" t="s">
        <v>246</v>
      </c>
      <c r="G6947" s="598" t="s">
        <v>4996</v>
      </c>
      <c r="H6947" s="555"/>
      <c r="I6947" s="556"/>
      <c r="J6947" s="560">
        <f t="shared" si="229"/>
        <v>0</v>
      </c>
      <c r="K6947" s="505"/>
      <c r="L6947" s="505"/>
      <c r="M6947" s="505"/>
      <c r="N6947" s="505"/>
      <c r="O6947" s="505"/>
      <c r="P6947" s="505"/>
      <c r="Q6947" s="505"/>
      <c r="R6947" s="505"/>
      <c r="S6947" s="505"/>
      <c r="T6947" s="505"/>
      <c r="U6947" s="505"/>
      <c r="V6947" s="505"/>
      <c r="W6947" s="505"/>
      <c r="X6947" s="505"/>
      <c r="Y6947" s="505"/>
    </row>
    <row r="6948" spans="1:25" s="88" customFormat="1" ht="15.75" thickBot="1" x14ac:dyDescent="0.3">
      <c r="A6948" s="258"/>
      <c r="B6948" s="258"/>
      <c r="C6948" s="261"/>
      <c r="D6948" s="258"/>
      <c r="E6948" s="679"/>
      <c r="F6948" s="597" t="s">
        <v>247</v>
      </c>
      <c r="G6948" s="598" t="s">
        <v>4995</v>
      </c>
      <c r="H6948" s="555"/>
      <c r="I6948" s="556">
        <v>50000</v>
      </c>
      <c r="J6948" s="560">
        <f t="shared" si="229"/>
        <v>50000</v>
      </c>
      <c r="K6948" s="505"/>
      <c r="L6948" s="505"/>
      <c r="M6948" s="505"/>
      <c r="N6948" s="505"/>
      <c r="O6948" s="505"/>
      <c r="P6948" s="505"/>
      <c r="Q6948" s="505"/>
      <c r="R6948" s="505"/>
      <c r="S6948" s="505"/>
      <c r="T6948" s="505"/>
      <c r="U6948" s="505"/>
      <c r="V6948" s="505"/>
      <c r="W6948" s="505"/>
      <c r="X6948" s="505"/>
      <c r="Y6948" s="505"/>
    </row>
    <row r="6949" spans="1:25" s="88" customFormat="1" hidden="1" x14ac:dyDescent="0.25">
      <c r="A6949" s="258"/>
      <c r="B6949" s="258"/>
      <c r="C6949" s="261"/>
      <c r="D6949" s="258"/>
      <c r="E6949" s="679"/>
      <c r="F6949" s="597" t="s">
        <v>248</v>
      </c>
      <c r="G6949" s="598" t="s">
        <v>57</v>
      </c>
      <c r="H6949" s="555"/>
      <c r="I6949" s="556"/>
      <c r="J6949" s="560">
        <f t="shared" si="229"/>
        <v>0</v>
      </c>
      <c r="K6949" s="505"/>
      <c r="L6949" s="505"/>
      <c r="M6949" s="505"/>
      <c r="N6949" s="505"/>
      <c r="O6949" s="505"/>
      <c r="P6949" s="505"/>
      <c r="Q6949" s="505"/>
      <c r="R6949" s="505"/>
      <c r="S6949" s="505"/>
      <c r="T6949" s="505"/>
      <c r="U6949" s="505"/>
      <c r="V6949" s="505"/>
      <c r="W6949" s="505"/>
      <c r="X6949" s="505"/>
      <c r="Y6949" s="505"/>
    </row>
    <row r="6950" spans="1:25" s="88" customFormat="1" hidden="1" x14ac:dyDescent="0.25">
      <c r="A6950" s="258"/>
      <c r="B6950" s="258"/>
      <c r="C6950" s="261"/>
      <c r="D6950" s="258"/>
      <c r="E6950" s="679"/>
      <c r="F6950" s="597" t="s">
        <v>249</v>
      </c>
      <c r="G6950" s="598" t="s">
        <v>250</v>
      </c>
      <c r="H6950" s="555"/>
      <c r="I6950" s="556"/>
      <c r="J6950" s="560">
        <f t="shared" si="229"/>
        <v>0</v>
      </c>
      <c r="K6950" s="505"/>
      <c r="L6950" s="505"/>
      <c r="M6950" s="505"/>
      <c r="N6950" s="505"/>
      <c r="O6950" s="505"/>
      <c r="P6950" s="505"/>
      <c r="Q6950" s="505"/>
      <c r="R6950" s="505"/>
      <c r="S6950" s="505"/>
      <c r="T6950" s="505"/>
      <c r="U6950" s="505"/>
      <c r="V6950" s="505"/>
      <c r="W6950" s="505"/>
      <c r="X6950" s="505"/>
      <c r="Y6950" s="505"/>
    </row>
    <row r="6951" spans="1:25" s="88" customFormat="1" hidden="1" x14ac:dyDescent="0.25">
      <c r="A6951" s="258"/>
      <c r="B6951" s="258"/>
      <c r="C6951" s="261"/>
      <c r="D6951" s="258"/>
      <c r="E6951" s="679"/>
      <c r="F6951" s="597" t="s">
        <v>251</v>
      </c>
      <c r="G6951" s="598" t="s">
        <v>252</v>
      </c>
      <c r="H6951" s="555"/>
      <c r="I6951" s="556"/>
      <c r="J6951" s="560">
        <f t="shared" si="229"/>
        <v>0</v>
      </c>
      <c r="K6951" s="505"/>
      <c r="L6951" s="505"/>
      <c r="M6951" s="505"/>
      <c r="N6951" s="505"/>
      <c r="O6951" s="505"/>
      <c r="P6951" s="505"/>
      <c r="Q6951" s="505"/>
      <c r="R6951" s="505"/>
      <c r="S6951" s="505"/>
      <c r="T6951" s="505"/>
      <c r="U6951" s="505"/>
      <c r="V6951" s="505"/>
      <c r="W6951" s="505"/>
      <c r="X6951" s="505"/>
      <c r="Y6951" s="505"/>
    </row>
    <row r="6952" spans="1:25" s="88" customFormat="1" ht="30" hidden="1" x14ac:dyDescent="0.25">
      <c r="A6952" s="258"/>
      <c r="B6952" s="258"/>
      <c r="C6952" s="261"/>
      <c r="D6952" s="258"/>
      <c r="E6952" s="679"/>
      <c r="F6952" s="597" t="s">
        <v>253</v>
      </c>
      <c r="G6952" s="598" t="s">
        <v>254</v>
      </c>
      <c r="H6952" s="555"/>
      <c r="I6952" s="556"/>
      <c r="J6952" s="560">
        <f t="shared" si="229"/>
        <v>0</v>
      </c>
      <c r="K6952" s="505"/>
      <c r="L6952" s="505"/>
      <c r="M6952" s="505"/>
      <c r="N6952" s="505"/>
      <c r="O6952" s="505"/>
      <c r="P6952" s="505"/>
      <c r="Q6952" s="505"/>
      <c r="R6952" s="505"/>
      <c r="S6952" s="505"/>
      <c r="T6952" s="505"/>
      <c r="U6952" s="505"/>
      <c r="V6952" s="505"/>
      <c r="W6952" s="505"/>
      <c r="X6952" s="505"/>
      <c r="Y6952" s="505"/>
    </row>
    <row r="6953" spans="1:25" s="88" customFormat="1" hidden="1" x14ac:dyDescent="0.25">
      <c r="A6953" s="258"/>
      <c r="B6953" s="258"/>
      <c r="C6953" s="261"/>
      <c r="D6953" s="258"/>
      <c r="E6953" s="679"/>
      <c r="F6953" s="597" t="s">
        <v>255</v>
      </c>
      <c r="G6953" s="598" t="s">
        <v>256</v>
      </c>
      <c r="H6953" s="555"/>
      <c r="I6953" s="556"/>
      <c r="J6953" s="560">
        <f t="shared" si="229"/>
        <v>0</v>
      </c>
      <c r="K6953" s="505"/>
      <c r="L6953" s="505"/>
      <c r="M6953" s="505"/>
      <c r="N6953" s="505"/>
      <c r="O6953" s="505"/>
      <c r="P6953" s="505"/>
      <c r="Q6953" s="505"/>
      <c r="R6953" s="505"/>
      <c r="S6953" s="505"/>
      <c r="T6953" s="505"/>
      <c r="U6953" s="505"/>
      <c r="V6953" s="505"/>
      <c r="W6953" s="505"/>
      <c r="X6953" s="505"/>
      <c r="Y6953" s="505"/>
    </row>
    <row r="6954" spans="1:25" s="88" customFormat="1" ht="30" hidden="1" x14ac:dyDescent="0.25">
      <c r="A6954" s="258"/>
      <c r="B6954" s="258"/>
      <c r="C6954" s="261"/>
      <c r="D6954" s="258"/>
      <c r="E6954" s="679"/>
      <c r="F6954" s="597" t="s">
        <v>257</v>
      </c>
      <c r="G6954" s="598" t="s">
        <v>258</v>
      </c>
      <c r="H6954" s="555"/>
      <c r="I6954" s="556"/>
      <c r="J6954" s="560">
        <f t="shared" si="229"/>
        <v>0</v>
      </c>
      <c r="K6954" s="505"/>
      <c r="L6954" s="505"/>
      <c r="M6954" s="505"/>
      <c r="N6954" s="505"/>
      <c r="O6954" s="505"/>
      <c r="P6954" s="505"/>
      <c r="Q6954" s="505"/>
      <c r="R6954" s="505"/>
      <c r="S6954" s="505"/>
      <c r="T6954" s="505"/>
      <c r="U6954" s="505"/>
      <c r="V6954" s="505"/>
      <c r="W6954" s="505"/>
      <c r="X6954" s="505"/>
      <c r="Y6954" s="505"/>
    </row>
    <row r="6955" spans="1:25" s="88" customFormat="1" hidden="1" x14ac:dyDescent="0.25">
      <c r="A6955" s="258"/>
      <c r="B6955" s="258"/>
      <c r="C6955" s="261"/>
      <c r="D6955" s="258"/>
      <c r="E6955" s="679"/>
      <c r="F6955" s="597" t="s">
        <v>259</v>
      </c>
      <c r="G6955" s="598" t="s">
        <v>260</v>
      </c>
      <c r="H6955" s="555"/>
      <c r="I6955" s="556"/>
      <c r="J6955" s="560">
        <f t="shared" si="229"/>
        <v>0</v>
      </c>
      <c r="K6955" s="505"/>
      <c r="L6955" s="505"/>
      <c r="M6955" s="505"/>
      <c r="N6955" s="505"/>
      <c r="O6955" s="505"/>
      <c r="P6955" s="505"/>
      <c r="Q6955" s="505"/>
      <c r="R6955" s="505"/>
      <c r="S6955" s="505"/>
      <c r="T6955" s="505"/>
      <c r="U6955" s="505"/>
      <c r="V6955" s="505"/>
      <c r="W6955" s="505"/>
      <c r="X6955" s="505"/>
      <c r="Y6955" s="505"/>
    </row>
    <row r="6956" spans="1:25" s="88" customFormat="1" ht="15.75" hidden="1" thickBot="1" x14ac:dyDescent="0.3">
      <c r="A6956" s="258"/>
      <c r="B6956" s="258"/>
      <c r="C6956" s="261"/>
      <c r="D6956" s="258"/>
      <c r="E6956" s="679"/>
      <c r="F6956" s="597" t="s">
        <v>261</v>
      </c>
      <c r="G6956" s="598" t="s">
        <v>262</v>
      </c>
      <c r="H6956" s="559"/>
      <c r="I6956" s="560"/>
      <c r="J6956" s="560">
        <f t="shared" si="229"/>
        <v>0</v>
      </c>
      <c r="K6956" s="505"/>
      <c r="L6956" s="505"/>
      <c r="M6956" s="505"/>
      <c r="N6956" s="505"/>
      <c r="O6956" s="505"/>
      <c r="P6956" s="505"/>
      <c r="Q6956" s="505"/>
      <c r="R6956" s="505"/>
      <c r="S6956" s="505"/>
      <c r="T6956" s="505"/>
      <c r="U6956" s="505"/>
      <c r="V6956" s="505"/>
      <c r="W6956" s="505"/>
      <c r="X6956" s="505"/>
      <c r="Y6956" s="505"/>
    </row>
    <row r="6957" spans="1:25" s="88" customFormat="1" ht="18" customHeight="1" thickBot="1" x14ac:dyDescent="0.3">
      <c r="A6957" s="258"/>
      <c r="B6957" s="258"/>
      <c r="C6957" s="261"/>
      <c r="D6957" s="258"/>
      <c r="E6957" s="679"/>
      <c r="F6957" s="258"/>
      <c r="G6957" s="268" t="s">
        <v>4357</v>
      </c>
      <c r="H6957" s="561">
        <f>SUM(H6941:H6956)</f>
        <v>440000</v>
      </c>
      <c r="I6957" s="562">
        <f>SUM(I6942:I6956)</f>
        <v>50000</v>
      </c>
      <c r="J6957" s="562">
        <f>SUM(J6941:J6956)</f>
        <v>490000</v>
      </c>
      <c r="K6957" s="505"/>
      <c r="L6957" s="505"/>
      <c r="M6957" s="505"/>
      <c r="N6957" s="505"/>
      <c r="O6957" s="505"/>
      <c r="P6957" s="505"/>
      <c r="Q6957" s="505"/>
      <c r="R6957" s="505"/>
      <c r="S6957" s="505"/>
      <c r="T6957" s="505"/>
      <c r="U6957" s="505"/>
      <c r="V6957" s="505"/>
      <c r="W6957" s="505"/>
      <c r="X6957" s="505"/>
      <c r="Y6957" s="505"/>
    </row>
    <row r="6958" spans="1:25" s="88" customFormat="1" ht="28.5" x14ac:dyDescent="0.25">
      <c r="A6958" s="258"/>
      <c r="B6958" s="258"/>
      <c r="C6958" s="261"/>
      <c r="D6958" s="258"/>
      <c r="E6958" s="489"/>
      <c r="F6958" s="500"/>
      <c r="G6958" s="270" t="s">
        <v>5334</v>
      </c>
      <c r="H6958" s="563"/>
      <c r="I6958" s="584"/>
      <c r="J6958" s="564"/>
      <c r="K6958" s="505"/>
      <c r="L6958" s="505"/>
      <c r="M6958" s="505"/>
      <c r="N6958" s="505"/>
      <c r="O6958" s="505"/>
      <c r="P6958" s="505"/>
      <c r="Q6958" s="505"/>
      <c r="R6958" s="505"/>
      <c r="S6958" s="505"/>
      <c r="T6958" s="505"/>
      <c r="U6958" s="505"/>
      <c r="V6958" s="505"/>
      <c r="W6958" s="505"/>
      <c r="X6958" s="505"/>
      <c r="Y6958" s="505"/>
    </row>
    <row r="6959" spans="1:25" s="88" customFormat="1" x14ac:dyDescent="0.25">
      <c r="A6959" s="258"/>
      <c r="B6959" s="258"/>
      <c r="C6959" s="261"/>
      <c r="D6959" s="258"/>
      <c r="E6959" s="693"/>
      <c r="F6959" s="597" t="s">
        <v>234</v>
      </c>
      <c r="G6959" s="598" t="s">
        <v>235</v>
      </c>
      <c r="H6959" s="559">
        <f>SUM(H6880:H6939)</f>
        <v>440000</v>
      </c>
      <c r="I6959" s="560"/>
      <c r="J6959" s="560">
        <f>SUM(H6959:I6959)</f>
        <v>440000</v>
      </c>
      <c r="K6959" s="505"/>
      <c r="L6959" s="505"/>
      <c r="M6959" s="505"/>
      <c r="N6959" s="505"/>
      <c r="O6959" s="505"/>
      <c r="P6959" s="505"/>
      <c r="Q6959" s="505"/>
      <c r="R6959" s="505"/>
      <c r="S6959" s="505"/>
      <c r="T6959" s="505"/>
      <c r="U6959" s="505"/>
      <c r="V6959" s="505"/>
      <c r="W6959" s="505"/>
      <c r="X6959" s="505"/>
      <c r="Y6959" s="505"/>
    </row>
    <row r="6960" spans="1:25" s="88" customFormat="1" hidden="1" x14ac:dyDescent="0.25">
      <c r="A6960" s="258"/>
      <c r="B6960" s="258"/>
      <c r="C6960" s="261"/>
      <c r="D6960" s="258"/>
      <c r="E6960" s="679"/>
      <c r="F6960" s="597" t="s">
        <v>236</v>
      </c>
      <c r="G6960" s="598" t="s">
        <v>237</v>
      </c>
      <c r="H6960" s="555"/>
      <c r="I6960" s="556"/>
      <c r="J6960" s="560">
        <f t="shared" ref="J6960:J6974" si="230">SUM(H6960:I6960)</f>
        <v>0</v>
      </c>
      <c r="K6960" s="505"/>
      <c r="L6960" s="505"/>
      <c r="M6960" s="505"/>
      <c r="N6960" s="505"/>
      <c r="O6960" s="505"/>
      <c r="P6960" s="505"/>
      <c r="Q6960" s="505"/>
      <c r="R6960" s="505"/>
      <c r="S6960" s="505"/>
      <c r="T6960" s="505"/>
      <c r="U6960" s="505"/>
      <c r="V6960" s="505"/>
      <c r="W6960" s="505"/>
      <c r="X6960" s="505"/>
      <c r="Y6960" s="505"/>
    </row>
    <row r="6961" spans="1:25" s="88" customFormat="1" hidden="1" x14ac:dyDescent="0.25">
      <c r="A6961" s="258"/>
      <c r="B6961" s="258"/>
      <c r="C6961" s="261"/>
      <c r="D6961" s="258"/>
      <c r="E6961" s="679"/>
      <c r="F6961" s="597" t="s">
        <v>238</v>
      </c>
      <c r="G6961" s="598" t="s">
        <v>239</v>
      </c>
      <c r="H6961" s="555"/>
      <c r="I6961" s="556"/>
      <c r="J6961" s="560">
        <f t="shared" si="230"/>
        <v>0</v>
      </c>
      <c r="K6961" s="505"/>
      <c r="L6961" s="505"/>
      <c r="M6961" s="505"/>
      <c r="N6961" s="505"/>
      <c r="O6961" s="505"/>
      <c r="P6961" s="505"/>
      <c r="Q6961" s="505"/>
      <c r="R6961" s="505"/>
      <c r="S6961" s="505"/>
      <c r="T6961" s="505"/>
      <c r="U6961" s="505"/>
      <c r="V6961" s="505"/>
      <c r="W6961" s="505"/>
      <c r="X6961" s="505"/>
      <c r="Y6961" s="505"/>
    </row>
    <row r="6962" spans="1:25" s="88" customFormat="1" hidden="1" x14ac:dyDescent="0.25">
      <c r="A6962" s="258"/>
      <c r="B6962" s="258"/>
      <c r="C6962" s="261"/>
      <c r="D6962" s="258"/>
      <c r="E6962" s="679"/>
      <c r="F6962" s="597" t="s">
        <v>240</v>
      </c>
      <c r="G6962" s="598" t="s">
        <v>241</v>
      </c>
      <c r="H6962" s="555"/>
      <c r="I6962" s="556"/>
      <c r="J6962" s="560">
        <f t="shared" si="230"/>
        <v>0</v>
      </c>
      <c r="K6962" s="505"/>
      <c r="L6962" s="505"/>
      <c r="M6962" s="505"/>
      <c r="N6962" s="505"/>
      <c r="O6962" s="505"/>
      <c r="P6962" s="505"/>
      <c r="Q6962" s="505"/>
      <c r="R6962" s="505"/>
      <c r="S6962" s="505"/>
      <c r="T6962" s="505"/>
      <c r="U6962" s="505"/>
      <c r="V6962" s="505"/>
      <c r="W6962" s="505"/>
      <c r="X6962" s="505"/>
      <c r="Y6962" s="505"/>
    </row>
    <row r="6963" spans="1:25" s="88" customFormat="1" hidden="1" x14ac:dyDescent="0.25">
      <c r="A6963" s="258"/>
      <c r="B6963" s="258"/>
      <c r="C6963" s="261"/>
      <c r="D6963" s="258"/>
      <c r="E6963" s="679"/>
      <c r="F6963" s="597" t="s">
        <v>242</v>
      </c>
      <c r="G6963" s="598" t="s">
        <v>243</v>
      </c>
      <c r="H6963" s="555"/>
      <c r="I6963" s="556"/>
      <c r="J6963" s="560">
        <f t="shared" si="230"/>
        <v>0</v>
      </c>
      <c r="K6963" s="505"/>
      <c r="L6963" s="505"/>
      <c r="M6963" s="505"/>
      <c r="N6963" s="505"/>
      <c r="O6963" s="505"/>
      <c r="P6963" s="505"/>
      <c r="Q6963" s="505"/>
      <c r="R6963" s="505"/>
      <c r="S6963" s="505"/>
      <c r="T6963" s="505"/>
      <c r="U6963" s="505"/>
      <c r="V6963" s="505"/>
      <c r="W6963" s="505"/>
      <c r="X6963" s="505"/>
      <c r="Y6963" s="505"/>
    </row>
    <row r="6964" spans="1:25" s="88" customFormat="1" hidden="1" x14ac:dyDescent="0.25">
      <c r="A6964" s="258"/>
      <c r="B6964" s="258"/>
      <c r="C6964" s="261"/>
      <c r="D6964" s="258"/>
      <c r="E6964" s="679"/>
      <c r="F6964" s="597" t="s">
        <v>244</v>
      </c>
      <c r="G6964" s="598" t="s">
        <v>245</v>
      </c>
      <c r="H6964" s="555"/>
      <c r="I6964" s="556"/>
      <c r="J6964" s="560">
        <f t="shared" si="230"/>
        <v>0</v>
      </c>
      <c r="K6964" s="505"/>
      <c r="L6964" s="505"/>
      <c r="M6964" s="505"/>
      <c r="N6964" s="505"/>
      <c r="O6964" s="505"/>
      <c r="P6964" s="505"/>
      <c r="Q6964" s="505"/>
      <c r="R6964" s="505"/>
      <c r="S6964" s="505"/>
      <c r="T6964" s="505"/>
      <c r="U6964" s="505"/>
      <c r="V6964" s="505"/>
      <c r="W6964" s="505"/>
      <c r="X6964" s="505"/>
      <c r="Y6964" s="505"/>
    </row>
    <row r="6965" spans="1:25" s="88" customFormat="1" hidden="1" x14ac:dyDescent="0.25">
      <c r="A6965" s="258"/>
      <c r="B6965" s="258"/>
      <c r="C6965" s="261"/>
      <c r="D6965" s="258"/>
      <c r="E6965" s="679"/>
      <c r="F6965" s="597" t="s">
        <v>246</v>
      </c>
      <c r="G6965" s="598" t="s">
        <v>4996</v>
      </c>
      <c r="H6965" s="555"/>
      <c r="I6965" s="556"/>
      <c r="J6965" s="560">
        <f t="shared" si="230"/>
        <v>0</v>
      </c>
      <c r="K6965" s="505"/>
      <c r="L6965" s="505"/>
      <c r="M6965" s="505"/>
      <c r="N6965" s="505"/>
      <c r="O6965" s="505"/>
      <c r="P6965" s="505"/>
      <c r="Q6965" s="505"/>
      <c r="R6965" s="505"/>
      <c r="S6965" s="505"/>
      <c r="T6965" s="505"/>
      <c r="U6965" s="505"/>
      <c r="V6965" s="505"/>
      <c r="W6965" s="505"/>
      <c r="X6965" s="505"/>
      <c r="Y6965" s="505"/>
    </row>
    <row r="6966" spans="1:25" s="88" customFormat="1" ht="15.75" thickBot="1" x14ac:dyDescent="0.3">
      <c r="A6966" s="258"/>
      <c r="B6966" s="258"/>
      <c r="C6966" s="261"/>
      <c r="D6966" s="258"/>
      <c r="E6966" s="679"/>
      <c r="F6966" s="597" t="s">
        <v>247</v>
      </c>
      <c r="G6966" s="598" t="s">
        <v>4995</v>
      </c>
      <c r="H6966" s="555"/>
      <c r="I6966" s="556">
        <v>50000</v>
      </c>
      <c r="J6966" s="560">
        <f t="shared" si="230"/>
        <v>50000</v>
      </c>
      <c r="K6966" s="505"/>
      <c r="L6966" s="505"/>
      <c r="M6966" s="505"/>
      <c r="N6966" s="505"/>
      <c r="O6966" s="505"/>
      <c r="P6966" s="505"/>
      <c r="Q6966" s="505"/>
      <c r="R6966" s="505"/>
      <c r="S6966" s="505"/>
      <c r="T6966" s="505"/>
      <c r="U6966" s="505"/>
      <c r="V6966" s="505"/>
      <c r="W6966" s="505"/>
      <c r="X6966" s="505"/>
      <c r="Y6966" s="505"/>
    </row>
    <row r="6967" spans="1:25" s="88" customFormat="1" hidden="1" x14ac:dyDescent="0.25">
      <c r="A6967" s="258"/>
      <c r="B6967" s="258"/>
      <c r="C6967" s="261"/>
      <c r="D6967" s="258"/>
      <c r="E6967" s="679"/>
      <c r="F6967" s="597" t="s">
        <v>248</v>
      </c>
      <c r="G6967" s="598" t="s">
        <v>57</v>
      </c>
      <c r="H6967" s="555"/>
      <c r="I6967" s="556"/>
      <c r="J6967" s="560">
        <f t="shared" si="230"/>
        <v>0</v>
      </c>
      <c r="K6967" s="505"/>
      <c r="L6967" s="505"/>
      <c r="M6967" s="505"/>
      <c r="N6967" s="505"/>
      <c r="O6967" s="505"/>
      <c r="P6967" s="505"/>
      <c r="Q6967" s="505"/>
      <c r="R6967" s="505"/>
      <c r="S6967" s="505"/>
      <c r="T6967" s="505"/>
      <c r="U6967" s="505"/>
      <c r="V6967" s="505"/>
      <c r="W6967" s="505"/>
      <c r="X6967" s="505"/>
      <c r="Y6967" s="505"/>
    </row>
    <row r="6968" spans="1:25" s="88" customFormat="1" hidden="1" x14ac:dyDescent="0.25">
      <c r="A6968" s="258"/>
      <c r="B6968" s="258"/>
      <c r="C6968" s="261"/>
      <c r="D6968" s="258"/>
      <c r="E6968" s="679"/>
      <c r="F6968" s="597" t="s">
        <v>249</v>
      </c>
      <c r="G6968" s="598" t="s">
        <v>250</v>
      </c>
      <c r="H6968" s="555"/>
      <c r="I6968" s="556"/>
      <c r="J6968" s="560">
        <f t="shared" si="230"/>
        <v>0</v>
      </c>
      <c r="K6968" s="505"/>
      <c r="L6968" s="505"/>
      <c r="M6968" s="505"/>
      <c r="N6968" s="505"/>
      <c r="O6968" s="505"/>
      <c r="P6968" s="505"/>
      <c r="Q6968" s="505"/>
      <c r="R6968" s="505"/>
      <c r="S6968" s="505"/>
      <c r="T6968" s="505"/>
      <c r="U6968" s="505"/>
      <c r="V6968" s="505"/>
      <c r="W6968" s="505"/>
      <c r="X6968" s="505"/>
      <c r="Y6968" s="505"/>
    </row>
    <row r="6969" spans="1:25" s="88" customFormat="1" hidden="1" x14ac:dyDescent="0.25">
      <c r="A6969" s="258"/>
      <c r="B6969" s="258"/>
      <c r="C6969" s="261"/>
      <c r="D6969" s="258"/>
      <c r="E6969" s="679"/>
      <c r="F6969" s="597" t="s">
        <v>251</v>
      </c>
      <c r="G6969" s="598" t="s">
        <v>252</v>
      </c>
      <c r="H6969" s="555"/>
      <c r="I6969" s="556"/>
      <c r="J6969" s="560">
        <f t="shared" si="230"/>
        <v>0</v>
      </c>
      <c r="K6969" s="505"/>
      <c r="L6969" s="505"/>
      <c r="M6969" s="505"/>
      <c r="N6969" s="505"/>
      <c r="O6969" s="505"/>
      <c r="P6969" s="505"/>
      <c r="Q6969" s="505"/>
      <c r="R6969" s="505"/>
      <c r="S6969" s="505"/>
      <c r="T6969" s="505"/>
      <c r="U6969" s="505"/>
      <c r="V6969" s="505"/>
      <c r="W6969" s="505"/>
      <c r="X6969" s="505"/>
      <c r="Y6969" s="505"/>
    </row>
    <row r="6970" spans="1:25" s="88" customFormat="1" ht="30" hidden="1" x14ac:dyDescent="0.25">
      <c r="A6970" s="258"/>
      <c r="B6970" s="258"/>
      <c r="C6970" s="261"/>
      <c r="D6970" s="258"/>
      <c r="E6970" s="679"/>
      <c r="F6970" s="597" t="s">
        <v>253</v>
      </c>
      <c r="G6970" s="598" t="s">
        <v>254</v>
      </c>
      <c r="H6970" s="555"/>
      <c r="I6970" s="556"/>
      <c r="J6970" s="560">
        <f t="shared" si="230"/>
        <v>0</v>
      </c>
      <c r="K6970" s="505"/>
      <c r="L6970" s="505"/>
      <c r="M6970" s="505"/>
      <c r="N6970" s="505"/>
      <c r="O6970" s="505"/>
      <c r="P6970" s="505"/>
      <c r="Q6970" s="505"/>
      <c r="R6970" s="505"/>
      <c r="S6970" s="505"/>
      <c r="T6970" s="505"/>
      <c r="U6970" s="505"/>
      <c r="V6970" s="505"/>
      <c r="W6970" s="505"/>
      <c r="X6970" s="505"/>
      <c r="Y6970" s="505"/>
    </row>
    <row r="6971" spans="1:25" s="88" customFormat="1" hidden="1" x14ac:dyDescent="0.25">
      <c r="A6971" s="258"/>
      <c r="B6971" s="258"/>
      <c r="C6971" s="261"/>
      <c r="D6971" s="258"/>
      <c r="E6971" s="679"/>
      <c r="F6971" s="597" t="s">
        <v>255</v>
      </c>
      <c r="G6971" s="598" t="s">
        <v>256</v>
      </c>
      <c r="H6971" s="555"/>
      <c r="I6971" s="556"/>
      <c r="J6971" s="560">
        <f t="shared" si="230"/>
        <v>0</v>
      </c>
      <c r="K6971" s="505"/>
      <c r="L6971" s="505"/>
      <c r="M6971" s="505"/>
      <c r="N6971" s="505"/>
      <c r="O6971" s="505"/>
      <c r="P6971" s="505"/>
      <c r="Q6971" s="505"/>
      <c r="R6971" s="505"/>
      <c r="S6971" s="505"/>
      <c r="T6971" s="505"/>
      <c r="U6971" s="505"/>
      <c r="V6971" s="505"/>
      <c r="W6971" s="505"/>
      <c r="X6971" s="505"/>
      <c r="Y6971" s="505"/>
    </row>
    <row r="6972" spans="1:25" s="88" customFormat="1" ht="30" hidden="1" x14ac:dyDescent="0.25">
      <c r="A6972" s="258"/>
      <c r="B6972" s="258"/>
      <c r="C6972" s="261"/>
      <c r="D6972" s="258"/>
      <c r="E6972" s="679"/>
      <c r="F6972" s="597" t="s">
        <v>257</v>
      </c>
      <c r="G6972" s="598" t="s">
        <v>258</v>
      </c>
      <c r="H6972" s="555"/>
      <c r="I6972" s="556"/>
      <c r="J6972" s="560">
        <f t="shared" si="230"/>
        <v>0</v>
      </c>
      <c r="K6972" s="505"/>
      <c r="L6972" s="505"/>
      <c r="M6972" s="505"/>
      <c r="N6972" s="505"/>
      <c r="O6972" s="505"/>
      <c r="P6972" s="505"/>
      <c r="Q6972" s="505"/>
      <c r="R6972" s="505"/>
      <c r="S6972" s="505"/>
      <c r="T6972" s="505"/>
      <c r="U6972" s="505"/>
      <c r="V6972" s="505"/>
      <c r="W6972" s="505"/>
      <c r="X6972" s="505"/>
      <c r="Y6972" s="505"/>
    </row>
    <row r="6973" spans="1:25" s="88" customFormat="1" hidden="1" x14ac:dyDescent="0.25">
      <c r="A6973" s="258"/>
      <c r="B6973" s="258"/>
      <c r="C6973" s="261"/>
      <c r="D6973" s="258"/>
      <c r="E6973" s="679"/>
      <c r="F6973" s="597" t="s">
        <v>259</v>
      </c>
      <c r="G6973" s="598" t="s">
        <v>260</v>
      </c>
      <c r="H6973" s="555"/>
      <c r="I6973" s="556"/>
      <c r="J6973" s="560">
        <f t="shared" si="230"/>
        <v>0</v>
      </c>
      <c r="K6973" s="505"/>
      <c r="L6973" s="505"/>
      <c r="M6973" s="505"/>
      <c r="N6973" s="505"/>
      <c r="O6973" s="505"/>
      <c r="P6973" s="505"/>
      <c r="Q6973" s="505"/>
      <c r="R6973" s="505"/>
      <c r="S6973" s="505"/>
      <c r="T6973" s="505"/>
      <c r="U6973" s="505"/>
      <c r="V6973" s="505"/>
      <c r="W6973" s="505"/>
      <c r="X6973" s="505"/>
      <c r="Y6973" s="505"/>
    </row>
    <row r="6974" spans="1:25" s="88" customFormat="1" ht="15.75" hidden="1" thickBot="1" x14ac:dyDescent="0.3">
      <c r="A6974" s="258"/>
      <c r="B6974" s="258"/>
      <c r="C6974" s="261"/>
      <c r="D6974" s="258"/>
      <c r="E6974" s="679"/>
      <c r="F6974" s="597" t="s">
        <v>261</v>
      </c>
      <c r="G6974" s="598" t="s">
        <v>262</v>
      </c>
      <c r="H6974" s="559"/>
      <c r="I6974" s="560"/>
      <c r="J6974" s="560">
        <f t="shared" si="230"/>
        <v>0</v>
      </c>
      <c r="K6974" s="505"/>
      <c r="L6974" s="505"/>
      <c r="M6974" s="505"/>
      <c r="N6974" s="505"/>
      <c r="O6974" s="505"/>
      <c r="P6974" s="505"/>
      <c r="Q6974" s="505"/>
      <c r="R6974" s="505"/>
      <c r="S6974" s="505"/>
      <c r="T6974" s="505"/>
      <c r="U6974" s="505"/>
      <c r="V6974" s="505"/>
      <c r="W6974" s="505"/>
      <c r="X6974" s="505"/>
      <c r="Y6974" s="505"/>
    </row>
    <row r="6975" spans="1:25" s="88" customFormat="1" ht="18" customHeight="1" thickBot="1" x14ac:dyDescent="0.3">
      <c r="A6975" s="258"/>
      <c r="B6975" s="258"/>
      <c r="C6975" s="261"/>
      <c r="D6975" s="258"/>
      <c r="E6975" s="679"/>
      <c r="F6975" s="258"/>
      <c r="G6975" s="268" t="s">
        <v>4924</v>
      </c>
      <c r="H6975" s="561">
        <f>SUM(H6959:H6974)</f>
        <v>440000</v>
      </c>
      <c r="I6975" s="562">
        <f>SUM(I6960:I6974)</f>
        <v>50000</v>
      </c>
      <c r="J6975" s="562">
        <f>SUM(J6959:J6974)</f>
        <v>490000</v>
      </c>
      <c r="K6975" s="505"/>
      <c r="L6975" s="505"/>
      <c r="M6975" s="505"/>
      <c r="N6975" s="505"/>
      <c r="O6975" s="505"/>
      <c r="P6975" s="505"/>
      <c r="Q6975" s="505"/>
      <c r="R6975" s="505"/>
      <c r="S6975" s="505"/>
      <c r="T6975" s="505"/>
      <c r="U6975" s="505"/>
      <c r="V6975" s="505"/>
      <c r="W6975" s="505"/>
      <c r="X6975" s="505"/>
      <c r="Y6975" s="505"/>
    </row>
    <row r="6976" spans="1:25" s="88" customFormat="1" ht="30" hidden="1" x14ac:dyDescent="0.25">
      <c r="A6976" s="258"/>
      <c r="B6976" s="258"/>
      <c r="C6976" s="261"/>
      <c r="D6976" s="258"/>
      <c r="E6976" s="679"/>
      <c r="F6976" s="284" t="s">
        <v>253</v>
      </c>
      <c r="G6976" s="287" t="s">
        <v>254</v>
      </c>
      <c r="H6976" s="555"/>
      <c r="I6976" s="556"/>
      <c r="J6976" s="560">
        <f t="shared" ref="J6976:J6980" si="231">SUM(H6976:I6976)</f>
        <v>0</v>
      </c>
      <c r="K6976" s="505"/>
      <c r="L6976" s="505"/>
      <c r="M6976" s="505"/>
      <c r="N6976" s="505"/>
      <c r="O6976" s="505"/>
      <c r="P6976" s="505"/>
      <c r="Q6976" s="505"/>
      <c r="R6976" s="505"/>
      <c r="S6976" s="505"/>
      <c r="T6976" s="505"/>
      <c r="U6976" s="505"/>
      <c r="V6976" s="505"/>
      <c r="W6976" s="505"/>
      <c r="X6976" s="505"/>
      <c r="Y6976" s="505"/>
    </row>
    <row r="6977" spans="1:25" s="88" customFormat="1" hidden="1" x14ac:dyDescent="0.25">
      <c r="A6977" s="258"/>
      <c r="B6977" s="258"/>
      <c r="C6977" s="261"/>
      <c r="D6977" s="258"/>
      <c r="E6977" s="679"/>
      <c r="F6977" s="284" t="s">
        <v>255</v>
      </c>
      <c r="G6977" s="287" t="s">
        <v>256</v>
      </c>
      <c r="H6977" s="555"/>
      <c r="I6977" s="556"/>
      <c r="J6977" s="560">
        <f t="shared" si="231"/>
        <v>0</v>
      </c>
      <c r="K6977" s="505"/>
      <c r="L6977" s="505"/>
      <c r="M6977" s="505"/>
      <c r="N6977" s="505"/>
      <c r="O6977" s="505"/>
      <c r="P6977" s="505"/>
      <c r="Q6977" s="505"/>
      <c r="R6977" s="505"/>
      <c r="S6977" s="505"/>
      <c r="T6977" s="505"/>
      <c r="U6977" s="505"/>
      <c r="V6977" s="505"/>
      <c r="W6977" s="505"/>
      <c r="X6977" s="505"/>
      <c r="Y6977" s="505"/>
    </row>
    <row r="6978" spans="1:25" s="88" customFormat="1" ht="30" hidden="1" x14ac:dyDescent="0.25">
      <c r="A6978" s="258"/>
      <c r="B6978" s="258"/>
      <c r="C6978" s="261"/>
      <c r="D6978" s="258"/>
      <c r="E6978" s="679"/>
      <c r="F6978" s="284" t="s">
        <v>257</v>
      </c>
      <c r="G6978" s="287" t="s">
        <v>258</v>
      </c>
      <c r="H6978" s="555"/>
      <c r="I6978" s="556"/>
      <c r="J6978" s="560">
        <f t="shared" si="231"/>
        <v>0</v>
      </c>
      <c r="K6978" s="505"/>
      <c r="L6978" s="505"/>
      <c r="M6978" s="505"/>
      <c r="N6978" s="505"/>
      <c r="O6978" s="505"/>
      <c r="P6978" s="505"/>
      <c r="Q6978" s="505"/>
      <c r="R6978" s="505"/>
      <c r="S6978" s="505"/>
      <c r="T6978" s="505"/>
      <c r="U6978" s="505"/>
      <c r="V6978" s="505"/>
      <c r="W6978" s="505"/>
      <c r="X6978" s="505"/>
      <c r="Y6978" s="505"/>
    </row>
    <row r="6979" spans="1:25" s="88" customFormat="1" hidden="1" x14ac:dyDescent="0.25">
      <c r="A6979" s="258"/>
      <c r="B6979" s="258"/>
      <c r="C6979" s="261"/>
      <c r="D6979" s="258"/>
      <c r="E6979" s="679"/>
      <c r="F6979" s="284" t="s">
        <v>259</v>
      </c>
      <c r="G6979" s="287" t="s">
        <v>260</v>
      </c>
      <c r="H6979" s="555"/>
      <c r="I6979" s="556"/>
      <c r="J6979" s="560">
        <f t="shared" si="231"/>
        <v>0</v>
      </c>
      <c r="K6979" s="505"/>
      <c r="L6979" s="505"/>
      <c r="M6979" s="505"/>
      <c r="N6979" s="505"/>
      <c r="O6979" s="505"/>
      <c r="P6979" s="505"/>
      <c r="Q6979" s="505"/>
      <c r="R6979" s="505"/>
      <c r="S6979" s="505"/>
      <c r="T6979" s="505"/>
      <c r="U6979" s="505"/>
      <c r="V6979" s="505"/>
      <c r="W6979" s="505"/>
      <c r="X6979" s="505"/>
      <c r="Y6979" s="505"/>
    </row>
    <row r="6980" spans="1:25" s="88" customFormat="1" hidden="1" x14ac:dyDescent="0.25">
      <c r="A6980" s="258"/>
      <c r="B6980" s="258"/>
      <c r="C6980" s="261"/>
      <c r="D6980" s="258"/>
      <c r="E6980" s="679"/>
      <c r="F6980" s="284" t="s">
        <v>261</v>
      </c>
      <c r="G6980" s="287" t="s">
        <v>262</v>
      </c>
      <c r="H6980" s="559"/>
      <c r="I6980" s="560"/>
      <c r="J6980" s="560">
        <f t="shared" si="231"/>
        <v>0</v>
      </c>
      <c r="K6980" s="505"/>
      <c r="L6980" s="505"/>
      <c r="M6980" s="505"/>
      <c r="N6980" s="505"/>
      <c r="O6980" s="505"/>
      <c r="P6980" s="505"/>
      <c r="Q6980" s="505"/>
      <c r="R6980" s="505"/>
      <c r="S6980" s="505"/>
      <c r="T6980" s="505"/>
      <c r="U6980" s="505"/>
      <c r="V6980" s="505"/>
      <c r="W6980" s="505"/>
      <c r="X6980" s="505"/>
      <c r="Y6980" s="505"/>
    </row>
    <row r="6981" spans="1:25" s="88" customFormat="1" ht="15.75" hidden="1" thickBot="1" x14ac:dyDescent="0.3">
      <c r="A6981" s="258"/>
      <c r="B6981" s="258"/>
      <c r="C6981" s="261"/>
      <c r="D6981" s="258"/>
      <c r="E6981" s="679"/>
      <c r="F6981" s="258"/>
      <c r="G6981" s="268"/>
      <c r="H6981" s="561">
        <f>SUM(H6965:H6980)</f>
        <v>440000</v>
      </c>
      <c r="I6981" s="562">
        <f>SUM(I6966:I6980)</f>
        <v>100000</v>
      </c>
      <c r="J6981" s="562">
        <f>SUM(J6965:J6980)</f>
        <v>540000</v>
      </c>
      <c r="K6981" s="505"/>
      <c r="L6981" s="505"/>
      <c r="M6981" s="505"/>
      <c r="N6981" s="505"/>
      <c r="O6981" s="505"/>
      <c r="P6981" s="505"/>
      <c r="Q6981" s="505"/>
      <c r="R6981" s="505"/>
      <c r="S6981" s="505"/>
      <c r="T6981" s="505"/>
      <c r="U6981" s="505"/>
      <c r="V6981" s="505"/>
      <c r="W6981" s="505"/>
      <c r="X6981" s="505"/>
      <c r="Y6981" s="505"/>
    </row>
    <row r="6982" spans="1:25" s="88" customFormat="1" x14ac:dyDescent="0.25">
      <c r="A6982" s="258"/>
      <c r="B6982" s="288"/>
      <c r="C6982" s="302" t="s">
        <v>4749</v>
      </c>
      <c r="D6982" s="259"/>
      <c r="E6982" s="702"/>
      <c r="F6982" s="303"/>
      <c r="G6982" s="304" t="s">
        <v>5336</v>
      </c>
      <c r="H6982" s="588"/>
      <c r="I6982" s="571"/>
      <c r="J6982" s="589"/>
      <c r="K6982" s="505"/>
      <c r="L6982" s="505"/>
      <c r="M6982" s="505"/>
      <c r="N6982" s="505"/>
      <c r="O6982" s="505"/>
      <c r="P6982" s="505"/>
      <c r="Q6982" s="505"/>
      <c r="R6982" s="505"/>
      <c r="S6982" s="505"/>
      <c r="T6982" s="505"/>
      <c r="U6982" s="505"/>
      <c r="V6982" s="505"/>
      <c r="W6982" s="505"/>
      <c r="X6982" s="505"/>
      <c r="Y6982" s="505"/>
    </row>
    <row r="6983" spans="1:25" s="88" customFormat="1" ht="17.25" customHeight="1" x14ac:dyDescent="0.25">
      <c r="A6983" s="258"/>
      <c r="B6983" s="288"/>
      <c r="C6983" s="294"/>
      <c r="D6983" s="348" t="s">
        <v>4001</v>
      </c>
      <c r="E6983" s="871"/>
      <c r="F6983" s="345"/>
      <c r="G6983" s="346" t="s">
        <v>207</v>
      </c>
      <c r="H6983" s="555"/>
      <c r="I6983" s="556"/>
      <c r="J6983" s="556"/>
      <c r="K6983" s="505"/>
      <c r="L6983" s="505"/>
      <c r="M6983" s="505"/>
      <c r="N6983" s="505"/>
      <c r="O6983" s="505"/>
      <c r="P6983" s="505"/>
      <c r="Q6983" s="505"/>
      <c r="R6983" s="505"/>
      <c r="S6983" s="505"/>
      <c r="T6983" s="505"/>
      <c r="U6983" s="505"/>
      <c r="V6983" s="505"/>
      <c r="W6983" s="505"/>
      <c r="X6983" s="505"/>
      <c r="Y6983" s="505"/>
    </row>
    <row r="6984" spans="1:25" s="88" customFormat="1" hidden="1" x14ac:dyDescent="0.25">
      <c r="A6984" s="258"/>
      <c r="B6984" s="258"/>
      <c r="C6984" s="261"/>
      <c r="D6984" s="258"/>
      <c r="E6984" s="679"/>
      <c r="F6984" s="499">
        <v>411</v>
      </c>
      <c r="G6984" s="492" t="s">
        <v>4131</v>
      </c>
      <c r="H6984" s="555"/>
      <c r="I6984" s="556"/>
      <c r="J6984" s="556">
        <f>SUM(H6984:I6984)</f>
        <v>0</v>
      </c>
      <c r="K6984" s="505"/>
      <c r="L6984" s="505"/>
      <c r="M6984" s="505"/>
      <c r="N6984" s="505"/>
      <c r="O6984" s="505"/>
      <c r="P6984" s="505"/>
      <c r="Q6984" s="505"/>
      <c r="R6984" s="505"/>
      <c r="S6984" s="505"/>
      <c r="T6984" s="505"/>
      <c r="U6984" s="505"/>
      <c r="V6984" s="505"/>
      <c r="W6984" s="505"/>
      <c r="X6984" s="505"/>
      <c r="Y6984" s="505"/>
    </row>
    <row r="6985" spans="1:25" s="88" customFormat="1" hidden="1" x14ac:dyDescent="0.25">
      <c r="A6985" s="258"/>
      <c r="B6985" s="258"/>
      <c r="C6985" s="261"/>
      <c r="D6985" s="258"/>
      <c r="E6985" s="679"/>
      <c r="F6985" s="499">
        <v>412</v>
      </c>
      <c r="G6985" s="488" t="s">
        <v>3766</v>
      </c>
      <c r="H6985" s="555"/>
      <c r="I6985" s="556"/>
      <c r="J6985" s="556">
        <f t="shared" ref="J6985:J7043" si="232">SUM(H6985:I6985)</f>
        <v>0</v>
      </c>
      <c r="K6985" s="505"/>
      <c r="L6985" s="505"/>
      <c r="M6985" s="505"/>
      <c r="N6985" s="505"/>
      <c r="O6985" s="505"/>
      <c r="P6985" s="505"/>
      <c r="Q6985" s="505"/>
      <c r="R6985" s="505"/>
      <c r="S6985" s="505"/>
      <c r="T6985" s="505"/>
      <c r="U6985" s="505"/>
      <c r="V6985" s="505"/>
      <c r="W6985" s="505"/>
      <c r="X6985" s="505"/>
      <c r="Y6985" s="505"/>
    </row>
    <row r="6986" spans="1:25" s="88" customFormat="1" hidden="1" x14ac:dyDescent="0.25">
      <c r="A6986" s="258"/>
      <c r="B6986" s="258"/>
      <c r="C6986" s="261"/>
      <c r="D6986" s="258"/>
      <c r="E6986" s="679"/>
      <c r="F6986" s="499">
        <v>413</v>
      </c>
      <c r="G6986" s="492" t="s">
        <v>4132</v>
      </c>
      <c r="H6986" s="555"/>
      <c r="I6986" s="556"/>
      <c r="J6986" s="556">
        <f t="shared" si="232"/>
        <v>0</v>
      </c>
      <c r="K6986" s="505"/>
      <c r="L6986" s="505"/>
      <c r="M6986" s="505"/>
      <c r="N6986" s="505"/>
      <c r="O6986" s="505"/>
      <c r="P6986" s="505"/>
      <c r="Q6986" s="505"/>
      <c r="R6986" s="505"/>
      <c r="S6986" s="505"/>
      <c r="T6986" s="505"/>
      <c r="U6986" s="505"/>
      <c r="V6986" s="505"/>
      <c r="W6986" s="505"/>
      <c r="X6986" s="505"/>
      <c r="Y6986" s="505"/>
    </row>
    <row r="6987" spans="1:25" s="88" customFormat="1" hidden="1" x14ac:dyDescent="0.25">
      <c r="A6987" s="258"/>
      <c r="B6987" s="258"/>
      <c r="C6987" s="261"/>
      <c r="D6987" s="258"/>
      <c r="E6987" s="679"/>
      <c r="F6987" s="499">
        <v>414</v>
      </c>
      <c r="G6987" s="492" t="s">
        <v>3769</v>
      </c>
      <c r="H6987" s="555"/>
      <c r="I6987" s="556"/>
      <c r="J6987" s="556">
        <f t="shared" si="232"/>
        <v>0</v>
      </c>
      <c r="K6987" s="505"/>
      <c r="L6987" s="505"/>
      <c r="M6987" s="505"/>
      <c r="N6987" s="505"/>
      <c r="O6987" s="505"/>
      <c r="P6987" s="505"/>
      <c r="Q6987" s="505"/>
      <c r="R6987" s="505"/>
      <c r="S6987" s="505"/>
      <c r="T6987" s="505"/>
      <c r="U6987" s="505"/>
      <c r="V6987" s="505"/>
      <c r="W6987" s="505"/>
      <c r="X6987" s="505"/>
      <c r="Y6987" s="505"/>
    </row>
    <row r="6988" spans="1:25" s="88" customFormat="1" hidden="1" x14ac:dyDescent="0.25">
      <c r="A6988" s="258"/>
      <c r="B6988" s="258"/>
      <c r="C6988" s="261"/>
      <c r="D6988" s="258"/>
      <c r="E6988" s="679"/>
      <c r="F6988" s="499">
        <v>415</v>
      </c>
      <c r="G6988" s="492" t="s">
        <v>4141</v>
      </c>
      <c r="H6988" s="555"/>
      <c r="I6988" s="556"/>
      <c r="J6988" s="556">
        <f t="shared" si="232"/>
        <v>0</v>
      </c>
      <c r="K6988" s="505"/>
      <c r="L6988" s="505"/>
      <c r="M6988" s="505"/>
      <c r="N6988" s="505"/>
      <c r="O6988" s="505"/>
      <c r="P6988" s="505"/>
      <c r="Q6988" s="505"/>
      <c r="R6988" s="505"/>
      <c r="S6988" s="505"/>
      <c r="T6988" s="505"/>
      <c r="U6988" s="505"/>
      <c r="V6988" s="505"/>
      <c r="W6988" s="505"/>
      <c r="X6988" s="505"/>
      <c r="Y6988" s="505"/>
    </row>
    <row r="6989" spans="1:25" s="88" customFormat="1" hidden="1" x14ac:dyDescent="0.25">
      <c r="A6989" s="258"/>
      <c r="B6989" s="258"/>
      <c r="C6989" s="261"/>
      <c r="D6989" s="258"/>
      <c r="E6989" s="679"/>
      <c r="F6989" s="499">
        <v>416</v>
      </c>
      <c r="G6989" s="492" t="s">
        <v>4142</v>
      </c>
      <c r="H6989" s="555"/>
      <c r="I6989" s="556"/>
      <c r="J6989" s="556">
        <f t="shared" si="232"/>
        <v>0</v>
      </c>
      <c r="K6989" s="505"/>
      <c r="L6989" s="505"/>
      <c r="M6989" s="505"/>
      <c r="N6989" s="505"/>
      <c r="O6989" s="505"/>
      <c r="P6989" s="505"/>
      <c r="Q6989" s="505"/>
      <c r="R6989" s="505"/>
      <c r="S6989" s="505"/>
      <c r="T6989" s="505"/>
      <c r="U6989" s="505"/>
      <c r="V6989" s="505"/>
      <c r="W6989" s="505"/>
      <c r="X6989" s="505"/>
      <c r="Y6989" s="505"/>
    </row>
    <row r="6990" spans="1:25" s="88" customFormat="1" hidden="1" x14ac:dyDescent="0.25">
      <c r="A6990" s="258"/>
      <c r="B6990" s="258"/>
      <c r="C6990" s="261"/>
      <c r="D6990" s="258"/>
      <c r="E6990" s="679"/>
      <c r="F6990" s="499">
        <v>417</v>
      </c>
      <c r="G6990" s="492" t="s">
        <v>4143</v>
      </c>
      <c r="H6990" s="555"/>
      <c r="I6990" s="556"/>
      <c r="J6990" s="556">
        <f t="shared" si="232"/>
        <v>0</v>
      </c>
      <c r="K6990" s="505"/>
      <c r="L6990" s="505"/>
      <c r="M6990" s="505"/>
      <c r="N6990" s="505"/>
      <c r="O6990" s="505"/>
      <c r="P6990" s="505"/>
      <c r="Q6990" s="505"/>
      <c r="R6990" s="505"/>
      <c r="S6990" s="505"/>
      <c r="T6990" s="505"/>
      <c r="U6990" s="505"/>
      <c r="V6990" s="505"/>
      <c r="W6990" s="505"/>
      <c r="X6990" s="505"/>
      <c r="Y6990" s="505"/>
    </row>
    <row r="6991" spans="1:25" s="88" customFormat="1" hidden="1" x14ac:dyDescent="0.25">
      <c r="A6991" s="258"/>
      <c r="B6991" s="258"/>
      <c r="C6991" s="261"/>
      <c r="D6991" s="258"/>
      <c r="E6991" s="679"/>
      <c r="F6991" s="499">
        <v>418</v>
      </c>
      <c r="G6991" s="492" t="s">
        <v>3775</v>
      </c>
      <c r="H6991" s="555"/>
      <c r="I6991" s="556"/>
      <c r="J6991" s="556">
        <f t="shared" si="232"/>
        <v>0</v>
      </c>
      <c r="K6991" s="505"/>
      <c r="L6991" s="505"/>
      <c r="M6991" s="505"/>
      <c r="N6991" s="505"/>
      <c r="O6991" s="505"/>
      <c r="P6991" s="505"/>
      <c r="Q6991" s="505"/>
      <c r="R6991" s="505"/>
      <c r="S6991" s="505"/>
      <c r="T6991" s="505"/>
      <c r="U6991" s="505"/>
      <c r="V6991" s="505"/>
      <c r="W6991" s="505"/>
      <c r="X6991" s="505"/>
      <c r="Y6991" s="505"/>
    </row>
    <row r="6992" spans="1:25" s="88" customFormat="1" hidden="1" x14ac:dyDescent="0.25">
      <c r="A6992" s="258"/>
      <c r="B6992" s="258"/>
      <c r="C6992" s="261"/>
      <c r="D6992" s="258"/>
      <c r="E6992" s="679"/>
      <c r="F6992" s="499">
        <v>421</v>
      </c>
      <c r="G6992" s="492" t="s">
        <v>3779</v>
      </c>
      <c r="H6992" s="555"/>
      <c r="I6992" s="556"/>
      <c r="J6992" s="556">
        <f t="shared" si="232"/>
        <v>0</v>
      </c>
      <c r="K6992" s="505"/>
      <c r="L6992" s="505"/>
      <c r="M6992" s="505"/>
      <c r="N6992" s="505"/>
      <c r="O6992" s="505"/>
      <c r="P6992" s="505"/>
      <c r="Q6992" s="505"/>
      <c r="R6992" s="505"/>
      <c r="S6992" s="505"/>
      <c r="T6992" s="505"/>
      <c r="U6992" s="505"/>
      <c r="V6992" s="505"/>
      <c r="W6992" s="505"/>
      <c r="X6992" s="505"/>
      <c r="Y6992" s="505"/>
    </row>
    <row r="6993" spans="1:25" s="88" customFormat="1" x14ac:dyDescent="0.25">
      <c r="A6993" s="258"/>
      <c r="B6993" s="258"/>
      <c r="C6993" s="261"/>
      <c r="D6993" s="258"/>
      <c r="E6993" s="679">
        <v>220</v>
      </c>
      <c r="F6993" s="499">
        <v>422</v>
      </c>
      <c r="G6993" s="492" t="s">
        <v>3780</v>
      </c>
      <c r="H6993" s="555">
        <v>40000</v>
      </c>
      <c r="I6993" s="556"/>
      <c r="J6993" s="556">
        <f t="shared" si="232"/>
        <v>40000</v>
      </c>
      <c r="K6993" s="505"/>
      <c r="L6993" s="505"/>
      <c r="M6993" s="505"/>
      <c r="N6993" s="505"/>
      <c r="O6993" s="505"/>
      <c r="P6993" s="505"/>
      <c r="Q6993" s="505"/>
      <c r="R6993" s="505"/>
      <c r="S6993" s="505"/>
      <c r="T6993" s="505"/>
      <c r="U6993" s="505"/>
      <c r="V6993" s="505"/>
      <c r="W6993" s="505"/>
      <c r="X6993" s="505"/>
      <c r="Y6993" s="505"/>
    </row>
    <row r="6994" spans="1:25" s="88" customFormat="1" ht="30" x14ac:dyDescent="0.25">
      <c r="A6994" s="258"/>
      <c r="B6994" s="258"/>
      <c r="C6994" s="261"/>
      <c r="D6994" s="258"/>
      <c r="E6994" s="679" t="s">
        <v>5383</v>
      </c>
      <c r="F6994" s="499">
        <v>423</v>
      </c>
      <c r="G6994" s="492" t="s">
        <v>3781</v>
      </c>
      <c r="H6994" s="555">
        <v>206000</v>
      </c>
      <c r="I6994" s="556">
        <v>150000</v>
      </c>
      <c r="J6994" s="556">
        <f t="shared" si="232"/>
        <v>356000</v>
      </c>
      <c r="K6994" s="505"/>
      <c r="L6994" s="505"/>
      <c r="M6994" s="505"/>
      <c r="N6994" s="505"/>
      <c r="O6994" s="505"/>
      <c r="P6994" s="505"/>
      <c r="Q6994" s="505"/>
      <c r="R6994" s="505"/>
      <c r="S6994" s="505"/>
      <c r="T6994" s="505"/>
      <c r="U6994" s="505"/>
      <c r="V6994" s="505"/>
      <c r="W6994" s="505"/>
      <c r="X6994" s="505"/>
      <c r="Y6994" s="505"/>
    </row>
    <row r="6995" spans="1:25" s="88" customFormat="1" hidden="1" x14ac:dyDescent="0.25">
      <c r="A6995" s="258"/>
      <c r="B6995" s="258"/>
      <c r="C6995" s="261"/>
      <c r="D6995" s="258"/>
      <c r="E6995" s="679"/>
      <c r="F6995" s="499">
        <v>424</v>
      </c>
      <c r="G6995" s="492" t="s">
        <v>3783</v>
      </c>
      <c r="H6995" s="555"/>
      <c r="I6995" s="556"/>
      <c r="J6995" s="556">
        <f t="shared" si="232"/>
        <v>0</v>
      </c>
      <c r="K6995" s="505"/>
      <c r="L6995" s="505"/>
      <c r="M6995" s="505"/>
      <c r="N6995" s="505"/>
      <c r="O6995" s="505"/>
      <c r="P6995" s="505"/>
      <c r="Q6995" s="505"/>
      <c r="R6995" s="505"/>
      <c r="S6995" s="505"/>
      <c r="T6995" s="505"/>
      <c r="U6995" s="505"/>
      <c r="V6995" s="505"/>
      <c r="W6995" s="505"/>
      <c r="X6995" s="505"/>
      <c r="Y6995" s="505"/>
    </row>
    <row r="6996" spans="1:25" s="88" customFormat="1" hidden="1" x14ac:dyDescent="0.25">
      <c r="A6996" s="258"/>
      <c r="B6996" s="258"/>
      <c r="C6996" s="261"/>
      <c r="D6996" s="258"/>
      <c r="E6996" s="679"/>
      <c r="F6996" s="499">
        <v>425</v>
      </c>
      <c r="G6996" s="492" t="s">
        <v>4144</v>
      </c>
      <c r="H6996" s="555"/>
      <c r="I6996" s="556"/>
      <c r="J6996" s="556">
        <f t="shared" si="232"/>
        <v>0</v>
      </c>
      <c r="K6996" s="505"/>
      <c r="L6996" s="505"/>
      <c r="M6996" s="505"/>
      <c r="N6996" s="505"/>
      <c r="O6996" s="505"/>
      <c r="P6996" s="505"/>
      <c r="Q6996" s="505"/>
      <c r="R6996" s="505"/>
      <c r="S6996" s="505"/>
      <c r="T6996" s="505"/>
      <c r="U6996" s="505"/>
      <c r="V6996" s="505"/>
      <c r="W6996" s="505"/>
      <c r="X6996" s="505"/>
      <c r="Y6996" s="505"/>
    </row>
    <row r="6997" spans="1:25" s="88" customFormat="1" hidden="1" x14ac:dyDescent="0.25">
      <c r="A6997" s="258"/>
      <c r="B6997" s="258"/>
      <c r="C6997" s="261"/>
      <c r="D6997" s="258"/>
      <c r="E6997" s="679">
        <v>223</v>
      </c>
      <c r="F6997" s="499">
        <v>426</v>
      </c>
      <c r="G6997" s="492" t="s">
        <v>3787</v>
      </c>
      <c r="H6997" s="555">
        <v>0</v>
      </c>
      <c r="I6997" s="556"/>
      <c r="J6997" s="556">
        <f t="shared" si="232"/>
        <v>0</v>
      </c>
      <c r="K6997" s="505"/>
      <c r="L6997" s="505"/>
      <c r="M6997" s="505"/>
      <c r="N6997" s="505"/>
      <c r="O6997" s="505"/>
      <c r="P6997" s="505"/>
      <c r="Q6997" s="505"/>
      <c r="R6997" s="505"/>
      <c r="S6997" s="505"/>
      <c r="T6997" s="505"/>
      <c r="U6997" s="505"/>
      <c r="V6997" s="505"/>
      <c r="W6997" s="505"/>
      <c r="X6997" s="505"/>
      <c r="Y6997" s="505"/>
    </row>
    <row r="6998" spans="1:25" s="88" customFormat="1" hidden="1" x14ac:dyDescent="0.25">
      <c r="A6998" s="258"/>
      <c r="B6998" s="258"/>
      <c r="C6998" s="261"/>
      <c r="D6998" s="258"/>
      <c r="E6998" s="679"/>
      <c r="F6998" s="499">
        <v>431</v>
      </c>
      <c r="G6998" s="492" t="s">
        <v>4145</v>
      </c>
      <c r="H6998" s="555"/>
      <c r="I6998" s="556"/>
      <c r="J6998" s="556">
        <f t="shared" si="232"/>
        <v>0</v>
      </c>
      <c r="K6998" s="505"/>
      <c r="L6998" s="505"/>
      <c r="M6998" s="505"/>
      <c r="N6998" s="505"/>
      <c r="O6998" s="505"/>
      <c r="P6998" s="505"/>
      <c r="Q6998" s="505"/>
      <c r="R6998" s="505"/>
      <c r="S6998" s="505"/>
      <c r="T6998" s="505"/>
      <c r="U6998" s="505"/>
      <c r="V6998" s="505"/>
      <c r="W6998" s="505"/>
      <c r="X6998" s="505"/>
      <c r="Y6998" s="505"/>
    </row>
    <row r="6999" spans="1:25" s="88" customFormat="1" hidden="1" x14ac:dyDescent="0.25">
      <c r="A6999" s="258"/>
      <c r="B6999" s="258"/>
      <c r="C6999" s="261"/>
      <c r="D6999" s="258"/>
      <c r="E6999" s="679"/>
      <c r="F6999" s="499">
        <v>432</v>
      </c>
      <c r="G6999" s="492" t="s">
        <v>4146</v>
      </c>
      <c r="H6999" s="555"/>
      <c r="I6999" s="556"/>
      <c r="J6999" s="556">
        <f t="shared" si="232"/>
        <v>0</v>
      </c>
      <c r="K6999" s="505"/>
      <c r="L6999" s="505"/>
      <c r="M6999" s="505"/>
      <c r="N6999" s="505"/>
      <c r="O6999" s="505"/>
      <c r="P6999" s="505"/>
      <c r="Q6999" s="505"/>
      <c r="R6999" s="505"/>
      <c r="S6999" s="505"/>
      <c r="T6999" s="505"/>
      <c r="U6999" s="505"/>
      <c r="V6999" s="505"/>
      <c r="W6999" s="505"/>
      <c r="X6999" s="505"/>
      <c r="Y6999" s="505"/>
    </row>
    <row r="7000" spans="1:25" s="88" customFormat="1" hidden="1" x14ac:dyDescent="0.25">
      <c r="A7000" s="258"/>
      <c r="B7000" s="258"/>
      <c r="C7000" s="261"/>
      <c r="D7000" s="258"/>
      <c r="E7000" s="679"/>
      <c r="F7000" s="499">
        <v>433</v>
      </c>
      <c r="G7000" s="492" t="s">
        <v>4147</v>
      </c>
      <c r="H7000" s="555"/>
      <c r="I7000" s="556"/>
      <c r="J7000" s="556">
        <f t="shared" si="232"/>
        <v>0</v>
      </c>
      <c r="K7000" s="505"/>
      <c r="L7000" s="505"/>
      <c r="M7000" s="505"/>
      <c r="N7000" s="505"/>
      <c r="O7000" s="505"/>
      <c r="P7000" s="505"/>
      <c r="Q7000" s="505"/>
      <c r="R7000" s="505"/>
      <c r="S7000" s="505"/>
      <c r="T7000" s="505"/>
      <c r="U7000" s="505"/>
      <c r="V7000" s="505"/>
      <c r="W7000" s="505"/>
      <c r="X7000" s="505"/>
      <c r="Y7000" s="505"/>
    </row>
    <row r="7001" spans="1:25" s="88" customFormat="1" hidden="1" x14ac:dyDescent="0.25">
      <c r="A7001" s="258"/>
      <c r="B7001" s="258"/>
      <c r="C7001" s="261"/>
      <c r="D7001" s="258"/>
      <c r="E7001" s="679"/>
      <c r="F7001" s="499">
        <v>434</v>
      </c>
      <c r="G7001" s="492" t="s">
        <v>4148</v>
      </c>
      <c r="H7001" s="555"/>
      <c r="I7001" s="556"/>
      <c r="J7001" s="556">
        <f t="shared" si="232"/>
        <v>0</v>
      </c>
      <c r="K7001" s="505"/>
      <c r="L7001" s="505"/>
      <c r="M7001" s="505"/>
      <c r="N7001" s="505"/>
      <c r="O7001" s="505"/>
      <c r="P7001" s="505"/>
      <c r="Q7001" s="505"/>
      <c r="R7001" s="505"/>
      <c r="S7001" s="505"/>
      <c r="T7001" s="505"/>
      <c r="U7001" s="505"/>
      <c r="V7001" s="505"/>
      <c r="W7001" s="505"/>
      <c r="X7001" s="505"/>
      <c r="Y7001" s="505"/>
    </row>
    <row r="7002" spans="1:25" s="88" customFormat="1" hidden="1" x14ac:dyDescent="0.25">
      <c r="A7002" s="258"/>
      <c r="B7002" s="258"/>
      <c r="C7002" s="261"/>
      <c r="D7002" s="258"/>
      <c r="E7002" s="679"/>
      <c r="F7002" s="499">
        <v>435</v>
      </c>
      <c r="G7002" s="492" t="s">
        <v>3794</v>
      </c>
      <c r="H7002" s="555"/>
      <c r="I7002" s="556"/>
      <c r="J7002" s="556">
        <f t="shared" si="232"/>
        <v>0</v>
      </c>
      <c r="K7002" s="505"/>
      <c r="L7002" s="505"/>
      <c r="M7002" s="505"/>
      <c r="N7002" s="505"/>
      <c r="O7002" s="505"/>
      <c r="P7002" s="505"/>
      <c r="Q7002" s="505"/>
      <c r="R7002" s="505"/>
      <c r="S7002" s="505"/>
      <c r="T7002" s="505"/>
      <c r="U7002" s="505"/>
      <c r="V7002" s="505"/>
      <c r="W7002" s="505"/>
      <c r="X7002" s="505"/>
      <c r="Y7002" s="505"/>
    </row>
    <row r="7003" spans="1:25" s="88" customFormat="1" hidden="1" x14ac:dyDescent="0.25">
      <c r="A7003" s="258"/>
      <c r="B7003" s="258"/>
      <c r="C7003" s="261"/>
      <c r="D7003" s="258"/>
      <c r="E7003" s="679"/>
      <c r="F7003" s="499">
        <v>441</v>
      </c>
      <c r="G7003" s="492" t="s">
        <v>4149</v>
      </c>
      <c r="H7003" s="555"/>
      <c r="I7003" s="556"/>
      <c r="J7003" s="556">
        <f t="shared" si="232"/>
        <v>0</v>
      </c>
      <c r="K7003" s="505"/>
      <c r="L7003" s="505"/>
      <c r="M7003" s="505"/>
      <c r="N7003" s="505"/>
      <c r="O7003" s="505"/>
      <c r="P7003" s="505"/>
      <c r="Q7003" s="505"/>
      <c r="R7003" s="505"/>
      <c r="S7003" s="505"/>
      <c r="T7003" s="505"/>
      <c r="U7003" s="505"/>
      <c r="V7003" s="505"/>
      <c r="W7003" s="505"/>
      <c r="X7003" s="505"/>
      <c r="Y7003" s="505"/>
    </row>
    <row r="7004" spans="1:25" s="88" customFormat="1" hidden="1" x14ac:dyDescent="0.25">
      <c r="A7004" s="258"/>
      <c r="B7004" s="258"/>
      <c r="C7004" s="261"/>
      <c r="D7004" s="258"/>
      <c r="E7004" s="679"/>
      <c r="F7004" s="499">
        <v>442</v>
      </c>
      <c r="G7004" s="492" t="s">
        <v>4150</v>
      </c>
      <c r="H7004" s="555"/>
      <c r="I7004" s="556"/>
      <c r="J7004" s="556">
        <f t="shared" si="232"/>
        <v>0</v>
      </c>
      <c r="K7004" s="505"/>
      <c r="L7004" s="505"/>
      <c r="M7004" s="505"/>
      <c r="N7004" s="505"/>
      <c r="O7004" s="505"/>
      <c r="P7004" s="505"/>
      <c r="Q7004" s="505"/>
      <c r="R7004" s="505"/>
      <c r="S7004" s="505"/>
      <c r="T7004" s="505"/>
      <c r="U7004" s="505"/>
      <c r="V7004" s="505"/>
      <c r="W7004" s="505"/>
      <c r="X7004" s="505"/>
      <c r="Y7004" s="505"/>
    </row>
    <row r="7005" spans="1:25" s="88" customFormat="1" hidden="1" x14ac:dyDescent="0.25">
      <c r="A7005" s="258"/>
      <c r="B7005" s="258"/>
      <c r="C7005" s="261"/>
      <c r="D7005" s="258"/>
      <c r="E7005" s="679"/>
      <c r="F7005" s="499">
        <v>443</v>
      </c>
      <c r="G7005" s="492" t="s">
        <v>3799</v>
      </c>
      <c r="H7005" s="555"/>
      <c r="I7005" s="556"/>
      <c r="J7005" s="556">
        <f t="shared" si="232"/>
        <v>0</v>
      </c>
      <c r="K7005" s="505"/>
      <c r="L7005" s="505"/>
      <c r="M7005" s="505"/>
      <c r="N7005" s="505"/>
      <c r="O7005" s="505"/>
      <c r="P7005" s="505"/>
      <c r="Q7005" s="505"/>
      <c r="R7005" s="505"/>
      <c r="S7005" s="505"/>
      <c r="T7005" s="505"/>
      <c r="U7005" s="505"/>
      <c r="V7005" s="505"/>
      <c r="W7005" s="505"/>
      <c r="X7005" s="505"/>
      <c r="Y7005" s="505"/>
    </row>
    <row r="7006" spans="1:25" s="88" customFormat="1" hidden="1" x14ac:dyDescent="0.25">
      <c r="A7006" s="258"/>
      <c r="B7006" s="258"/>
      <c r="C7006" s="261"/>
      <c r="D7006" s="258"/>
      <c r="E7006" s="679"/>
      <c r="F7006" s="499">
        <v>444</v>
      </c>
      <c r="G7006" s="492" t="s">
        <v>3800</v>
      </c>
      <c r="H7006" s="555"/>
      <c r="I7006" s="556"/>
      <c r="J7006" s="556">
        <f t="shared" si="232"/>
        <v>0</v>
      </c>
      <c r="K7006" s="505"/>
      <c r="L7006" s="505"/>
      <c r="M7006" s="505"/>
      <c r="N7006" s="505"/>
      <c r="O7006" s="505"/>
      <c r="P7006" s="505"/>
      <c r="Q7006" s="505"/>
      <c r="R7006" s="505"/>
      <c r="S7006" s="505"/>
      <c r="T7006" s="505"/>
      <c r="U7006" s="505"/>
      <c r="V7006" s="505"/>
      <c r="W7006" s="505"/>
      <c r="X7006" s="505"/>
      <c r="Y7006" s="505"/>
    </row>
    <row r="7007" spans="1:25" s="88" customFormat="1" ht="30" hidden="1" x14ac:dyDescent="0.25">
      <c r="A7007" s="258"/>
      <c r="B7007" s="258"/>
      <c r="C7007" s="261"/>
      <c r="D7007" s="258"/>
      <c r="E7007" s="679"/>
      <c r="F7007" s="499">
        <v>4511</v>
      </c>
      <c r="G7007" s="776" t="s">
        <v>1690</v>
      </c>
      <c r="H7007" s="555"/>
      <c r="I7007" s="556"/>
      <c r="J7007" s="556">
        <f t="shared" si="232"/>
        <v>0</v>
      </c>
      <c r="K7007" s="505"/>
      <c r="L7007" s="505"/>
      <c r="M7007" s="505"/>
      <c r="N7007" s="505"/>
      <c r="O7007" s="505"/>
      <c r="P7007" s="505"/>
      <c r="Q7007" s="505"/>
      <c r="R7007" s="505"/>
      <c r="S7007" s="505"/>
      <c r="T7007" s="505"/>
      <c r="U7007" s="505"/>
      <c r="V7007" s="505"/>
      <c r="W7007" s="505"/>
      <c r="X7007" s="505"/>
      <c r="Y7007" s="505"/>
    </row>
    <row r="7008" spans="1:25" s="88" customFormat="1" ht="15" hidden="1" customHeight="1" x14ac:dyDescent="0.25">
      <c r="A7008" s="258"/>
      <c r="B7008" s="258"/>
      <c r="C7008" s="261"/>
      <c r="D7008" s="258"/>
      <c r="E7008" s="679">
        <v>69</v>
      </c>
      <c r="F7008" s="691">
        <v>511</v>
      </c>
      <c r="G7008" s="775" t="s">
        <v>5208</v>
      </c>
      <c r="H7008" s="555">
        <v>0</v>
      </c>
      <c r="I7008" s="556"/>
      <c r="J7008" s="556">
        <f t="shared" si="232"/>
        <v>0</v>
      </c>
      <c r="K7008" s="505"/>
      <c r="L7008" s="505"/>
      <c r="M7008" s="505"/>
      <c r="N7008" s="505"/>
      <c r="O7008" s="505"/>
      <c r="P7008" s="505"/>
      <c r="Q7008" s="505"/>
      <c r="R7008" s="505"/>
      <c r="S7008" s="505"/>
      <c r="T7008" s="505"/>
      <c r="U7008" s="505"/>
      <c r="V7008" s="505"/>
      <c r="W7008" s="505"/>
      <c r="X7008" s="505"/>
      <c r="Y7008" s="505"/>
    </row>
    <row r="7009" spans="1:25" s="88" customFormat="1" hidden="1" x14ac:dyDescent="0.25">
      <c r="A7009" s="258"/>
      <c r="B7009" s="258"/>
      <c r="C7009" s="261"/>
      <c r="D7009" s="258"/>
      <c r="E7009" s="679"/>
      <c r="F7009" s="499">
        <v>452</v>
      </c>
      <c r="G7009" s="492" t="s">
        <v>4151</v>
      </c>
      <c r="H7009" s="555"/>
      <c r="I7009" s="556"/>
      <c r="J7009" s="556">
        <f t="shared" si="232"/>
        <v>0</v>
      </c>
      <c r="K7009" s="505"/>
      <c r="L7009" s="505"/>
      <c r="M7009" s="505"/>
      <c r="N7009" s="505"/>
      <c r="O7009" s="505"/>
      <c r="P7009" s="505"/>
      <c r="Q7009" s="505"/>
      <c r="R7009" s="505"/>
      <c r="S7009" s="505"/>
      <c r="T7009" s="505"/>
      <c r="U7009" s="505"/>
      <c r="V7009" s="505"/>
      <c r="W7009" s="505"/>
      <c r="X7009" s="505"/>
      <c r="Y7009" s="505"/>
    </row>
    <row r="7010" spans="1:25" s="88" customFormat="1" hidden="1" x14ac:dyDescent="0.25">
      <c r="A7010" s="258"/>
      <c r="B7010" s="258"/>
      <c r="C7010" s="261"/>
      <c r="D7010" s="258"/>
      <c r="E7010" s="679"/>
      <c r="F7010" s="499">
        <v>453</v>
      </c>
      <c r="G7010" s="492" t="s">
        <v>4152</v>
      </c>
      <c r="H7010" s="555"/>
      <c r="I7010" s="556"/>
      <c r="J7010" s="556">
        <f t="shared" si="232"/>
        <v>0</v>
      </c>
      <c r="K7010" s="505"/>
      <c r="L7010" s="505"/>
      <c r="M7010" s="505"/>
      <c r="N7010" s="505"/>
      <c r="O7010" s="505"/>
      <c r="P7010" s="505"/>
      <c r="Q7010" s="505"/>
      <c r="R7010" s="505"/>
      <c r="S7010" s="505"/>
      <c r="T7010" s="505"/>
      <c r="U7010" s="505"/>
      <c r="V7010" s="505"/>
      <c r="W7010" s="505"/>
      <c r="X7010" s="505"/>
      <c r="Y7010" s="505"/>
    </row>
    <row r="7011" spans="1:25" s="88" customFormat="1" hidden="1" x14ac:dyDescent="0.25">
      <c r="A7011" s="258"/>
      <c r="B7011" s="258"/>
      <c r="C7011" s="261"/>
      <c r="D7011" s="258"/>
      <c r="E7011" s="679"/>
      <c r="F7011" s="499">
        <v>454</v>
      </c>
      <c r="G7011" s="492" t="s">
        <v>3805</v>
      </c>
      <c r="H7011" s="555"/>
      <c r="I7011" s="556"/>
      <c r="J7011" s="556">
        <f t="shared" si="232"/>
        <v>0</v>
      </c>
      <c r="K7011" s="505"/>
      <c r="L7011" s="505"/>
      <c r="M7011" s="505"/>
      <c r="N7011" s="505"/>
      <c r="O7011" s="505"/>
      <c r="P7011" s="505"/>
      <c r="Q7011" s="505"/>
      <c r="R7011" s="505"/>
      <c r="S7011" s="505"/>
      <c r="T7011" s="505"/>
      <c r="U7011" s="505"/>
      <c r="V7011" s="505"/>
      <c r="W7011" s="505"/>
      <c r="X7011" s="505"/>
      <c r="Y7011" s="505"/>
    </row>
    <row r="7012" spans="1:25" s="88" customFormat="1" hidden="1" x14ac:dyDescent="0.25">
      <c r="A7012" s="258"/>
      <c r="B7012" s="258"/>
      <c r="C7012" s="261"/>
      <c r="D7012" s="258"/>
      <c r="E7012" s="679"/>
      <c r="F7012" s="499">
        <v>461</v>
      </c>
      <c r="G7012" s="492" t="s">
        <v>4133</v>
      </c>
      <c r="H7012" s="555"/>
      <c r="I7012" s="556"/>
      <c r="J7012" s="556">
        <f t="shared" si="232"/>
        <v>0</v>
      </c>
      <c r="K7012" s="505"/>
      <c r="L7012" s="505"/>
      <c r="M7012" s="505"/>
      <c r="N7012" s="505"/>
      <c r="O7012" s="505"/>
      <c r="P7012" s="505"/>
      <c r="Q7012" s="505"/>
      <c r="R7012" s="505"/>
      <c r="S7012" s="505"/>
      <c r="T7012" s="505"/>
      <c r="U7012" s="505"/>
      <c r="V7012" s="505"/>
      <c r="W7012" s="505"/>
      <c r="X7012" s="505"/>
      <c r="Y7012" s="505"/>
    </row>
    <row r="7013" spans="1:25" s="88" customFormat="1" hidden="1" x14ac:dyDescent="0.25">
      <c r="A7013" s="258"/>
      <c r="B7013" s="258"/>
      <c r="C7013" s="261"/>
      <c r="D7013" s="258"/>
      <c r="E7013" s="679"/>
      <c r="F7013" s="499">
        <v>462</v>
      </c>
      <c r="G7013" s="492" t="s">
        <v>3808</v>
      </c>
      <c r="H7013" s="555"/>
      <c r="I7013" s="556"/>
      <c r="J7013" s="556">
        <f t="shared" si="232"/>
        <v>0</v>
      </c>
      <c r="K7013" s="505"/>
      <c r="L7013" s="505"/>
      <c r="M7013" s="505"/>
      <c r="N7013" s="505"/>
      <c r="O7013" s="505"/>
      <c r="P7013" s="505"/>
      <c r="Q7013" s="505"/>
      <c r="R7013" s="505"/>
      <c r="S7013" s="505"/>
      <c r="T7013" s="505"/>
      <c r="U7013" s="505"/>
      <c r="V7013" s="505"/>
      <c r="W7013" s="505"/>
      <c r="X7013" s="505"/>
      <c r="Y7013" s="505"/>
    </row>
    <row r="7014" spans="1:25" s="88" customFormat="1" hidden="1" x14ac:dyDescent="0.25">
      <c r="A7014" s="258"/>
      <c r="B7014" s="258"/>
      <c r="C7014" s="261"/>
      <c r="D7014" s="258"/>
      <c r="E7014" s="679"/>
      <c r="F7014" s="499">
        <v>4631</v>
      </c>
      <c r="G7014" s="492" t="s">
        <v>3809</v>
      </c>
      <c r="H7014" s="555"/>
      <c r="I7014" s="556"/>
      <c r="J7014" s="556">
        <f t="shared" si="232"/>
        <v>0</v>
      </c>
      <c r="K7014" s="505"/>
      <c r="L7014" s="505"/>
      <c r="M7014" s="505"/>
      <c r="N7014" s="505"/>
      <c r="O7014" s="505"/>
      <c r="P7014" s="505"/>
      <c r="Q7014" s="505"/>
      <c r="R7014" s="505"/>
      <c r="S7014" s="505"/>
      <c r="T7014" s="505"/>
      <c r="U7014" s="505"/>
      <c r="V7014" s="505"/>
      <c r="W7014" s="505"/>
      <c r="X7014" s="505"/>
      <c r="Y7014" s="505"/>
    </row>
    <row r="7015" spans="1:25" s="88" customFormat="1" hidden="1" x14ac:dyDescent="0.25">
      <c r="A7015" s="258"/>
      <c r="B7015" s="258"/>
      <c r="C7015" s="261"/>
      <c r="D7015" s="258"/>
      <c r="E7015" s="679"/>
      <c r="F7015" s="499">
        <v>4632</v>
      </c>
      <c r="G7015" s="492" t="s">
        <v>3810</v>
      </c>
      <c r="H7015" s="555"/>
      <c r="I7015" s="556"/>
      <c r="J7015" s="556">
        <f t="shared" si="232"/>
        <v>0</v>
      </c>
      <c r="K7015" s="505"/>
      <c r="L7015" s="505"/>
      <c r="M7015" s="505"/>
      <c r="N7015" s="505"/>
      <c r="O7015" s="505"/>
      <c r="P7015" s="505"/>
      <c r="Q7015" s="505"/>
      <c r="R7015" s="505"/>
      <c r="S7015" s="505"/>
      <c r="T7015" s="505"/>
      <c r="U7015" s="505"/>
      <c r="V7015" s="505"/>
      <c r="W7015" s="505"/>
      <c r="X7015" s="505"/>
      <c r="Y7015" s="505"/>
    </row>
    <row r="7016" spans="1:25" s="88" customFormat="1" hidden="1" x14ac:dyDescent="0.25">
      <c r="A7016" s="258"/>
      <c r="B7016" s="258"/>
      <c r="C7016" s="261"/>
      <c r="D7016" s="258"/>
      <c r="E7016" s="679"/>
      <c r="F7016" s="499">
        <v>464</v>
      </c>
      <c r="G7016" s="492" t="s">
        <v>3811</v>
      </c>
      <c r="H7016" s="555"/>
      <c r="I7016" s="556"/>
      <c r="J7016" s="556">
        <f t="shared" si="232"/>
        <v>0</v>
      </c>
      <c r="K7016" s="505"/>
      <c r="L7016" s="505"/>
      <c r="M7016" s="505"/>
      <c r="N7016" s="505"/>
      <c r="O7016" s="505"/>
      <c r="P7016" s="505"/>
      <c r="Q7016" s="505"/>
      <c r="R7016" s="505"/>
      <c r="S7016" s="505"/>
      <c r="T7016" s="505"/>
      <c r="U7016" s="505"/>
      <c r="V7016" s="505"/>
      <c r="W7016" s="505"/>
      <c r="X7016" s="505"/>
      <c r="Y7016" s="505"/>
    </row>
    <row r="7017" spans="1:25" s="88" customFormat="1" hidden="1" x14ac:dyDescent="0.25">
      <c r="A7017" s="258"/>
      <c r="B7017" s="258"/>
      <c r="C7017" s="261"/>
      <c r="D7017" s="258"/>
      <c r="E7017" s="679"/>
      <c r="F7017" s="499">
        <v>465</v>
      </c>
      <c r="G7017" s="492" t="s">
        <v>4134</v>
      </c>
      <c r="H7017" s="555"/>
      <c r="I7017" s="556"/>
      <c r="J7017" s="556">
        <f t="shared" si="232"/>
        <v>0</v>
      </c>
      <c r="K7017" s="505"/>
      <c r="L7017" s="505"/>
      <c r="M7017" s="505"/>
      <c r="N7017" s="505"/>
      <c r="O7017" s="505"/>
      <c r="P7017" s="505"/>
      <c r="Q7017" s="505"/>
      <c r="R7017" s="505"/>
      <c r="S7017" s="505"/>
      <c r="T7017" s="505"/>
      <c r="U7017" s="505"/>
      <c r="V7017" s="505"/>
      <c r="W7017" s="505"/>
      <c r="X7017" s="505"/>
      <c r="Y7017" s="505"/>
    </row>
    <row r="7018" spans="1:25" s="88" customFormat="1" hidden="1" x14ac:dyDescent="0.25">
      <c r="A7018" s="258"/>
      <c r="B7018" s="258"/>
      <c r="C7018" s="261"/>
      <c r="D7018" s="258"/>
      <c r="E7018" s="679"/>
      <c r="F7018" s="499">
        <v>472</v>
      </c>
      <c r="G7018" s="492" t="s">
        <v>3815</v>
      </c>
      <c r="H7018" s="555"/>
      <c r="I7018" s="556"/>
      <c r="J7018" s="556">
        <f t="shared" si="232"/>
        <v>0</v>
      </c>
      <c r="K7018" s="505"/>
      <c r="L7018" s="505"/>
      <c r="M7018" s="505"/>
      <c r="N7018" s="505"/>
      <c r="O7018" s="505"/>
      <c r="P7018" s="505"/>
      <c r="Q7018" s="505"/>
      <c r="R7018" s="505"/>
      <c r="S7018" s="505"/>
      <c r="T7018" s="505"/>
      <c r="U7018" s="505"/>
      <c r="V7018" s="505"/>
      <c r="W7018" s="505"/>
      <c r="X7018" s="505"/>
      <c r="Y7018" s="505"/>
    </row>
    <row r="7019" spans="1:25" s="88" customFormat="1" hidden="1" x14ac:dyDescent="0.25">
      <c r="A7019" s="258"/>
      <c r="B7019" s="258"/>
      <c r="C7019" s="261"/>
      <c r="D7019" s="258"/>
      <c r="E7019" s="679"/>
      <c r="F7019" s="499">
        <v>481</v>
      </c>
      <c r="G7019" s="492" t="s">
        <v>4153</v>
      </c>
      <c r="H7019" s="555"/>
      <c r="I7019" s="556"/>
      <c r="J7019" s="556">
        <f t="shared" si="232"/>
        <v>0</v>
      </c>
      <c r="K7019" s="505"/>
      <c r="L7019" s="505"/>
      <c r="M7019" s="505"/>
      <c r="N7019" s="505"/>
      <c r="O7019" s="505"/>
      <c r="P7019" s="505"/>
      <c r="Q7019" s="505"/>
      <c r="R7019" s="505"/>
      <c r="S7019" s="505"/>
      <c r="T7019" s="505"/>
      <c r="U7019" s="505"/>
      <c r="V7019" s="505"/>
      <c r="W7019" s="505"/>
      <c r="X7019" s="505"/>
      <c r="Y7019" s="505"/>
    </row>
    <row r="7020" spans="1:25" s="88" customFormat="1" hidden="1" x14ac:dyDescent="0.25">
      <c r="A7020" s="258"/>
      <c r="B7020" s="258"/>
      <c r="C7020" s="261"/>
      <c r="D7020" s="258"/>
      <c r="E7020" s="679"/>
      <c r="F7020" s="499">
        <v>482</v>
      </c>
      <c r="G7020" s="492" t="s">
        <v>4154</v>
      </c>
      <c r="H7020" s="555"/>
      <c r="I7020" s="556"/>
      <c r="J7020" s="556">
        <f t="shared" si="232"/>
        <v>0</v>
      </c>
      <c r="K7020" s="505"/>
      <c r="L7020" s="505"/>
      <c r="M7020" s="505"/>
      <c r="N7020" s="505"/>
      <c r="O7020" s="505"/>
      <c r="P7020" s="505"/>
      <c r="Q7020" s="505"/>
      <c r="R7020" s="505"/>
      <c r="S7020" s="505"/>
      <c r="T7020" s="505"/>
      <c r="U7020" s="505"/>
      <c r="V7020" s="505"/>
      <c r="W7020" s="505"/>
      <c r="X7020" s="505"/>
      <c r="Y7020" s="505"/>
    </row>
    <row r="7021" spans="1:25" s="88" customFormat="1" hidden="1" x14ac:dyDescent="0.25">
      <c r="A7021" s="258"/>
      <c r="B7021" s="258"/>
      <c r="C7021" s="261"/>
      <c r="D7021" s="258"/>
      <c r="E7021" s="679"/>
      <c r="F7021" s="499">
        <v>483</v>
      </c>
      <c r="G7021" s="496" t="s">
        <v>4155</v>
      </c>
      <c r="H7021" s="555"/>
      <c r="I7021" s="556"/>
      <c r="J7021" s="556">
        <f t="shared" si="232"/>
        <v>0</v>
      </c>
      <c r="K7021" s="505"/>
      <c r="L7021" s="505"/>
      <c r="M7021" s="505"/>
      <c r="N7021" s="505"/>
      <c r="O7021" s="505"/>
      <c r="P7021" s="505"/>
      <c r="Q7021" s="505"/>
      <c r="R7021" s="505"/>
      <c r="S7021" s="505"/>
      <c r="T7021" s="505"/>
      <c r="U7021" s="505"/>
      <c r="V7021" s="505"/>
      <c r="W7021" s="505"/>
      <c r="X7021" s="505"/>
      <c r="Y7021" s="505"/>
    </row>
    <row r="7022" spans="1:25" s="88" customFormat="1" ht="30" hidden="1" x14ac:dyDescent="0.25">
      <c r="A7022" s="258"/>
      <c r="B7022" s="258"/>
      <c r="C7022" s="261"/>
      <c r="D7022" s="258"/>
      <c r="E7022" s="679"/>
      <c r="F7022" s="499">
        <v>484</v>
      </c>
      <c r="G7022" s="492" t="s">
        <v>4156</v>
      </c>
      <c r="H7022" s="555"/>
      <c r="I7022" s="556"/>
      <c r="J7022" s="556">
        <f t="shared" si="232"/>
        <v>0</v>
      </c>
      <c r="K7022" s="505"/>
      <c r="L7022" s="505"/>
      <c r="M7022" s="505"/>
      <c r="N7022" s="505"/>
      <c r="O7022" s="505"/>
      <c r="P7022" s="505"/>
      <c r="Q7022" s="505"/>
      <c r="R7022" s="505"/>
      <c r="S7022" s="505"/>
      <c r="T7022" s="505"/>
      <c r="U7022" s="505"/>
      <c r="V7022" s="505"/>
      <c r="W7022" s="505"/>
      <c r="X7022" s="505"/>
      <c r="Y7022" s="505"/>
    </row>
    <row r="7023" spans="1:25" s="88" customFormat="1" ht="30" hidden="1" x14ac:dyDescent="0.25">
      <c r="A7023" s="258"/>
      <c r="B7023" s="258"/>
      <c r="C7023" s="261"/>
      <c r="D7023" s="258"/>
      <c r="E7023" s="679"/>
      <c r="F7023" s="499">
        <v>485</v>
      </c>
      <c r="G7023" s="492" t="s">
        <v>4157</v>
      </c>
      <c r="H7023" s="555"/>
      <c r="I7023" s="556"/>
      <c r="J7023" s="556">
        <f t="shared" si="232"/>
        <v>0</v>
      </c>
      <c r="K7023" s="505"/>
      <c r="L7023" s="505"/>
      <c r="M7023" s="505"/>
      <c r="N7023" s="505"/>
      <c r="O7023" s="505"/>
      <c r="P7023" s="505"/>
      <c r="Q7023" s="505"/>
      <c r="R7023" s="505"/>
      <c r="S7023" s="505"/>
      <c r="T7023" s="505"/>
      <c r="U7023" s="505"/>
      <c r="V7023" s="505"/>
      <c r="W7023" s="505"/>
      <c r="X7023" s="505"/>
      <c r="Y7023" s="505"/>
    </row>
    <row r="7024" spans="1:25" s="88" customFormat="1" ht="30" hidden="1" x14ac:dyDescent="0.25">
      <c r="A7024" s="258"/>
      <c r="B7024" s="258"/>
      <c r="C7024" s="261"/>
      <c r="D7024" s="258"/>
      <c r="E7024" s="679"/>
      <c r="F7024" s="499">
        <v>489</v>
      </c>
      <c r="G7024" s="492" t="s">
        <v>3823</v>
      </c>
      <c r="H7024" s="555"/>
      <c r="I7024" s="556"/>
      <c r="J7024" s="556">
        <f t="shared" si="232"/>
        <v>0</v>
      </c>
      <c r="K7024" s="505"/>
      <c r="L7024" s="505"/>
      <c r="M7024" s="505"/>
      <c r="N7024" s="505"/>
      <c r="O7024" s="505"/>
      <c r="P7024" s="505"/>
      <c r="Q7024" s="505"/>
      <c r="R7024" s="505"/>
      <c r="S7024" s="505"/>
      <c r="T7024" s="505"/>
      <c r="U7024" s="505"/>
      <c r="V7024" s="505"/>
      <c r="W7024" s="505"/>
      <c r="X7024" s="505"/>
      <c r="Y7024" s="505"/>
    </row>
    <row r="7025" spans="1:25" s="88" customFormat="1" hidden="1" x14ac:dyDescent="0.25">
      <c r="A7025" s="258"/>
      <c r="B7025" s="258"/>
      <c r="C7025" s="261"/>
      <c r="D7025" s="258"/>
      <c r="E7025" s="679"/>
      <c r="F7025" s="499">
        <v>494</v>
      </c>
      <c r="G7025" s="492" t="s">
        <v>4135</v>
      </c>
      <c r="H7025" s="555"/>
      <c r="I7025" s="556"/>
      <c r="J7025" s="556">
        <f t="shared" si="232"/>
        <v>0</v>
      </c>
      <c r="K7025" s="505"/>
      <c r="L7025" s="505"/>
      <c r="M7025" s="505"/>
      <c r="N7025" s="505"/>
      <c r="O7025" s="505"/>
      <c r="P7025" s="505"/>
      <c r="Q7025" s="505"/>
      <c r="R7025" s="505"/>
      <c r="S7025" s="505"/>
      <c r="T7025" s="505"/>
      <c r="U7025" s="505"/>
      <c r="V7025" s="505"/>
      <c r="W7025" s="505"/>
      <c r="X7025" s="505"/>
      <c r="Y7025" s="505"/>
    </row>
    <row r="7026" spans="1:25" s="88" customFormat="1" ht="30" hidden="1" x14ac:dyDescent="0.25">
      <c r="A7026" s="258"/>
      <c r="B7026" s="258"/>
      <c r="C7026" s="261"/>
      <c r="D7026" s="258"/>
      <c r="E7026" s="679"/>
      <c r="F7026" s="499">
        <v>495</v>
      </c>
      <c r="G7026" s="492" t="s">
        <v>4136</v>
      </c>
      <c r="H7026" s="555"/>
      <c r="I7026" s="556"/>
      <c r="J7026" s="556">
        <f t="shared" si="232"/>
        <v>0</v>
      </c>
      <c r="K7026" s="505"/>
      <c r="L7026" s="505"/>
      <c r="M7026" s="505"/>
      <c r="N7026" s="505"/>
      <c r="O7026" s="505"/>
      <c r="P7026" s="505"/>
      <c r="Q7026" s="505"/>
      <c r="R7026" s="505"/>
      <c r="S7026" s="505"/>
      <c r="T7026" s="505"/>
      <c r="U7026" s="505"/>
      <c r="V7026" s="505"/>
      <c r="W7026" s="505"/>
      <c r="X7026" s="505"/>
      <c r="Y7026" s="505"/>
    </row>
    <row r="7027" spans="1:25" s="88" customFormat="1" ht="30" hidden="1" x14ac:dyDescent="0.25">
      <c r="A7027" s="258"/>
      <c r="B7027" s="258"/>
      <c r="C7027" s="261"/>
      <c r="D7027" s="258"/>
      <c r="E7027" s="679"/>
      <c r="F7027" s="499">
        <v>496</v>
      </c>
      <c r="G7027" s="492" t="s">
        <v>4137</v>
      </c>
      <c r="H7027" s="555"/>
      <c r="I7027" s="556"/>
      <c r="J7027" s="556">
        <f t="shared" si="232"/>
        <v>0</v>
      </c>
      <c r="K7027" s="505"/>
      <c r="L7027" s="505"/>
      <c r="M7027" s="505"/>
      <c r="N7027" s="505"/>
      <c r="O7027" s="505"/>
      <c r="P7027" s="505"/>
      <c r="Q7027" s="505"/>
      <c r="R7027" s="505"/>
      <c r="S7027" s="505"/>
      <c r="T7027" s="505"/>
      <c r="U7027" s="505"/>
      <c r="V7027" s="505"/>
      <c r="W7027" s="505"/>
      <c r="X7027" s="505"/>
      <c r="Y7027" s="505"/>
    </row>
    <row r="7028" spans="1:25" s="88" customFormat="1" ht="30" hidden="1" x14ac:dyDescent="0.25">
      <c r="A7028" s="258"/>
      <c r="B7028" s="258"/>
      <c r="C7028" s="261"/>
      <c r="D7028" s="258"/>
      <c r="E7028" s="679"/>
      <c r="F7028" s="499">
        <v>499</v>
      </c>
      <c r="G7028" s="492" t="s">
        <v>4138</v>
      </c>
      <c r="H7028" s="555"/>
      <c r="I7028" s="556"/>
      <c r="J7028" s="556">
        <f t="shared" si="232"/>
        <v>0</v>
      </c>
      <c r="K7028" s="505"/>
      <c r="L7028" s="505"/>
      <c r="M7028" s="505"/>
      <c r="N7028" s="505"/>
      <c r="O7028" s="505"/>
      <c r="P7028" s="505"/>
      <c r="Q7028" s="505"/>
      <c r="R7028" s="505"/>
      <c r="S7028" s="505"/>
      <c r="T7028" s="505"/>
      <c r="U7028" s="505"/>
      <c r="V7028" s="505"/>
      <c r="W7028" s="505"/>
      <c r="X7028" s="505"/>
      <c r="Y7028" s="505"/>
    </row>
    <row r="7029" spans="1:25" s="88" customFormat="1" hidden="1" x14ac:dyDescent="0.25">
      <c r="A7029" s="258"/>
      <c r="B7029" s="258"/>
      <c r="C7029" s="261"/>
      <c r="D7029" s="258"/>
      <c r="E7029" s="679"/>
      <c r="F7029" s="499">
        <v>511</v>
      </c>
      <c r="G7029" s="496" t="s">
        <v>4158</v>
      </c>
      <c r="H7029" s="555">
        <v>0</v>
      </c>
      <c r="I7029" s="556"/>
      <c r="J7029" s="556">
        <f t="shared" si="232"/>
        <v>0</v>
      </c>
      <c r="K7029" s="505"/>
      <c r="L7029" s="505"/>
      <c r="M7029" s="505"/>
      <c r="N7029" s="505"/>
      <c r="O7029" s="505"/>
      <c r="P7029" s="505"/>
      <c r="Q7029" s="505"/>
      <c r="R7029" s="505"/>
      <c r="S7029" s="505"/>
      <c r="T7029" s="505"/>
      <c r="U7029" s="505"/>
      <c r="V7029" s="505"/>
      <c r="W7029" s="505"/>
      <c r="X7029" s="505"/>
      <c r="Y7029" s="505"/>
    </row>
    <row r="7030" spans="1:25" s="88" customFormat="1" hidden="1" x14ac:dyDescent="0.25">
      <c r="A7030" s="258"/>
      <c r="B7030" s="258"/>
      <c r="C7030" s="261"/>
      <c r="D7030" s="258"/>
      <c r="E7030" s="679"/>
      <c r="F7030" s="499">
        <v>512</v>
      </c>
      <c r="G7030" s="496" t="s">
        <v>4159</v>
      </c>
      <c r="H7030" s="555"/>
      <c r="I7030" s="556"/>
      <c r="J7030" s="556">
        <f t="shared" si="232"/>
        <v>0</v>
      </c>
      <c r="K7030" s="505"/>
      <c r="L7030" s="505"/>
      <c r="M7030" s="505"/>
      <c r="N7030" s="505"/>
      <c r="O7030" s="505"/>
      <c r="P7030" s="505"/>
      <c r="Q7030" s="505"/>
      <c r="R7030" s="505"/>
      <c r="S7030" s="505"/>
      <c r="T7030" s="505"/>
      <c r="U7030" s="505"/>
      <c r="V7030" s="505"/>
      <c r="W7030" s="505"/>
      <c r="X7030" s="505"/>
      <c r="Y7030" s="505"/>
    </row>
    <row r="7031" spans="1:25" s="88" customFormat="1" hidden="1" x14ac:dyDescent="0.25">
      <c r="A7031" s="258"/>
      <c r="B7031" s="258"/>
      <c r="C7031" s="261"/>
      <c r="D7031" s="258"/>
      <c r="E7031" s="679"/>
      <c r="F7031" s="499">
        <v>513</v>
      </c>
      <c r="G7031" s="496" t="s">
        <v>4160</v>
      </c>
      <c r="H7031" s="555"/>
      <c r="I7031" s="556"/>
      <c r="J7031" s="556">
        <f t="shared" si="232"/>
        <v>0</v>
      </c>
      <c r="K7031" s="505"/>
      <c r="L7031" s="505"/>
      <c r="M7031" s="505"/>
      <c r="N7031" s="505"/>
      <c r="O7031" s="505"/>
      <c r="P7031" s="505"/>
      <c r="Q7031" s="505"/>
      <c r="R7031" s="505"/>
      <c r="S7031" s="505"/>
      <c r="T7031" s="505"/>
      <c r="U7031" s="505"/>
      <c r="V7031" s="505"/>
      <c r="W7031" s="505"/>
      <c r="X7031" s="505"/>
      <c r="Y7031" s="505"/>
    </row>
    <row r="7032" spans="1:25" s="88" customFormat="1" hidden="1" x14ac:dyDescent="0.25">
      <c r="A7032" s="258"/>
      <c r="B7032" s="258"/>
      <c r="C7032" s="261"/>
      <c r="D7032" s="258"/>
      <c r="E7032" s="679"/>
      <c r="F7032" s="499">
        <v>514</v>
      </c>
      <c r="G7032" s="492" t="s">
        <v>4161</v>
      </c>
      <c r="H7032" s="555"/>
      <c r="I7032" s="556"/>
      <c r="J7032" s="556">
        <f t="shared" si="232"/>
        <v>0</v>
      </c>
      <c r="K7032" s="505"/>
      <c r="L7032" s="505"/>
      <c r="M7032" s="505"/>
      <c r="N7032" s="505"/>
      <c r="O7032" s="505"/>
      <c r="P7032" s="505"/>
      <c r="Q7032" s="505"/>
      <c r="R7032" s="505"/>
      <c r="S7032" s="505"/>
      <c r="T7032" s="505"/>
      <c r="U7032" s="505"/>
      <c r="V7032" s="505"/>
      <c r="W7032" s="505"/>
      <c r="X7032" s="505"/>
      <c r="Y7032" s="505"/>
    </row>
    <row r="7033" spans="1:25" s="88" customFormat="1" hidden="1" x14ac:dyDescent="0.25">
      <c r="A7033" s="258"/>
      <c r="B7033" s="258"/>
      <c r="C7033" s="261"/>
      <c r="D7033" s="258"/>
      <c r="E7033" s="679"/>
      <c r="F7033" s="499">
        <v>515</v>
      </c>
      <c r="G7033" s="492" t="s">
        <v>3834</v>
      </c>
      <c r="H7033" s="555"/>
      <c r="I7033" s="556"/>
      <c r="J7033" s="556">
        <f t="shared" si="232"/>
        <v>0</v>
      </c>
      <c r="K7033" s="505"/>
      <c r="L7033" s="505"/>
      <c r="M7033" s="505"/>
      <c r="N7033" s="505"/>
      <c r="O7033" s="505"/>
      <c r="P7033" s="505"/>
      <c r="Q7033" s="505"/>
      <c r="R7033" s="505"/>
      <c r="S7033" s="505"/>
      <c r="T7033" s="505"/>
      <c r="U7033" s="505"/>
      <c r="V7033" s="505"/>
      <c r="W7033" s="505"/>
      <c r="X7033" s="505"/>
      <c r="Y7033" s="505"/>
    </row>
    <row r="7034" spans="1:25" s="88" customFormat="1" hidden="1" x14ac:dyDescent="0.25">
      <c r="A7034" s="258"/>
      <c r="B7034" s="258"/>
      <c r="C7034" s="261"/>
      <c r="D7034" s="258"/>
      <c r="E7034" s="679"/>
      <c r="F7034" s="499">
        <v>521</v>
      </c>
      <c r="G7034" s="492" t="s">
        <v>4162</v>
      </c>
      <c r="H7034" s="555"/>
      <c r="I7034" s="556"/>
      <c r="J7034" s="556">
        <f t="shared" si="232"/>
        <v>0</v>
      </c>
      <c r="K7034" s="505"/>
      <c r="L7034" s="505"/>
      <c r="M7034" s="505"/>
      <c r="N7034" s="505"/>
      <c r="O7034" s="505"/>
      <c r="P7034" s="505"/>
      <c r="Q7034" s="505"/>
      <c r="R7034" s="505"/>
      <c r="S7034" s="505"/>
      <c r="T7034" s="505"/>
      <c r="U7034" s="505"/>
      <c r="V7034" s="505"/>
      <c r="W7034" s="505"/>
      <c r="X7034" s="505"/>
      <c r="Y7034" s="505"/>
    </row>
    <row r="7035" spans="1:25" s="88" customFormat="1" hidden="1" x14ac:dyDescent="0.25">
      <c r="A7035" s="258"/>
      <c r="B7035" s="258"/>
      <c r="C7035" s="261"/>
      <c r="D7035" s="258"/>
      <c r="E7035" s="679"/>
      <c r="F7035" s="499">
        <v>522</v>
      </c>
      <c r="G7035" s="492" t="s">
        <v>4163</v>
      </c>
      <c r="H7035" s="555"/>
      <c r="I7035" s="556"/>
      <c r="J7035" s="556">
        <f t="shared" si="232"/>
        <v>0</v>
      </c>
      <c r="K7035" s="505"/>
      <c r="L7035" s="505"/>
      <c r="M7035" s="505"/>
      <c r="N7035" s="505"/>
      <c r="O7035" s="505"/>
      <c r="P7035" s="505"/>
      <c r="Q7035" s="505"/>
      <c r="R7035" s="505"/>
      <c r="S7035" s="505"/>
      <c r="T7035" s="505"/>
      <c r="U7035" s="505"/>
      <c r="V7035" s="505"/>
      <c r="W7035" s="505"/>
      <c r="X7035" s="505"/>
      <c r="Y7035" s="505"/>
    </row>
    <row r="7036" spans="1:25" s="88" customFormat="1" hidden="1" x14ac:dyDescent="0.25">
      <c r="A7036" s="258"/>
      <c r="B7036" s="258"/>
      <c r="C7036" s="261"/>
      <c r="D7036" s="258"/>
      <c r="E7036" s="679"/>
      <c r="F7036" s="499">
        <v>523</v>
      </c>
      <c r="G7036" s="492" t="s">
        <v>3839</v>
      </c>
      <c r="H7036" s="555"/>
      <c r="I7036" s="556"/>
      <c r="J7036" s="556">
        <f t="shared" si="232"/>
        <v>0</v>
      </c>
      <c r="K7036" s="505"/>
      <c r="L7036" s="505"/>
      <c r="M7036" s="505"/>
      <c r="N7036" s="505"/>
      <c r="O7036" s="505"/>
      <c r="P7036" s="505"/>
      <c r="Q7036" s="505"/>
      <c r="R7036" s="505"/>
      <c r="S7036" s="505"/>
      <c r="T7036" s="505"/>
      <c r="U7036" s="505"/>
      <c r="V7036" s="505"/>
      <c r="W7036" s="505"/>
      <c r="X7036" s="505"/>
      <c r="Y7036" s="505"/>
    </row>
    <row r="7037" spans="1:25" s="88" customFormat="1" hidden="1" x14ac:dyDescent="0.25">
      <c r="A7037" s="258"/>
      <c r="B7037" s="258"/>
      <c r="C7037" s="261"/>
      <c r="D7037" s="258"/>
      <c r="E7037" s="679"/>
      <c r="F7037" s="499">
        <v>531</v>
      </c>
      <c r="G7037" s="488" t="s">
        <v>4139</v>
      </c>
      <c r="H7037" s="555"/>
      <c r="I7037" s="556"/>
      <c r="J7037" s="556">
        <f t="shared" si="232"/>
        <v>0</v>
      </c>
      <c r="K7037" s="505"/>
      <c r="L7037" s="505"/>
      <c r="M7037" s="505"/>
      <c r="N7037" s="505"/>
      <c r="O7037" s="505"/>
      <c r="P7037" s="505"/>
      <c r="Q7037" s="505"/>
      <c r="R7037" s="505"/>
      <c r="S7037" s="505"/>
      <c r="T7037" s="505"/>
      <c r="U7037" s="505"/>
      <c r="V7037" s="505"/>
      <c r="W7037" s="505"/>
      <c r="X7037" s="505"/>
      <c r="Y7037" s="505"/>
    </row>
    <row r="7038" spans="1:25" s="88" customFormat="1" hidden="1" x14ac:dyDescent="0.25">
      <c r="A7038" s="258"/>
      <c r="B7038" s="258"/>
      <c r="C7038" s="261"/>
      <c r="D7038" s="258"/>
      <c r="E7038" s="679"/>
      <c r="F7038" s="499">
        <v>541</v>
      </c>
      <c r="G7038" s="492" t="s">
        <v>4164</v>
      </c>
      <c r="H7038" s="555"/>
      <c r="I7038" s="556"/>
      <c r="J7038" s="556">
        <f t="shared" si="232"/>
        <v>0</v>
      </c>
      <c r="K7038" s="505"/>
      <c r="L7038" s="505"/>
      <c r="M7038" s="505"/>
      <c r="N7038" s="505"/>
      <c r="O7038" s="505"/>
      <c r="P7038" s="505"/>
      <c r="Q7038" s="505"/>
      <c r="R7038" s="505"/>
      <c r="S7038" s="505"/>
      <c r="T7038" s="505"/>
      <c r="U7038" s="505"/>
      <c r="V7038" s="505"/>
      <c r="W7038" s="505"/>
      <c r="X7038" s="505"/>
      <c r="Y7038" s="505"/>
    </row>
    <row r="7039" spans="1:25" s="88" customFormat="1" hidden="1" x14ac:dyDescent="0.25">
      <c r="A7039" s="258"/>
      <c r="B7039" s="258"/>
      <c r="C7039" s="261"/>
      <c r="D7039" s="258"/>
      <c r="E7039" s="679"/>
      <c r="F7039" s="499">
        <v>542</v>
      </c>
      <c r="G7039" s="492" t="s">
        <v>4165</v>
      </c>
      <c r="H7039" s="555"/>
      <c r="I7039" s="556"/>
      <c r="J7039" s="556">
        <f t="shared" si="232"/>
        <v>0</v>
      </c>
      <c r="K7039" s="505"/>
      <c r="L7039" s="505"/>
      <c r="M7039" s="505"/>
      <c r="N7039" s="505"/>
      <c r="O7039" s="505"/>
      <c r="P7039" s="505"/>
      <c r="Q7039" s="505"/>
      <c r="R7039" s="505"/>
      <c r="S7039" s="505"/>
      <c r="T7039" s="505"/>
      <c r="U7039" s="505"/>
      <c r="V7039" s="505"/>
      <c r="W7039" s="505"/>
      <c r="X7039" s="505"/>
      <c r="Y7039" s="505"/>
    </row>
    <row r="7040" spans="1:25" s="88" customFormat="1" hidden="1" x14ac:dyDescent="0.25">
      <c r="A7040" s="258"/>
      <c r="B7040" s="258"/>
      <c r="C7040" s="261"/>
      <c r="D7040" s="258"/>
      <c r="E7040" s="679"/>
      <c r="F7040" s="499">
        <v>543</v>
      </c>
      <c r="G7040" s="492" t="s">
        <v>3844</v>
      </c>
      <c r="H7040" s="555"/>
      <c r="I7040" s="556"/>
      <c r="J7040" s="556">
        <f t="shared" si="232"/>
        <v>0</v>
      </c>
      <c r="K7040" s="505"/>
      <c r="L7040" s="505"/>
      <c r="M7040" s="505"/>
      <c r="N7040" s="505"/>
      <c r="O7040" s="505"/>
      <c r="P7040" s="505"/>
      <c r="Q7040" s="505"/>
      <c r="R7040" s="505"/>
      <c r="S7040" s="505"/>
      <c r="T7040" s="505"/>
      <c r="U7040" s="505"/>
      <c r="V7040" s="505"/>
      <c r="W7040" s="505"/>
      <c r="X7040" s="505"/>
      <c r="Y7040" s="505"/>
    </row>
    <row r="7041" spans="1:25" s="88" customFormat="1" ht="30" hidden="1" x14ac:dyDescent="0.25">
      <c r="A7041" s="258"/>
      <c r="B7041" s="258"/>
      <c r="C7041" s="261"/>
      <c r="D7041" s="258"/>
      <c r="E7041" s="679"/>
      <c r="F7041" s="499">
        <v>551</v>
      </c>
      <c r="G7041" s="492" t="s">
        <v>4140</v>
      </c>
      <c r="H7041" s="555"/>
      <c r="I7041" s="556"/>
      <c r="J7041" s="556">
        <f t="shared" si="232"/>
        <v>0</v>
      </c>
      <c r="K7041" s="505"/>
      <c r="L7041" s="505"/>
      <c r="M7041" s="505"/>
      <c r="N7041" s="505"/>
      <c r="O7041" s="505"/>
      <c r="P7041" s="505"/>
      <c r="Q7041" s="505"/>
      <c r="R7041" s="505"/>
      <c r="S7041" s="505"/>
      <c r="T7041" s="505"/>
      <c r="U7041" s="505"/>
      <c r="V7041" s="505"/>
      <c r="W7041" s="505"/>
      <c r="X7041" s="505"/>
      <c r="Y7041" s="505"/>
    </row>
    <row r="7042" spans="1:25" s="88" customFormat="1" hidden="1" x14ac:dyDescent="0.25">
      <c r="A7042" s="258"/>
      <c r="B7042" s="258"/>
      <c r="C7042" s="261"/>
      <c r="D7042" s="258"/>
      <c r="E7042" s="679"/>
      <c r="F7042" s="500">
        <v>611</v>
      </c>
      <c r="G7042" s="498" t="s">
        <v>3850</v>
      </c>
      <c r="H7042" s="555"/>
      <c r="I7042" s="556"/>
      <c r="J7042" s="556">
        <f t="shared" si="232"/>
        <v>0</v>
      </c>
      <c r="K7042" s="505"/>
      <c r="L7042" s="505"/>
      <c r="M7042" s="505"/>
      <c r="N7042" s="505"/>
      <c r="O7042" s="505"/>
      <c r="P7042" s="505"/>
      <c r="Q7042" s="505"/>
      <c r="R7042" s="505"/>
      <c r="S7042" s="505"/>
      <c r="T7042" s="505"/>
      <c r="U7042" s="505"/>
      <c r="V7042" s="505"/>
      <c r="W7042" s="505"/>
      <c r="X7042" s="505"/>
      <c r="Y7042" s="505"/>
    </row>
    <row r="7043" spans="1:25" s="88" customFormat="1" ht="0.75" customHeight="1" thickBot="1" x14ac:dyDescent="0.3">
      <c r="A7043" s="258"/>
      <c r="B7043" s="258"/>
      <c r="C7043" s="261"/>
      <c r="D7043" s="258"/>
      <c r="E7043" s="679"/>
      <c r="F7043" s="500">
        <v>620</v>
      </c>
      <c r="G7043" s="498" t="s">
        <v>88</v>
      </c>
      <c r="H7043" s="555"/>
      <c r="I7043" s="556"/>
      <c r="J7043" s="556">
        <f t="shared" si="232"/>
        <v>0</v>
      </c>
      <c r="K7043" s="505"/>
      <c r="L7043" s="505"/>
      <c r="M7043" s="505"/>
      <c r="N7043" s="505"/>
      <c r="O7043" s="505"/>
      <c r="P7043" s="505"/>
      <c r="Q7043" s="505"/>
      <c r="R7043" s="505"/>
      <c r="S7043" s="505"/>
      <c r="T7043" s="505"/>
      <c r="U7043" s="505"/>
      <c r="V7043" s="505"/>
      <c r="W7043" s="505"/>
      <c r="X7043" s="505"/>
      <c r="Y7043" s="505"/>
    </row>
    <row r="7044" spans="1:25" s="88" customFormat="1" x14ac:dyDescent="0.25">
      <c r="A7044" s="258"/>
      <c r="B7044" s="258"/>
      <c r="C7044" s="261"/>
      <c r="D7044" s="258"/>
      <c r="E7044" s="489"/>
      <c r="F7044" s="500"/>
      <c r="G7044" s="343" t="s">
        <v>4356</v>
      </c>
      <c r="H7044" s="557"/>
      <c r="I7044" s="583"/>
      <c r="J7044" s="558"/>
      <c r="K7044" s="505"/>
      <c r="L7044" s="505"/>
      <c r="M7044" s="505"/>
      <c r="N7044" s="505"/>
      <c r="O7044" s="505"/>
      <c r="P7044" s="505"/>
      <c r="Q7044" s="505"/>
      <c r="R7044" s="505"/>
      <c r="S7044" s="505"/>
      <c r="T7044" s="505"/>
      <c r="U7044" s="505"/>
      <c r="V7044" s="505"/>
      <c r="W7044" s="505"/>
      <c r="X7044" s="505"/>
      <c r="Y7044" s="505"/>
    </row>
    <row r="7045" spans="1:25" s="88" customFormat="1" x14ac:dyDescent="0.25">
      <c r="A7045" s="258"/>
      <c r="B7045" s="258"/>
      <c r="C7045" s="261"/>
      <c r="D7045" s="258"/>
      <c r="E7045" s="693"/>
      <c r="F7045" s="597" t="s">
        <v>234</v>
      </c>
      <c r="G7045" s="598" t="s">
        <v>235</v>
      </c>
      <c r="H7045" s="559">
        <f>SUM(H6984:H7043)</f>
        <v>246000</v>
      </c>
      <c r="I7045" s="560"/>
      <c r="J7045" s="560">
        <f t="shared" ref="J7045:J7060" si="233">SUM(H7045:I7045)</f>
        <v>246000</v>
      </c>
      <c r="K7045" s="505"/>
      <c r="L7045" s="505"/>
      <c r="M7045" s="505"/>
      <c r="N7045" s="505"/>
      <c r="O7045" s="505"/>
      <c r="P7045" s="505"/>
      <c r="Q7045" s="505"/>
      <c r="R7045" s="505"/>
      <c r="S7045" s="505"/>
      <c r="T7045" s="505"/>
      <c r="U7045" s="505"/>
      <c r="V7045" s="505"/>
      <c r="W7045" s="505"/>
      <c r="X7045" s="505"/>
      <c r="Y7045" s="505"/>
    </row>
    <row r="7046" spans="1:25" s="88" customFormat="1" hidden="1" x14ac:dyDescent="0.25">
      <c r="A7046" s="258"/>
      <c r="B7046" s="258"/>
      <c r="C7046" s="261"/>
      <c r="D7046" s="258"/>
      <c r="E7046" s="679"/>
      <c r="F7046" s="597" t="s">
        <v>236</v>
      </c>
      <c r="G7046" s="598" t="s">
        <v>237</v>
      </c>
      <c r="H7046" s="555"/>
      <c r="I7046" s="556"/>
      <c r="J7046" s="560">
        <f t="shared" si="233"/>
        <v>0</v>
      </c>
      <c r="K7046" s="505"/>
      <c r="L7046" s="505"/>
      <c r="M7046" s="505"/>
      <c r="N7046" s="505"/>
      <c r="O7046" s="505"/>
      <c r="P7046" s="505"/>
      <c r="Q7046" s="505"/>
      <c r="R7046" s="505"/>
      <c r="S7046" s="505"/>
      <c r="T7046" s="505"/>
      <c r="U7046" s="505"/>
      <c r="V7046" s="505"/>
      <c r="W7046" s="505"/>
      <c r="X7046" s="505"/>
      <c r="Y7046" s="505"/>
    </row>
    <row r="7047" spans="1:25" s="88" customFormat="1" hidden="1" x14ac:dyDescent="0.25">
      <c r="A7047" s="258"/>
      <c r="B7047" s="258"/>
      <c r="C7047" s="261"/>
      <c r="D7047" s="258"/>
      <c r="E7047" s="679"/>
      <c r="F7047" s="597" t="s">
        <v>238</v>
      </c>
      <c r="G7047" s="598" t="s">
        <v>239</v>
      </c>
      <c r="H7047" s="555"/>
      <c r="I7047" s="556"/>
      <c r="J7047" s="560">
        <f t="shared" si="233"/>
        <v>0</v>
      </c>
      <c r="K7047" s="505"/>
      <c r="L7047" s="505"/>
      <c r="M7047" s="505"/>
      <c r="N7047" s="505"/>
      <c r="O7047" s="505"/>
      <c r="P7047" s="505"/>
      <c r="Q7047" s="505"/>
      <c r="R7047" s="505"/>
      <c r="S7047" s="505"/>
      <c r="T7047" s="505"/>
      <c r="U7047" s="505"/>
      <c r="V7047" s="505"/>
      <c r="W7047" s="505"/>
      <c r="X7047" s="505"/>
      <c r="Y7047" s="505"/>
    </row>
    <row r="7048" spans="1:25" s="88" customFormat="1" hidden="1" x14ac:dyDescent="0.25">
      <c r="A7048" s="258"/>
      <c r="B7048" s="258"/>
      <c r="C7048" s="261"/>
      <c r="D7048" s="258"/>
      <c r="E7048" s="679"/>
      <c r="F7048" s="597" t="s">
        <v>240</v>
      </c>
      <c r="G7048" s="598" t="s">
        <v>241</v>
      </c>
      <c r="H7048" s="555"/>
      <c r="I7048" s="556"/>
      <c r="J7048" s="560">
        <f t="shared" si="233"/>
        <v>0</v>
      </c>
      <c r="K7048" s="505"/>
      <c r="L7048" s="505"/>
      <c r="M7048" s="505"/>
      <c r="N7048" s="505"/>
      <c r="O7048" s="505"/>
      <c r="P7048" s="505"/>
      <c r="Q7048" s="505"/>
      <c r="R7048" s="505"/>
      <c r="S7048" s="505"/>
      <c r="T7048" s="505"/>
      <c r="U7048" s="505"/>
      <c r="V7048" s="505"/>
      <c r="W7048" s="505"/>
      <c r="X7048" s="505"/>
      <c r="Y7048" s="505"/>
    </row>
    <row r="7049" spans="1:25" s="88" customFormat="1" hidden="1" x14ac:dyDescent="0.25">
      <c r="A7049" s="258"/>
      <c r="B7049" s="258"/>
      <c r="C7049" s="261"/>
      <c r="D7049" s="258"/>
      <c r="E7049" s="679"/>
      <c r="F7049" s="597" t="s">
        <v>242</v>
      </c>
      <c r="G7049" s="598" t="s">
        <v>243</v>
      </c>
      <c r="H7049" s="555"/>
      <c r="I7049" s="556"/>
      <c r="J7049" s="560">
        <f t="shared" si="233"/>
        <v>0</v>
      </c>
      <c r="K7049" s="505"/>
      <c r="L7049" s="505"/>
      <c r="M7049" s="505"/>
      <c r="N7049" s="505"/>
      <c r="O7049" s="505"/>
      <c r="P7049" s="505"/>
      <c r="Q7049" s="505"/>
      <c r="R7049" s="505"/>
      <c r="S7049" s="505"/>
      <c r="T7049" s="505"/>
      <c r="U7049" s="505"/>
      <c r="V7049" s="505"/>
      <c r="W7049" s="505"/>
      <c r="X7049" s="505"/>
      <c r="Y7049" s="505"/>
    </row>
    <row r="7050" spans="1:25" s="88" customFormat="1" hidden="1" x14ac:dyDescent="0.25">
      <c r="A7050" s="258"/>
      <c r="B7050" s="258"/>
      <c r="C7050" s="261"/>
      <c r="D7050" s="258"/>
      <c r="E7050" s="679"/>
      <c r="F7050" s="597" t="s">
        <v>244</v>
      </c>
      <c r="G7050" s="598" t="s">
        <v>245</v>
      </c>
      <c r="H7050" s="555"/>
      <c r="I7050" s="556"/>
      <c r="J7050" s="560">
        <f t="shared" si="233"/>
        <v>0</v>
      </c>
      <c r="K7050" s="505"/>
      <c r="L7050" s="505"/>
      <c r="M7050" s="505"/>
      <c r="N7050" s="505"/>
      <c r="O7050" s="505"/>
      <c r="P7050" s="505"/>
      <c r="Q7050" s="505"/>
      <c r="R7050" s="505"/>
      <c r="S7050" s="505"/>
      <c r="T7050" s="505"/>
      <c r="U7050" s="505"/>
      <c r="V7050" s="505"/>
      <c r="W7050" s="505"/>
      <c r="X7050" s="505"/>
      <c r="Y7050" s="505"/>
    </row>
    <row r="7051" spans="1:25" s="88" customFormat="1" ht="15.75" thickBot="1" x14ac:dyDescent="0.3">
      <c r="A7051" s="258"/>
      <c r="B7051" s="258"/>
      <c r="C7051" s="261"/>
      <c r="D7051" s="258"/>
      <c r="E7051" s="679"/>
      <c r="F7051" s="597" t="s">
        <v>246</v>
      </c>
      <c r="G7051" s="598" t="s">
        <v>4996</v>
      </c>
      <c r="H7051" s="555"/>
      <c r="I7051" s="556">
        <v>150000</v>
      </c>
      <c r="J7051" s="560">
        <f t="shared" si="233"/>
        <v>150000</v>
      </c>
      <c r="K7051" s="505"/>
      <c r="L7051" s="505"/>
      <c r="M7051" s="505"/>
      <c r="N7051" s="505"/>
      <c r="O7051" s="505"/>
      <c r="P7051" s="505"/>
      <c r="Q7051" s="505"/>
      <c r="R7051" s="505"/>
      <c r="S7051" s="505"/>
      <c r="T7051" s="505"/>
      <c r="U7051" s="505"/>
      <c r="V7051" s="505"/>
      <c r="W7051" s="505"/>
      <c r="X7051" s="505"/>
      <c r="Y7051" s="505"/>
    </row>
    <row r="7052" spans="1:25" s="88" customFormat="1" hidden="1" x14ac:dyDescent="0.25">
      <c r="A7052" s="258"/>
      <c r="B7052" s="258"/>
      <c r="C7052" s="261"/>
      <c r="D7052" s="258"/>
      <c r="E7052" s="679"/>
      <c r="F7052" s="597" t="s">
        <v>247</v>
      </c>
      <c r="G7052" s="598" t="s">
        <v>4995</v>
      </c>
      <c r="H7052" s="555"/>
      <c r="I7052" s="556"/>
      <c r="J7052" s="560">
        <f t="shared" si="233"/>
        <v>0</v>
      </c>
      <c r="K7052" s="505"/>
      <c r="L7052" s="505"/>
      <c r="M7052" s="505"/>
      <c r="N7052" s="505"/>
      <c r="O7052" s="505"/>
      <c r="P7052" s="505"/>
      <c r="Q7052" s="505"/>
      <c r="R7052" s="505"/>
      <c r="S7052" s="505"/>
      <c r="T7052" s="505"/>
      <c r="U7052" s="505"/>
      <c r="V7052" s="505"/>
      <c r="W7052" s="505"/>
      <c r="X7052" s="505"/>
      <c r="Y7052" s="505"/>
    </row>
    <row r="7053" spans="1:25" s="88" customFormat="1" hidden="1" x14ac:dyDescent="0.25">
      <c r="A7053" s="258"/>
      <c r="B7053" s="258"/>
      <c r="C7053" s="261"/>
      <c r="D7053" s="258"/>
      <c r="E7053" s="679"/>
      <c r="F7053" s="597" t="s">
        <v>248</v>
      </c>
      <c r="G7053" s="598" t="s">
        <v>57</v>
      </c>
      <c r="H7053" s="555"/>
      <c r="I7053" s="556"/>
      <c r="J7053" s="560">
        <f t="shared" si="233"/>
        <v>0</v>
      </c>
      <c r="K7053" s="505"/>
      <c r="L7053" s="505"/>
      <c r="M7053" s="505"/>
      <c r="N7053" s="505"/>
      <c r="O7053" s="505"/>
      <c r="P7053" s="505"/>
      <c r="Q7053" s="505"/>
      <c r="R7053" s="505"/>
      <c r="S7053" s="505"/>
      <c r="T7053" s="505"/>
      <c r="U7053" s="505"/>
      <c r="V7053" s="505"/>
      <c r="W7053" s="505"/>
      <c r="X7053" s="505"/>
      <c r="Y7053" s="505"/>
    </row>
    <row r="7054" spans="1:25" s="88" customFormat="1" hidden="1" x14ac:dyDescent="0.25">
      <c r="A7054" s="258"/>
      <c r="B7054" s="258"/>
      <c r="C7054" s="261"/>
      <c r="D7054" s="258"/>
      <c r="E7054" s="679"/>
      <c r="F7054" s="597" t="s">
        <v>249</v>
      </c>
      <c r="G7054" s="598" t="s">
        <v>250</v>
      </c>
      <c r="H7054" s="555"/>
      <c r="I7054" s="556"/>
      <c r="J7054" s="560">
        <f t="shared" si="233"/>
        <v>0</v>
      </c>
      <c r="K7054" s="505"/>
      <c r="L7054" s="505"/>
      <c r="M7054" s="505"/>
      <c r="N7054" s="505"/>
      <c r="O7054" s="505"/>
      <c r="P7054" s="505"/>
      <c r="Q7054" s="505"/>
      <c r="R7054" s="505"/>
      <c r="S7054" s="505"/>
      <c r="T7054" s="505"/>
      <c r="U7054" s="505"/>
      <c r="V7054" s="505"/>
      <c r="W7054" s="505"/>
      <c r="X7054" s="505"/>
      <c r="Y7054" s="505"/>
    </row>
    <row r="7055" spans="1:25" s="88" customFormat="1" hidden="1" x14ac:dyDescent="0.25">
      <c r="A7055" s="258"/>
      <c r="B7055" s="258"/>
      <c r="C7055" s="261"/>
      <c r="D7055" s="258"/>
      <c r="E7055" s="679"/>
      <c r="F7055" s="597" t="s">
        <v>251</v>
      </c>
      <c r="G7055" s="598" t="s">
        <v>252</v>
      </c>
      <c r="H7055" s="555"/>
      <c r="I7055" s="556"/>
      <c r="J7055" s="560">
        <f t="shared" si="233"/>
        <v>0</v>
      </c>
      <c r="K7055" s="505"/>
      <c r="L7055" s="505"/>
      <c r="M7055" s="505"/>
      <c r="N7055" s="505"/>
      <c r="O7055" s="505"/>
      <c r="P7055" s="505"/>
      <c r="Q7055" s="505"/>
      <c r="R7055" s="505"/>
      <c r="S7055" s="505"/>
      <c r="T7055" s="505"/>
      <c r="U7055" s="505"/>
      <c r="V7055" s="505"/>
      <c r="W7055" s="505"/>
      <c r="X7055" s="505"/>
      <c r="Y7055" s="505"/>
    </row>
    <row r="7056" spans="1:25" s="88" customFormat="1" ht="30" hidden="1" x14ac:dyDescent="0.25">
      <c r="A7056" s="258"/>
      <c r="B7056" s="258"/>
      <c r="C7056" s="261"/>
      <c r="D7056" s="258"/>
      <c r="E7056" s="679"/>
      <c r="F7056" s="597" t="s">
        <v>253</v>
      </c>
      <c r="G7056" s="598" t="s">
        <v>254</v>
      </c>
      <c r="H7056" s="555"/>
      <c r="I7056" s="556"/>
      <c r="J7056" s="560">
        <f t="shared" si="233"/>
        <v>0</v>
      </c>
      <c r="K7056" s="505"/>
      <c r="L7056" s="505"/>
      <c r="M7056" s="505"/>
      <c r="N7056" s="505"/>
      <c r="O7056" s="505"/>
      <c r="P7056" s="505"/>
      <c r="Q7056" s="505"/>
      <c r="R7056" s="505"/>
      <c r="S7056" s="505"/>
      <c r="T7056" s="505"/>
      <c r="U7056" s="505"/>
      <c r="V7056" s="505"/>
      <c r="W7056" s="505"/>
      <c r="X7056" s="505"/>
      <c r="Y7056" s="505"/>
    </row>
    <row r="7057" spans="1:25" s="88" customFormat="1" hidden="1" x14ac:dyDescent="0.25">
      <c r="A7057" s="258"/>
      <c r="B7057" s="258"/>
      <c r="C7057" s="261"/>
      <c r="D7057" s="258"/>
      <c r="E7057" s="679"/>
      <c r="F7057" s="597" t="s">
        <v>255</v>
      </c>
      <c r="G7057" s="598" t="s">
        <v>256</v>
      </c>
      <c r="H7057" s="555"/>
      <c r="I7057" s="556"/>
      <c r="J7057" s="560">
        <f t="shared" si="233"/>
        <v>0</v>
      </c>
      <c r="K7057" s="505"/>
      <c r="L7057" s="505"/>
      <c r="M7057" s="505"/>
      <c r="N7057" s="505"/>
      <c r="O7057" s="505"/>
      <c r="P7057" s="505"/>
      <c r="Q7057" s="505"/>
      <c r="R7057" s="505"/>
      <c r="S7057" s="505"/>
      <c r="T7057" s="505"/>
      <c r="U7057" s="505"/>
      <c r="V7057" s="505"/>
      <c r="W7057" s="505"/>
      <c r="X7057" s="505"/>
      <c r="Y7057" s="505"/>
    </row>
    <row r="7058" spans="1:25" s="88" customFormat="1" ht="30" hidden="1" x14ac:dyDescent="0.25">
      <c r="A7058" s="258"/>
      <c r="B7058" s="258"/>
      <c r="C7058" s="261"/>
      <c r="D7058" s="258"/>
      <c r="E7058" s="679"/>
      <c r="F7058" s="597" t="s">
        <v>257</v>
      </c>
      <c r="G7058" s="598" t="s">
        <v>258</v>
      </c>
      <c r="H7058" s="555"/>
      <c r="I7058" s="556"/>
      <c r="J7058" s="560">
        <f t="shared" si="233"/>
        <v>0</v>
      </c>
      <c r="K7058" s="505"/>
      <c r="L7058" s="505"/>
      <c r="M7058" s="505"/>
      <c r="N7058" s="505"/>
      <c r="O7058" s="505"/>
      <c r="P7058" s="505"/>
      <c r="Q7058" s="505"/>
      <c r="R7058" s="505"/>
      <c r="S7058" s="505"/>
      <c r="T7058" s="505"/>
      <c r="U7058" s="505"/>
      <c r="V7058" s="505"/>
      <c r="W7058" s="505"/>
      <c r="X7058" s="505"/>
      <c r="Y7058" s="505"/>
    </row>
    <row r="7059" spans="1:25" s="88" customFormat="1" hidden="1" x14ac:dyDescent="0.25">
      <c r="A7059" s="258"/>
      <c r="B7059" s="258"/>
      <c r="C7059" s="261"/>
      <c r="D7059" s="258"/>
      <c r="E7059" s="679"/>
      <c r="F7059" s="597" t="s">
        <v>259</v>
      </c>
      <c r="G7059" s="598" t="s">
        <v>260</v>
      </c>
      <c r="H7059" s="555"/>
      <c r="I7059" s="556"/>
      <c r="J7059" s="560">
        <f t="shared" si="233"/>
        <v>0</v>
      </c>
      <c r="K7059" s="505"/>
      <c r="L7059" s="505"/>
      <c r="M7059" s="505"/>
      <c r="N7059" s="505"/>
      <c r="O7059" s="505"/>
      <c r="P7059" s="505"/>
      <c r="Q7059" s="505"/>
      <c r="R7059" s="505"/>
      <c r="S7059" s="505"/>
      <c r="T7059" s="505"/>
      <c r="U7059" s="505"/>
      <c r="V7059" s="505"/>
      <c r="W7059" s="505"/>
      <c r="X7059" s="505"/>
      <c r="Y7059" s="505"/>
    </row>
    <row r="7060" spans="1:25" s="88" customFormat="1" ht="15.75" hidden="1" thickBot="1" x14ac:dyDescent="0.3">
      <c r="A7060" s="258"/>
      <c r="B7060" s="258"/>
      <c r="C7060" s="261"/>
      <c r="D7060" s="258"/>
      <c r="E7060" s="679"/>
      <c r="F7060" s="597" t="s">
        <v>261</v>
      </c>
      <c r="G7060" s="598" t="s">
        <v>262</v>
      </c>
      <c r="H7060" s="559"/>
      <c r="I7060" s="560"/>
      <c r="J7060" s="560">
        <f t="shared" si="233"/>
        <v>0</v>
      </c>
      <c r="K7060" s="505"/>
      <c r="L7060" s="505"/>
      <c r="M7060" s="505"/>
      <c r="N7060" s="505"/>
      <c r="O7060" s="505"/>
      <c r="P7060" s="505"/>
      <c r="Q7060" s="505"/>
      <c r="R7060" s="505"/>
      <c r="S7060" s="505"/>
      <c r="T7060" s="505"/>
      <c r="U7060" s="505"/>
      <c r="V7060" s="505"/>
      <c r="W7060" s="505"/>
      <c r="X7060" s="505"/>
      <c r="Y7060" s="505"/>
    </row>
    <row r="7061" spans="1:25" s="88" customFormat="1" ht="18" customHeight="1" thickBot="1" x14ac:dyDescent="0.3">
      <c r="A7061" s="258"/>
      <c r="B7061" s="258"/>
      <c r="C7061" s="261"/>
      <c r="D7061" s="258"/>
      <c r="E7061" s="679"/>
      <c r="F7061" s="258"/>
      <c r="G7061" s="268" t="s">
        <v>4357</v>
      </c>
      <c r="H7061" s="561">
        <f>SUM(H7045:H7060)</f>
        <v>246000</v>
      </c>
      <c r="I7061" s="562">
        <f>SUM(I7046:I7060)</f>
        <v>150000</v>
      </c>
      <c r="J7061" s="562">
        <f>SUM(J7045:J7060)</f>
        <v>396000</v>
      </c>
      <c r="K7061" s="505"/>
      <c r="L7061" s="505"/>
      <c r="M7061" s="505"/>
      <c r="N7061" s="505"/>
      <c r="O7061" s="505"/>
      <c r="P7061" s="505"/>
      <c r="Q7061" s="505"/>
      <c r="R7061" s="505"/>
      <c r="S7061" s="505"/>
      <c r="T7061" s="505"/>
      <c r="U7061" s="505"/>
      <c r="V7061" s="505"/>
      <c r="W7061" s="505"/>
      <c r="X7061" s="505"/>
      <c r="Y7061" s="505"/>
    </row>
    <row r="7062" spans="1:25" s="88" customFormat="1" ht="28.5" x14ac:dyDescent="0.25">
      <c r="A7062" s="258"/>
      <c r="B7062" s="258"/>
      <c r="C7062" s="261"/>
      <c r="D7062" s="258"/>
      <c r="E7062" s="489"/>
      <c r="F7062" s="500"/>
      <c r="G7062" s="270" t="s">
        <v>5337</v>
      </c>
      <c r="H7062" s="563"/>
      <c r="I7062" s="584"/>
      <c r="J7062" s="564"/>
      <c r="K7062" s="505"/>
      <c r="L7062" s="505"/>
      <c r="M7062" s="505"/>
      <c r="N7062" s="505"/>
      <c r="O7062" s="505"/>
      <c r="P7062" s="505"/>
      <c r="Q7062" s="505"/>
      <c r="R7062" s="505"/>
      <c r="S7062" s="505"/>
      <c r="T7062" s="505"/>
      <c r="U7062" s="505"/>
      <c r="V7062" s="505"/>
      <c r="W7062" s="505"/>
      <c r="X7062" s="505"/>
      <c r="Y7062" s="505"/>
    </row>
    <row r="7063" spans="1:25" s="88" customFormat="1" x14ac:dyDescent="0.25">
      <c r="A7063" s="258"/>
      <c r="B7063" s="258"/>
      <c r="C7063" s="261"/>
      <c r="D7063" s="258"/>
      <c r="E7063" s="693"/>
      <c r="F7063" s="597" t="s">
        <v>234</v>
      </c>
      <c r="G7063" s="598" t="s">
        <v>235</v>
      </c>
      <c r="H7063" s="559">
        <f>SUM(H6984:H7042)</f>
        <v>246000</v>
      </c>
      <c r="I7063" s="560"/>
      <c r="J7063" s="560">
        <f>SUM(H7063:I7063)</f>
        <v>246000</v>
      </c>
      <c r="K7063" s="505"/>
      <c r="L7063" s="505"/>
      <c r="M7063" s="505"/>
      <c r="N7063" s="505"/>
      <c r="O7063" s="505"/>
      <c r="P7063" s="505"/>
      <c r="Q7063" s="505"/>
      <c r="R7063" s="505"/>
      <c r="S7063" s="505"/>
      <c r="T7063" s="505"/>
      <c r="U7063" s="505"/>
      <c r="V7063" s="505"/>
      <c r="W7063" s="505"/>
      <c r="X7063" s="505"/>
      <c r="Y7063" s="505"/>
    </row>
    <row r="7064" spans="1:25" s="88" customFormat="1" hidden="1" x14ac:dyDescent="0.25">
      <c r="A7064" s="258"/>
      <c r="B7064" s="258"/>
      <c r="C7064" s="261"/>
      <c r="D7064" s="258"/>
      <c r="E7064" s="679"/>
      <c r="F7064" s="597" t="s">
        <v>236</v>
      </c>
      <c r="G7064" s="598" t="s">
        <v>237</v>
      </c>
      <c r="H7064" s="555"/>
      <c r="I7064" s="556"/>
      <c r="J7064" s="560">
        <f t="shared" ref="J7064:J7078" si="234">SUM(H7064:I7064)</f>
        <v>0</v>
      </c>
      <c r="K7064" s="505"/>
      <c r="L7064" s="505"/>
      <c r="M7064" s="505"/>
      <c r="N7064" s="505"/>
      <c r="O7064" s="505"/>
      <c r="P7064" s="505"/>
      <c r="Q7064" s="505"/>
      <c r="R7064" s="505"/>
      <c r="S7064" s="505"/>
      <c r="T7064" s="505"/>
      <c r="U7064" s="505"/>
      <c r="V7064" s="505"/>
      <c r="W7064" s="505"/>
      <c r="X7064" s="505"/>
      <c r="Y7064" s="505"/>
    </row>
    <row r="7065" spans="1:25" s="88" customFormat="1" hidden="1" x14ac:dyDescent="0.25">
      <c r="A7065" s="258"/>
      <c r="B7065" s="258"/>
      <c r="C7065" s="261"/>
      <c r="D7065" s="258"/>
      <c r="E7065" s="679"/>
      <c r="F7065" s="597" t="s">
        <v>238</v>
      </c>
      <c r="G7065" s="598" t="s">
        <v>239</v>
      </c>
      <c r="H7065" s="555"/>
      <c r="I7065" s="556"/>
      <c r="J7065" s="560">
        <f t="shared" si="234"/>
        <v>0</v>
      </c>
      <c r="K7065" s="505"/>
      <c r="L7065" s="505"/>
      <c r="M7065" s="505"/>
      <c r="N7065" s="505"/>
      <c r="O7065" s="505"/>
      <c r="P7065" s="505"/>
      <c r="Q7065" s="505"/>
      <c r="R7065" s="505"/>
      <c r="S7065" s="505"/>
      <c r="T7065" s="505"/>
      <c r="U7065" s="505"/>
      <c r="V7065" s="505"/>
      <c r="W7065" s="505"/>
      <c r="X7065" s="505"/>
      <c r="Y7065" s="505"/>
    </row>
    <row r="7066" spans="1:25" s="88" customFormat="1" hidden="1" x14ac:dyDescent="0.25">
      <c r="A7066" s="258"/>
      <c r="B7066" s="258"/>
      <c r="C7066" s="261"/>
      <c r="D7066" s="258"/>
      <c r="E7066" s="679"/>
      <c r="F7066" s="597" t="s">
        <v>240</v>
      </c>
      <c r="G7066" s="598" t="s">
        <v>241</v>
      </c>
      <c r="H7066" s="555"/>
      <c r="I7066" s="556"/>
      <c r="J7066" s="560">
        <f t="shared" si="234"/>
        <v>0</v>
      </c>
      <c r="K7066" s="505"/>
      <c r="L7066" s="505"/>
      <c r="M7066" s="505"/>
      <c r="N7066" s="505"/>
      <c r="O7066" s="505"/>
      <c r="P7066" s="505"/>
      <c r="Q7066" s="505"/>
      <c r="R7066" s="505"/>
      <c r="S7066" s="505"/>
      <c r="T7066" s="505"/>
      <c r="U7066" s="505"/>
      <c r="V7066" s="505"/>
      <c r="W7066" s="505"/>
      <c r="X7066" s="505"/>
      <c r="Y7066" s="505"/>
    </row>
    <row r="7067" spans="1:25" s="88" customFormat="1" hidden="1" x14ac:dyDescent="0.25">
      <c r="A7067" s="258"/>
      <c r="B7067" s="258"/>
      <c r="C7067" s="261"/>
      <c r="D7067" s="258"/>
      <c r="E7067" s="679"/>
      <c r="F7067" s="597" t="s">
        <v>242</v>
      </c>
      <c r="G7067" s="598" t="s">
        <v>243</v>
      </c>
      <c r="H7067" s="555"/>
      <c r="I7067" s="556"/>
      <c r="J7067" s="560">
        <f t="shared" si="234"/>
        <v>0</v>
      </c>
      <c r="K7067" s="505"/>
      <c r="L7067" s="505"/>
      <c r="M7067" s="505"/>
      <c r="N7067" s="505"/>
      <c r="O7067" s="505"/>
      <c r="P7067" s="505"/>
      <c r="Q7067" s="505"/>
      <c r="R7067" s="505"/>
      <c r="S7067" s="505"/>
      <c r="T7067" s="505"/>
      <c r="U7067" s="505"/>
      <c r="V7067" s="505"/>
      <c r="W7067" s="505"/>
      <c r="X7067" s="505"/>
      <c r="Y7067" s="505"/>
    </row>
    <row r="7068" spans="1:25" s="88" customFormat="1" hidden="1" x14ac:dyDescent="0.25">
      <c r="A7068" s="258"/>
      <c r="B7068" s="258"/>
      <c r="C7068" s="261"/>
      <c r="D7068" s="258"/>
      <c r="E7068" s="679"/>
      <c r="F7068" s="597" t="s">
        <v>244</v>
      </c>
      <c r="G7068" s="598" t="s">
        <v>245</v>
      </c>
      <c r="H7068" s="555"/>
      <c r="I7068" s="556"/>
      <c r="J7068" s="560">
        <f t="shared" si="234"/>
        <v>0</v>
      </c>
      <c r="K7068" s="505"/>
      <c r="L7068" s="505"/>
      <c r="M7068" s="505"/>
      <c r="N7068" s="505"/>
      <c r="O7068" s="505"/>
      <c r="P7068" s="505"/>
      <c r="Q7068" s="505"/>
      <c r="R7068" s="505"/>
      <c r="S7068" s="505"/>
      <c r="T7068" s="505"/>
      <c r="U7068" s="505"/>
      <c r="V7068" s="505"/>
      <c r="W7068" s="505"/>
      <c r="X7068" s="505"/>
      <c r="Y7068" s="505"/>
    </row>
    <row r="7069" spans="1:25" s="88" customFormat="1" ht="15.75" thickBot="1" x14ac:dyDescent="0.3">
      <c r="A7069" s="258"/>
      <c r="B7069" s="258"/>
      <c r="C7069" s="261"/>
      <c r="D7069" s="258"/>
      <c r="E7069" s="679"/>
      <c r="F7069" s="597" t="s">
        <v>246</v>
      </c>
      <c r="G7069" s="598" t="s">
        <v>4996</v>
      </c>
      <c r="H7069" s="555"/>
      <c r="I7069" s="556">
        <v>150000</v>
      </c>
      <c r="J7069" s="560">
        <f t="shared" si="234"/>
        <v>150000</v>
      </c>
      <c r="K7069" s="505"/>
      <c r="L7069" s="505"/>
      <c r="M7069" s="505"/>
      <c r="N7069" s="505"/>
      <c r="O7069" s="505"/>
      <c r="P7069" s="505"/>
      <c r="Q7069" s="505"/>
      <c r="R7069" s="505"/>
      <c r="S7069" s="505"/>
      <c r="T7069" s="505"/>
      <c r="U7069" s="505"/>
      <c r="V7069" s="505"/>
      <c r="W7069" s="505"/>
      <c r="X7069" s="505"/>
      <c r="Y7069" s="505"/>
    </row>
    <row r="7070" spans="1:25" s="88" customFormat="1" hidden="1" x14ac:dyDescent="0.25">
      <c r="A7070" s="258"/>
      <c r="B7070" s="258"/>
      <c r="C7070" s="261"/>
      <c r="D7070" s="258"/>
      <c r="E7070" s="679"/>
      <c r="F7070" s="597" t="s">
        <v>247</v>
      </c>
      <c r="G7070" s="598" t="s">
        <v>4995</v>
      </c>
      <c r="H7070" s="555"/>
      <c r="I7070" s="556"/>
      <c r="J7070" s="560">
        <f t="shared" si="234"/>
        <v>0</v>
      </c>
      <c r="K7070" s="505"/>
      <c r="L7070" s="505"/>
      <c r="M7070" s="505"/>
      <c r="N7070" s="505"/>
      <c r="O7070" s="505"/>
      <c r="P7070" s="505"/>
      <c r="Q7070" s="505"/>
      <c r="R7070" s="505"/>
      <c r="S7070" s="505"/>
      <c r="T7070" s="505"/>
      <c r="U7070" s="505"/>
      <c r="V7070" s="505"/>
      <c r="W7070" s="505"/>
      <c r="X7070" s="505"/>
      <c r="Y7070" s="505"/>
    </row>
    <row r="7071" spans="1:25" s="88" customFormat="1" hidden="1" x14ac:dyDescent="0.25">
      <c r="A7071" s="258"/>
      <c r="B7071" s="258"/>
      <c r="C7071" s="261"/>
      <c r="D7071" s="258"/>
      <c r="E7071" s="679"/>
      <c r="F7071" s="597" t="s">
        <v>248</v>
      </c>
      <c r="G7071" s="598" t="s">
        <v>57</v>
      </c>
      <c r="H7071" s="555"/>
      <c r="I7071" s="556"/>
      <c r="J7071" s="560">
        <f t="shared" si="234"/>
        <v>0</v>
      </c>
      <c r="K7071" s="505"/>
      <c r="L7071" s="505"/>
      <c r="M7071" s="505"/>
      <c r="N7071" s="505"/>
      <c r="O7071" s="505"/>
      <c r="P7071" s="505"/>
      <c r="Q7071" s="505"/>
      <c r="R7071" s="505"/>
      <c r="S7071" s="505"/>
      <c r="T7071" s="505"/>
      <c r="U7071" s="505"/>
      <c r="V7071" s="505"/>
      <c r="W7071" s="505"/>
      <c r="X7071" s="505"/>
      <c r="Y7071" s="505"/>
    </row>
    <row r="7072" spans="1:25" s="88" customFormat="1" hidden="1" x14ac:dyDescent="0.25">
      <c r="A7072" s="258"/>
      <c r="B7072" s="258"/>
      <c r="C7072" s="261"/>
      <c r="D7072" s="258"/>
      <c r="E7072" s="679"/>
      <c r="F7072" s="597" t="s">
        <v>249</v>
      </c>
      <c r="G7072" s="598" t="s">
        <v>250</v>
      </c>
      <c r="H7072" s="555"/>
      <c r="I7072" s="556"/>
      <c r="J7072" s="560">
        <f t="shared" si="234"/>
        <v>0</v>
      </c>
      <c r="K7072" s="505"/>
      <c r="L7072" s="505"/>
      <c r="M7072" s="505"/>
      <c r="N7072" s="505"/>
      <c r="O7072" s="505"/>
      <c r="P7072" s="505"/>
      <c r="Q7072" s="505"/>
      <c r="R7072" s="505"/>
      <c r="S7072" s="505"/>
      <c r="T7072" s="505"/>
      <c r="U7072" s="505"/>
      <c r="V7072" s="505"/>
      <c r="W7072" s="505"/>
      <c r="X7072" s="505"/>
      <c r="Y7072" s="505"/>
    </row>
    <row r="7073" spans="1:25" s="88" customFormat="1" hidden="1" x14ac:dyDescent="0.25">
      <c r="A7073" s="258"/>
      <c r="B7073" s="258"/>
      <c r="C7073" s="261"/>
      <c r="D7073" s="258"/>
      <c r="E7073" s="679"/>
      <c r="F7073" s="597" t="s">
        <v>251</v>
      </c>
      <c r="G7073" s="598" t="s">
        <v>252</v>
      </c>
      <c r="H7073" s="555"/>
      <c r="I7073" s="556"/>
      <c r="J7073" s="560">
        <f t="shared" si="234"/>
        <v>0</v>
      </c>
      <c r="K7073" s="505"/>
      <c r="L7073" s="505"/>
      <c r="M7073" s="505"/>
      <c r="N7073" s="505"/>
      <c r="O7073" s="505"/>
      <c r="P7073" s="505"/>
      <c r="Q7073" s="505"/>
      <c r="R7073" s="505"/>
      <c r="S7073" s="505"/>
      <c r="T7073" s="505"/>
      <c r="U7073" s="505"/>
      <c r="V7073" s="505"/>
      <c r="W7073" s="505"/>
      <c r="X7073" s="505"/>
      <c r="Y7073" s="505"/>
    </row>
    <row r="7074" spans="1:25" s="88" customFormat="1" ht="30" hidden="1" x14ac:dyDescent="0.25">
      <c r="A7074" s="258"/>
      <c r="B7074" s="258"/>
      <c r="C7074" s="261"/>
      <c r="D7074" s="258"/>
      <c r="E7074" s="679"/>
      <c r="F7074" s="597" t="s">
        <v>253</v>
      </c>
      <c r="G7074" s="598" t="s">
        <v>254</v>
      </c>
      <c r="H7074" s="555"/>
      <c r="I7074" s="556"/>
      <c r="J7074" s="560">
        <f t="shared" si="234"/>
        <v>0</v>
      </c>
      <c r="K7074" s="505"/>
      <c r="L7074" s="505"/>
      <c r="M7074" s="505"/>
      <c r="N7074" s="505"/>
      <c r="O7074" s="505"/>
      <c r="P7074" s="505"/>
      <c r="Q7074" s="505"/>
      <c r="R7074" s="505"/>
      <c r="S7074" s="505"/>
      <c r="T7074" s="505"/>
      <c r="U7074" s="505"/>
      <c r="V7074" s="505"/>
      <c r="W7074" s="505"/>
      <c r="X7074" s="505"/>
      <c r="Y7074" s="505"/>
    </row>
    <row r="7075" spans="1:25" s="88" customFormat="1" hidden="1" x14ac:dyDescent="0.25">
      <c r="A7075" s="258"/>
      <c r="B7075" s="258"/>
      <c r="C7075" s="261"/>
      <c r="D7075" s="258"/>
      <c r="E7075" s="679"/>
      <c r="F7075" s="597" t="s">
        <v>255</v>
      </c>
      <c r="G7075" s="598" t="s">
        <v>256</v>
      </c>
      <c r="H7075" s="555"/>
      <c r="I7075" s="556"/>
      <c r="J7075" s="560">
        <f t="shared" si="234"/>
        <v>0</v>
      </c>
      <c r="K7075" s="505"/>
      <c r="L7075" s="505"/>
      <c r="M7075" s="505"/>
      <c r="N7075" s="505"/>
      <c r="O7075" s="505"/>
      <c r="P7075" s="505"/>
      <c r="Q7075" s="505"/>
      <c r="R7075" s="505"/>
      <c r="S7075" s="505"/>
      <c r="T7075" s="505"/>
      <c r="U7075" s="505"/>
      <c r="V7075" s="505"/>
      <c r="W7075" s="505"/>
      <c r="X7075" s="505"/>
      <c r="Y7075" s="505"/>
    </row>
    <row r="7076" spans="1:25" s="88" customFormat="1" ht="30" hidden="1" x14ac:dyDescent="0.25">
      <c r="A7076" s="258"/>
      <c r="B7076" s="258"/>
      <c r="C7076" s="261"/>
      <c r="D7076" s="258"/>
      <c r="E7076" s="679"/>
      <c r="F7076" s="597" t="s">
        <v>257</v>
      </c>
      <c r="G7076" s="598" t="s">
        <v>258</v>
      </c>
      <c r="H7076" s="555"/>
      <c r="I7076" s="556"/>
      <c r="J7076" s="560">
        <f t="shared" si="234"/>
        <v>0</v>
      </c>
      <c r="K7076" s="505"/>
      <c r="L7076" s="505"/>
      <c r="M7076" s="505"/>
      <c r="N7076" s="505"/>
      <c r="O7076" s="505"/>
      <c r="P7076" s="505"/>
      <c r="Q7076" s="505"/>
      <c r="R7076" s="505"/>
      <c r="S7076" s="505"/>
      <c r="T7076" s="505"/>
      <c r="U7076" s="505"/>
      <c r="V7076" s="505"/>
      <c r="W7076" s="505"/>
      <c r="X7076" s="505"/>
      <c r="Y7076" s="505"/>
    </row>
    <row r="7077" spans="1:25" s="88" customFormat="1" hidden="1" x14ac:dyDescent="0.25">
      <c r="A7077" s="258"/>
      <c r="B7077" s="258"/>
      <c r="C7077" s="261"/>
      <c r="D7077" s="258"/>
      <c r="E7077" s="679"/>
      <c r="F7077" s="597" t="s">
        <v>259</v>
      </c>
      <c r="G7077" s="598" t="s">
        <v>260</v>
      </c>
      <c r="H7077" s="555"/>
      <c r="I7077" s="556"/>
      <c r="J7077" s="560">
        <f t="shared" si="234"/>
        <v>0</v>
      </c>
      <c r="K7077" s="505"/>
      <c r="L7077" s="505"/>
      <c r="M7077" s="505"/>
      <c r="N7077" s="505"/>
      <c r="O7077" s="505"/>
      <c r="P7077" s="505"/>
      <c r="Q7077" s="505"/>
      <c r="R7077" s="505"/>
      <c r="S7077" s="505"/>
      <c r="T7077" s="505"/>
      <c r="U7077" s="505"/>
      <c r="V7077" s="505"/>
      <c r="W7077" s="505"/>
      <c r="X7077" s="505"/>
      <c r="Y7077" s="505"/>
    </row>
    <row r="7078" spans="1:25" s="88" customFormat="1" ht="15.75" hidden="1" thickBot="1" x14ac:dyDescent="0.3">
      <c r="A7078" s="258"/>
      <c r="B7078" s="258"/>
      <c r="C7078" s="261"/>
      <c r="D7078" s="258"/>
      <c r="E7078" s="679"/>
      <c r="F7078" s="597" t="s">
        <v>261</v>
      </c>
      <c r="G7078" s="598" t="s">
        <v>262</v>
      </c>
      <c r="H7078" s="559"/>
      <c r="I7078" s="560"/>
      <c r="J7078" s="560">
        <f t="shared" si="234"/>
        <v>0</v>
      </c>
      <c r="K7078" s="505"/>
      <c r="L7078" s="505"/>
      <c r="M7078" s="505"/>
      <c r="N7078" s="505"/>
      <c r="O7078" s="505"/>
      <c r="P7078" s="505"/>
      <c r="Q7078" s="505"/>
      <c r="R7078" s="505"/>
      <c r="S7078" s="505"/>
      <c r="T7078" s="505"/>
      <c r="U7078" s="505"/>
      <c r="V7078" s="505"/>
      <c r="W7078" s="505"/>
      <c r="X7078" s="505"/>
      <c r="Y7078" s="505"/>
    </row>
    <row r="7079" spans="1:25" s="88" customFormat="1" ht="18" customHeight="1" thickBot="1" x14ac:dyDescent="0.3">
      <c r="A7079" s="258"/>
      <c r="B7079" s="258"/>
      <c r="C7079" s="261"/>
      <c r="D7079" s="258"/>
      <c r="E7079" s="679"/>
      <c r="F7079" s="258"/>
      <c r="G7079" s="268" t="s">
        <v>4925</v>
      </c>
      <c r="H7079" s="561">
        <f>SUM(H7063:H7078)</f>
        <v>246000</v>
      </c>
      <c r="I7079" s="562">
        <f>SUM(I7064:I7078)</f>
        <v>150000</v>
      </c>
      <c r="J7079" s="562">
        <f>SUM(J7063:J7078)</f>
        <v>396000</v>
      </c>
      <c r="K7079" s="505"/>
      <c r="L7079" s="505"/>
      <c r="M7079" s="505"/>
      <c r="N7079" s="505"/>
      <c r="O7079" s="505"/>
      <c r="P7079" s="505"/>
      <c r="Q7079" s="505"/>
      <c r="R7079" s="505"/>
      <c r="S7079" s="505"/>
      <c r="T7079" s="505"/>
      <c r="U7079" s="505"/>
      <c r="V7079" s="505"/>
      <c r="W7079" s="505"/>
      <c r="X7079" s="505"/>
      <c r="Y7079" s="505"/>
    </row>
    <row r="7080" spans="1:25" hidden="1" x14ac:dyDescent="0.25">
      <c r="F7080" s="292">
        <v>452</v>
      </c>
      <c r="G7080" s="319" t="s">
        <v>4151</v>
      </c>
      <c r="J7080" s="556">
        <f t="shared" ref="J7080:J7115" si="235">SUM(H7080:I7080)</f>
        <v>0</v>
      </c>
    </row>
    <row r="7081" spans="1:25" hidden="1" x14ac:dyDescent="0.25">
      <c r="F7081" s="292">
        <v>453</v>
      </c>
      <c r="G7081" s="319" t="s">
        <v>4152</v>
      </c>
      <c r="J7081" s="556">
        <f t="shared" si="235"/>
        <v>0</v>
      </c>
    </row>
    <row r="7082" spans="1:25" hidden="1" x14ac:dyDescent="0.25">
      <c r="F7082" s="292">
        <v>454</v>
      </c>
      <c r="G7082" s="319" t="s">
        <v>3805</v>
      </c>
      <c r="J7082" s="556">
        <f t="shared" si="235"/>
        <v>0</v>
      </c>
    </row>
    <row r="7083" spans="1:25" hidden="1" x14ac:dyDescent="0.25">
      <c r="F7083" s="292">
        <v>461</v>
      </c>
      <c r="G7083" s="319" t="s">
        <v>4133</v>
      </c>
      <c r="J7083" s="556">
        <f t="shared" si="235"/>
        <v>0</v>
      </c>
    </row>
    <row r="7084" spans="1:25" hidden="1" x14ac:dyDescent="0.25">
      <c r="F7084" s="292">
        <v>462</v>
      </c>
      <c r="G7084" s="319" t="s">
        <v>3808</v>
      </c>
      <c r="J7084" s="556">
        <f t="shared" si="235"/>
        <v>0</v>
      </c>
    </row>
    <row r="7085" spans="1:25" hidden="1" x14ac:dyDescent="0.25">
      <c r="F7085" s="292">
        <v>4631</v>
      </c>
      <c r="G7085" s="319" t="s">
        <v>3809</v>
      </c>
      <c r="J7085" s="556">
        <f t="shared" si="235"/>
        <v>0</v>
      </c>
    </row>
    <row r="7086" spans="1:25" hidden="1" x14ac:dyDescent="0.25">
      <c r="F7086" s="292">
        <v>4632</v>
      </c>
      <c r="G7086" s="319" t="s">
        <v>3810</v>
      </c>
      <c r="J7086" s="556">
        <f t="shared" si="235"/>
        <v>0</v>
      </c>
    </row>
    <row r="7087" spans="1:25" hidden="1" x14ac:dyDescent="0.25">
      <c r="F7087" s="292">
        <v>464</v>
      </c>
      <c r="G7087" s="319" t="s">
        <v>3811</v>
      </c>
      <c r="J7087" s="556">
        <f t="shared" si="235"/>
        <v>0</v>
      </c>
    </row>
    <row r="7088" spans="1:25" hidden="1" x14ac:dyDescent="0.25">
      <c r="F7088" s="292">
        <v>465</v>
      </c>
      <c r="G7088" s="319" t="s">
        <v>4134</v>
      </c>
      <c r="J7088" s="556">
        <f t="shared" si="235"/>
        <v>0</v>
      </c>
    </row>
    <row r="7089" spans="4:10" hidden="1" x14ac:dyDescent="0.25">
      <c r="F7089" s="292">
        <v>472</v>
      </c>
      <c r="G7089" s="319" t="s">
        <v>3815</v>
      </c>
      <c r="J7089" s="556">
        <f t="shared" si="235"/>
        <v>0</v>
      </c>
    </row>
    <row r="7090" spans="4:10" hidden="1" x14ac:dyDescent="0.25">
      <c r="F7090" s="292">
        <v>481</v>
      </c>
      <c r="G7090" s="319" t="s">
        <v>4153</v>
      </c>
      <c r="J7090" s="556">
        <f t="shared" si="235"/>
        <v>0</v>
      </c>
    </row>
    <row r="7091" spans="4:10" hidden="1" x14ac:dyDescent="0.25">
      <c r="F7091" s="292">
        <v>482</v>
      </c>
      <c r="G7091" s="319" t="s">
        <v>4154</v>
      </c>
      <c r="J7091" s="556">
        <f t="shared" si="235"/>
        <v>0</v>
      </c>
    </row>
    <row r="7092" spans="4:10" hidden="1" x14ac:dyDescent="0.25">
      <c r="F7092" s="292">
        <v>483</v>
      </c>
      <c r="G7092" s="322" t="s">
        <v>4155</v>
      </c>
      <c r="J7092" s="556">
        <f t="shared" si="235"/>
        <v>0</v>
      </c>
    </row>
    <row r="7093" spans="4:10" ht="30" hidden="1" x14ac:dyDescent="0.25">
      <c r="F7093" s="292">
        <v>484</v>
      </c>
      <c r="G7093" s="319" t="s">
        <v>4156</v>
      </c>
      <c r="J7093" s="556">
        <f t="shared" si="235"/>
        <v>0</v>
      </c>
    </row>
    <row r="7094" spans="4:10" ht="30" hidden="1" x14ac:dyDescent="0.25">
      <c r="F7094" s="292">
        <v>485</v>
      </c>
      <c r="G7094" s="319" t="s">
        <v>4157</v>
      </c>
      <c r="J7094" s="556">
        <f t="shared" si="235"/>
        <v>0</v>
      </c>
    </row>
    <row r="7095" spans="4:10" ht="30" hidden="1" x14ac:dyDescent="0.25">
      <c r="F7095" s="292">
        <v>489</v>
      </c>
      <c r="G7095" s="319" t="s">
        <v>3823</v>
      </c>
      <c r="J7095" s="556">
        <f t="shared" si="235"/>
        <v>0</v>
      </c>
    </row>
    <row r="7096" spans="4:10" hidden="1" x14ac:dyDescent="0.25">
      <c r="F7096" s="292">
        <v>494</v>
      </c>
      <c r="G7096" s="319" t="s">
        <v>4135</v>
      </c>
      <c r="J7096" s="556">
        <f t="shared" si="235"/>
        <v>0</v>
      </c>
    </row>
    <row r="7097" spans="4:10" ht="30" hidden="1" x14ac:dyDescent="0.25">
      <c r="F7097" s="292">
        <v>495</v>
      </c>
      <c r="G7097" s="319" t="s">
        <v>4136</v>
      </c>
      <c r="J7097" s="556">
        <f t="shared" si="235"/>
        <v>0</v>
      </c>
    </row>
    <row r="7098" spans="4:10" ht="30" hidden="1" x14ac:dyDescent="0.25">
      <c r="F7098" s="292">
        <v>496</v>
      </c>
      <c r="G7098" s="319" t="s">
        <v>4137</v>
      </c>
      <c r="J7098" s="556">
        <f t="shared" si="235"/>
        <v>0</v>
      </c>
    </row>
    <row r="7099" spans="4:10" hidden="1" x14ac:dyDescent="0.25">
      <c r="D7099" s="331">
        <v>112</v>
      </c>
      <c r="F7099" s="499">
        <v>49911</v>
      </c>
      <c r="G7099" s="492" t="s">
        <v>3825</v>
      </c>
      <c r="J7099" s="556">
        <f t="shared" si="235"/>
        <v>0</v>
      </c>
    </row>
    <row r="7100" spans="4:10" hidden="1" x14ac:dyDescent="0.25">
      <c r="D7100" s="331">
        <v>112</v>
      </c>
      <c r="F7100" s="258">
        <v>49912</v>
      </c>
      <c r="G7100" s="269" t="s">
        <v>3827</v>
      </c>
      <c r="J7100" s="556">
        <f t="shared" si="235"/>
        <v>0</v>
      </c>
    </row>
    <row r="7101" spans="4:10" hidden="1" x14ac:dyDescent="0.25">
      <c r="F7101" s="292">
        <v>511</v>
      </c>
      <c r="G7101" s="322" t="s">
        <v>4158</v>
      </c>
      <c r="J7101" s="556">
        <f t="shared" si="235"/>
        <v>0</v>
      </c>
    </row>
    <row r="7102" spans="4:10" hidden="1" x14ac:dyDescent="0.25">
      <c r="F7102" s="292">
        <v>512</v>
      </c>
      <c r="G7102" s="322" t="s">
        <v>4159</v>
      </c>
      <c r="J7102" s="556">
        <f t="shared" si="235"/>
        <v>0</v>
      </c>
    </row>
    <row r="7103" spans="4:10" hidden="1" x14ac:dyDescent="0.25">
      <c r="F7103" s="292">
        <v>513</v>
      </c>
      <c r="G7103" s="322" t="s">
        <v>4160</v>
      </c>
      <c r="J7103" s="556">
        <f t="shared" si="235"/>
        <v>0</v>
      </c>
    </row>
    <row r="7104" spans="4:10" hidden="1" x14ac:dyDescent="0.25">
      <c r="F7104" s="292">
        <v>514</v>
      </c>
      <c r="G7104" s="319" t="s">
        <v>4161</v>
      </c>
      <c r="J7104" s="556">
        <f t="shared" si="235"/>
        <v>0</v>
      </c>
    </row>
    <row r="7105" spans="5:10" hidden="1" x14ac:dyDescent="0.25">
      <c r="F7105" s="292">
        <v>515</v>
      </c>
      <c r="G7105" s="319" t="s">
        <v>3834</v>
      </c>
      <c r="J7105" s="556">
        <f t="shared" si="235"/>
        <v>0</v>
      </c>
    </row>
    <row r="7106" spans="5:10" hidden="1" x14ac:dyDescent="0.25">
      <c r="F7106" s="292">
        <v>521</v>
      </c>
      <c r="G7106" s="319" t="s">
        <v>4162</v>
      </c>
      <c r="J7106" s="556">
        <f t="shared" si="235"/>
        <v>0</v>
      </c>
    </row>
    <row r="7107" spans="5:10" hidden="1" x14ac:dyDescent="0.25">
      <c r="F7107" s="292">
        <v>522</v>
      </c>
      <c r="G7107" s="319" t="s">
        <v>4163</v>
      </c>
      <c r="J7107" s="556">
        <f t="shared" si="235"/>
        <v>0</v>
      </c>
    </row>
    <row r="7108" spans="5:10" hidden="1" x14ac:dyDescent="0.25">
      <c r="F7108" s="292">
        <v>523</v>
      </c>
      <c r="G7108" s="319" t="s">
        <v>3839</v>
      </c>
      <c r="J7108" s="556">
        <f t="shared" si="235"/>
        <v>0</v>
      </c>
    </row>
    <row r="7109" spans="5:10" hidden="1" x14ac:dyDescent="0.25">
      <c r="F7109" s="292">
        <v>531</v>
      </c>
      <c r="G7109" s="317" t="s">
        <v>4139</v>
      </c>
      <c r="J7109" s="556">
        <f t="shared" si="235"/>
        <v>0</v>
      </c>
    </row>
    <row r="7110" spans="5:10" hidden="1" x14ac:dyDescent="0.25">
      <c r="F7110" s="292">
        <v>541</v>
      </c>
      <c r="G7110" s="319" t="s">
        <v>4164</v>
      </c>
      <c r="J7110" s="556">
        <f t="shared" si="235"/>
        <v>0</v>
      </c>
    </row>
    <row r="7111" spans="5:10" hidden="1" x14ac:dyDescent="0.25">
      <c r="F7111" s="292">
        <v>542</v>
      </c>
      <c r="G7111" s="319" t="s">
        <v>4165</v>
      </c>
      <c r="J7111" s="556">
        <f t="shared" si="235"/>
        <v>0</v>
      </c>
    </row>
    <row r="7112" spans="5:10" hidden="1" x14ac:dyDescent="0.25">
      <c r="F7112" s="292">
        <v>543</v>
      </c>
      <c r="G7112" s="319" t="s">
        <v>3844</v>
      </c>
      <c r="J7112" s="556">
        <f t="shared" si="235"/>
        <v>0</v>
      </c>
    </row>
    <row r="7113" spans="5:10" ht="30" hidden="1" x14ac:dyDescent="0.25">
      <c r="F7113" s="292">
        <v>551</v>
      </c>
      <c r="G7113" s="319" t="s">
        <v>4140</v>
      </c>
      <c r="J7113" s="556">
        <f t="shared" si="235"/>
        <v>0</v>
      </c>
    </row>
    <row r="7114" spans="5:10" hidden="1" x14ac:dyDescent="0.25">
      <c r="F7114" s="293">
        <v>611</v>
      </c>
      <c r="G7114" s="323" t="s">
        <v>3850</v>
      </c>
      <c r="J7114" s="556">
        <f t="shared" si="235"/>
        <v>0</v>
      </c>
    </row>
    <row r="7115" spans="5:10" ht="15.75" hidden="1" thickBot="1" x14ac:dyDescent="0.3">
      <c r="F7115" s="293">
        <v>620</v>
      </c>
      <c r="G7115" s="323" t="s">
        <v>88</v>
      </c>
      <c r="J7115" s="556">
        <f t="shared" si="235"/>
        <v>0</v>
      </c>
    </row>
    <row r="7116" spans="5:10" hidden="1" x14ac:dyDescent="0.25">
      <c r="F7116" s="500"/>
      <c r="G7116" s="342" t="s">
        <v>4322</v>
      </c>
      <c r="H7116" s="666"/>
      <c r="I7116" s="667"/>
      <c r="J7116" s="667"/>
    </row>
    <row r="7117" spans="5:10" ht="15.75" hidden="1" thickBot="1" x14ac:dyDescent="0.3">
      <c r="F7117" s="597" t="s">
        <v>234</v>
      </c>
      <c r="G7117" s="598" t="s">
        <v>235</v>
      </c>
      <c r="H7117" s="555">
        <f>SUM(H7099:H7100)</f>
        <v>0</v>
      </c>
      <c r="J7117" s="556">
        <f>SUM(H7117:I7117)</f>
        <v>0</v>
      </c>
    </row>
    <row r="7118" spans="5:10" ht="15.75" hidden="1" thickBot="1" x14ac:dyDescent="0.3">
      <c r="F7118" s="500"/>
      <c r="G7118" s="268" t="s">
        <v>4323</v>
      </c>
      <c r="H7118" s="664">
        <f>SUM(H7117)</f>
        <v>0</v>
      </c>
      <c r="I7118" s="665"/>
      <c r="J7118" s="665">
        <f>SUM(H7118:I7118)</f>
        <v>0</v>
      </c>
    </row>
    <row r="7119" spans="5:10" hidden="1" x14ac:dyDescent="0.25">
      <c r="E7119" s="489"/>
      <c r="F7119" s="324"/>
      <c r="G7119" s="342" t="s">
        <v>4315</v>
      </c>
      <c r="H7119" s="557"/>
      <c r="I7119" s="583"/>
      <c r="J7119" s="558"/>
    </row>
    <row r="7120" spans="5:10" hidden="1" x14ac:dyDescent="0.25">
      <c r="E7120" s="693"/>
      <c r="F7120" s="284" t="s">
        <v>234</v>
      </c>
      <c r="G7120" s="287" t="s">
        <v>235</v>
      </c>
      <c r="H7120" s="559">
        <v>0</v>
      </c>
      <c r="I7120" s="560"/>
      <c r="J7120" s="560">
        <f>SUM(H7120:I7120)</f>
        <v>0</v>
      </c>
    </row>
    <row r="7121" spans="6:10" hidden="1" x14ac:dyDescent="0.25">
      <c r="F7121" s="284" t="s">
        <v>236</v>
      </c>
      <c r="G7121" s="287" t="s">
        <v>237</v>
      </c>
      <c r="J7121" s="560">
        <f t="shared" ref="J7121:J7135" si="236">SUM(H7121:I7121)</f>
        <v>0</v>
      </c>
    </row>
    <row r="7122" spans="6:10" hidden="1" x14ac:dyDescent="0.25">
      <c r="F7122" s="284" t="s">
        <v>238</v>
      </c>
      <c r="G7122" s="287" t="s">
        <v>239</v>
      </c>
      <c r="J7122" s="560">
        <f t="shared" si="236"/>
        <v>0</v>
      </c>
    </row>
    <row r="7123" spans="6:10" hidden="1" x14ac:dyDescent="0.25">
      <c r="F7123" s="284" t="s">
        <v>240</v>
      </c>
      <c r="G7123" s="287" t="s">
        <v>241</v>
      </c>
      <c r="J7123" s="560">
        <f t="shared" si="236"/>
        <v>0</v>
      </c>
    </row>
    <row r="7124" spans="6:10" hidden="1" x14ac:dyDescent="0.25">
      <c r="F7124" s="284" t="s">
        <v>242</v>
      </c>
      <c r="G7124" s="287" t="s">
        <v>243</v>
      </c>
      <c r="J7124" s="560">
        <f t="shared" si="236"/>
        <v>0</v>
      </c>
    </row>
    <row r="7125" spans="6:10" hidden="1" x14ac:dyDescent="0.25">
      <c r="F7125" s="284" t="s">
        <v>244</v>
      </c>
      <c r="G7125" s="287" t="s">
        <v>245</v>
      </c>
      <c r="J7125" s="560">
        <f t="shared" si="236"/>
        <v>0</v>
      </c>
    </row>
    <row r="7126" spans="6:10" hidden="1" x14ac:dyDescent="0.25">
      <c r="F7126" s="284" t="s">
        <v>246</v>
      </c>
      <c r="G7126" s="598" t="s">
        <v>4996</v>
      </c>
      <c r="J7126" s="560">
        <f t="shared" si="236"/>
        <v>0</v>
      </c>
    </row>
    <row r="7127" spans="6:10" hidden="1" x14ac:dyDescent="0.25">
      <c r="F7127" s="284" t="s">
        <v>247</v>
      </c>
      <c r="G7127" s="598" t="s">
        <v>4995</v>
      </c>
      <c r="J7127" s="560">
        <f t="shared" si="236"/>
        <v>0</v>
      </c>
    </row>
    <row r="7128" spans="6:10" hidden="1" x14ac:dyDescent="0.25">
      <c r="F7128" s="284" t="s">
        <v>248</v>
      </c>
      <c r="G7128" s="287" t="s">
        <v>57</v>
      </c>
      <c r="J7128" s="560">
        <f t="shared" si="236"/>
        <v>0</v>
      </c>
    </row>
    <row r="7129" spans="6:10" hidden="1" x14ac:dyDescent="0.25">
      <c r="F7129" s="284" t="s">
        <v>249</v>
      </c>
      <c r="G7129" s="287" t="s">
        <v>250</v>
      </c>
      <c r="J7129" s="560">
        <f t="shared" si="236"/>
        <v>0</v>
      </c>
    </row>
    <row r="7130" spans="6:10" hidden="1" x14ac:dyDescent="0.25">
      <c r="F7130" s="284" t="s">
        <v>251</v>
      </c>
      <c r="G7130" s="287" t="s">
        <v>252</v>
      </c>
      <c r="J7130" s="560">
        <f t="shared" si="236"/>
        <v>0</v>
      </c>
    </row>
    <row r="7131" spans="6:10" ht="30" hidden="1" x14ac:dyDescent="0.25">
      <c r="F7131" s="284" t="s">
        <v>253</v>
      </c>
      <c r="G7131" s="287" t="s">
        <v>254</v>
      </c>
      <c r="J7131" s="560">
        <f t="shared" si="236"/>
        <v>0</v>
      </c>
    </row>
    <row r="7132" spans="6:10" hidden="1" x14ac:dyDescent="0.25">
      <c r="F7132" s="284" t="s">
        <v>255</v>
      </c>
      <c r="G7132" s="287" t="s">
        <v>256</v>
      </c>
      <c r="J7132" s="560">
        <f t="shared" si="236"/>
        <v>0</v>
      </c>
    </row>
    <row r="7133" spans="6:10" ht="30" hidden="1" x14ac:dyDescent="0.25">
      <c r="F7133" s="284" t="s">
        <v>257</v>
      </c>
      <c r="G7133" s="287" t="s">
        <v>258</v>
      </c>
      <c r="J7133" s="560">
        <f t="shared" si="236"/>
        <v>0</v>
      </c>
    </row>
    <row r="7134" spans="6:10" hidden="1" x14ac:dyDescent="0.25">
      <c r="F7134" s="284" t="s">
        <v>259</v>
      </c>
      <c r="G7134" s="287" t="s">
        <v>260</v>
      </c>
      <c r="J7134" s="560">
        <f t="shared" si="236"/>
        <v>0</v>
      </c>
    </row>
    <row r="7135" spans="6:10" ht="15.75" hidden="1" thickBot="1" x14ac:dyDescent="0.3">
      <c r="F7135" s="284" t="s">
        <v>261</v>
      </c>
      <c r="G7135" s="287" t="s">
        <v>262</v>
      </c>
      <c r="H7135" s="559"/>
      <c r="I7135" s="560"/>
      <c r="J7135" s="560">
        <f t="shared" si="236"/>
        <v>0</v>
      </c>
    </row>
    <row r="7136" spans="6:10" ht="15.75" hidden="1" thickBot="1" x14ac:dyDescent="0.3">
      <c r="G7136" s="268" t="s">
        <v>4240</v>
      </c>
      <c r="H7136" s="561">
        <f>SUM(H7120:H7135)</f>
        <v>0</v>
      </c>
      <c r="I7136" s="562">
        <f>SUM(I7121:I7135)</f>
        <v>0</v>
      </c>
      <c r="J7136" s="562">
        <f>SUM(J7120:J7135)</f>
        <v>0</v>
      </c>
    </row>
    <row r="7137" spans="5:10" ht="28.5" hidden="1" collapsed="1" x14ac:dyDescent="0.25">
      <c r="E7137" s="489"/>
      <c r="F7137" s="293"/>
      <c r="G7137" s="270" t="s">
        <v>4173</v>
      </c>
      <c r="H7137" s="563"/>
      <c r="I7137" s="584"/>
      <c r="J7137" s="564"/>
    </row>
    <row r="7138" spans="5:10" hidden="1" x14ac:dyDescent="0.25">
      <c r="E7138" s="693"/>
      <c r="F7138" s="284" t="s">
        <v>234</v>
      </c>
      <c r="G7138" s="287" t="s">
        <v>235</v>
      </c>
      <c r="H7138" s="559">
        <v>0</v>
      </c>
      <c r="I7138" s="560"/>
      <c r="J7138" s="560">
        <f>SUM(H7138:I7138)</f>
        <v>0</v>
      </c>
    </row>
    <row r="7139" spans="5:10" hidden="1" x14ac:dyDescent="0.25">
      <c r="F7139" s="284" t="s">
        <v>236</v>
      </c>
      <c r="G7139" s="287" t="s">
        <v>237</v>
      </c>
      <c r="J7139" s="560">
        <f t="shared" ref="J7139:J7153" si="237">SUM(H7139:I7139)</f>
        <v>0</v>
      </c>
    </row>
    <row r="7140" spans="5:10" hidden="1" x14ac:dyDescent="0.25">
      <c r="F7140" s="284" t="s">
        <v>238</v>
      </c>
      <c r="G7140" s="287" t="s">
        <v>239</v>
      </c>
      <c r="J7140" s="560">
        <f t="shared" si="237"/>
        <v>0</v>
      </c>
    </row>
    <row r="7141" spans="5:10" hidden="1" x14ac:dyDescent="0.25">
      <c r="F7141" s="284" t="s">
        <v>240</v>
      </c>
      <c r="G7141" s="287" t="s">
        <v>241</v>
      </c>
      <c r="J7141" s="560">
        <f t="shared" si="237"/>
        <v>0</v>
      </c>
    </row>
    <row r="7142" spans="5:10" hidden="1" x14ac:dyDescent="0.25">
      <c r="F7142" s="284" t="s">
        <v>242</v>
      </c>
      <c r="G7142" s="287" t="s">
        <v>243</v>
      </c>
      <c r="J7142" s="560">
        <f t="shared" si="237"/>
        <v>0</v>
      </c>
    </row>
    <row r="7143" spans="5:10" hidden="1" x14ac:dyDescent="0.25">
      <c r="F7143" s="284" t="s">
        <v>244</v>
      </c>
      <c r="G7143" s="287" t="s">
        <v>245</v>
      </c>
      <c r="J7143" s="560">
        <f t="shared" si="237"/>
        <v>0</v>
      </c>
    </row>
    <row r="7144" spans="5:10" hidden="1" x14ac:dyDescent="0.25">
      <c r="F7144" s="284" t="s">
        <v>246</v>
      </c>
      <c r="G7144" s="598" t="s">
        <v>4996</v>
      </c>
      <c r="J7144" s="560">
        <f t="shared" si="237"/>
        <v>0</v>
      </c>
    </row>
    <row r="7145" spans="5:10" hidden="1" x14ac:dyDescent="0.25">
      <c r="F7145" s="284" t="s">
        <v>247</v>
      </c>
      <c r="G7145" s="598" t="s">
        <v>4995</v>
      </c>
      <c r="J7145" s="560">
        <f t="shared" si="237"/>
        <v>0</v>
      </c>
    </row>
    <row r="7146" spans="5:10" hidden="1" x14ac:dyDescent="0.25">
      <c r="F7146" s="284" t="s">
        <v>248</v>
      </c>
      <c r="G7146" s="287" t="s">
        <v>57</v>
      </c>
      <c r="J7146" s="560">
        <f t="shared" si="237"/>
        <v>0</v>
      </c>
    </row>
    <row r="7147" spans="5:10" hidden="1" x14ac:dyDescent="0.25">
      <c r="F7147" s="284" t="s">
        <v>249</v>
      </c>
      <c r="G7147" s="287" t="s">
        <v>250</v>
      </c>
      <c r="J7147" s="560">
        <f t="shared" si="237"/>
        <v>0</v>
      </c>
    </row>
    <row r="7148" spans="5:10" hidden="1" x14ac:dyDescent="0.25">
      <c r="F7148" s="284" t="s">
        <v>251</v>
      </c>
      <c r="G7148" s="287" t="s">
        <v>252</v>
      </c>
      <c r="J7148" s="560">
        <f t="shared" si="237"/>
        <v>0</v>
      </c>
    </row>
    <row r="7149" spans="5:10" ht="30" hidden="1" x14ac:dyDescent="0.25">
      <c r="F7149" s="284" t="s">
        <v>253</v>
      </c>
      <c r="G7149" s="287" t="s">
        <v>254</v>
      </c>
      <c r="J7149" s="560">
        <f t="shared" si="237"/>
        <v>0</v>
      </c>
    </row>
    <row r="7150" spans="5:10" hidden="1" x14ac:dyDescent="0.25">
      <c r="F7150" s="284" t="s">
        <v>255</v>
      </c>
      <c r="G7150" s="287" t="s">
        <v>256</v>
      </c>
      <c r="J7150" s="560">
        <f t="shared" si="237"/>
        <v>0</v>
      </c>
    </row>
    <row r="7151" spans="5:10" ht="30" hidden="1" x14ac:dyDescent="0.25">
      <c r="F7151" s="284" t="s">
        <v>257</v>
      </c>
      <c r="G7151" s="287" t="s">
        <v>258</v>
      </c>
      <c r="J7151" s="560">
        <f t="shared" si="237"/>
        <v>0</v>
      </c>
    </row>
    <row r="7152" spans="5:10" hidden="1" x14ac:dyDescent="0.25">
      <c r="F7152" s="284" t="s">
        <v>259</v>
      </c>
      <c r="G7152" s="287" t="s">
        <v>260</v>
      </c>
      <c r="J7152" s="560">
        <f t="shared" si="237"/>
        <v>0</v>
      </c>
    </row>
    <row r="7153" spans="3:10" ht="15.75" hidden="1" thickBot="1" x14ac:dyDescent="0.3">
      <c r="F7153" s="284" t="s">
        <v>261</v>
      </c>
      <c r="G7153" s="287" t="s">
        <v>262</v>
      </c>
      <c r="H7153" s="559"/>
      <c r="I7153" s="560"/>
      <c r="J7153" s="560">
        <f t="shared" si="237"/>
        <v>0</v>
      </c>
    </row>
    <row r="7154" spans="3:10" ht="15.75" hidden="1" collapsed="1" thickBot="1" x14ac:dyDescent="0.3">
      <c r="G7154" s="268" t="s">
        <v>4172</v>
      </c>
      <c r="H7154" s="561">
        <f>SUM(H7138:H7153)</f>
        <v>0</v>
      </c>
      <c r="I7154" s="562">
        <f>SUM(I7139:I7153)</f>
        <v>0</v>
      </c>
      <c r="J7154" s="562">
        <f>SUM(J7138:J7153)</f>
        <v>0</v>
      </c>
    </row>
    <row r="7155" spans="3:10" hidden="1" x14ac:dyDescent="0.25"/>
    <row r="7156" spans="3:10" hidden="1" x14ac:dyDescent="0.25">
      <c r="C7156" s="339" t="s">
        <v>4101</v>
      </c>
      <c r="D7156" s="84"/>
      <c r="E7156" s="693"/>
      <c r="F7156" s="262"/>
      <c r="G7156" s="313" t="s">
        <v>4102</v>
      </c>
    </row>
    <row r="7157" spans="3:10" hidden="1" x14ac:dyDescent="0.25">
      <c r="D7157" s="331">
        <v>170</v>
      </c>
      <c r="E7157" s="869"/>
      <c r="F7157" s="331"/>
      <c r="G7157" s="351" t="s">
        <v>4102</v>
      </c>
    </row>
    <row r="7158" spans="3:10" hidden="1" x14ac:dyDescent="0.25">
      <c r="F7158" s="292">
        <v>411</v>
      </c>
      <c r="G7158" s="319" t="s">
        <v>4131</v>
      </c>
      <c r="J7158" s="556">
        <f>SUM(H7158:I7158)</f>
        <v>0</v>
      </c>
    </row>
    <row r="7159" spans="3:10" hidden="1" x14ac:dyDescent="0.25">
      <c r="F7159" s="292">
        <v>412</v>
      </c>
      <c r="G7159" s="317" t="s">
        <v>3766</v>
      </c>
      <c r="J7159" s="556">
        <f t="shared" ref="J7159:J7217" si="238">SUM(H7159:I7159)</f>
        <v>0</v>
      </c>
    </row>
    <row r="7160" spans="3:10" hidden="1" x14ac:dyDescent="0.25">
      <c r="F7160" s="292">
        <v>413</v>
      </c>
      <c r="G7160" s="319" t="s">
        <v>4132</v>
      </c>
      <c r="J7160" s="556">
        <f t="shared" si="238"/>
        <v>0</v>
      </c>
    </row>
    <row r="7161" spans="3:10" hidden="1" x14ac:dyDescent="0.25">
      <c r="F7161" s="292">
        <v>414</v>
      </c>
      <c r="G7161" s="319" t="s">
        <v>3769</v>
      </c>
      <c r="J7161" s="556">
        <f t="shared" si="238"/>
        <v>0</v>
      </c>
    </row>
    <row r="7162" spans="3:10" hidden="1" x14ac:dyDescent="0.25">
      <c r="F7162" s="292">
        <v>415</v>
      </c>
      <c r="G7162" s="319" t="s">
        <v>4141</v>
      </c>
      <c r="J7162" s="556">
        <f t="shared" si="238"/>
        <v>0</v>
      </c>
    </row>
    <row r="7163" spans="3:10" hidden="1" x14ac:dyDescent="0.25">
      <c r="F7163" s="292">
        <v>416</v>
      </c>
      <c r="G7163" s="319" t="s">
        <v>4142</v>
      </c>
      <c r="J7163" s="556">
        <f t="shared" si="238"/>
        <v>0</v>
      </c>
    </row>
    <row r="7164" spans="3:10" hidden="1" x14ac:dyDescent="0.25">
      <c r="F7164" s="292">
        <v>417</v>
      </c>
      <c r="G7164" s="319" t="s">
        <v>4143</v>
      </c>
      <c r="J7164" s="556">
        <f t="shared" si="238"/>
        <v>0</v>
      </c>
    </row>
    <row r="7165" spans="3:10" hidden="1" x14ac:dyDescent="0.25">
      <c r="F7165" s="292">
        <v>418</v>
      </c>
      <c r="G7165" s="319" t="s">
        <v>3775</v>
      </c>
      <c r="J7165" s="556">
        <f t="shared" si="238"/>
        <v>0</v>
      </c>
    </row>
    <row r="7166" spans="3:10" hidden="1" x14ac:dyDescent="0.25">
      <c r="F7166" s="292">
        <v>421</v>
      </c>
      <c r="G7166" s="319" t="s">
        <v>3779</v>
      </c>
      <c r="J7166" s="556">
        <f t="shared" si="238"/>
        <v>0</v>
      </c>
    </row>
    <row r="7167" spans="3:10" hidden="1" x14ac:dyDescent="0.25">
      <c r="F7167" s="292">
        <v>422</v>
      </c>
      <c r="G7167" s="319" t="s">
        <v>3780</v>
      </c>
      <c r="J7167" s="556">
        <f t="shared" si="238"/>
        <v>0</v>
      </c>
    </row>
    <row r="7168" spans="3:10" hidden="1" x14ac:dyDescent="0.25">
      <c r="F7168" s="292">
        <v>423</v>
      </c>
      <c r="G7168" s="319" t="s">
        <v>3781</v>
      </c>
      <c r="J7168" s="556">
        <f t="shared" si="238"/>
        <v>0</v>
      </c>
    </row>
    <row r="7169" spans="6:10" hidden="1" x14ac:dyDescent="0.25">
      <c r="F7169" s="292">
        <v>424</v>
      </c>
      <c r="G7169" s="319" t="s">
        <v>3783</v>
      </c>
      <c r="J7169" s="556">
        <f t="shared" si="238"/>
        <v>0</v>
      </c>
    </row>
    <row r="7170" spans="6:10" hidden="1" x14ac:dyDescent="0.25">
      <c r="F7170" s="292">
        <v>425</v>
      </c>
      <c r="G7170" s="319" t="s">
        <v>4144</v>
      </c>
      <c r="J7170" s="556">
        <f t="shared" si="238"/>
        <v>0</v>
      </c>
    </row>
    <row r="7171" spans="6:10" hidden="1" x14ac:dyDescent="0.25">
      <c r="F7171" s="292">
        <v>426</v>
      </c>
      <c r="G7171" s="319" t="s">
        <v>3787</v>
      </c>
      <c r="J7171" s="556">
        <f t="shared" si="238"/>
        <v>0</v>
      </c>
    </row>
    <row r="7172" spans="6:10" hidden="1" x14ac:dyDescent="0.25">
      <c r="F7172" s="292">
        <v>431</v>
      </c>
      <c r="G7172" s="319" t="s">
        <v>4145</v>
      </c>
      <c r="J7172" s="556">
        <f t="shared" si="238"/>
        <v>0</v>
      </c>
    </row>
    <row r="7173" spans="6:10" hidden="1" x14ac:dyDescent="0.25">
      <c r="F7173" s="292">
        <v>432</v>
      </c>
      <c r="G7173" s="319" t="s">
        <v>4146</v>
      </c>
      <c r="J7173" s="556">
        <f t="shared" si="238"/>
        <v>0</v>
      </c>
    </row>
    <row r="7174" spans="6:10" hidden="1" x14ac:dyDescent="0.25">
      <c r="F7174" s="292">
        <v>433</v>
      </c>
      <c r="G7174" s="319" t="s">
        <v>4147</v>
      </c>
      <c r="J7174" s="556">
        <f t="shared" si="238"/>
        <v>0</v>
      </c>
    </row>
    <row r="7175" spans="6:10" hidden="1" x14ac:dyDescent="0.25">
      <c r="F7175" s="292">
        <v>434</v>
      </c>
      <c r="G7175" s="319" t="s">
        <v>4148</v>
      </c>
      <c r="J7175" s="556">
        <f t="shared" si="238"/>
        <v>0</v>
      </c>
    </row>
    <row r="7176" spans="6:10" hidden="1" x14ac:dyDescent="0.25">
      <c r="F7176" s="292">
        <v>435</v>
      </c>
      <c r="G7176" s="319" t="s">
        <v>3794</v>
      </c>
      <c r="J7176" s="556">
        <f t="shared" si="238"/>
        <v>0</v>
      </c>
    </row>
    <row r="7177" spans="6:10" hidden="1" x14ac:dyDescent="0.25">
      <c r="F7177" s="292">
        <v>441</v>
      </c>
      <c r="G7177" s="319" t="s">
        <v>4149</v>
      </c>
      <c r="J7177" s="556">
        <f t="shared" si="238"/>
        <v>0</v>
      </c>
    </row>
    <row r="7178" spans="6:10" hidden="1" x14ac:dyDescent="0.25">
      <c r="F7178" s="292">
        <v>442</v>
      </c>
      <c r="G7178" s="319" t="s">
        <v>4150</v>
      </c>
      <c r="J7178" s="556">
        <f t="shared" si="238"/>
        <v>0</v>
      </c>
    </row>
    <row r="7179" spans="6:10" hidden="1" x14ac:dyDescent="0.25">
      <c r="F7179" s="292">
        <v>443</v>
      </c>
      <c r="G7179" s="319" t="s">
        <v>3799</v>
      </c>
      <c r="J7179" s="556">
        <f t="shared" si="238"/>
        <v>0</v>
      </c>
    </row>
    <row r="7180" spans="6:10" hidden="1" x14ac:dyDescent="0.25">
      <c r="F7180" s="292">
        <v>444</v>
      </c>
      <c r="G7180" s="319" t="s">
        <v>3800</v>
      </c>
      <c r="J7180" s="556">
        <f t="shared" si="238"/>
        <v>0</v>
      </c>
    </row>
    <row r="7181" spans="6:10" ht="30" hidden="1" x14ac:dyDescent="0.25">
      <c r="F7181" s="292">
        <v>4511</v>
      </c>
      <c r="G7181" s="263" t="s">
        <v>1690</v>
      </c>
      <c r="J7181" s="556">
        <f t="shared" si="238"/>
        <v>0</v>
      </c>
    </row>
    <row r="7182" spans="6:10" ht="16.5" hidden="1" customHeight="1" x14ac:dyDescent="0.25">
      <c r="F7182" s="292">
        <v>4512</v>
      </c>
      <c r="G7182" s="263" t="s">
        <v>1699</v>
      </c>
      <c r="J7182" s="556">
        <f t="shared" si="238"/>
        <v>0</v>
      </c>
    </row>
    <row r="7183" spans="6:10" hidden="1" x14ac:dyDescent="0.25">
      <c r="F7183" s="292">
        <v>452</v>
      </c>
      <c r="G7183" s="319" t="s">
        <v>4151</v>
      </c>
      <c r="J7183" s="556">
        <f t="shared" si="238"/>
        <v>0</v>
      </c>
    </row>
    <row r="7184" spans="6:10" hidden="1" x14ac:dyDescent="0.25">
      <c r="F7184" s="292">
        <v>453</v>
      </c>
      <c r="G7184" s="319" t="s">
        <v>4152</v>
      </c>
      <c r="J7184" s="556">
        <f t="shared" si="238"/>
        <v>0</v>
      </c>
    </row>
    <row r="7185" spans="6:10" hidden="1" x14ac:dyDescent="0.25">
      <c r="F7185" s="292">
        <v>454</v>
      </c>
      <c r="G7185" s="319" t="s">
        <v>3805</v>
      </c>
      <c r="J7185" s="556">
        <f t="shared" si="238"/>
        <v>0</v>
      </c>
    </row>
    <row r="7186" spans="6:10" hidden="1" x14ac:dyDescent="0.25">
      <c r="F7186" s="292">
        <v>461</v>
      </c>
      <c r="G7186" s="319" t="s">
        <v>4133</v>
      </c>
      <c r="J7186" s="556">
        <f t="shared" si="238"/>
        <v>0</v>
      </c>
    </row>
    <row r="7187" spans="6:10" hidden="1" x14ac:dyDescent="0.25">
      <c r="F7187" s="292">
        <v>462</v>
      </c>
      <c r="G7187" s="319" t="s">
        <v>3808</v>
      </c>
      <c r="J7187" s="556">
        <f t="shared" si="238"/>
        <v>0</v>
      </c>
    </row>
    <row r="7188" spans="6:10" hidden="1" x14ac:dyDescent="0.25">
      <c r="F7188" s="292">
        <v>4631</v>
      </c>
      <c r="G7188" s="319" t="s">
        <v>3809</v>
      </c>
      <c r="J7188" s="556">
        <f t="shared" si="238"/>
        <v>0</v>
      </c>
    </row>
    <row r="7189" spans="6:10" hidden="1" x14ac:dyDescent="0.25">
      <c r="F7189" s="292">
        <v>4632</v>
      </c>
      <c r="G7189" s="319" t="s">
        <v>3810</v>
      </c>
      <c r="J7189" s="556">
        <f t="shared" si="238"/>
        <v>0</v>
      </c>
    </row>
    <row r="7190" spans="6:10" hidden="1" x14ac:dyDescent="0.25">
      <c r="F7190" s="292">
        <v>464</v>
      </c>
      <c r="G7190" s="319" t="s">
        <v>3811</v>
      </c>
      <c r="J7190" s="556">
        <f t="shared" si="238"/>
        <v>0</v>
      </c>
    </row>
    <row r="7191" spans="6:10" hidden="1" x14ac:dyDescent="0.25">
      <c r="F7191" s="292">
        <v>465</v>
      </c>
      <c r="G7191" s="319" t="s">
        <v>4134</v>
      </c>
      <c r="J7191" s="556">
        <f t="shared" si="238"/>
        <v>0</v>
      </c>
    </row>
    <row r="7192" spans="6:10" hidden="1" x14ac:dyDescent="0.25">
      <c r="F7192" s="292">
        <v>472</v>
      </c>
      <c r="G7192" s="319" t="s">
        <v>3815</v>
      </c>
      <c r="J7192" s="556">
        <f t="shared" si="238"/>
        <v>0</v>
      </c>
    </row>
    <row r="7193" spans="6:10" hidden="1" x14ac:dyDescent="0.25">
      <c r="F7193" s="292">
        <v>481</v>
      </c>
      <c r="G7193" s="319" t="s">
        <v>4153</v>
      </c>
      <c r="J7193" s="556">
        <f t="shared" si="238"/>
        <v>0</v>
      </c>
    </row>
    <row r="7194" spans="6:10" hidden="1" x14ac:dyDescent="0.25">
      <c r="F7194" s="292">
        <v>482</v>
      </c>
      <c r="G7194" s="319" t="s">
        <v>4154</v>
      </c>
      <c r="J7194" s="556">
        <f t="shared" si="238"/>
        <v>0</v>
      </c>
    </row>
    <row r="7195" spans="6:10" hidden="1" x14ac:dyDescent="0.25">
      <c r="F7195" s="292">
        <v>483</v>
      </c>
      <c r="G7195" s="322" t="s">
        <v>4155</v>
      </c>
      <c r="J7195" s="556">
        <f t="shared" si="238"/>
        <v>0</v>
      </c>
    </row>
    <row r="7196" spans="6:10" ht="30" hidden="1" x14ac:dyDescent="0.25">
      <c r="F7196" s="292">
        <v>484</v>
      </c>
      <c r="G7196" s="319" t="s">
        <v>4156</v>
      </c>
      <c r="J7196" s="556">
        <f t="shared" si="238"/>
        <v>0</v>
      </c>
    </row>
    <row r="7197" spans="6:10" ht="30" hidden="1" x14ac:dyDescent="0.25">
      <c r="F7197" s="292">
        <v>485</v>
      </c>
      <c r="G7197" s="319" t="s">
        <v>4157</v>
      </c>
      <c r="J7197" s="556">
        <f t="shared" si="238"/>
        <v>0</v>
      </c>
    </row>
    <row r="7198" spans="6:10" ht="30" hidden="1" x14ac:dyDescent="0.25">
      <c r="F7198" s="292">
        <v>489</v>
      </c>
      <c r="G7198" s="319" t="s">
        <v>3823</v>
      </c>
      <c r="J7198" s="556">
        <f t="shared" si="238"/>
        <v>0</v>
      </c>
    </row>
    <row r="7199" spans="6:10" hidden="1" x14ac:dyDescent="0.25">
      <c r="F7199" s="292">
        <v>494</v>
      </c>
      <c r="G7199" s="319" t="s">
        <v>4135</v>
      </c>
      <c r="J7199" s="556">
        <f t="shared" si="238"/>
        <v>0</v>
      </c>
    </row>
    <row r="7200" spans="6:10" ht="30" hidden="1" x14ac:dyDescent="0.25">
      <c r="F7200" s="292">
        <v>495</v>
      </c>
      <c r="G7200" s="319" t="s">
        <v>4136</v>
      </c>
      <c r="J7200" s="556">
        <f t="shared" si="238"/>
        <v>0</v>
      </c>
    </row>
    <row r="7201" spans="6:10" ht="30" hidden="1" x14ac:dyDescent="0.25">
      <c r="F7201" s="292">
        <v>496</v>
      </c>
      <c r="G7201" s="319" t="s">
        <v>4137</v>
      </c>
      <c r="J7201" s="556">
        <f t="shared" si="238"/>
        <v>0</v>
      </c>
    </row>
    <row r="7202" spans="6:10" ht="30" hidden="1" x14ac:dyDescent="0.25">
      <c r="F7202" s="292">
        <v>499</v>
      </c>
      <c r="G7202" s="319" t="s">
        <v>4138</v>
      </c>
      <c r="J7202" s="556">
        <f t="shared" si="238"/>
        <v>0</v>
      </c>
    </row>
    <row r="7203" spans="6:10" hidden="1" x14ac:dyDescent="0.25">
      <c r="F7203" s="292">
        <v>511</v>
      </c>
      <c r="G7203" s="322" t="s">
        <v>4158</v>
      </c>
      <c r="J7203" s="556">
        <f t="shared" si="238"/>
        <v>0</v>
      </c>
    </row>
    <row r="7204" spans="6:10" hidden="1" x14ac:dyDescent="0.25">
      <c r="F7204" s="292">
        <v>512</v>
      </c>
      <c r="G7204" s="322" t="s">
        <v>4159</v>
      </c>
      <c r="J7204" s="556">
        <f t="shared" si="238"/>
        <v>0</v>
      </c>
    </row>
    <row r="7205" spans="6:10" hidden="1" x14ac:dyDescent="0.25">
      <c r="F7205" s="292">
        <v>513</v>
      </c>
      <c r="G7205" s="322" t="s">
        <v>4160</v>
      </c>
      <c r="J7205" s="556">
        <f t="shared" si="238"/>
        <v>0</v>
      </c>
    </row>
    <row r="7206" spans="6:10" hidden="1" x14ac:dyDescent="0.25">
      <c r="F7206" s="292">
        <v>514</v>
      </c>
      <c r="G7206" s="319" t="s">
        <v>4161</v>
      </c>
      <c r="J7206" s="556">
        <f t="shared" si="238"/>
        <v>0</v>
      </c>
    </row>
    <row r="7207" spans="6:10" hidden="1" x14ac:dyDescent="0.25">
      <c r="F7207" s="292">
        <v>515</v>
      </c>
      <c r="G7207" s="319" t="s">
        <v>3834</v>
      </c>
      <c r="J7207" s="556">
        <f t="shared" si="238"/>
        <v>0</v>
      </c>
    </row>
    <row r="7208" spans="6:10" hidden="1" x14ac:dyDescent="0.25">
      <c r="F7208" s="292">
        <v>521</v>
      </c>
      <c r="G7208" s="319" t="s">
        <v>4162</v>
      </c>
      <c r="J7208" s="556">
        <f t="shared" si="238"/>
        <v>0</v>
      </c>
    </row>
    <row r="7209" spans="6:10" hidden="1" x14ac:dyDescent="0.25">
      <c r="F7209" s="292">
        <v>522</v>
      </c>
      <c r="G7209" s="319" t="s">
        <v>4163</v>
      </c>
      <c r="J7209" s="556">
        <f t="shared" si="238"/>
        <v>0</v>
      </c>
    </row>
    <row r="7210" spans="6:10" hidden="1" x14ac:dyDescent="0.25">
      <c r="F7210" s="292">
        <v>523</v>
      </c>
      <c r="G7210" s="319" t="s">
        <v>3839</v>
      </c>
      <c r="J7210" s="556">
        <f t="shared" si="238"/>
        <v>0</v>
      </c>
    </row>
    <row r="7211" spans="6:10" hidden="1" x14ac:dyDescent="0.25">
      <c r="F7211" s="292">
        <v>531</v>
      </c>
      <c r="G7211" s="317" t="s">
        <v>4139</v>
      </c>
      <c r="J7211" s="556">
        <f t="shared" si="238"/>
        <v>0</v>
      </c>
    </row>
    <row r="7212" spans="6:10" hidden="1" x14ac:dyDescent="0.25">
      <c r="F7212" s="292">
        <v>541</v>
      </c>
      <c r="G7212" s="319" t="s">
        <v>4164</v>
      </c>
      <c r="J7212" s="556">
        <f t="shared" si="238"/>
        <v>0</v>
      </c>
    </row>
    <row r="7213" spans="6:10" hidden="1" x14ac:dyDescent="0.25">
      <c r="F7213" s="292">
        <v>542</v>
      </c>
      <c r="G7213" s="319" t="s">
        <v>4165</v>
      </c>
      <c r="J7213" s="556">
        <f t="shared" si="238"/>
        <v>0</v>
      </c>
    </row>
    <row r="7214" spans="6:10" hidden="1" x14ac:dyDescent="0.25">
      <c r="F7214" s="292">
        <v>543</v>
      </c>
      <c r="G7214" s="319" t="s">
        <v>3844</v>
      </c>
      <c r="J7214" s="556">
        <f t="shared" si="238"/>
        <v>0</v>
      </c>
    </row>
    <row r="7215" spans="6:10" ht="30" hidden="1" x14ac:dyDescent="0.25">
      <c r="F7215" s="292">
        <v>551</v>
      </c>
      <c r="G7215" s="319" t="s">
        <v>4140</v>
      </c>
      <c r="J7215" s="556">
        <f t="shared" si="238"/>
        <v>0</v>
      </c>
    </row>
    <row r="7216" spans="6:10" hidden="1" x14ac:dyDescent="0.25">
      <c r="F7216" s="293">
        <v>611</v>
      </c>
      <c r="G7216" s="323" t="s">
        <v>3850</v>
      </c>
      <c r="J7216" s="556">
        <f t="shared" si="238"/>
        <v>0</v>
      </c>
    </row>
    <row r="7217" spans="5:10" ht="15.75" hidden="1" thickBot="1" x14ac:dyDescent="0.3">
      <c r="F7217" s="293">
        <v>620</v>
      </c>
      <c r="G7217" s="323" t="s">
        <v>88</v>
      </c>
      <c r="J7217" s="556">
        <f t="shared" si="238"/>
        <v>0</v>
      </c>
    </row>
    <row r="7218" spans="5:10" hidden="1" x14ac:dyDescent="0.25">
      <c r="E7218" s="489"/>
      <c r="F7218" s="324"/>
      <c r="G7218" s="342" t="s">
        <v>4316</v>
      </c>
      <c r="H7218" s="557"/>
      <c r="I7218" s="583"/>
      <c r="J7218" s="558"/>
    </row>
    <row r="7219" spans="5:10" hidden="1" x14ac:dyDescent="0.25">
      <c r="E7219" s="693"/>
      <c r="F7219" s="284" t="s">
        <v>234</v>
      </c>
      <c r="G7219" s="287" t="s">
        <v>235</v>
      </c>
      <c r="H7219" s="559">
        <f>SUM(H7158:H7217)</f>
        <v>0</v>
      </c>
      <c r="I7219" s="560"/>
      <c r="J7219" s="560">
        <f>SUM(H7219:I7219)</f>
        <v>0</v>
      </c>
    </row>
    <row r="7220" spans="5:10" hidden="1" x14ac:dyDescent="0.25">
      <c r="F7220" s="284" t="s">
        <v>236</v>
      </c>
      <c r="G7220" s="287" t="s">
        <v>237</v>
      </c>
      <c r="J7220" s="560">
        <f t="shared" ref="J7220:J7234" si="239">SUM(H7220:I7220)</f>
        <v>0</v>
      </c>
    </row>
    <row r="7221" spans="5:10" hidden="1" x14ac:dyDescent="0.25">
      <c r="F7221" s="284" t="s">
        <v>238</v>
      </c>
      <c r="G7221" s="287" t="s">
        <v>239</v>
      </c>
      <c r="J7221" s="560">
        <f t="shared" si="239"/>
        <v>0</v>
      </c>
    </row>
    <row r="7222" spans="5:10" hidden="1" x14ac:dyDescent="0.25">
      <c r="F7222" s="284" t="s">
        <v>240</v>
      </c>
      <c r="G7222" s="287" t="s">
        <v>241</v>
      </c>
      <c r="J7222" s="560">
        <f t="shared" si="239"/>
        <v>0</v>
      </c>
    </row>
    <row r="7223" spans="5:10" hidden="1" x14ac:dyDescent="0.25">
      <c r="F7223" s="284" t="s">
        <v>242</v>
      </c>
      <c r="G7223" s="287" t="s">
        <v>243</v>
      </c>
      <c r="J7223" s="560">
        <f t="shared" si="239"/>
        <v>0</v>
      </c>
    </row>
    <row r="7224" spans="5:10" hidden="1" x14ac:dyDescent="0.25">
      <c r="F7224" s="284" t="s">
        <v>244</v>
      </c>
      <c r="G7224" s="287" t="s">
        <v>245</v>
      </c>
      <c r="J7224" s="560">
        <f t="shared" si="239"/>
        <v>0</v>
      </c>
    </row>
    <row r="7225" spans="5:10" hidden="1" x14ac:dyDescent="0.25">
      <c r="F7225" s="284" t="s">
        <v>246</v>
      </c>
      <c r="G7225" s="598" t="s">
        <v>4996</v>
      </c>
      <c r="J7225" s="560">
        <f t="shared" si="239"/>
        <v>0</v>
      </c>
    </row>
    <row r="7226" spans="5:10" hidden="1" x14ac:dyDescent="0.25">
      <c r="F7226" s="284" t="s">
        <v>247</v>
      </c>
      <c r="G7226" s="598" t="s">
        <v>4995</v>
      </c>
      <c r="J7226" s="560">
        <f t="shared" si="239"/>
        <v>0</v>
      </c>
    </row>
    <row r="7227" spans="5:10" hidden="1" x14ac:dyDescent="0.25">
      <c r="F7227" s="284" t="s">
        <v>248</v>
      </c>
      <c r="G7227" s="287" t="s">
        <v>57</v>
      </c>
      <c r="J7227" s="560">
        <f t="shared" si="239"/>
        <v>0</v>
      </c>
    </row>
    <row r="7228" spans="5:10" hidden="1" x14ac:dyDescent="0.25">
      <c r="F7228" s="284" t="s">
        <v>249</v>
      </c>
      <c r="G7228" s="287" t="s">
        <v>250</v>
      </c>
      <c r="J7228" s="560">
        <f t="shared" si="239"/>
        <v>0</v>
      </c>
    </row>
    <row r="7229" spans="5:10" hidden="1" x14ac:dyDescent="0.25">
      <c r="F7229" s="284" t="s">
        <v>251</v>
      </c>
      <c r="G7229" s="287" t="s">
        <v>252</v>
      </c>
      <c r="J7229" s="560">
        <f t="shared" si="239"/>
        <v>0</v>
      </c>
    </row>
    <row r="7230" spans="5:10" ht="30" hidden="1" x14ac:dyDescent="0.25">
      <c r="F7230" s="284" t="s">
        <v>253</v>
      </c>
      <c r="G7230" s="287" t="s">
        <v>254</v>
      </c>
      <c r="J7230" s="560">
        <f t="shared" si="239"/>
        <v>0</v>
      </c>
    </row>
    <row r="7231" spans="5:10" hidden="1" x14ac:dyDescent="0.25">
      <c r="F7231" s="284" t="s">
        <v>255</v>
      </c>
      <c r="G7231" s="287" t="s">
        <v>256</v>
      </c>
      <c r="J7231" s="560">
        <f t="shared" si="239"/>
        <v>0</v>
      </c>
    </row>
    <row r="7232" spans="5:10" ht="30" hidden="1" x14ac:dyDescent="0.25">
      <c r="F7232" s="284" t="s">
        <v>257</v>
      </c>
      <c r="G7232" s="287" t="s">
        <v>258</v>
      </c>
      <c r="J7232" s="560">
        <f t="shared" si="239"/>
        <v>0</v>
      </c>
    </row>
    <row r="7233" spans="5:10" hidden="1" x14ac:dyDescent="0.25">
      <c r="F7233" s="284" t="s">
        <v>259</v>
      </c>
      <c r="G7233" s="287" t="s">
        <v>260</v>
      </c>
      <c r="J7233" s="560">
        <f t="shared" si="239"/>
        <v>0</v>
      </c>
    </row>
    <row r="7234" spans="5:10" ht="15.75" hidden="1" thickBot="1" x14ac:dyDescent="0.3">
      <c r="F7234" s="284" t="s">
        <v>261</v>
      </c>
      <c r="G7234" s="287" t="s">
        <v>262</v>
      </c>
      <c r="H7234" s="559"/>
      <c r="I7234" s="560"/>
      <c r="J7234" s="560">
        <f t="shared" si="239"/>
        <v>0</v>
      </c>
    </row>
    <row r="7235" spans="5:10" ht="15.75" hidden="1" thickBot="1" x14ac:dyDescent="0.3">
      <c r="G7235" s="268" t="s">
        <v>4317</v>
      </c>
      <c r="H7235" s="561">
        <f>SUM(H7219:H7234)</f>
        <v>0</v>
      </c>
      <c r="I7235" s="562">
        <f>SUM(I7220:I7234)</f>
        <v>0</v>
      </c>
      <c r="J7235" s="562">
        <f>SUM(J7219:J7234)</f>
        <v>0</v>
      </c>
    </row>
    <row r="7236" spans="5:10" ht="28.5" hidden="1" x14ac:dyDescent="0.25">
      <c r="E7236" s="489"/>
      <c r="F7236" s="293"/>
      <c r="G7236" s="270" t="s">
        <v>4318</v>
      </c>
      <c r="H7236" s="563"/>
      <c r="I7236" s="584"/>
      <c r="J7236" s="564"/>
    </row>
    <row r="7237" spans="5:10" hidden="1" x14ac:dyDescent="0.25">
      <c r="E7237" s="693"/>
      <c r="F7237" s="284" t="s">
        <v>234</v>
      </c>
      <c r="G7237" s="287" t="s">
        <v>235</v>
      </c>
      <c r="H7237" s="559">
        <f>SUM(H7158:H7217)</f>
        <v>0</v>
      </c>
      <c r="I7237" s="560"/>
      <c r="J7237" s="560">
        <f>SUM(H7237:I7237)</f>
        <v>0</v>
      </c>
    </row>
    <row r="7238" spans="5:10" hidden="1" x14ac:dyDescent="0.25">
      <c r="F7238" s="284" t="s">
        <v>236</v>
      </c>
      <c r="G7238" s="287" t="s">
        <v>237</v>
      </c>
      <c r="J7238" s="560">
        <f t="shared" ref="J7238:J7252" si="240">SUM(H7238:I7238)</f>
        <v>0</v>
      </c>
    </row>
    <row r="7239" spans="5:10" hidden="1" x14ac:dyDescent="0.25">
      <c r="F7239" s="284" t="s">
        <v>238</v>
      </c>
      <c r="G7239" s="287" t="s">
        <v>239</v>
      </c>
      <c r="J7239" s="560">
        <f t="shared" si="240"/>
        <v>0</v>
      </c>
    </row>
    <row r="7240" spans="5:10" hidden="1" x14ac:dyDescent="0.25">
      <c r="F7240" s="284" t="s">
        <v>240</v>
      </c>
      <c r="G7240" s="287" t="s">
        <v>241</v>
      </c>
      <c r="J7240" s="560">
        <f t="shared" si="240"/>
        <v>0</v>
      </c>
    </row>
    <row r="7241" spans="5:10" hidden="1" x14ac:dyDescent="0.25">
      <c r="F7241" s="284" t="s">
        <v>242</v>
      </c>
      <c r="G7241" s="287" t="s">
        <v>243</v>
      </c>
      <c r="J7241" s="560">
        <f t="shared" si="240"/>
        <v>0</v>
      </c>
    </row>
    <row r="7242" spans="5:10" hidden="1" x14ac:dyDescent="0.25">
      <c r="F7242" s="284" t="s">
        <v>244</v>
      </c>
      <c r="G7242" s="287" t="s">
        <v>245</v>
      </c>
      <c r="J7242" s="560">
        <f t="shared" si="240"/>
        <v>0</v>
      </c>
    </row>
    <row r="7243" spans="5:10" hidden="1" x14ac:dyDescent="0.25">
      <c r="F7243" s="284" t="s">
        <v>246</v>
      </c>
      <c r="G7243" s="598" t="s">
        <v>4996</v>
      </c>
      <c r="J7243" s="560">
        <f t="shared" si="240"/>
        <v>0</v>
      </c>
    </row>
    <row r="7244" spans="5:10" hidden="1" x14ac:dyDescent="0.25">
      <c r="F7244" s="284" t="s">
        <v>247</v>
      </c>
      <c r="G7244" s="598" t="s">
        <v>4995</v>
      </c>
      <c r="J7244" s="560">
        <f t="shared" si="240"/>
        <v>0</v>
      </c>
    </row>
    <row r="7245" spans="5:10" hidden="1" x14ac:dyDescent="0.25">
      <c r="F7245" s="284" t="s">
        <v>248</v>
      </c>
      <c r="G7245" s="287" t="s">
        <v>57</v>
      </c>
      <c r="J7245" s="560">
        <f t="shared" si="240"/>
        <v>0</v>
      </c>
    </row>
    <row r="7246" spans="5:10" hidden="1" x14ac:dyDescent="0.25">
      <c r="F7246" s="284" t="s">
        <v>249</v>
      </c>
      <c r="G7246" s="287" t="s">
        <v>250</v>
      </c>
      <c r="J7246" s="560">
        <f t="shared" si="240"/>
        <v>0</v>
      </c>
    </row>
    <row r="7247" spans="5:10" hidden="1" x14ac:dyDescent="0.25">
      <c r="F7247" s="284" t="s">
        <v>251</v>
      </c>
      <c r="G7247" s="287" t="s">
        <v>252</v>
      </c>
      <c r="J7247" s="560">
        <f t="shared" si="240"/>
        <v>0</v>
      </c>
    </row>
    <row r="7248" spans="5:10" ht="30" hidden="1" x14ac:dyDescent="0.25">
      <c r="F7248" s="284" t="s">
        <v>253</v>
      </c>
      <c r="G7248" s="287" t="s">
        <v>254</v>
      </c>
      <c r="J7248" s="560">
        <f t="shared" si="240"/>
        <v>0</v>
      </c>
    </row>
    <row r="7249" spans="1:25" hidden="1" x14ac:dyDescent="0.25">
      <c r="F7249" s="284" t="s">
        <v>255</v>
      </c>
      <c r="G7249" s="287" t="s">
        <v>256</v>
      </c>
      <c r="J7249" s="560">
        <f t="shared" si="240"/>
        <v>0</v>
      </c>
    </row>
    <row r="7250" spans="1:25" ht="30" hidden="1" x14ac:dyDescent="0.25">
      <c r="F7250" s="284" t="s">
        <v>257</v>
      </c>
      <c r="G7250" s="287" t="s">
        <v>258</v>
      </c>
      <c r="J7250" s="560">
        <f t="shared" si="240"/>
        <v>0</v>
      </c>
    </row>
    <row r="7251" spans="1:25" hidden="1" x14ac:dyDescent="0.25">
      <c r="F7251" s="284" t="s">
        <v>259</v>
      </c>
      <c r="G7251" s="287" t="s">
        <v>260</v>
      </c>
      <c r="J7251" s="560">
        <f t="shared" si="240"/>
        <v>0</v>
      </c>
    </row>
    <row r="7252" spans="1:25" ht="15.75" hidden="1" thickBot="1" x14ac:dyDescent="0.3">
      <c r="F7252" s="284" t="s">
        <v>261</v>
      </c>
      <c r="G7252" s="287" t="s">
        <v>262</v>
      </c>
      <c r="H7252" s="559"/>
      <c r="I7252" s="560"/>
      <c r="J7252" s="560">
        <f t="shared" si="240"/>
        <v>0</v>
      </c>
    </row>
    <row r="7253" spans="1:25" ht="15.75" hidden="1" thickBot="1" x14ac:dyDescent="0.3">
      <c r="G7253" s="268" t="s">
        <v>4179</v>
      </c>
      <c r="H7253" s="561">
        <f>SUM(H7237:H7252)</f>
        <v>0</v>
      </c>
      <c r="I7253" s="562">
        <f>SUM(I7238:I7252)</f>
        <v>0</v>
      </c>
      <c r="J7253" s="562">
        <f>SUM(J7237:J7252)</f>
        <v>0</v>
      </c>
    </row>
    <row r="7254" spans="1:25" hidden="1" x14ac:dyDescent="0.25">
      <c r="C7254" s="336"/>
      <c r="D7254" s="84"/>
      <c r="E7254" s="878"/>
      <c r="F7254" s="84"/>
      <c r="G7254" s="257"/>
    </row>
    <row r="7255" spans="1:25" hidden="1" x14ac:dyDescent="0.25">
      <c r="C7255" s="339" t="s">
        <v>4106</v>
      </c>
      <c r="D7255" s="86"/>
      <c r="E7255" s="883"/>
      <c r="F7255" s="259"/>
      <c r="G7255" s="313" t="s">
        <v>4107</v>
      </c>
      <c r="H7255" s="572"/>
      <c r="I7255" s="573"/>
      <c r="J7255" s="573"/>
    </row>
    <row r="7256" spans="1:25" s="352" customFormat="1" hidden="1" x14ac:dyDescent="0.25">
      <c r="A7256" s="258"/>
      <c r="B7256" s="328"/>
      <c r="C7256" s="354"/>
      <c r="D7256" s="355">
        <v>830</v>
      </c>
      <c r="E7256" s="884"/>
      <c r="F7256" s="353"/>
      <c r="G7256" s="340" t="s">
        <v>4319</v>
      </c>
      <c r="H7256" s="574"/>
      <c r="I7256" s="575"/>
      <c r="J7256" s="575"/>
      <c r="K7256" s="508"/>
      <c r="L7256" s="508"/>
      <c r="M7256" s="508"/>
      <c r="N7256" s="508"/>
      <c r="O7256" s="508"/>
      <c r="P7256" s="508"/>
      <c r="Q7256" s="508"/>
      <c r="R7256" s="508"/>
      <c r="S7256" s="508"/>
      <c r="T7256" s="508"/>
      <c r="U7256" s="508"/>
      <c r="V7256" s="508"/>
      <c r="W7256" s="508"/>
      <c r="X7256" s="508"/>
      <c r="Y7256" s="508"/>
    </row>
    <row r="7257" spans="1:25" hidden="1" x14ac:dyDescent="0.25">
      <c r="A7257" s="328"/>
      <c r="C7257" s="336"/>
      <c r="D7257" s="84"/>
      <c r="E7257" s="878"/>
      <c r="F7257" s="292">
        <v>423</v>
      </c>
      <c r="G7257" s="319" t="s">
        <v>3781</v>
      </c>
      <c r="J7257" s="556">
        <f t="shared" ref="J7257:J7284" si="241">SUM(H7257:I7257)</f>
        <v>0</v>
      </c>
    </row>
    <row r="7258" spans="1:25" hidden="1" x14ac:dyDescent="0.25">
      <c r="C7258" s="336"/>
      <c r="D7258" s="84"/>
      <c r="E7258" s="878"/>
      <c r="F7258" s="292">
        <v>424</v>
      </c>
      <c r="G7258" s="319" t="s">
        <v>3783</v>
      </c>
      <c r="J7258" s="556">
        <f t="shared" si="241"/>
        <v>0</v>
      </c>
    </row>
    <row r="7259" spans="1:25" ht="30" hidden="1" x14ac:dyDescent="0.25">
      <c r="C7259" s="336"/>
      <c r="D7259" s="84"/>
      <c r="E7259" s="878"/>
      <c r="F7259" s="292">
        <v>4511</v>
      </c>
      <c r="G7259" s="263" t="s">
        <v>1690</v>
      </c>
      <c r="J7259" s="556">
        <f t="shared" si="241"/>
        <v>0</v>
      </c>
    </row>
    <row r="7260" spans="1:25" ht="17.25" hidden="1" customHeight="1" x14ac:dyDescent="0.25">
      <c r="C7260" s="336"/>
      <c r="D7260" s="84"/>
      <c r="E7260" s="878"/>
      <c r="F7260" s="292">
        <v>4512</v>
      </c>
      <c r="G7260" s="263" t="s">
        <v>1699</v>
      </c>
      <c r="J7260" s="556">
        <f t="shared" si="241"/>
        <v>0</v>
      </c>
    </row>
    <row r="7261" spans="1:25" hidden="1" x14ac:dyDescent="0.25">
      <c r="C7261" s="336"/>
      <c r="D7261" s="84"/>
      <c r="E7261" s="878"/>
      <c r="F7261" s="292">
        <v>452</v>
      </c>
      <c r="G7261" s="319" t="s">
        <v>4151</v>
      </c>
      <c r="J7261" s="556">
        <f t="shared" si="241"/>
        <v>0</v>
      </c>
    </row>
    <row r="7262" spans="1:25" hidden="1" x14ac:dyDescent="0.25">
      <c r="C7262" s="336"/>
      <c r="D7262" s="84"/>
      <c r="E7262" s="878"/>
      <c r="F7262" s="292">
        <v>453</v>
      </c>
      <c r="G7262" s="319" t="s">
        <v>4152</v>
      </c>
      <c r="J7262" s="556">
        <f t="shared" si="241"/>
        <v>0</v>
      </c>
      <c r="L7262" s="262"/>
      <c r="M7262" s="262"/>
      <c r="N7262" s="300"/>
    </row>
    <row r="7263" spans="1:25" hidden="1" x14ac:dyDescent="0.25">
      <c r="C7263" s="336"/>
      <c r="D7263" s="84"/>
      <c r="E7263" s="878"/>
      <c r="F7263" s="292">
        <v>454</v>
      </c>
      <c r="G7263" s="319" t="s">
        <v>3805</v>
      </c>
      <c r="J7263" s="556">
        <f t="shared" si="241"/>
        <v>0</v>
      </c>
    </row>
    <row r="7264" spans="1:25" ht="15.75" hidden="1" thickBot="1" x14ac:dyDescent="0.3">
      <c r="F7264" s="292">
        <v>481</v>
      </c>
      <c r="G7264" s="319" t="s">
        <v>4153</v>
      </c>
      <c r="J7264" s="556">
        <f t="shared" si="241"/>
        <v>0</v>
      </c>
    </row>
    <row r="7265" spans="5:10" hidden="1" x14ac:dyDescent="0.25">
      <c r="E7265" s="489"/>
      <c r="F7265" s="324"/>
      <c r="G7265" s="343" t="s">
        <v>4320</v>
      </c>
      <c r="H7265" s="557"/>
      <c r="I7265" s="583"/>
      <c r="J7265" s="558"/>
    </row>
    <row r="7266" spans="5:10" hidden="1" x14ac:dyDescent="0.25">
      <c r="E7266" s="693"/>
      <c r="F7266" s="284" t="s">
        <v>234</v>
      </c>
      <c r="G7266" s="287" t="s">
        <v>235</v>
      </c>
      <c r="H7266" s="559">
        <f>SUM(H7257:H7264)</f>
        <v>0</v>
      </c>
      <c r="I7266" s="560"/>
      <c r="J7266" s="560">
        <f t="shared" ref="J7266:J7281" si="242">SUM(H7266:I7266)</f>
        <v>0</v>
      </c>
    </row>
    <row r="7267" spans="5:10" hidden="1" x14ac:dyDescent="0.25">
      <c r="F7267" s="284" t="s">
        <v>236</v>
      </c>
      <c r="G7267" s="287" t="s">
        <v>237</v>
      </c>
      <c r="J7267" s="560">
        <f t="shared" si="242"/>
        <v>0</v>
      </c>
    </row>
    <row r="7268" spans="5:10" hidden="1" x14ac:dyDescent="0.25">
      <c r="F7268" s="284" t="s">
        <v>238</v>
      </c>
      <c r="G7268" s="287" t="s">
        <v>239</v>
      </c>
      <c r="J7268" s="560">
        <f t="shared" si="242"/>
        <v>0</v>
      </c>
    </row>
    <row r="7269" spans="5:10" hidden="1" x14ac:dyDescent="0.25">
      <c r="F7269" s="284" t="s">
        <v>240</v>
      </c>
      <c r="G7269" s="287" t="s">
        <v>241</v>
      </c>
      <c r="J7269" s="560">
        <f t="shared" si="242"/>
        <v>0</v>
      </c>
    </row>
    <row r="7270" spans="5:10" hidden="1" x14ac:dyDescent="0.25">
      <c r="F7270" s="284" t="s">
        <v>242</v>
      </c>
      <c r="G7270" s="287" t="s">
        <v>243</v>
      </c>
      <c r="J7270" s="560">
        <f t="shared" si="242"/>
        <v>0</v>
      </c>
    </row>
    <row r="7271" spans="5:10" hidden="1" x14ac:dyDescent="0.25">
      <c r="F7271" s="284" t="s">
        <v>244</v>
      </c>
      <c r="G7271" s="287" t="s">
        <v>245</v>
      </c>
      <c r="J7271" s="560">
        <f t="shared" si="242"/>
        <v>0</v>
      </c>
    </row>
    <row r="7272" spans="5:10" hidden="1" x14ac:dyDescent="0.25">
      <c r="F7272" s="284" t="s">
        <v>246</v>
      </c>
      <c r="G7272" s="598" t="s">
        <v>4996</v>
      </c>
      <c r="J7272" s="560">
        <f t="shared" si="242"/>
        <v>0</v>
      </c>
    </row>
    <row r="7273" spans="5:10" hidden="1" x14ac:dyDescent="0.25">
      <c r="F7273" s="284" t="s">
        <v>247</v>
      </c>
      <c r="G7273" s="598" t="s">
        <v>4995</v>
      </c>
      <c r="J7273" s="560">
        <f t="shared" si="242"/>
        <v>0</v>
      </c>
    </row>
    <row r="7274" spans="5:10" hidden="1" x14ac:dyDescent="0.25">
      <c r="F7274" s="284" t="s">
        <v>248</v>
      </c>
      <c r="G7274" s="287" t="s">
        <v>57</v>
      </c>
      <c r="J7274" s="560">
        <f t="shared" si="242"/>
        <v>0</v>
      </c>
    </row>
    <row r="7275" spans="5:10" hidden="1" x14ac:dyDescent="0.25">
      <c r="F7275" s="284" t="s">
        <v>249</v>
      </c>
      <c r="G7275" s="287" t="s">
        <v>250</v>
      </c>
      <c r="J7275" s="560">
        <f t="shared" si="242"/>
        <v>0</v>
      </c>
    </row>
    <row r="7276" spans="5:10" hidden="1" x14ac:dyDescent="0.25">
      <c r="F7276" s="284" t="s">
        <v>251</v>
      </c>
      <c r="G7276" s="287" t="s">
        <v>252</v>
      </c>
      <c r="J7276" s="560">
        <f t="shared" si="242"/>
        <v>0</v>
      </c>
    </row>
    <row r="7277" spans="5:10" ht="30" hidden="1" x14ac:dyDescent="0.25">
      <c r="F7277" s="284" t="s">
        <v>253</v>
      </c>
      <c r="G7277" s="287" t="s">
        <v>254</v>
      </c>
      <c r="J7277" s="560">
        <f t="shared" si="242"/>
        <v>0</v>
      </c>
    </row>
    <row r="7278" spans="5:10" hidden="1" x14ac:dyDescent="0.25">
      <c r="F7278" s="284" t="s">
        <v>255</v>
      </c>
      <c r="G7278" s="287" t="s">
        <v>256</v>
      </c>
      <c r="J7278" s="560">
        <f t="shared" si="242"/>
        <v>0</v>
      </c>
    </row>
    <row r="7279" spans="5:10" ht="30" hidden="1" x14ac:dyDescent="0.25">
      <c r="F7279" s="284" t="s">
        <v>257</v>
      </c>
      <c r="G7279" s="287" t="s">
        <v>258</v>
      </c>
      <c r="J7279" s="560">
        <f t="shared" si="242"/>
        <v>0</v>
      </c>
    </row>
    <row r="7280" spans="5:10" hidden="1" x14ac:dyDescent="0.25">
      <c r="F7280" s="284" t="s">
        <v>259</v>
      </c>
      <c r="G7280" s="287" t="s">
        <v>260</v>
      </c>
      <c r="J7280" s="560">
        <f t="shared" si="242"/>
        <v>0</v>
      </c>
    </row>
    <row r="7281" spans="3:10" ht="15.75" hidden="1" thickBot="1" x14ac:dyDescent="0.3">
      <c r="F7281" s="284" t="s">
        <v>261</v>
      </c>
      <c r="G7281" s="287" t="s">
        <v>262</v>
      </c>
      <c r="H7281" s="559"/>
      <c r="I7281" s="560"/>
      <c r="J7281" s="560">
        <f t="shared" si="242"/>
        <v>0</v>
      </c>
    </row>
    <row r="7282" spans="3:10" ht="15.75" hidden="1" thickBot="1" x14ac:dyDescent="0.3">
      <c r="G7282" s="268" t="s">
        <v>4321</v>
      </c>
      <c r="H7282" s="561">
        <f>SUM(H7266:H7281)</f>
        <v>0</v>
      </c>
      <c r="I7282" s="562">
        <f>SUM(I7267:I7281)</f>
        <v>0</v>
      </c>
      <c r="J7282" s="562">
        <f>SUM(J7266:J7281)</f>
        <v>0</v>
      </c>
    </row>
    <row r="7283" spans="3:10" ht="28.5" hidden="1" x14ac:dyDescent="0.25">
      <c r="F7283" s="293"/>
      <c r="G7283" s="270" t="s">
        <v>4219</v>
      </c>
      <c r="H7283" s="563"/>
      <c r="I7283" s="584"/>
      <c r="J7283" s="564"/>
    </row>
    <row r="7284" spans="3:10" hidden="1" x14ac:dyDescent="0.25">
      <c r="C7284" s="336"/>
      <c r="D7284" s="300"/>
      <c r="E7284" s="693"/>
      <c r="F7284" s="284" t="s">
        <v>234</v>
      </c>
      <c r="G7284" s="287" t="s">
        <v>235</v>
      </c>
      <c r="H7284" s="559">
        <f>SUM(H7257:H7264)</f>
        <v>0</v>
      </c>
      <c r="I7284" s="560"/>
      <c r="J7284" s="556">
        <f t="shared" si="241"/>
        <v>0</v>
      </c>
    </row>
    <row r="7285" spans="3:10" hidden="1" x14ac:dyDescent="0.25">
      <c r="C7285" s="337"/>
      <c r="D7285" s="300"/>
      <c r="E7285" s="693"/>
      <c r="F7285" s="284" t="s">
        <v>236</v>
      </c>
      <c r="G7285" s="287" t="s">
        <v>237</v>
      </c>
      <c r="J7285" s="560">
        <f t="shared" ref="J7285:J7299" si="243">SUM(H7285:I7285)</f>
        <v>0</v>
      </c>
    </row>
    <row r="7286" spans="3:10" hidden="1" x14ac:dyDescent="0.25">
      <c r="C7286" s="336"/>
      <c r="D7286" s="84"/>
      <c r="E7286" s="878"/>
      <c r="F7286" s="284" t="s">
        <v>238</v>
      </c>
      <c r="G7286" s="287" t="s">
        <v>239</v>
      </c>
      <c r="J7286" s="560">
        <f t="shared" si="243"/>
        <v>0</v>
      </c>
    </row>
    <row r="7287" spans="3:10" hidden="1" x14ac:dyDescent="0.25">
      <c r="C7287" s="337"/>
      <c r="D7287" s="300"/>
      <c r="E7287" s="693"/>
      <c r="F7287" s="284" t="s">
        <v>240</v>
      </c>
      <c r="G7287" s="287" t="s">
        <v>241</v>
      </c>
      <c r="J7287" s="560">
        <f t="shared" si="243"/>
        <v>0</v>
      </c>
    </row>
    <row r="7288" spans="3:10" hidden="1" x14ac:dyDescent="0.25">
      <c r="C7288" s="337"/>
      <c r="D7288" s="300"/>
      <c r="E7288" s="693"/>
      <c r="F7288" s="284" t="s">
        <v>242</v>
      </c>
      <c r="G7288" s="287" t="s">
        <v>243</v>
      </c>
      <c r="J7288" s="560">
        <f t="shared" si="243"/>
        <v>0</v>
      </c>
    </row>
    <row r="7289" spans="3:10" hidden="1" x14ac:dyDescent="0.25">
      <c r="C7289" s="336"/>
      <c r="D7289" s="84"/>
      <c r="E7289" s="878"/>
      <c r="F7289" s="284" t="s">
        <v>244</v>
      </c>
      <c r="G7289" s="287" t="s">
        <v>245</v>
      </c>
      <c r="J7289" s="560">
        <f t="shared" si="243"/>
        <v>0</v>
      </c>
    </row>
    <row r="7290" spans="3:10" hidden="1" x14ac:dyDescent="0.25">
      <c r="C7290" s="336"/>
      <c r="D7290" s="84"/>
      <c r="E7290" s="878"/>
      <c r="F7290" s="284" t="s">
        <v>246</v>
      </c>
      <c r="G7290" s="598" t="s">
        <v>4996</v>
      </c>
      <c r="J7290" s="560">
        <f t="shared" si="243"/>
        <v>0</v>
      </c>
    </row>
    <row r="7291" spans="3:10" hidden="1" x14ac:dyDescent="0.25">
      <c r="C7291" s="336"/>
      <c r="D7291" s="84"/>
      <c r="E7291" s="878"/>
      <c r="F7291" s="284" t="s">
        <v>247</v>
      </c>
      <c r="G7291" s="598" t="s">
        <v>4995</v>
      </c>
      <c r="J7291" s="560">
        <f t="shared" si="243"/>
        <v>0</v>
      </c>
    </row>
    <row r="7292" spans="3:10" hidden="1" x14ac:dyDescent="0.25">
      <c r="C7292" s="336"/>
      <c r="D7292" s="84"/>
      <c r="E7292" s="878"/>
      <c r="F7292" s="284" t="s">
        <v>248</v>
      </c>
      <c r="G7292" s="287" t="s">
        <v>57</v>
      </c>
      <c r="J7292" s="560">
        <f t="shared" si="243"/>
        <v>0</v>
      </c>
    </row>
    <row r="7293" spans="3:10" hidden="1" x14ac:dyDescent="0.25">
      <c r="C7293" s="336"/>
      <c r="D7293" s="84"/>
      <c r="E7293" s="878"/>
      <c r="F7293" s="284" t="s">
        <v>249</v>
      </c>
      <c r="G7293" s="287" t="s">
        <v>250</v>
      </c>
      <c r="J7293" s="560">
        <f t="shared" si="243"/>
        <v>0</v>
      </c>
    </row>
    <row r="7294" spans="3:10" hidden="1" x14ac:dyDescent="0.25">
      <c r="F7294" s="284" t="s">
        <v>251</v>
      </c>
      <c r="G7294" s="287" t="s">
        <v>252</v>
      </c>
      <c r="J7294" s="560">
        <f t="shared" si="243"/>
        <v>0</v>
      </c>
    </row>
    <row r="7295" spans="3:10" ht="30" hidden="1" x14ac:dyDescent="0.25">
      <c r="F7295" s="284" t="s">
        <v>253</v>
      </c>
      <c r="G7295" s="287" t="s">
        <v>254</v>
      </c>
      <c r="J7295" s="560">
        <f t="shared" si="243"/>
        <v>0</v>
      </c>
    </row>
    <row r="7296" spans="3:10" hidden="1" x14ac:dyDescent="0.25">
      <c r="F7296" s="284" t="s">
        <v>255</v>
      </c>
      <c r="G7296" s="287" t="s">
        <v>256</v>
      </c>
      <c r="J7296" s="560">
        <f t="shared" si="243"/>
        <v>0</v>
      </c>
    </row>
    <row r="7297" spans="3:10" ht="30" hidden="1" x14ac:dyDescent="0.25">
      <c r="F7297" s="284" t="s">
        <v>257</v>
      </c>
      <c r="G7297" s="287" t="s">
        <v>258</v>
      </c>
      <c r="J7297" s="560">
        <f t="shared" si="243"/>
        <v>0</v>
      </c>
    </row>
    <row r="7298" spans="3:10" hidden="1" x14ac:dyDescent="0.25">
      <c r="F7298" s="284" t="s">
        <v>259</v>
      </c>
      <c r="G7298" s="287" t="s">
        <v>260</v>
      </c>
      <c r="J7298" s="560">
        <f t="shared" si="243"/>
        <v>0</v>
      </c>
    </row>
    <row r="7299" spans="3:10" ht="15.75" hidden="1" thickBot="1" x14ac:dyDescent="0.3">
      <c r="F7299" s="284" t="s">
        <v>261</v>
      </c>
      <c r="G7299" s="287" t="s">
        <v>262</v>
      </c>
      <c r="H7299" s="559"/>
      <c r="I7299" s="560"/>
      <c r="J7299" s="560">
        <f t="shared" si="243"/>
        <v>0</v>
      </c>
    </row>
    <row r="7300" spans="3:10" ht="15.75" hidden="1" thickBot="1" x14ac:dyDescent="0.3">
      <c r="G7300" s="268" t="s">
        <v>4180</v>
      </c>
      <c r="H7300" s="561">
        <f>SUM(H7284:H7299)</f>
        <v>0</v>
      </c>
      <c r="I7300" s="562">
        <f>SUM(I7285:I7299)</f>
        <v>0</v>
      </c>
      <c r="J7300" s="562">
        <f>SUM(J7284:J7299)</f>
        <v>0</v>
      </c>
    </row>
    <row r="7301" spans="3:10" hidden="1" x14ac:dyDescent="0.25"/>
    <row r="7302" spans="3:10" hidden="1" x14ac:dyDescent="0.25">
      <c r="C7302" s="339" t="s">
        <v>4109</v>
      </c>
      <c r="D7302" s="84"/>
      <c r="E7302" s="693"/>
      <c r="G7302" s="313" t="s">
        <v>4178</v>
      </c>
    </row>
    <row r="7303" spans="3:10" ht="30" hidden="1" x14ac:dyDescent="0.25">
      <c r="D7303" s="356" t="s">
        <v>3878</v>
      </c>
      <c r="E7303" s="869"/>
      <c r="F7303" s="331"/>
      <c r="G7303" s="351" t="s">
        <v>103</v>
      </c>
    </row>
    <row r="7304" spans="3:10" hidden="1" x14ac:dyDescent="0.25">
      <c r="F7304" s="292">
        <v>422</v>
      </c>
      <c r="G7304" s="319" t="s">
        <v>3780</v>
      </c>
      <c r="J7304" s="556">
        <f t="shared" ref="J7304:J7329" si="244">SUM(H7304:I7304)</f>
        <v>0</v>
      </c>
    </row>
    <row r="7305" spans="3:10" hidden="1" x14ac:dyDescent="0.25">
      <c r="F7305" s="292">
        <v>423</v>
      </c>
      <c r="G7305" s="319" t="s">
        <v>3781</v>
      </c>
      <c r="J7305" s="556">
        <f t="shared" si="244"/>
        <v>0</v>
      </c>
    </row>
    <row r="7306" spans="3:10" hidden="1" x14ac:dyDescent="0.25">
      <c r="F7306" s="292">
        <v>424</v>
      </c>
      <c r="G7306" s="319" t="s">
        <v>3783</v>
      </c>
      <c r="J7306" s="556">
        <f t="shared" si="244"/>
        <v>0</v>
      </c>
    </row>
    <row r="7307" spans="3:10" hidden="1" x14ac:dyDescent="0.25">
      <c r="F7307" s="292">
        <v>426</v>
      </c>
      <c r="G7307" s="319" t="s">
        <v>3787</v>
      </c>
      <c r="J7307" s="556">
        <f t="shared" si="244"/>
        <v>0</v>
      </c>
    </row>
    <row r="7308" spans="3:10" hidden="1" x14ac:dyDescent="0.25">
      <c r="F7308" s="292">
        <v>472</v>
      </c>
      <c r="G7308" s="319" t="s">
        <v>3815</v>
      </c>
      <c r="J7308" s="556">
        <f t="shared" si="244"/>
        <v>0</v>
      </c>
    </row>
    <row r="7309" spans="3:10" ht="15.75" hidden="1" thickBot="1" x14ac:dyDescent="0.3">
      <c r="F7309" s="292">
        <v>481</v>
      </c>
      <c r="G7309" s="319" t="s">
        <v>4153</v>
      </c>
      <c r="J7309" s="556">
        <f t="shared" si="244"/>
        <v>0</v>
      </c>
    </row>
    <row r="7310" spans="3:10" hidden="1" x14ac:dyDescent="0.25">
      <c r="E7310" s="489"/>
      <c r="F7310" s="324"/>
      <c r="G7310" s="343" t="s">
        <v>4303</v>
      </c>
      <c r="H7310" s="557"/>
      <c r="I7310" s="583"/>
      <c r="J7310" s="558"/>
    </row>
    <row r="7311" spans="3:10" hidden="1" x14ac:dyDescent="0.25">
      <c r="E7311" s="693"/>
      <c r="F7311" s="284" t="s">
        <v>234</v>
      </c>
      <c r="G7311" s="287" t="s">
        <v>235</v>
      </c>
      <c r="H7311" s="559">
        <f>SUM(H7304:H7309)</f>
        <v>0</v>
      </c>
      <c r="I7311" s="560"/>
      <c r="J7311" s="560">
        <f t="shared" ref="J7311:J7326" si="245">SUM(H7311:I7311)</f>
        <v>0</v>
      </c>
    </row>
    <row r="7312" spans="3:10" hidden="1" x14ac:dyDescent="0.25">
      <c r="F7312" s="284" t="s">
        <v>236</v>
      </c>
      <c r="G7312" s="287" t="s">
        <v>237</v>
      </c>
      <c r="J7312" s="560">
        <f t="shared" si="245"/>
        <v>0</v>
      </c>
    </row>
    <row r="7313" spans="6:10" hidden="1" x14ac:dyDescent="0.25">
      <c r="F7313" s="284" t="s">
        <v>238</v>
      </c>
      <c r="G7313" s="287" t="s">
        <v>239</v>
      </c>
      <c r="J7313" s="560">
        <f t="shared" si="245"/>
        <v>0</v>
      </c>
    </row>
    <row r="7314" spans="6:10" hidden="1" x14ac:dyDescent="0.25">
      <c r="F7314" s="284" t="s">
        <v>240</v>
      </c>
      <c r="G7314" s="287" t="s">
        <v>241</v>
      </c>
      <c r="J7314" s="560">
        <f t="shared" si="245"/>
        <v>0</v>
      </c>
    </row>
    <row r="7315" spans="6:10" hidden="1" x14ac:dyDescent="0.25">
      <c r="F7315" s="284" t="s">
        <v>242</v>
      </c>
      <c r="G7315" s="287" t="s">
        <v>243</v>
      </c>
      <c r="J7315" s="560">
        <f t="shared" si="245"/>
        <v>0</v>
      </c>
    </row>
    <row r="7316" spans="6:10" hidden="1" x14ac:dyDescent="0.25">
      <c r="F7316" s="284" t="s">
        <v>244</v>
      </c>
      <c r="G7316" s="287" t="s">
        <v>245</v>
      </c>
      <c r="J7316" s="560">
        <f t="shared" si="245"/>
        <v>0</v>
      </c>
    </row>
    <row r="7317" spans="6:10" hidden="1" x14ac:dyDescent="0.25">
      <c r="F7317" s="284" t="s">
        <v>246</v>
      </c>
      <c r="G7317" s="598" t="s">
        <v>4996</v>
      </c>
      <c r="J7317" s="560">
        <f t="shared" si="245"/>
        <v>0</v>
      </c>
    </row>
    <row r="7318" spans="6:10" hidden="1" x14ac:dyDescent="0.25">
      <c r="F7318" s="284" t="s">
        <v>247</v>
      </c>
      <c r="G7318" s="598" t="s">
        <v>4995</v>
      </c>
      <c r="J7318" s="560">
        <f t="shared" si="245"/>
        <v>0</v>
      </c>
    </row>
    <row r="7319" spans="6:10" hidden="1" x14ac:dyDescent="0.25">
      <c r="F7319" s="284" t="s">
        <v>248</v>
      </c>
      <c r="G7319" s="287" t="s">
        <v>57</v>
      </c>
      <c r="J7319" s="560">
        <f t="shared" si="245"/>
        <v>0</v>
      </c>
    </row>
    <row r="7320" spans="6:10" hidden="1" x14ac:dyDescent="0.25">
      <c r="F7320" s="284" t="s">
        <v>249</v>
      </c>
      <c r="G7320" s="287" t="s">
        <v>250</v>
      </c>
      <c r="J7320" s="560">
        <f t="shared" si="245"/>
        <v>0</v>
      </c>
    </row>
    <row r="7321" spans="6:10" hidden="1" x14ac:dyDescent="0.25">
      <c r="F7321" s="284" t="s">
        <v>251</v>
      </c>
      <c r="G7321" s="287" t="s">
        <v>252</v>
      </c>
      <c r="J7321" s="560">
        <f t="shared" si="245"/>
        <v>0</v>
      </c>
    </row>
    <row r="7322" spans="6:10" ht="30" hidden="1" x14ac:dyDescent="0.25">
      <c r="F7322" s="284" t="s">
        <v>253</v>
      </c>
      <c r="G7322" s="287" t="s">
        <v>254</v>
      </c>
      <c r="J7322" s="560">
        <f t="shared" si="245"/>
        <v>0</v>
      </c>
    </row>
    <row r="7323" spans="6:10" hidden="1" x14ac:dyDescent="0.25">
      <c r="F7323" s="284" t="s">
        <v>255</v>
      </c>
      <c r="G7323" s="287" t="s">
        <v>256</v>
      </c>
      <c r="J7323" s="560">
        <f t="shared" si="245"/>
        <v>0</v>
      </c>
    </row>
    <row r="7324" spans="6:10" ht="30" hidden="1" x14ac:dyDescent="0.25">
      <c r="F7324" s="284" t="s">
        <v>257</v>
      </c>
      <c r="G7324" s="287" t="s">
        <v>258</v>
      </c>
      <c r="J7324" s="560">
        <f t="shared" si="245"/>
        <v>0</v>
      </c>
    </row>
    <row r="7325" spans="6:10" hidden="1" x14ac:dyDescent="0.25">
      <c r="F7325" s="284" t="s">
        <v>259</v>
      </c>
      <c r="G7325" s="287" t="s">
        <v>260</v>
      </c>
      <c r="J7325" s="560">
        <f t="shared" si="245"/>
        <v>0</v>
      </c>
    </row>
    <row r="7326" spans="6:10" ht="15.75" hidden="1" thickBot="1" x14ac:dyDescent="0.3">
      <c r="F7326" s="284" t="s">
        <v>261</v>
      </c>
      <c r="G7326" s="287" t="s">
        <v>262</v>
      </c>
      <c r="H7326" s="559"/>
      <c r="I7326" s="560"/>
      <c r="J7326" s="560">
        <f t="shared" si="245"/>
        <v>0</v>
      </c>
    </row>
    <row r="7327" spans="6:10" ht="15.75" hidden="1" thickBot="1" x14ac:dyDescent="0.3">
      <c r="G7327" s="268" t="s">
        <v>4304</v>
      </c>
      <c r="H7327" s="561">
        <f>SUM(H7311:H7326)</f>
        <v>0</v>
      </c>
      <c r="I7327" s="562">
        <f>SUM(I7312:I7326)</f>
        <v>0</v>
      </c>
      <c r="J7327" s="562">
        <f>SUM(J7311:J7326)</f>
        <v>0</v>
      </c>
    </row>
    <row r="7328" spans="6:10" ht="28.5" hidden="1" x14ac:dyDescent="0.25">
      <c r="F7328" s="293"/>
      <c r="G7328" s="270" t="s">
        <v>4183</v>
      </c>
      <c r="H7328" s="563"/>
      <c r="I7328" s="584"/>
      <c r="J7328" s="564"/>
    </row>
    <row r="7329" spans="6:10" hidden="1" x14ac:dyDescent="0.25">
      <c r="F7329" s="284" t="s">
        <v>234</v>
      </c>
      <c r="G7329" s="287" t="s">
        <v>235</v>
      </c>
      <c r="H7329" s="559">
        <f>SUM(H7304:H7309)</f>
        <v>0</v>
      </c>
      <c r="I7329" s="560"/>
      <c r="J7329" s="556">
        <f t="shared" si="244"/>
        <v>0</v>
      </c>
    </row>
    <row r="7330" spans="6:10" hidden="1" x14ac:dyDescent="0.25">
      <c r="F7330" s="284" t="s">
        <v>236</v>
      </c>
      <c r="G7330" s="287" t="s">
        <v>237</v>
      </c>
      <c r="J7330" s="560">
        <f t="shared" ref="J7330:J7344" si="246">SUM(H7330:I7330)</f>
        <v>0</v>
      </c>
    </row>
    <row r="7331" spans="6:10" hidden="1" x14ac:dyDescent="0.25">
      <c r="F7331" s="284" t="s">
        <v>238</v>
      </c>
      <c r="G7331" s="287" t="s">
        <v>239</v>
      </c>
      <c r="J7331" s="560">
        <f t="shared" si="246"/>
        <v>0</v>
      </c>
    </row>
    <row r="7332" spans="6:10" hidden="1" x14ac:dyDescent="0.25">
      <c r="F7332" s="284" t="s">
        <v>240</v>
      </c>
      <c r="G7332" s="287" t="s">
        <v>241</v>
      </c>
      <c r="J7332" s="560">
        <f t="shared" si="246"/>
        <v>0</v>
      </c>
    </row>
    <row r="7333" spans="6:10" hidden="1" x14ac:dyDescent="0.25">
      <c r="F7333" s="284" t="s">
        <v>242</v>
      </c>
      <c r="G7333" s="287" t="s">
        <v>243</v>
      </c>
      <c r="J7333" s="560">
        <f t="shared" si="246"/>
        <v>0</v>
      </c>
    </row>
    <row r="7334" spans="6:10" hidden="1" x14ac:dyDescent="0.25">
      <c r="F7334" s="284" t="s">
        <v>244</v>
      </c>
      <c r="G7334" s="287" t="s">
        <v>245</v>
      </c>
      <c r="J7334" s="560">
        <f t="shared" si="246"/>
        <v>0</v>
      </c>
    </row>
    <row r="7335" spans="6:10" hidden="1" x14ac:dyDescent="0.25">
      <c r="F7335" s="284" t="s">
        <v>246</v>
      </c>
      <c r="G7335" s="598" t="s">
        <v>4996</v>
      </c>
      <c r="J7335" s="560">
        <f t="shared" si="246"/>
        <v>0</v>
      </c>
    </row>
    <row r="7336" spans="6:10" hidden="1" x14ac:dyDescent="0.25">
      <c r="F7336" s="284" t="s">
        <v>247</v>
      </c>
      <c r="G7336" s="598" t="s">
        <v>4995</v>
      </c>
      <c r="J7336" s="560">
        <f t="shared" si="246"/>
        <v>0</v>
      </c>
    </row>
    <row r="7337" spans="6:10" hidden="1" x14ac:dyDescent="0.25">
      <c r="F7337" s="284" t="s">
        <v>248</v>
      </c>
      <c r="G7337" s="287" t="s">
        <v>57</v>
      </c>
      <c r="J7337" s="560">
        <f t="shared" si="246"/>
        <v>0</v>
      </c>
    </row>
    <row r="7338" spans="6:10" hidden="1" x14ac:dyDescent="0.25">
      <c r="F7338" s="284" t="s">
        <v>249</v>
      </c>
      <c r="G7338" s="287" t="s">
        <v>250</v>
      </c>
      <c r="J7338" s="560">
        <f t="shared" si="246"/>
        <v>0</v>
      </c>
    </row>
    <row r="7339" spans="6:10" hidden="1" x14ac:dyDescent="0.25">
      <c r="F7339" s="284" t="s">
        <v>251</v>
      </c>
      <c r="G7339" s="287" t="s">
        <v>252</v>
      </c>
      <c r="J7339" s="560">
        <f t="shared" si="246"/>
        <v>0</v>
      </c>
    </row>
    <row r="7340" spans="6:10" ht="30" hidden="1" x14ac:dyDescent="0.25">
      <c r="F7340" s="284" t="s">
        <v>253</v>
      </c>
      <c r="G7340" s="287" t="s">
        <v>254</v>
      </c>
      <c r="J7340" s="560">
        <f t="shared" si="246"/>
        <v>0</v>
      </c>
    </row>
    <row r="7341" spans="6:10" hidden="1" x14ac:dyDescent="0.25">
      <c r="F7341" s="284" t="s">
        <v>255</v>
      </c>
      <c r="G7341" s="287" t="s">
        <v>256</v>
      </c>
      <c r="J7341" s="560">
        <f t="shared" si="246"/>
        <v>0</v>
      </c>
    </row>
    <row r="7342" spans="6:10" ht="30" hidden="1" x14ac:dyDescent="0.25">
      <c r="F7342" s="284" t="s">
        <v>257</v>
      </c>
      <c r="G7342" s="287" t="s">
        <v>258</v>
      </c>
      <c r="J7342" s="560">
        <f t="shared" si="246"/>
        <v>0</v>
      </c>
    </row>
    <row r="7343" spans="6:10" hidden="1" x14ac:dyDescent="0.25">
      <c r="F7343" s="284" t="s">
        <v>259</v>
      </c>
      <c r="G7343" s="287" t="s">
        <v>260</v>
      </c>
      <c r="J7343" s="560">
        <f t="shared" si="246"/>
        <v>0</v>
      </c>
    </row>
    <row r="7344" spans="6:10" ht="15.75" hidden="1" thickBot="1" x14ac:dyDescent="0.3">
      <c r="F7344" s="284" t="s">
        <v>261</v>
      </c>
      <c r="G7344" s="287" t="s">
        <v>262</v>
      </c>
      <c r="H7344" s="559"/>
      <c r="I7344" s="560"/>
      <c r="J7344" s="560">
        <f t="shared" si="246"/>
        <v>0</v>
      </c>
    </row>
    <row r="7345" spans="3:10" ht="15.75" hidden="1" thickBot="1" x14ac:dyDescent="0.3">
      <c r="G7345" s="268" t="s">
        <v>4182</v>
      </c>
      <c r="H7345" s="561">
        <f>SUM(H7329:H7344)</f>
        <v>0</v>
      </c>
      <c r="I7345" s="562">
        <f>SUM(I7330:I7344)</f>
        <v>0</v>
      </c>
      <c r="J7345" s="562">
        <f>SUM(J7329:J7344)</f>
        <v>0</v>
      </c>
    </row>
    <row r="7346" spans="3:10" hidden="1" x14ac:dyDescent="0.25">
      <c r="F7346" s="292"/>
      <c r="G7346" s="319"/>
    </row>
    <row r="7347" spans="3:10" hidden="1" x14ac:dyDescent="0.25">
      <c r="C7347" s="339" t="s">
        <v>4110</v>
      </c>
      <c r="F7347" s="292"/>
      <c r="G7347" s="313" t="s">
        <v>4184</v>
      </c>
    </row>
    <row r="7348" spans="3:10" hidden="1" x14ac:dyDescent="0.25">
      <c r="D7348" s="331">
        <v>330</v>
      </c>
      <c r="E7348" s="869"/>
      <c r="F7348" s="331"/>
      <c r="G7348" s="351" t="s">
        <v>130</v>
      </c>
    </row>
    <row r="7349" spans="3:10" hidden="1" x14ac:dyDescent="0.25">
      <c r="D7349" s="331"/>
      <c r="E7349" s="869"/>
      <c r="F7349" s="258">
        <v>411</v>
      </c>
      <c r="G7349" s="492" t="s">
        <v>4131</v>
      </c>
      <c r="J7349" s="556">
        <f t="shared" ref="J7349:J7374" si="247">SUM(H7349:I7349)</f>
        <v>0</v>
      </c>
    </row>
    <row r="7350" spans="3:10" hidden="1" x14ac:dyDescent="0.25">
      <c r="D7350" s="331"/>
      <c r="E7350" s="869"/>
      <c r="F7350" s="258">
        <v>412</v>
      </c>
      <c r="G7350" s="488" t="s">
        <v>3766</v>
      </c>
      <c r="J7350" s="556">
        <f t="shared" si="247"/>
        <v>0</v>
      </c>
    </row>
    <row r="7351" spans="3:10" hidden="1" x14ac:dyDescent="0.25">
      <c r="F7351" s="292">
        <v>422</v>
      </c>
      <c r="G7351" s="319" t="s">
        <v>3780</v>
      </c>
      <c r="J7351" s="556">
        <f t="shared" si="247"/>
        <v>0</v>
      </c>
    </row>
    <row r="7352" spans="3:10" hidden="1" x14ac:dyDescent="0.25">
      <c r="F7352" s="292">
        <v>423</v>
      </c>
      <c r="G7352" s="319" t="s">
        <v>3781</v>
      </c>
      <c r="J7352" s="556">
        <f>SUM(H7352:I7352)</f>
        <v>0</v>
      </c>
    </row>
    <row r="7353" spans="3:10" hidden="1" x14ac:dyDescent="0.25">
      <c r="F7353" s="292">
        <v>424</v>
      </c>
      <c r="G7353" s="319" t="s">
        <v>3783</v>
      </c>
      <c r="J7353" s="556">
        <f t="shared" si="247"/>
        <v>0</v>
      </c>
    </row>
    <row r="7354" spans="3:10" ht="15.75" hidden="1" thickBot="1" x14ac:dyDescent="0.3">
      <c r="F7354" s="292">
        <v>426</v>
      </c>
      <c r="G7354" s="319" t="s">
        <v>3787</v>
      </c>
      <c r="J7354" s="556">
        <f t="shared" si="247"/>
        <v>0</v>
      </c>
    </row>
    <row r="7355" spans="3:10" hidden="1" x14ac:dyDescent="0.25">
      <c r="E7355" s="489"/>
      <c r="F7355" s="324"/>
      <c r="G7355" s="343" t="s">
        <v>4288</v>
      </c>
      <c r="H7355" s="557"/>
      <c r="I7355" s="583"/>
      <c r="J7355" s="558"/>
    </row>
    <row r="7356" spans="3:10" hidden="1" x14ac:dyDescent="0.25">
      <c r="E7356" s="693"/>
      <c r="F7356" s="284" t="s">
        <v>234</v>
      </c>
      <c r="G7356" s="287" t="s">
        <v>235</v>
      </c>
      <c r="H7356" s="559">
        <f>SUM(H7349:H7354)</f>
        <v>0</v>
      </c>
      <c r="I7356" s="560"/>
      <c r="J7356" s="560">
        <f t="shared" ref="J7356:J7371" si="248">SUM(H7356:I7356)</f>
        <v>0</v>
      </c>
    </row>
    <row r="7357" spans="3:10" hidden="1" x14ac:dyDescent="0.25">
      <c r="F7357" s="284" t="s">
        <v>236</v>
      </c>
      <c r="G7357" s="287" t="s">
        <v>237</v>
      </c>
      <c r="J7357" s="560">
        <f t="shared" si="248"/>
        <v>0</v>
      </c>
    </row>
    <row r="7358" spans="3:10" hidden="1" x14ac:dyDescent="0.25">
      <c r="F7358" s="284" t="s">
        <v>238</v>
      </c>
      <c r="G7358" s="287" t="s">
        <v>239</v>
      </c>
      <c r="J7358" s="560">
        <f t="shared" si="248"/>
        <v>0</v>
      </c>
    </row>
    <row r="7359" spans="3:10" hidden="1" x14ac:dyDescent="0.25">
      <c r="F7359" s="284" t="s">
        <v>240</v>
      </c>
      <c r="G7359" s="287" t="s">
        <v>241</v>
      </c>
      <c r="J7359" s="560">
        <f t="shared" si="248"/>
        <v>0</v>
      </c>
    </row>
    <row r="7360" spans="3:10" hidden="1" x14ac:dyDescent="0.25">
      <c r="F7360" s="284" t="s">
        <v>242</v>
      </c>
      <c r="G7360" s="287" t="s">
        <v>243</v>
      </c>
      <c r="J7360" s="560">
        <f t="shared" si="248"/>
        <v>0</v>
      </c>
    </row>
    <row r="7361" spans="6:14" hidden="1" x14ac:dyDescent="0.25">
      <c r="F7361" s="284" t="s">
        <v>244</v>
      </c>
      <c r="G7361" s="287" t="s">
        <v>245</v>
      </c>
      <c r="J7361" s="560">
        <f t="shared" si="248"/>
        <v>0</v>
      </c>
    </row>
    <row r="7362" spans="6:14" hidden="1" x14ac:dyDescent="0.25">
      <c r="F7362" s="284" t="s">
        <v>246</v>
      </c>
      <c r="G7362" s="598" t="s">
        <v>4996</v>
      </c>
      <c r="J7362" s="560">
        <f t="shared" si="248"/>
        <v>0</v>
      </c>
    </row>
    <row r="7363" spans="6:14" hidden="1" x14ac:dyDescent="0.25">
      <c r="F7363" s="284" t="s">
        <v>247</v>
      </c>
      <c r="G7363" s="598" t="s">
        <v>4995</v>
      </c>
      <c r="J7363" s="560">
        <f t="shared" si="248"/>
        <v>0</v>
      </c>
    </row>
    <row r="7364" spans="6:14" hidden="1" x14ac:dyDescent="0.25">
      <c r="F7364" s="284" t="s">
        <v>248</v>
      </c>
      <c r="G7364" s="287" t="s">
        <v>57</v>
      </c>
      <c r="J7364" s="560">
        <f t="shared" si="248"/>
        <v>0</v>
      </c>
    </row>
    <row r="7365" spans="6:14" hidden="1" x14ac:dyDescent="0.25">
      <c r="F7365" s="284" t="s">
        <v>249</v>
      </c>
      <c r="G7365" s="287" t="s">
        <v>250</v>
      </c>
      <c r="J7365" s="560">
        <f t="shared" si="248"/>
        <v>0</v>
      </c>
    </row>
    <row r="7366" spans="6:14" hidden="1" x14ac:dyDescent="0.25">
      <c r="F7366" s="284" t="s">
        <v>251</v>
      </c>
      <c r="G7366" s="287" t="s">
        <v>252</v>
      </c>
      <c r="J7366" s="560">
        <f t="shared" si="248"/>
        <v>0</v>
      </c>
    </row>
    <row r="7367" spans="6:14" ht="30" hidden="1" x14ac:dyDescent="0.25">
      <c r="F7367" s="284" t="s">
        <v>253</v>
      </c>
      <c r="G7367" s="287" t="s">
        <v>254</v>
      </c>
      <c r="J7367" s="560">
        <f t="shared" si="248"/>
        <v>0</v>
      </c>
    </row>
    <row r="7368" spans="6:14" hidden="1" x14ac:dyDescent="0.25">
      <c r="F7368" s="284" t="s">
        <v>255</v>
      </c>
      <c r="G7368" s="287" t="s">
        <v>256</v>
      </c>
      <c r="J7368" s="560">
        <f t="shared" si="248"/>
        <v>0</v>
      </c>
    </row>
    <row r="7369" spans="6:14" ht="30" hidden="1" x14ac:dyDescent="0.25">
      <c r="F7369" s="284" t="s">
        <v>257</v>
      </c>
      <c r="G7369" s="287" t="s">
        <v>258</v>
      </c>
      <c r="J7369" s="560">
        <f t="shared" si="248"/>
        <v>0</v>
      </c>
    </row>
    <row r="7370" spans="6:14" hidden="1" x14ac:dyDescent="0.25">
      <c r="F7370" s="284" t="s">
        <v>259</v>
      </c>
      <c r="G7370" s="287" t="s">
        <v>260</v>
      </c>
      <c r="J7370" s="560">
        <f t="shared" si="248"/>
        <v>0</v>
      </c>
    </row>
    <row r="7371" spans="6:14" ht="15.75" hidden="1" thickBot="1" x14ac:dyDescent="0.3">
      <c r="F7371" s="284" t="s">
        <v>261</v>
      </c>
      <c r="G7371" s="287" t="s">
        <v>262</v>
      </c>
      <c r="H7371" s="559"/>
      <c r="I7371" s="560"/>
      <c r="J7371" s="560">
        <f t="shared" si="248"/>
        <v>0</v>
      </c>
    </row>
    <row r="7372" spans="6:14" ht="15.75" hidden="1" thickBot="1" x14ac:dyDescent="0.3">
      <c r="G7372" s="268" t="s">
        <v>4235</v>
      </c>
      <c r="H7372" s="561">
        <f>SUM(H7356:H7371)</f>
        <v>0</v>
      </c>
      <c r="I7372" s="562">
        <f>SUM(I7357:I7371)</f>
        <v>0</v>
      </c>
      <c r="J7372" s="562">
        <f>SUM(J7356:J7371)</f>
        <v>0</v>
      </c>
    </row>
    <row r="7373" spans="6:14" ht="28.5" hidden="1" x14ac:dyDescent="0.25">
      <c r="F7373" s="293"/>
      <c r="G7373" s="270" t="s">
        <v>4188</v>
      </c>
      <c r="H7373" s="563"/>
      <c r="I7373" s="584"/>
      <c r="J7373" s="564"/>
    </row>
    <row r="7374" spans="6:14" hidden="1" x14ac:dyDescent="0.25">
      <c r="F7374" s="284" t="s">
        <v>234</v>
      </c>
      <c r="G7374" s="287" t="s">
        <v>235</v>
      </c>
      <c r="H7374" s="559">
        <f>SUM(H7351:H7354)</f>
        <v>0</v>
      </c>
      <c r="I7374" s="560"/>
      <c r="J7374" s="556">
        <f t="shared" si="247"/>
        <v>0</v>
      </c>
    </row>
    <row r="7375" spans="6:14" hidden="1" x14ac:dyDescent="0.25">
      <c r="F7375" s="284" t="s">
        <v>236</v>
      </c>
      <c r="G7375" s="287" t="s">
        <v>237</v>
      </c>
      <c r="J7375" s="560">
        <f t="shared" ref="J7375:J7389" si="249">SUM(H7375:I7375)</f>
        <v>0</v>
      </c>
    </row>
    <row r="7376" spans="6:14" hidden="1" x14ac:dyDescent="0.25">
      <c r="F7376" s="284" t="s">
        <v>238</v>
      </c>
      <c r="G7376" s="287" t="s">
        <v>239</v>
      </c>
      <c r="J7376" s="560">
        <f t="shared" si="249"/>
        <v>0</v>
      </c>
      <c r="K7376" s="262"/>
      <c r="L7376" s="262"/>
      <c r="M7376" s="262"/>
      <c r="N7376" s="509"/>
    </row>
    <row r="7377" spans="3:14" hidden="1" x14ac:dyDescent="0.25">
      <c r="F7377" s="284" t="s">
        <v>240</v>
      </c>
      <c r="G7377" s="287" t="s">
        <v>241</v>
      </c>
      <c r="J7377" s="560">
        <f t="shared" si="249"/>
        <v>0</v>
      </c>
      <c r="K7377" s="283"/>
      <c r="L7377" s="262"/>
      <c r="M7377" s="283"/>
      <c r="N7377" s="296"/>
    </row>
    <row r="7378" spans="3:14" hidden="1" x14ac:dyDescent="0.25">
      <c r="F7378" s="284" t="s">
        <v>242</v>
      </c>
      <c r="G7378" s="287" t="s">
        <v>243</v>
      </c>
      <c r="J7378" s="560">
        <f t="shared" si="249"/>
        <v>0</v>
      </c>
      <c r="K7378" s="283"/>
      <c r="L7378" s="262"/>
      <c r="M7378" s="283"/>
      <c r="N7378" s="296"/>
    </row>
    <row r="7379" spans="3:14" hidden="1" x14ac:dyDescent="0.25">
      <c r="F7379" s="284" t="s">
        <v>244</v>
      </c>
      <c r="G7379" s="287" t="s">
        <v>245</v>
      </c>
      <c r="J7379" s="560">
        <f t="shared" si="249"/>
        <v>0</v>
      </c>
      <c r="K7379" s="294"/>
      <c r="L7379" s="262"/>
      <c r="M7379" s="283"/>
      <c r="N7379" s="297"/>
    </row>
    <row r="7380" spans="3:14" hidden="1" x14ac:dyDescent="0.25">
      <c r="F7380" s="284" t="s">
        <v>246</v>
      </c>
      <c r="G7380" s="598" t="s">
        <v>4996</v>
      </c>
      <c r="J7380" s="560">
        <f t="shared" si="249"/>
        <v>0</v>
      </c>
      <c r="K7380" s="283"/>
      <c r="L7380" s="262"/>
      <c r="M7380" s="283"/>
      <c r="N7380" s="298"/>
    </row>
    <row r="7381" spans="3:14" hidden="1" x14ac:dyDescent="0.25">
      <c r="F7381" s="284" t="s">
        <v>247</v>
      </c>
      <c r="G7381" s="598" t="s">
        <v>4995</v>
      </c>
      <c r="J7381" s="560">
        <f t="shared" si="249"/>
        <v>0</v>
      </c>
      <c r="K7381" s="283"/>
      <c r="L7381" s="262"/>
      <c r="M7381" s="283"/>
      <c r="N7381" s="296"/>
    </row>
    <row r="7382" spans="3:14" hidden="1" x14ac:dyDescent="0.25">
      <c r="F7382" s="284" t="s">
        <v>248</v>
      </c>
      <c r="G7382" s="287" t="s">
        <v>57</v>
      </c>
      <c r="J7382" s="560">
        <f t="shared" si="249"/>
        <v>0</v>
      </c>
      <c r="K7382" s="262"/>
      <c r="L7382" s="262"/>
      <c r="M7382" s="262"/>
      <c r="N7382" s="509"/>
    </row>
    <row r="7383" spans="3:14" hidden="1" x14ac:dyDescent="0.25">
      <c r="F7383" s="284" t="s">
        <v>249</v>
      </c>
      <c r="G7383" s="287" t="s">
        <v>250</v>
      </c>
      <c r="J7383" s="560">
        <f t="shared" si="249"/>
        <v>0</v>
      </c>
      <c r="K7383" s="294"/>
      <c r="L7383" s="283"/>
      <c r="M7383" s="283"/>
      <c r="N7383" s="297"/>
    </row>
    <row r="7384" spans="3:14" hidden="1" x14ac:dyDescent="0.25">
      <c r="F7384" s="284" t="s">
        <v>251</v>
      </c>
      <c r="G7384" s="287" t="s">
        <v>252</v>
      </c>
      <c r="J7384" s="560">
        <f t="shared" si="249"/>
        <v>0</v>
      </c>
      <c r="K7384" s="283"/>
      <c r="L7384" s="283"/>
      <c r="M7384" s="283"/>
      <c r="N7384" s="299"/>
    </row>
    <row r="7385" spans="3:14" ht="30" hidden="1" x14ac:dyDescent="0.25">
      <c r="F7385" s="284" t="s">
        <v>253</v>
      </c>
      <c r="G7385" s="287" t="s">
        <v>254</v>
      </c>
      <c r="J7385" s="560">
        <f t="shared" si="249"/>
        <v>0</v>
      </c>
      <c r="K7385" s="283"/>
      <c r="L7385" s="283"/>
      <c r="M7385" s="283"/>
      <c r="N7385" s="299"/>
    </row>
    <row r="7386" spans="3:14" hidden="1" x14ac:dyDescent="0.25">
      <c r="F7386" s="284" t="s">
        <v>255</v>
      </c>
      <c r="G7386" s="287" t="s">
        <v>256</v>
      </c>
      <c r="J7386" s="560">
        <f t="shared" si="249"/>
        <v>0</v>
      </c>
      <c r="K7386" s="283"/>
      <c r="L7386" s="283"/>
      <c r="M7386" s="283"/>
      <c r="N7386" s="299"/>
    </row>
    <row r="7387" spans="3:14" ht="30" hidden="1" x14ac:dyDescent="0.25">
      <c r="F7387" s="284" t="s">
        <v>257</v>
      </c>
      <c r="G7387" s="287" t="s">
        <v>258</v>
      </c>
      <c r="J7387" s="560">
        <f t="shared" si="249"/>
        <v>0</v>
      </c>
      <c r="K7387" s="283"/>
      <c r="L7387" s="283"/>
      <c r="M7387" s="283"/>
      <c r="N7387" s="299"/>
    </row>
    <row r="7388" spans="3:14" hidden="1" x14ac:dyDescent="0.25">
      <c r="F7388" s="284" t="s">
        <v>259</v>
      </c>
      <c r="G7388" s="287" t="s">
        <v>260</v>
      </c>
      <c r="J7388" s="560">
        <f t="shared" si="249"/>
        <v>0</v>
      </c>
      <c r="K7388" s="283"/>
      <c r="L7388" s="283"/>
      <c r="M7388" s="283"/>
      <c r="N7388" s="299"/>
    </row>
    <row r="7389" spans="3:14" ht="15.75" hidden="1" thickBot="1" x14ac:dyDescent="0.3">
      <c r="F7389" s="284" t="s">
        <v>261</v>
      </c>
      <c r="G7389" s="287" t="s">
        <v>262</v>
      </c>
      <c r="H7389" s="559"/>
      <c r="I7389" s="560"/>
      <c r="J7389" s="560">
        <f t="shared" si="249"/>
        <v>0</v>
      </c>
      <c r="K7389" s="262"/>
      <c r="L7389" s="262"/>
      <c r="M7389" s="262"/>
      <c r="N7389" s="509"/>
    </row>
    <row r="7390" spans="3:14" ht="15.75" hidden="1" thickBot="1" x14ac:dyDescent="0.3">
      <c r="G7390" s="268" t="s">
        <v>4185</v>
      </c>
      <c r="H7390" s="561">
        <f>SUM(H7374:H7389)</f>
        <v>0</v>
      </c>
      <c r="I7390" s="562">
        <f>SUM(I7375:I7389)</f>
        <v>0</v>
      </c>
      <c r="J7390" s="562">
        <f>SUM(J7374:J7389)</f>
        <v>0</v>
      </c>
      <c r="K7390" s="262"/>
      <c r="L7390" s="262"/>
      <c r="M7390" s="262"/>
      <c r="N7390" s="509"/>
    </row>
    <row r="7391" spans="3:14" hidden="1" x14ac:dyDescent="0.25"/>
    <row r="7392" spans="3:14" hidden="1" x14ac:dyDescent="0.25">
      <c r="C7392" s="339" t="s">
        <v>4112</v>
      </c>
      <c r="D7392" s="259"/>
      <c r="E7392" s="702"/>
      <c r="F7392" s="259"/>
      <c r="G7392" s="313" t="s">
        <v>4186</v>
      </c>
    </row>
    <row r="7393" spans="3:10" hidden="1" x14ac:dyDescent="0.25">
      <c r="C7393" s="336"/>
      <c r="D7393" s="355">
        <v>112</v>
      </c>
      <c r="E7393" s="884"/>
      <c r="F7393" s="353"/>
      <c r="G7393" s="332" t="s">
        <v>107</v>
      </c>
    </row>
    <row r="7394" spans="3:10" hidden="1" x14ac:dyDescent="0.25">
      <c r="F7394" s="292">
        <v>49911</v>
      </c>
      <c r="G7394" s="319" t="s">
        <v>3825</v>
      </c>
      <c r="J7394" s="556">
        <f t="shared" ref="J7394:J7395" si="250">SUM(H7394:I7394)</f>
        <v>0</v>
      </c>
    </row>
    <row r="7395" spans="3:10" ht="15.75" hidden="1" thickBot="1" x14ac:dyDescent="0.3">
      <c r="F7395" s="258">
        <v>49912</v>
      </c>
      <c r="G7395" s="269" t="s">
        <v>3827</v>
      </c>
      <c r="J7395" s="556">
        <f t="shared" si="250"/>
        <v>0</v>
      </c>
    </row>
    <row r="7396" spans="3:10" hidden="1" x14ac:dyDescent="0.25">
      <c r="E7396" s="489"/>
      <c r="F7396" s="324"/>
      <c r="G7396" s="343" t="s">
        <v>4322</v>
      </c>
      <c r="H7396" s="557"/>
      <c r="I7396" s="583"/>
      <c r="J7396" s="558"/>
    </row>
    <row r="7397" spans="3:10" hidden="1" x14ac:dyDescent="0.25">
      <c r="E7397" s="693"/>
      <c r="F7397" s="284" t="s">
        <v>234</v>
      </c>
      <c r="G7397" s="287" t="s">
        <v>235</v>
      </c>
      <c r="H7397" s="559">
        <f>SUM(H7394:H7395)</f>
        <v>0</v>
      </c>
      <c r="I7397" s="560"/>
      <c r="J7397" s="560">
        <f t="shared" ref="J7397:J7412" si="251">SUM(H7397:I7397)</f>
        <v>0</v>
      </c>
    </row>
    <row r="7398" spans="3:10" hidden="1" x14ac:dyDescent="0.25">
      <c r="F7398" s="284" t="s">
        <v>236</v>
      </c>
      <c r="G7398" s="287" t="s">
        <v>237</v>
      </c>
      <c r="J7398" s="560">
        <f t="shared" si="251"/>
        <v>0</v>
      </c>
    </row>
    <row r="7399" spans="3:10" hidden="1" x14ac:dyDescent="0.25">
      <c r="F7399" s="284" t="s">
        <v>238</v>
      </c>
      <c r="G7399" s="287" t="s">
        <v>239</v>
      </c>
      <c r="J7399" s="560">
        <f t="shared" si="251"/>
        <v>0</v>
      </c>
    </row>
    <row r="7400" spans="3:10" hidden="1" x14ac:dyDescent="0.25">
      <c r="F7400" s="284" t="s">
        <v>240</v>
      </c>
      <c r="G7400" s="287" t="s">
        <v>241</v>
      </c>
      <c r="J7400" s="560">
        <f t="shared" si="251"/>
        <v>0</v>
      </c>
    </row>
    <row r="7401" spans="3:10" hidden="1" x14ac:dyDescent="0.25">
      <c r="F7401" s="284" t="s">
        <v>242</v>
      </c>
      <c r="G7401" s="287" t="s">
        <v>243</v>
      </c>
      <c r="J7401" s="560">
        <f t="shared" si="251"/>
        <v>0</v>
      </c>
    </row>
    <row r="7402" spans="3:10" hidden="1" x14ac:dyDescent="0.25">
      <c r="F7402" s="284" t="s">
        <v>244</v>
      </c>
      <c r="G7402" s="287" t="s">
        <v>245</v>
      </c>
      <c r="J7402" s="560">
        <f t="shared" si="251"/>
        <v>0</v>
      </c>
    </row>
    <row r="7403" spans="3:10" hidden="1" x14ac:dyDescent="0.25">
      <c r="F7403" s="284" t="s">
        <v>246</v>
      </c>
      <c r="G7403" s="598" t="s">
        <v>4996</v>
      </c>
      <c r="J7403" s="560">
        <f t="shared" si="251"/>
        <v>0</v>
      </c>
    </row>
    <row r="7404" spans="3:10" hidden="1" x14ac:dyDescent="0.25">
      <c r="F7404" s="284" t="s">
        <v>247</v>
      </c>
      <c r="G7404" s="598" t="s">
        <v>4995</v>
      </c>
      <c r="J7404" s="560">
        <f t="shared" si="251"/>
        <v>0</v>
      </c>
    </row>
    <row r="7405" spans="3:10" hidden="1" x14ac:dyDescent="0.25">
      <c r="F7405" s="284" t="s">
        <v>248</v>
      </c>
      <c r="G7405" s="287" t="s">
        <v>57</v>
      </c>
      <c r="J7405" s="560">
        <f t="shared" si="251"/>
        <v>0</v>
      </c>
    </row>
    <row r="7406" spans="3:10" hidden="1" x14ac:dyDescent="0.25">
      <c r="F7406" s="284" t="s">
        <v>249</v>
      </c>
      <c r="G7406" s="287" t="s">
        <v>250</v>
      </c>
      <c r="J7406" s="560">
        <f t="shared" si="251"/>
        <v>0</v>
      </c>
    </row>
    <row r="7407" spans="3:10" hidden="1" x14ac:dyDescent="0.25">
      <c r="F7407" s="284" t="s">
        <v>251</v>
      </c>
      <c r="G7407" s="287" t="s">
        <v>252</v>
      </c>
      <c r="J7407" s="560">
        <f t="shared" si="251"/>
        <v>0</v>
      </c>
    </row>
    <row r="7408" spans="3:10" ht="30" hidden="1" x14ac:dyDescent="0.25">
      <c r="F7408" s="284" t="s">
        <v>253</v>
      </c>
      <c r="G7408" s="287" t="s">
        <v>254</v>
      </c>
      <c r="J7408" s="560">
        <f t="shared" si="251"/>
        <v>0</v>
      </c>
    </row>
    <row r="7409" spans="6:10" hidden="1" x14ac:dyDescent="0.25">
      <c r="F7409" s="284" t="s">
        <v>255</v>
      </c>
      <c r="G7409" s="287" t="s">
        <v>256</v>
      </c>
      <c r="J7409" s="560">
        <f t="shared" si="251"/>
        <v>0</v>
      </c>
    </row>
    <row r="7410" spans="6:10" ht="30" hidden="1" x14ac:dyDescent="0.25">
      <c r="F7410" s="284" t="s">
        <v>257</v>
      </c>
      <c r="G7410" s="287" t="s">
        <v>258</v>
      </c>
      <c r="J7410" s="560">
        <f t="shared" si="251"/>
        <v>0</v>
      </c>
    </row>
    <row r="7411" spans="6:10" hidden="1" x14ac:dyDescent="0.25">
      <c r="F7411" s="284" t="s">
        <v>259</v>
      </c>
      <c r="G7411" s="287" t="s">
        <v>260</v>
      </c>
      <c r="J7411" s="560">
        <f t="shared" si="251"/>
        <v>0</v>
      </c>
    </row>
    <row r="7412" spans="6:10" ht="15.75" hidden="1" thickBot="1" x14ac:dyDescent="0.3">
      <c r="F7412" s="284" t="s">
        <v>261</v>
      </c>
      <c r="G7412" s="287" t="s">
        <v>262</v>
      </c>
      <c r="H7412" s="559"/>
      <c r="I7412" s="560"/>
      <c r="J7412" s="560">
        <f t="shared" si="251"/>
        <v>0</v>
      </c>
    </row>
    <row r="7413" spans="6:10" ht="15.75" hidden="1" thickBot="1" x14ac:dyDescent="0.3">
      <c r="G7413" s="268" t="s">
        <v>4323</v>
      </c>
      <c r="H7413" s="561">
        <f>SUM(H7397:H7412)</f>
        <v>0</v>
      </c>
      <c r="I7413" s="562">
        <f>SUM(I7398:I7412)</f>
        <v>0</v>
      </c>
      <c r="J7413" s="562">
        <f>SUM(J7397:J7412)</f>
        <v>0</v>
      </c>
    </row>
    <row r="7414" spans="6:10" ht="28.5" hidden="1" x14ac:dyDescent="0.25">
      <c r="F7414" s="293"/>
      <c r="G7414" s="270" t="s">
        <v>4187</v>
      </c>
      <c r="H7414" s="563"/>
      <c r="I7414" s="584"/>
      <c r="J7414" s="564"/>
    </row>
    <row r="7415" spans="6:10" hidden="1" x14ac:dyDescent="0.25">
      <c r="F7415" s="284" t="s">
        <v>234</v>
      </c>
      <c r="G7415" s="287" t="s">
        <v>235</v>
      </c>
      <c r="H7415" s="559">
        <f>SUM(H7394:H7395)</f>
        <v>0</v>
      </c>
      <c r="I7415" s="560"/>
      <c r="J7415" s="560">
        <f>SUM(H7415:I7415)</f>
        <v>0</v>
      </c>
    </row>
    <row r="7416" spans="6:10" hidden="1" x14ac:dyDescent="0.25">
      <c r="F7416" s="284" t="s">
        <v>236</v>
      </c>
      <c r="G7416" s="287" t="s">
        <v>237</v>
      </c>
      <c r="J7416" s="560">
        <f t="shared" ref="J7416:J7430" si="252">SUM(H7416:I7416)</f>
        <v>0</v>
      </c>
    </row>
    <row r="7417" spans="6:10" hidden="1" x14ac:dyDescent="0.25">
      <c r="F7417" s="284" t="s">
        <v>238</v>
      </c>
      <c r="G7417" s="287" t="s">
        <v>239</v>
      </c>
      <c r="J7417" s="560">
        <f t="shared" si="252"/>
        <v>0</v>
      </c>
    </row>
    <row r="7418" spans="6:10" hidden="1" x14ac:dyDescent="0.25">
      <c r="F7418" s="284" t="s">
        <v>240</v>
      </c>
      <c r="G7418" s="287" t="s">
        <v>241</v>
      </c>
      <c r="J7418" s="560">
        <f t="shared" si="252"/>
        <v>0</v>
      </c>
    </row>
    <row r="7419" spans="6:10" hidden="1" x14ac:dyDescent="0.25">
      <c r="F7419" s="284" t="s">
        <v>242</v>
      </c>
      <c r="G7419" s="287" t="s">
        <v>243</v>
      </c>
      <c r="J7419" s="560">
        <f t="shared" si="252"/>
        <v>0</v>
      </c>
    </row>
    <row r="7420" spans="6:10" hidden="1" x14ac:dyDescent="0.25">
      <c r="F7420" s="284" t="s">
        <v>244</v>
      </c>
      <c r="G7420" s="287" t="s">
        <v>245</v>
      </c>
      <c r="J7420" s="560">
        <f t="shared" si="252"/>
        <v>0</v>
      </c>
    </row>
    <row r="7421" spans="6:10" hidden="1" x14ac:dyDescent="0.25">
      <c r="F7421" s="284" t="s">
        <v>246</v>
      </c>
      <c r="G7421" s="598" t="s">
        <v>4996</v>
      </c>
      <c r="J7421" s="560">
        <f t="shared" si="252"/>
        <v>0</v>
      </c>
    </row>
    <row r="7422" spans="6:10" hidden="1" x14ac:dyDescent="0.25">
      <c r="F7422" s="284" t="s">
        <v>247</v>
      </c>
      <c r="G7422" s="598" t="s">
        <v>4995</v>
      </c>
      <c r="J7422" s="560">
        <f t="shared" si="252"/>
        <v>0</v>
      </c>
    </row>
    <row r="7423" spans="6:10" hidden="1" x14ac:dyDescent="0.25">
      <c r="F7423" s="284" t="s">
        <v>248</v>
      </c>
      <c r="G7423" s="287" t="s">
        <v>57</v>
      </c>
      <c r="J7423" s="560">
        <f t="shared" si="252"/>
        <v>0</v>
      </c>
    </row>
    <row r="7424" spans="6:10" hidden="1" x14ac:dyDescent="0.25">
      <c r="F7424" s="284" t="s">
        <v>249</v>
      </c>
      <c r="G7424" s="287" t="s">
        <v>250</v>
      </c>
      <c r="J7424" s="560">
        <f t="shared" si="252"/>
        <v>0</v>
      </c>
    </row>
    <row r="7425" spans="2:10" hidden="1" x14ac:dyDescent="0.25">
      <c r="F7425" s="284" t="s">
        <v>251</v>
      </c>
      <c r="G7425" s="287" t="s">
        <v>252</v>
      </c>
      <c r="J7425" s="560">
        <f t="shared" si="252"/>
        <v>0</v>
      </c>
    </row>
    <row r="7426" spans="2:10" ht="30" hidden="1" x14ac:dyDescent="0.25">
      <c r="F7426" s="284" t="s">
        <v>253</v>
      </c>
      <c r="G7426" s="287" t="s">
        <v>254</v>
      </c>
      <c r="J7426" s="560">
        <f t="shared" si="252"/>
        <v>0</v>
      </c>
    </row>
    <row r="7427" spans="2:10" hidden="1" x14ac:dyDescent="0.25">
      <c r="F7427" s="284" t="s">
        <v>255</v>
      </c>
      <c r="G7427" s="287" t="s">
        <v>256</v>
      </c>
      <c r="J7427" s="560">
        <f t="shared" si="252"/>
        <v>0</v>
      </c>
    </row>
    <row r="7428" spans="2:10" ht="30" hidden="1" x14ac:dyDescent="0.25">
      <c r="F7428" s="284" t="s">
        <v>257</v>
      </c>
      <c r="G7428" s="287" t="s">
        <v>258</v>
      </c>
      <c r="J7428" s="560">
        <f t="shared" si="252"/>
        <v>0</v>
      </c>
    </row>
    <row r="7429" spans="2:10" hidden="1" x14ac:dyDescent="0.25">
      <c r="F7429" s="284" t="s">
        <v>259</v>
      </c>
      <c r="G7429" s="287" t="s">
        <v>260</v>
      </c>
      <c r="J7429" s="560">
        <f t="shared" si="252"/>
        <v>0</v>
      </c>
    </row>
    <row r="7430" spans="2:10" ht="15.75" hidden="1" thickBot="1" x14ac:dyDescent="0.3">
      <c r="F7430" s="284" t="s">
        <v>261</v>
      </c>
      <c r="G7430" s="287" t="s">
        <v>262</v>
      </c>
      <c r="H7430" s="559"/>
      <c r="I7430" s="560"/>
      <c r="J7430" s="560">
        <f t="shared" si="252"/>
        <v>0</v>
      </c>
    </row>
    <row r="7431" spans="2:10" ht="15.75" hidden="1" thickBot="1" x14ac:dyDescent="0.3">
      <c r="G7431" s="268" t="s">
        <v>4220</v>
      </c>
      <c r="H7431" s="561">
        <f>SUM(H7415:H7430)</f>
        <v>0</v>
      </c>
      <c r="I7431" s="562">
        <f>SUM(I7416:I7430)</f>
        <v>0</v>
      </c>
      <c r="J7431" s="562">
        <f>SUM(J7415:J7430)</f>
        <v>0</v>
      </c>
    </row>
    <row r="7432" spans="2:10" hidden="1" x14ac:dyDescent="0.25"/>
    <row r="7433" spans="2:10" hidden="1" x14ac:dyDescent="0.25">
      <c r="B7433" s="294"/>
      <c r="F7433" s="293"/>
      <c r="G7433" s="285" t="s">
        <v>4167</v>
      </c>
      <c r="H7433" s="567"/>
      <c r="I7433" s="585"/>
      <c r="J7433" s="568"/>
    </row>
    <row r="7434" spans="2:10" hidden="1" x14ac:dyDescent="0.25">
      <c r="B7434" s="283"/>
      <c r="F7434" s="284" t="s">
        <v>234</v>
      </c>
      <c r="G7434" s="287" t="s">
        <v>235</v>
      </c>
      <c r="H7434" s="559">
        <f>SUM(H7415,H7374,H7329,H7284,H7237,H7138)</f>
        <v>0</v>
      </c>
      <c r="I7434" s="560"/>
      <c r="J7434" s="560">
        <f>SUM(H7434:I7434)</f>
        <v>0</v>
      </c>
    </row>
    <row r="7435" spans="2:10" hidden="1" x14ac:dyDescent="0.25">
      <c r="F7435" s="284" t="s">
        <v>236</v>
      </c>
      <c r="G7435" s="287" t="s">
        <v>237</v>
      </c>
      <c r="J7435" s="560">
        <f t="shared" ref="J7435:J7449" si="253">SUM(H7435:I7435)</f>
        <v>0</v>
      </c>
    </row>
    <row r="7436" spans="2:10" hidden="1" x14ac:dyDescent="0.25">
      <c r="F7436" s="284" t="s">
        <v>238</v>
      </c>
      <c r="G7436" s="287" t="s">
        <v>239</v>
      </c>
      <c r="J7436" s="560">
        <f t="shared" si="253"/>
        <v>0</v>
      </c>
    </row>
    <row r="7437" spans="2:10" hidden="1" x14ac:dyDescent="0.25">
      <c r="F7437" s="284" t="s">
        <v>240</v>
      </c>
      <c r="G7437" s="287" t="s">
        <v>241</v>
      </c>
      <c r="J7437" s="560">
        <f t="shared" si="253"/>
        <v>0</v>
      </c>
    </row>
    <row r="7438" spans="2:10" hidden="1" x14ac:dyDescent="0.25">
      <c r="F7438" s="284" t="s">
        <v>242</v>
      </c>
      <c r="G7438" s="287" t="s">
        <v>243</v>
      </c>
      <c r="J7438" s="560">
        <f t="shared" si="253"/>
        <v>0</v>
      </c>
    </row>
    <row r="7439" spans="2:10" hidden="1" x14ac:dyDescent="0.25">
      <c r="F7439" s="284" t="s">
        <v>244</v>
      </c>
      <c r="G7439" s="287" t="s">
        <v>245</v>
      </c>
      <c r="J7439" s="560">
        <f t="shared" si="253"/>
        <v>0</v>
      </c>
    </row>
    <row r="7440" spans="2:10" hidden="1" x14ac:dyDescent="0.25">
      <c r="F7440" s="284" t="s">
        <v>246</v>
      </c>
      <c r="G7440" s="598" t="s">
        <v>4996</v>
      </c>
      <c r="J7440" s="560">
        <f t="shared" si="253"/>
        <v>0</v>
      </c>
    </row>
    <row r="7441" spans="1:25" hidden="1" x14ac:dyDescent="0.25">
      <c r="F7441" s="284" t="s">
        <v>247</v>
      </c>
      <c r="G7441" s="598" t="s">
        <v>4995</v>
      </c>
      <c r="J7441" s="560">
        <f t="shared" si="253"/>
        <v>0</v>
      </c>
    </row>
    <row r="7442" spans="1:25" hidden="1" x14ac:dyDescent="0.25">
      <c r="F7442" s="284" t="s">
        <v>248</v>
      </c>
      <c r="G7442" s="287" t="s">
        <v>57</v>
      </c>
      <c r="J7442" s="560">
        <f t="shared" si="253"/>
        <v>0</v>
      </c>
    </row>
    <row r="7443" spans="1:25" hidden="1" x14ac:dyDescent="0.25">
      <c r="F7443" s="284" t="s">
        <v>249</v>
      </c>
      <c r="G7443" s="287" t="s">
        <v>250</v>
      </c>
      <c r="J7443" s="560">
        <f t="shared" si="253"/>
        <v>0</v>
      </c>
    </row>
    <row r="7444" spans="1:25" hidden="1" x14ac:dyDescent="0.25">
      <c r="F7444" s="284" t="s">
        <v>251</v>
      </c>
      <c r="G7444" s="287" t="s">
        <v>252</v>
      </c>
      <c r="J7444" s="560">
        <f t="shared" si="253"/>
        <v>0</v>
      </c>
    </row>
    <row r="7445" spans="1:25" ht="30" hidden="1" x14ac:dyDescent="0.25">
      <c r="F7445" s="284" t="s">
        <v>253</v>
      </c>
      <c r="G7445" s="287" t="s">
        <v>254</v>
      </c>
      <c r="J7445" s="560">
        <f t="shared" si="253"/>
        <v>0</v>
      </c>
    </row>
    <row r="7446" spans="1:25" hidden="1" x14ac:dyDescent="0.25">
      <c r="F7446" s="284" t="s">
        <v>255</v>
      </c>
      <c r="G7446" s="287" t="s">
        <v>256</v>
      </c>
      <c r="J7446" s="560">
        <f t="shared" si="253"/>
        <v>0</v>
      </c>
    </row>
    <row r="7447" spans="1:25" ht="30" hidden="1" x14ac:dyDescent="0.25">
      <c r="F7447" s="284" t="s">
        <v>257</v>
      </c>
      <c r="G7447" s="287" t="s">
        <v>258</v>
      </c>
      <c r="J7447" s="560">
        <f t="shared" si="253"/>
        <v>0</v>
      </c>
    </row>
    <row r="7448" spans="1:25" hidden="1" x14ac:dyDescent="0.25">
      <c r="F7448" s="284" t="s">
        <v>259</v>
      </c>
      <c r="G7448" s="287" t="s">
        <v>260</v>
      </c>
      <c r="J7448" s="560">
        <f t="shared" si="253"/>
        <v>0</v>
      </c>
    </row>
    <row r="7449" spans="1:25" ht="15.75" hidden="1" thickBot="1" x14ac:dyDescent="0.3">
      <c r="F7449" s="284" t="s">
        <v>261</v>
      </c>
      <c r="G7449" s="287" t="s">
        <v>262</v>
      </c>
      <c r="H7449" s="559"/>
      <c r="I7449" s="560"/>
      <c r="J7449" s="560">
        <f t="shared" si="253"/>
        <v>0</v>
      </c>
    </row>
    <row r="7450" spans="1:25" ht="15.75" hidden="1" thickBot="1" x14ac:dyDescent="0.3">
      <c r="G7450" s="268" t="s">
        <v>4168</v>
      </c>
      <c r="H7450" s="561">
        <f>SUM(H7434:H7449)</f>
        <v>0</v>
      </c>
      <c r="I7450" s="562">
        <f>SUM(I7435:I7449)</f>
        <v>0</v>
      </c>
      <c r="J7450" s="562">
        <f>SUM(J7434:J7449)</f>
        <v>0</v>
      </c>
    </row>
    <row r="7451" spans="1:25" hidden="1" x14ac:dyDescent="0.25"/>
    <row r="7452" spans="1:25" s="88" customFormat="1" hidden="1" x14ac:dyDescent="0.25">
      <c r="A7452" s="258"/>
      <c r="B7452" s="288"/>
      <c r="C7452" s="334"/>
      <c r="D7452" s="286"/>
      <c r="E7452" s="876"/>
      <c r="F7452" s="293"/>
      <c r="G7452" s="285" t="s">
        <v>4170</v>
      </c>
      <c r="H7452" s="567"/>
      <c r="I7452" s="585"/>
      <c r="J7452" s="568"/>
      <c r="K7452" s="505"/>
      <c r="L7452" s="505"/>
      <c r="M7452" s="505"/>
      <c r="N7452" s="505"/>
      <c r="O7452" s="505"/>
      <c r="P7452" s="505"/>
      <c r="Q7452" s="505"/>
      <c r="R7452" s="505"/>
      <c r="S7452" s="505"/>
      <c r="T7452" s="505"/>
      <c r="U7452" s="505"/>
      <c r="V7452" s="505"/>
      <c r="W7452" s="505"/>
      <c r="X7452" s="505"/>
      <c r="Y7452" s="505"/>
    </row>
    <row r="7453" spans="1:25" s="88" customFormat="1" hidden="1" x14ac:dyDescent="0.25">
      <c r="A7453" s="290"/>
      <c r="B7453" s="288"/>
      <c r="C7453" s="334"/>
      <c r="D7453" s="286"/>
      <c r="E7453" s="876"/>
      <c r="F7453" s="284" t="s">
        <v>234</v>
      </c>
      <c r="G7453" s="287" t="s">
        <v>235</v>
      </c>
      <c r="H7453" s="559" t="e">
        <f>SUM(H7434,#REF!,#REF!,#REF!,#REF!,H2297)</f>
        <v>#REF!</v>
      </c>
      <c r="I7453" s="560"/>
      <c r="J7453" s="560" t="e">
        <f>SUM(H7453:I7453)</f>
        <v>#REF!</v>
      </c>
      <c r="K7453" s="505"/>
      <c r="L7453" s="505"/>
      <c r="M7453" s="505"/>
      <c r="N7453" s="505"/>
      <c r="O7453" s="505"/>
      <c r="P7453" s="505"/>
      <c r="Q7453" s="505"/>
      <c r="R7453" s="505"/>
      <c r="S7453" s="505"/>
      <c r="T7453" s="505"/>
      <c r="U7453" s="505"/>
      <c r="V7453" s="505"/>
      <c r="W7453" s="505"/>
      <c r="X7453" s="505"/>
      <c r="Y7453" s="505"/>
    </row>
    <row r="7454" spans="1:25" s="88" customFormat="1" hidden="1" x14ac:dyDescent="0.25">
      <c r="A7454" s="290"/>
      <c r="B7454" s="288"/>
      <c r="C7454" s="334"/>
      <c r="D7454" s="286"/>
      <c r="E7454" s="876"/>
      <c r="F7454" s="284" t="s">
        <v>236</v>
      </c>
      <c r="G7454" s="287" t="s">
        <v>237</v>
      </c>
      <c r="H7454" s="555"/>
      <c r="I7454" s="556"/>
      <c r="J7454" s="560">
        <f t="shared" ref="J7454:J7468" si="254">SUM(H7454:I7454)</f>
        <v>0</v>
      </c>
      <c r="K7454" s="505"/>
      <c r="L7454" s="505"/>
      <c r="M7454" s="505"/>
      <c r="N7454" s="505"/>
      <c r="O7454" s="505"/>
      <c r="P7454" s="505"/>
      <c r="Q7454" s="505"/>
      <c r="R7454" s="505"/>
      <c r="S7454" s="505"/>
      <c r="T7454" s="505"/>
      <c r="U7454" s="505"/>
      <c r="V7454" s="505"/>
      <c r="W7454" s="505"/>
      <c r="X7454" s="505"/>
      <c r="Y7454" s="505"/>
    </row>
    <row r="7455" spans="1:25" s="88" customFormat="1" hidden="1" x14ac:dyDescent="0.25">
      <c r="A7455" s="290"/>
      <c r="B7455" s="288"/>
      <c r="C7455" s="334"/>
      <c r="D7455" s="286"/>
      <c r="E7455" s="876"/>
      <c r="F7455" s="284" t="s">
        <v>238</v>
      </c>
      <c r="G7455" s="287" t="s">
        <v>239</v>
      </c>
      <c r="H7455" s="555"/>
      <c r="I7455" s="556"/>
      <c r="J7455" s="560">
        <f t="shared" si="254"/>
        <v>0</v>
      </c>
      <c r="K7455" s="505"/>
      <c r="L7455" s="505"/>
      <c r="M7455" s="505"/>
      <c r="N7455" s="505"/>
      <c r="O7455" s="505"/>
      <c r="P7455" s="505"/>
      <c r="Q7455" s="505"/>
      <c r="R7455" s="505"/>
      <c r="S7455" s="505"/>
      <c r="T7455" s="505"/>
      <c r="U7455" s="505"/>
      <c r="V7455" s="505"/>
      <c r="W7455" s="505"/>
      <c r="X7455" s="505"/>
      <c r="Y7455" s="505"/>
    </row>
    <row r="7456" spans="1:25" s="88" customFormat="1" hidden="1" x14ac:dyDescent="0.25">
      <c r="A7456" s="290"/>
      <c r="B7456" s="288"/>
      <c r="C7456" s="334"/>
      <c r="D7456" s="286"/>
      <c r="E7456" s="876"/>
      <c r="F7456" s="284" t="s">
        <v>240</v>
      </c>
      <c r="G7456" s="287" t="s">
        <v>241</v>
      </c>
      <c r="H7456" s="555"/>
      <c r="I7456" s="556"/>
      <c r="J7456" s="560">
        <f t="shared" si="254"/>
        <v>0</v>
      </c>
      <c r="K7456" s="505"/>
      <c r="L7456" s="505"/>
      <c r="M7456" s="505"/>
      <c r="N7456" s="505"/>
      <c r="O7456" s="505"/>
      <c r="P7456" s="505"/>
      <c r="Q7456" s="505"/>
      <c r="R7456" s="505"/>
      <c r="S7456" s="505"/>
      <c r="T7456" s="505"/>
      <c r="U7456" s="505"/>
      <c r="V7456" s="505"/>
      <c r="W7456" s="505"/>
      <c r="X7456" s="505"/>
      <c r="Y7456" s="505"/>
    </row>
    <row r="7457" spans="1:25" s="88" customFormat="1" hidden="1" x14ac:dyDescent="0.25">
      <c r="A7457" s="290"/>
      <c r="B7457" s="288"/>
      <c r="C7457" s="334"/>
      <c r="D7457" s="286"/>
      <c r="E7457" s="876"/>
      <c r="F7457" s="284" t="s">
        <v>242</v>
      </c>
      <c r="G7457" s="287" t="s">
        <v>243</v>
      </c>
      <c r="H7457" s="555"/>
      <c r="I7457" s="556"/>
      <c r="J7457" s="560">
        <f t="shared" si="254"/>
        <v>0</v>
      </c>
      <c r="K7457" s="505"/>
      <c r="L7457" s="505"/>
      <c r="M7457" s="505"/>
      <c r="N7457" s="505"/>
      <c r="O7457" s="505"/>
      <c r="P7457" s="505"/>
      <c r="Q7457" s="505"/>
      <c r="R7457" s="505"/>
      <c r="S7457" s="505"/>
      <c r="T7457" s="505"/>
      <c r="U7457" s="505"/>
      <c r="V7457" s="505"/>
      <c r="W7457" s="505"/>
      <c r="X7457" s="505"/>
      <c r="Y7457" s="505"/>
    </row>
    <row r="7458" spans="1:25" s="88" customFormat="1" hidden="1" x14ac:dyDescent="0.25">
      <c r="A7458" s="290"/>
      <c r="B7458" s="288"/>
      <c r="C7458" s="334"/>
      <c r="D7458" s="286"/>
      <c r="E7458" s="876"/>
      <c r="F7458" s="284" t="s">
        <v>244</v>
      </c>
      <c r="G7458" s="287" t="s">
        <v>245</v>
      </c>
      <c r="H7458" s="555"/>
      <c r="I7458" s="556"/>
      <c r="J7458" s="560">
        <f t="shared" si="254"/>
        <v>0</v>
      </c>
      <c r="K7458" s="505"/>
      <c r="L7458" s="505"/>
      <c r="M7458" s="505"/>
      <c r="N7458" s="505"/>
      <c r="O7458" s="505"/>
      <c r="P7458" s="505"/>
      <c r="Q7458" s="505"/>
      <c r="R7458" s="505"/>
      <c r="S7458" s="505"/>
      <c r="T7458" s="505"/>
      <c r="U7458" s="505"/>
      <c r="V7458" s="505"/>
      <c r="W7458" s="505"/>
      <c r="X7458" s="505"/>
      <c r="Y7458" s="505"/>
    </row>
    <row r="7459" spans="1:25" s="88" customFormat="1" hidden="1" x14ac:dyDescent="0.25">
      <c r="A7459" s="290"/>
      <c r="B7459" s="288"/>
      <c r="C7459" s="334"/>
      <c r="D7459" s="286"/>
      <c r="E7459" s="876"/>
      <c r="F7459" s="284" t="s">
        <v>246</v>
      </c>
      <c r="G7459" s="598" t="s">
        <v>4996</v>
      </c>
      <c r="H7459" s="555"/>
      <c r="I7459" s="556"/>
      <c r="J7459" s="560">
        <f t="shared" si="254"/>
        <v>0</v>
      </c>
      <c r="K7459" s="505"/>
      <c r="L7459" s="505"/>
      <c r="M7459" s="505"/>
      <c r="N7459" s="505"/>
      <c r="O7459" s="505"/>
      <c r="P7459" s="505"/>
      <c r="Q7459" s="505"/>
      <c r="R7459" s="505"/>
      <c r="S7459" s="505"/>
      <c r="T7459" s="505"/>
      <c r="U7459" s="505"/>
      <c r="V7459" s="505"/>
      <c r="W7459" s="505"/>
      <c r="X7459" s="505"/>
      <c r="Y7459" s="505"/>
    </row>
    <row r="7460" spans="1:25" s="88" customFormat="1" hidden="1" x14ac:dyDescent="0.25">
      <c r="A7460" s="290"/>
      <c r="B7460" s="288"/>
      <c r="C7460" s="334"/>
      <c r="D7460" s="286"/>
      <c r="E7460" s="876"/>
      <c r="F7460" s="284" t="s">
        <v>247</v>
      </c>
      <c r="G7460" s="598" t="s">
        <v>4995</v>
      </c>
      <c r="H7460" s="555"/>
      <c r="I7460" s="556"/>
      <c r="J7460" s="560">
        <f t="shared" si="254"/>
        <v>0</v>
      </c>
      <c r="K7460" s="505"/>
      <c r="L7460" s="505"/>
      <c r="M7460" s="505"/>
      <c r="N7460" s="505"/>
      <c r="O7460" s="505"/>
      <c r="P7460" s="505"/>
      <c r="Q7460" s="505"/>
      <c r="R7460" s="505"/>
      <c r="S7460" s="505"/>
      <c r="T7460" s="505"/>
      <c r="U7460" s="505"/>
      <c r="V7460" s="505"/>
      <c r="W7460" s="505"/>
      <c r="X7460" s="505"/>
      <c r="Y7460" s="505"/>
    </row>
    <row r="7461" spans="1:25" s="88" customFormat="1" hidden="1" x14ac:dyDescent="0.25">
      <c r="A7461" s="290"/>
      <c r="B7461" s="288"/>
      <c r="C7461" s="334"/>
      <c r="D7461" s="286"/>
      <c r="E7461" s="876"/>
      <c r="F7461" s="284" t="s">
        <v>248</v>
      </c>
      <c r="G7461" s="287" t="s">
        <v>57</v>
      </c>
      <c r="H7461" s="555"/>
      <c r="I7461" s="556"/>
      <c r="J7461" s="560">
        <f t="shared" si="254"/>
        <v>0</v>
      </c>
      <c r="K7461" s="505"/>
      <c r="L7461" s="505"/>
      <c r="M7461" s="505"/>
      <c r="N7461" s="505"/>
      <c r="O7461" s="505"/>
      <c r="P7461" s="505"/>
      <c r="Q7461" s="505"/>
      <c r="R7461" s="505"/>
      <c r="S7461" s="505"/>
      <c r="T7461" s="505"/>
      <c r="U7461" s="505"/>
      <c r="V7461" s="505"/>
      <c r="W7461" s="505"/>
      <c r="X7461" s="505"/>
      <c r="Y7461" s="505"/>
    </row>
    <row r="7462" spans="1:25" s="88" customFormat="1" hidden="1" x14ac:dyDescent="0.25">
      <c r="A7462" s="290"/>
      <c r="B7462" s="288"/>
      <c r="C7462" s="334"/>
      <c r="D7462" s="286"/>
      <c r="E7462" s="876"/>
      <c r="F7462" s="284" t="s">
        <v>249</v>
      </c>
      <c r="G7462" s="287" t="s">
        <v>250</v>
      </c>
      <c r="H7462" s="555"/>
      <c r="I7462" s="556"/>
      <c r="J7462" s="560">
        <f t="shared" si="254"/>
        <v>0</v>
      </c>
      <c r="K7462" s="505"/>
      <c r="L7462" s="505"/>
      <c r="M7462" s="505"/>
      <c r="N7462" s="505"/>
      <c r="O7462" s="505"/>
      <c r="P7462" s="505"/>
      <c r="Q7462" s="505"/>
      <c r="R7462" s="505"/>
      <c r="S7462" s="505"/>
      <c r="T7462" s="505"/>
      <c r="U7462" s="505"/>
      <c r="V7462" s="505"/>
      <c r="W7462" s="505"/>
      <c r="X7462" s="505"/>
      <c r="Y7462" s="505"/>
    </row>
    <row r="7463" spans="1:25" s="88" customFormat="1" hidden="1" x14ac:dyDescent="0.25">
      <c r="A7463" s="290"/>
      <c r="B7463" s="288"/>
      <c r="C7463" s="334"/>
      <c r="D7463" s="286"/>
      <c r="E7463" s="876"/>
      <c r="F7463" s="284" t="s">
        <v>251</v>
      </c>
      <c r="G7463" s="287" t="s">
        <v>252</v>
      </c>
      <c r="H7463" s="555"/>
      <c r="I7463" s="556"/>
      <c r="J7463" s="560">
        <f t="shared" si="254"/>
        <v>0</v>
      </c>
      <c r="K7463" s="505"/>
      <c r="L7463" s="505"/>
      <c r="M7463" s="505"/>
      <c r="N7463" s="505"/>
      <c r="O7463" s="505"/>
      <c r="P7463" s="505"/>
      <c r="Q7463" s="505"/>
      <c r="R7463" s="505"/>
      <c r="S7463" s="505"/>
      <c r="T7463" s="505"/>
      <c r="U7463" s="505"/>
      <c r="V7463" s="505"/>
      <c r="W7463" s="505"/>
      <c r="X7463" s="505"/>
      <c r="Y7463" s="505"/>
    </row>
    <row r="7464" spans="1:25" s="88" customFormat="1" ht="30" hidden="1" x14ac:dyDescent="0.25">
      <c r="A7464" s="290"/>
      <c r="B7464" s="288"/>
      <c r="C7464" s="334"/>
      <c r="D7464" s="286"/>
      <c r="E7464" s="876"/>
      <c r="F7464" s="284" t="s">
        <v>253</v>
      </c>
      <c r="G7464" s="287" t="s">
        <v>254</v>
      </c>
      <c r="H7464" s="555"/>
      <c r="I7464" s="556"/>
      <c r="J7464" s="560">
        <f t="shared" si="254"/>
        <v>0</v>
      </c>
      <c r="K7464" s="505"/>
      <c r="L7464" s="505"/>
      <c r="M7464" s="505"/>
      <c r="N7464" s="505"/>
      <c r="O7464" s="505"/>
      <c r="P7464" s="505"/>
      <c r="Q7464" s="505"/>
      <c r="R7464" s="505"/>
      <c r="S7464" s="505"/>
      <c r="T7464" s="505"/>
      <c r="U7464" s="505"/>
      <c r="V7464" s="505"/>
      <c r="W7464" s="505"/>
      <c r="X7464" s="505"/>
      <c r="Y7464" s="505"/>
    </row>
    <row r="7465" spans="1:25" s="88" customFormat="1" hidden="1" x14ac:dyDescent="0.25">
      <c r="A7465" s="290"/>
      <c r="B7465" s="288"/>
      <c r="C7465" s="334"/>
      <c r="D7465" s="286"/>
      <c r="E7465" s="876"/>
      <c r="F7465" s="284" t="s">
        <v>255</v>
      </c>
      <c r="G7465" s="287" t="s">
        <v>256</v>
      </c>
      <c r="H7465" s="555"/>
      <c r="I7465" s="556"/>
      <c r="J7465" s="560">
        <f t="shared" si="254"/>
        <v>0</v>
      </c>
      <c r="K7465" s="505"/>
      <c r="L7465" s="505"/>
      <c r="M7465" s="505"/>
      <c r="N7465" s="505"/>
      <c r="O7465" s="505"/>
      <c r="P7465" s="505"/>
      <c r="Q7465" s="505"/>
      <c r="R7465" s="505"/>
      <c r="S7465" s="505"/>
      <c r="T7465" s="505"/>
      <c r="U7465" s="505"/>
      <c r="V7465" s="505"/>
      <c r="W7465" s="505"/>
      <c r="X7465" s="505"/>
      <c r="Y7465" s="505"/>
    </row>
    <row r="7466" spans="1:25" s="88" customFormat="1" ht="30" hidden="1" x14ac:dyDescent="0.25">
      <c r="A7466" s="290"/>
      <c r="B7466" s="288"/>
      <c r="C7466" s="334"/>
      <c r="D7466" s="286"/>
      <c r="E7466" s="876"/>
      <c r="F7466" s="284" t="s">
        <v>257</v>
      </c>
      <c r="G7466" s="287" t="s">
        <v>258</v>
      </c>
      <c r="H7466" s="555"/>
      <c r="I7466" s="556"/>
      <c r="J7466" s="560">
        <f t="shared" si="254"/>
        <v>0</v>
      </c>
      <c r="K7466" s="505"/>
      <c r="L7466" s="505"/>
      <c r="M7466" s="505"/>
      <c r="N7466" s="505"/>
      <c r="O7466" s="505"/>
      <c r="P7466" s="505"/>
      <c r="Q7466" s="505"/>
      <c r="R7466" s="505"/>
      <c r="S7466" s="505"/>
      <c r="T7466" s="505"/>
      <c r="U7466" s="505"/>
      <c r="V7466" s="505"/>
      <c r="W7466" s="505"/>
      <c r="X7466" s="505"/>
      <c r="Y7466" s="505"/>
    </row>
    <row r="7467" spans="1:25" s="88" customFormat="1" hidden="1" x14ac:dyDescent="0.25">
      <c r="A7467" s="290"/>
      <c r="B7467" s="288"/>
      <c r="C7467" s="334"/>
      <c r="D7467" s="286"/>
      <c r="E7467" s="876"/>
      <c r="F7467" s="284" t="s">
        <v>259</v>
      </c>
      <c r="G7467" s="287" t="s">
        <v>260</v>
      </c>
      <c r="H7467" s="555"/>
      <c r="I7467" s="556"/>
      <c r="J7467" s="560">
        <f t="shared" si="254"/>
        <v>0</v>
      </c>
      <c r="K7467" s="505"/>
      <c r="L7467" s="505"/>
      <c r="M7467" s="505"/>
      <c r="N7467" s="505"/>
      <c r="O7467" s="505"/>
      <c r="P7467" s="505"/>
      <c r="Q7467" s="505"/>
      <c r="R7467" s="505"/>
      <c r="S7467" s="505"/>
      <c r="T7467" s="505"/>
      <c r="U7467" s="505"/>
      <c r="V7467" s="505"/>
      <c r="W7467" s="505"/>
      <c r="X7467" s="505"/>
      <c r="Y7467" s="505"/>
    </row>
    <row r="7468" spans="1:25" s="88" customFormat="1" ht="15.75" hidden="1" thickBot="1" x14ac:dyDescent="0.3">
      <c r="A7468" s="290"/>
      <c r="B7468" s="288"/>
      <c r="C7468" s="334"/>
      <c r="D7468" s="286"/>
      <c r="E7468" s="876"/>
      <c r="F7468" s="284" t="s">
        <v>261</v>
      </c>
      <c r="G7468" s="287" t="s">
        <v>262</v>
      </c>
      <c r="H7468" s="559"/>
      <c r="I7468" s="560"/>
      <c r="J7468" s="560">
        <f t="shared" si="254"/>
        <v>0</v>
      </c>
      <c r="K7468" s="505"/>
      <c r="L7468" s="505"/>
      <c r="M7468" s="505"/>
      <c r="N7468" s="505"/>
      <c r="O7468" s="505"/>
      <c r="P7468" s="505"/>
      <c r="Q7468" s="505"/>
      <c r="R7468" s="505"/>
      <c r="S7468" s="505"/>
      <c r="T7468" s="505"/>
      <c r="U7468" s="505"/>
      <c r="V7468" s="505"/>
      <c r="W7468" s="505"/>
      <c r="X7468" s="505"/>
      <c r="Y7468" s="505"/>
    </row>
    <row r="7469" spans="1:25" s="88" customFormat="1" ht="15.75" hidden="1" thickBot="1" x14ac:dyDescent="0.3">
      <c r="A7469" s="290"/>
      <c r="B7469" s="288"/>
      <c r="C7469" s="334"/>
      <c r="D7469" s="286"/>
      <c r="E7469" s="876"/>
      <c r="F7469" s="258"/>
      <c r="G7469" s="268" t="s">
        <v>4171</v>
      </c>
      <c r="H7469" s="561" t="e">
        <f>SUM(H7453:H7468)</f>
        <v>#REF!</v>
      </c>
      <c r="I7469" s="562">
        <f>SUM(I7454:I7468)</f>
        <v>0</v>
      </c>
      <c r="J7469" s="562" t="e">
        <f>SUM(J7453:J7468)</f>
        <v>#REF!</v>
      </c>
      <c r="K7469" s="505"/>
      <c r="L7469" s="505"/>
      <c r="M7469" s="505"/>
      <c r="N7469" s="505"/>
      <c r="O7469" s="505"/>
      <c r="P7469" s="505"/>
      <c r="Q7469" s="505"/>
      <c r="R7469" s="505"/>
      <c r="S7469" s="505"/>
      <c r="T7469" s="505"/>
      <c r="U7469" s="505"/>
      <c r="V7469" s="505"/>
      <c r="W7469" s="505"/>
      <c r="X7469" s="505"/>
      <c r="Y7469" s="505"/>
    </row>
    <row r="7470" spans="1:25" hidden="1" x14ac:dyDescent="0.25">
      <c r="A7470" s="290"/>
    </row>
    <row r="7471" spans="1:25" s="88" customFormat="1" hidden="1" x14ac:dyDescent="0.25">
      <c r="A7471" s="258"/>
      <c r="C7471" s="335"/>
      <c r="E7471" s="877"/>
      <c r="G7471" s="301"/>
      <c r="H7471" s="576"/>
      <c r="I7471" s="577"/>
      <c r="J7471" s="577"/>
      <c r="K7471" s="505"/>
      <c r="L7471" s="505"/>
      <c r="M7471" s="505"/>
      <c r="N7471" s="505"/>
      <c r="O7471" s="505"/>
      <c r="P7471" s="505"/>
      <c r="Q7471" s="505"/>
      <c r="R7471" s="505"/>
      <c r="S7471" s="505"/>
      <c r="T7471" s="505"/>
      <c r="U7471" s="505"/>
      <c r="V7471" s="505"/>
      <c r="W7471" s="505"/>
      <c r="X7471" s="505"/>
      <c r="Y7471" s="505"/>
    </row>
    <row r="7472" spans="1:25" s="88" customFormat="1" hidden="1" x14ac:dyDescent="0.25">
      <c r="B7472" s="306">
        <v>2</v>
      </c>
      <c r="C7472" s="338"/>
      <c r="D7472" s="307"/>
      <c r="E7472" s="885"/>
      <c r="F7472" s="308"/>
      <c r="G7472" s="309" t="s">
        <v>4218</v>
      </c>
      <c r="H7472" s="590"/>
      <c r="I7472" s="591"/>
      <c r="J7472" s="578"/>
      <c r="K7472" s="505"/>
      <c r="L7472" s="505"/>
      <c r="M7472" s="505"/>
      <c r="N7472" s="505"/>
      <c r="O7472" s="505"/>
      <c r="P7472" s="505"/>
      <c r="Q7472" s="505"/>
      <c r="R7472" s="505"/>
      <c r="S7472" s="505"/>
      <c r="T7472" s="505"/>
      <c r="U7472" s="505"/>
      <c r="V7472" s="505"/>
      <c r="W7472" s="505"/>
      <c r="X7472" s="505"/>
      <c r="Y7472" s="505"/>
    </row>
    <row r="7473" spans="1:10" hidden="1" x14ac:dyDescent="0.25">
      <c r="A7473" s="305">
        <v>4</v>
      </c>
      <c r="C7473" s="267" t="s">
        <v>3599</v>
      </c>
      <c r="G7473" s="318" t="s">
        <v>4130</v>
      </c>
    </row>
    <row r="7474" spans="1:10" ht="28.5" hidden="1" x14ac:dyDescent="0.25">
      <c r="C7474" s="339" t="s">
        <v>4098</v>
      </c>
      <c r="G7474" s="318" t="s">
        <v>4099</v>
      </c>
    </row>
    <row r="7475" spans="1:10" ht="30" hidden="1" x14ac:dyDescent="0.25">
      <c r="C7475" s="267"/>
      <c r="D7475" s="331">
        <v>160</v>
      </c>
      <c r="E7475" s="869"/>
      <c r="F7475" s="331"/>
      <c r="G7475" s="333" t="s">
        <v>3899</v>
      </c>
    </row>
    <row r="7476" spans="1:10" hidden="1" x14ac:dyDescent="0.25">
      <c r="F7476" s="258">
        <v>4631</v>
      </c>
      <c r="G7476" s="269" t="s">
        <v>3809</v>
      </c>
    </row>
    <row r="7477" spans="1:10" ht="15.75" hidden="1" thickBot="1" x14ac:dyDescent="0.3">
      <c r="F7477" s="258">
        <v>4632</v>
      </c>
      <c r="G7477" s="269" t="s">
        <v>3810</v>
      </c>
    </row>
    <row r="7478" spans="1:10" hidden="1" x14ac:dyDescent="0.25">
      <c r="E7478" s="489"/>
      <c r="F7478" s="324"/>
      <c r="G7478" s="343" t="s">
        <v>4324</v>
      </c>
      <c r="H7478" s="557"/>
      <c r="I7478" s="583"/>
      <c r="J7478" s="558"/>
    </row>
    <row r="7479" spans="1:10" hidden="1" x14ac:dyDescent="0.25">
      <c r="E7479" s="693"/>
      <c r="F7479" s="284" t="s">
        <v>234</v>
      </c>
      <c r="G7479" s="287" t="s">
        <v>235</v>
      </c>
      <c r="H7479" s="559">
        <f>SUM(H7476:H7477)</f>
        <v>0</v>
      </c>
      <c r="I7479" s="560"/>
      <c r="J7479" s="560">
        <f t="shared" ref="J7479:J7494" si="255">SUM(H7479:I7479)</f>
        <v>0</v>
      </c>
    </row>
    <row r="7480" spans="1:10" hidden="1" x14ac:dyDescent="0.25">
      <c r="F7480" s="284" t="s">
        <v>236</v>
      </c>
      <c r="G7480" s="287" t="s">
        <v>237</v>
      </c>
      <c r="J7480" s="560">
        <f t="shared" si="255"/>
        <v>0</v>
      </c>
    </row>
    <row r="7481" spans="1:10" hidden="1" x14ac:dyDescent="0.25">
      <c r="F7481" s="284" t="s">
        <v>238</v>
      </c>
      <c r="G7481" s="287" t="s">
        <v>239</v>
      </c>
      <c r="J7481" s="560">
        <f t="shared" si="255"/>
        <v>0</v>
      </c>
    </row>
    <row r="7482" spans="1:10" hidden="1" x14ac:dyDescent="0.25">
      <c r="F7482" s="284" t="s">
        <v>240</v>
      </c>
      <c r="G7482" s="287" t="s">
        <v>241</v>
      </c>
      <c r="J7482" s="560">
        <f t="shared" si="255"/>
        <v>0</v>
      </c>
    </row>
    <row r="7483" spans="1:10" hidden="1" x14ac:dyDescent="0.25">
      <c r="F7483" s="284" t="s">
        <v>242</v>
      </c>
      <c r="G7483" s="287" t="s">
        <v>243</v>
      </c>
      <c r="J7483" s="560">
        <f t="shared" si="255"/>
        <v>0</v>
      </c>
    </row>
    <row r="7484" spans="1:10" hidden="1" x14ac:dyDescent="0.25">
      <c r="F7484" s="284" t="s">
        <v>244</v>
      </c>
      <c r="G7484" s="287" t="s">
        <v>245</v>
      </c>
      <c r="J7484" s="560">
        <f t="shared" si="255"/>
        <v>0</v>
      </c>
    </row>
    <row r="7485" spans="1:10" hidden="1" x14ac:dyDescent="0.25">
      <c r="F7485" s="284" t="s">
        <v>246</v>
      </c>
      <c r="G7485" s="598" t="s">
        <v>4996</v>
      </c>
      <c r="J7485" s="560">
        <f t="shared" si="255"/>
        <v>0</v>
      </c>
    </row>
    <row r="7486" spans="1:10" hidden="1" x14ac:dyDescent="0.25">
      <c r="F7486" s="284" t="s">
        <v>247</v>
      </c>
      <c r="G7486" s="598" t="s">
        <v>4995</v>
      </c>
      <c r="J7486" s="560">
        <f t="shared" si="255"/>
        <v>0</v>
      </c>
    </row>
    <row r="7487" spans="1:10" hidden="1" x14ac:dyDescent="0.25">
      <c r="F7487" s="284" t="s">
        <v>248</v>
      </c>
      <c r="G7487" s="287" t="s">
        <v>57</v>
      </c>
      <c r="J7487" s="560">
        <f t="shared" si="255"/>
        <v>0</v>
      </c>
    </row>
    <row r="7488" spans="1:10" hidden="1" x14ac:dyDescent="0.25">
      <c r="F7488" s="284" t="s">
        <v>249</v>
      </c>
      <c r="G7488" s="287" t="s">
        <v>250</v>
      </c>
      <c r="J7488" s="560">
        <f t="shared" si="255"/>
        <v>0</v>
      </c>
    </row>
    <row r="7489" spans="6:10" hidden="1" x14ac:dyDescent="0.25">
      <c r="F7489" s="284" t="s">
        <v>251</v>
      </c>
      <c r="G7489" s="287" t="s">
        <v>252</v>
      </c>
      <c r="J7489" s="560">
        <f t="shared" si="255"/>
        <v>0</v>
      </c>
    </row>
    <row r="7490" spans="6:10" ht="30" hidden="1" x14ac:dyDescent="0.25">
      <c r="F7490" s="284" t="s">
        <v>253</v>
      </c>
      <c r="G7490" s="287" t="s">
        <v>254</v>
      </c>
      <c r="J7490" s="560">
        <f t="shared" si="255"/>
        <v>0</v>
      </c>
    </row>
    <row r="7491" spans="6:10" hidden="1" x14ac:dyDescent="0.25">
      <c r="F7491" s="284" t="s">
        <v>255</v>
      </c>
      <c r="G7491" s="287" t="s">
        <v>256</v>
      </c>
      <c r="J7491" s="560">
        <f t="shared" si="255"/>
        <v>0</v>
      </c>
    </row>
    <row r="7492" spans="6:10" ht="30" hidden="1" x14ac:dyDescent="0.25">
      <c r="F7492" s="284" t="s">
        <v>257</v>
      </c>
      <c r="G7492" s="287" t="s">
        <v>258</v>
      </c>
      <c r="J7492" s="560">
        <f t="shared" si="255"/>
        <v>0</v>
      </c>
    </row>
    <row r="7493" spans="6:10" hidden="1" x14ac:dyDescent="0.25">
      <c r="F7493" s="284" t="s">
        <v>259</v>
      </c>
      <c r="G7493" s="287" t="s">
        <v>260</v>
      </c>
      <c r="J7493" s="560">
        <f t="shared" si="255"/>
        <v>0</v>
      </c>
    </row>
    <row r="7494" spans="6:10" ht="15.75" hidden="1" thickBot="1" x14ac:dyDescent="0.3">
      <c r="F7494" s="284" t="s">
        <v>261</v>
      </c>
      <c r="G7494" s="287" t="s">
        <v>262</v>
      </c>
      <c r="H7494" s="559"/>
      <c r="I7494" s="560"/>
      <c r="J7494" s="560">
        <f t="shared" si="255"/>
        <v>0</v>
      </c>
    </row>
    <row r="7495" spans="6:10" ht="15.75" hidden="1" thickBot="1" x14ac:dyDescent="0.3">
      <c r="G7495" s="268" t="s">
        <v>4325</v>
      </c>
      <c r="H7495" s="561">
        <f>SUM(H7479:H7494)</f>
        <v>0</v>
      </c>
      <c r="I7495" s="562">
        <f>SUM(I7480:I7494)</f>
        <v>0</v>
      </c>
      <c r="J7495" s="562">
        <f>SUM(J7479:J7494)</f>
        <v>0</v>
      </c>
    </row>
    <row r="7496" spans="6:10" ht="28.5" hidden="1" x14ac:dyDescent="0.25">
      <c r="F7496" s="293"/>
      <c r="G7496" s="270" t="s">
        <v>4173</v>
      </c>
      <c r="H7496" s="563"/>
      <c r="I7496" s="584"/>
      <c r="J7496" s="564"/>
    </row>
    <row r="7497" spans="6:10" hidden="1" x14ac:dyDescent="0.25">
      <c r="F7497" s="284" t="s">
        <v>234</v>
      </c>
      <c r="G7497" s="287" t="s">
        <v>235</v>
      </c>
      <c r="H7497" s="559">
        <f>SUM(H7476:H7477)</f>
        <v>0</v>
      </c>
      <c r="I7497" s="560"/>
      <c r="J7497" s="560">
        <f>SUM(H7497:I7497)</f>
        <v>0</v>
      </c>
    </row>
    <row r="7498" spans="6:10" hidden="1" x14ac:dyDescent="0.25">
      <c r="F7498" s="284" t="s">
        <v>236</v>
      </c>
      <c r="G7498" s="287" t="s">
        <v>237</v>
      </c>
      <c r="J7498" s="560">
        <f t="shared" ref="J7498:J7512" si="256">SUM(H7498:I7498)</f>
        <v>0</v>
      </c>
    </row>
    <row r="7499" spans="6:10" hidden="1" x14ac:dyDescent="0.25">
      <c r="F7499" s="284" t="s">
        <v>238</v>
      </c>
      <c r="G7499" s="287" t="s">
        <v>239</v>
      </c>
      <c r="J7499" s="560">
        <f t="shared" si="256"/>
        <v>0</v>
      </c>
    </row>
    <row r="7500" spans="6:10" hidden="1" x14ac:dyDescent="0.25">
      <c r="F7500" s="284" t="s">
        <v>240</v>
      </c>
      <c r="G7500" s="287" t="s">
        <v>241</v>
      </c>
      <c r="J7500" s="560">
        <f t="shared" si="256"/>
        <v>0</v>
      </c>
    </row>
    <row r="7501" spans="6:10" hidden="1" x14ac:dyDescent="0.25">
      <c r="F7501" s="284" t="s">
        <v>242</v>
      </c>
      <c r="G7501" s="287" t="s">
        <v>243</v>
      </c>
      <c r="J7501" s="560">
        <f t="shared" si="256"/>
        <v>0</v>
      </c>
    </row>
    <row r="7502" spans="6:10" hidden="1" x14ac:dyDescent="0.25">
      <c r="F7502" s="284" t="s">
        <v>244</v>
      </c>
      <c r="G7502" s="287" t="s">
        <v>245</v>
      </c>
      <c r="J7502" s="560">
        <f t="shared" si="256"/>
        <v>0</v>
      </c>
    </row>
    <row r="7503" spans="6:10" hidden="1" x14ac:dyDescent="0.25">
      <c r="F7503" s="284" t="s">
        <v>246</v>
      </c>
      <c r="G7503" s="598" t="s">
        <v>4996</v>
      </c>
      <c r="J7503" s="560">
        <f t="shared" si="256"/>
        <v>0</v>
      </c>
    </row>
    <row r="7504" spans="6:10" hidden="1" x14ac:dyDescent="0.25">
      <c r="F7504" s="284" t="s">
        <v>247</v>
      </c>
      <c r="G7504" s="598" t="s">
        <v>4995</v>
      </c>
      <c r="J7504" s="560">
        <f t="shared" si="256"/>
        <v>0</v>
      </c>
    </row>
    <row r="7505" spans="5:10" hidden="1" x14ac:dyDescent="0.25">
      <c r="F7505" s="284" t="s">
        <v>248</v>
      </c>
      <c r="G7505" s="287" t="s">
        <v>57</v>
      </c>
      <c r="J7505" s="560">
        <f t="shared" si="256"/>
        <v>0</v>
      </c>
    </row>
    <row r="7506" spans="5:10" hidden="1" x14ac:dyDescent="0.25">
      <c r="F7506" s="284" t="s">
        <v>249</v>
      </c>
      <c r="G7506" s="287" t="s">
        <v>250</v>
      </c>
      <c r="J7506" s="560">
        <f t="shared" si="256"/>
        <v>0</v>
      </c>
    </row>
    <row r="7507" spans="5:10" hidden="1" x14ac:dyDescent="0.25">
      <c r="F7507" s="284" t="s">
        <v>251</v>
      </c>
      <c r="G7507" s="287" t="s">
        <v>252</v>
      </c>
      <c r="J7507" s="560">
        <f t="shared" si="256"/>
        <v>0</v>
      </c>
    </row>
    <row r="7508" spans="5:10" ht="30" hidden="1" x14ac:dyDescent="0.25">
      <c r="F7508" s="284" t="s">
        <v>253</v>
      </c>
      <c r="G7508" s="287" t="s">
        <v>254</v>
      </c>
      <c r="J7508" s="560">
        <f t="shared" si="256"/>
        <v>0</v>
      </c>
    </row>
    <row r="7509" spans="5:10" hidden="1" x14ac:dyDescent="0.25">
      <c r="F7509" s="284" t="s">
        <v>255</v>
      </c>
      <c r="G7509" s="287" t="s">
        <v>256</v>
      </c>
      <c r="J7509" s="560">
        <f t="shared" si="256"/>
        <v>0</v>
      </c>
    </row>
    <row r="7510" spans="5:10" ht="30" hidden="1" x14ac:dyDescent="0.25">
      <c r="F7510" s="284" t="s">
        <v>257</v>
      </c>
      <c r="G7510" s="287" t="s">
        <v>258</v>
      </c>
      <c r="J7510" s="560">
        <f t="shared" si="256"/>
        <v>0</v>
      </c>
    </row>
    <row r="7511" spans="5:10" hidden="1" x14ac:dyDescent="0.25">
      <c r="F7511" s="284" t="s">
        <v>259</v>
      </c>
      <c r="G7511" s="287" t="s">
        <v>260</v>
      </c>
      <c r="J7511" s="560">
        <f t="shared" si="256"/>
        <v>0</v>
      </c>
    </row>
    <row r="7512" spans="5:10" ht="15.75" hidden="1" thickBot="1" x14ac:dyDescent="0.3">
      <c r="F7512" s="284" t="s">
        <v>261</v>
      </c>
      <c r="G7512" s="287" t="s">
        <v>262</v>
      </c>
      <c r="H7512" s="559"/>
      <c r="I7512" s="560"/>
      <c r="J7512" s="560">
        <f t="shared" si="256"/>
        <v>0</v>
      </c>
    </row>
    <row r="7513" spans="5:10" ht="15.75" hidden="1" thickBot="1" x14ac:dyDescent="0.3">
      <c r="G7513" s="268" t="s">
        <v>4172</v>
      </c>
      <c r="H7513" s="561">
        <f>SUM(H7497:H7512)</f>
        <v>0</v>
      </c>
      <c r="I7513" s="562">
        <f>SUM(I7498:I7512)</f>
        <v>0</v>
      </c>
      <c r="J7513" s="562">
        <f>SUM(J7497:J7512)</f>
        <v>0</v>
      </c>
    </row>
    <row r="7514" spans="5:10" hidden="1" x14ac:dyDescent="0.25"/>
    <row r="7515" spans="5:10" hidden="1" x14ac:dyDescent="0.25">
      <c r="E7515" s="489"/>
      <c r="F7515" s="324"/>
      <c r="G7515" s="285" t="s">
        <v>4167</v>
      </c>
      <c r="H7515" s="567"/>
      <c r="I7515" s="585"/>
      <c r="J7515" s="568"/>
    </row>
    <row r="7516" spans="5:10" hidden="1" x14ac:dyDescent="0.25">
      <c r="E7516" s="693"/>
      <c r="F7516" s="284" t="s">
        <v>234</v>
      </c>
      <c r="G7516" s="287" t="s">
        <v>235</v>
      </c>
      <c r="H7516" s="559">
        <f>SUM(H7497)</f>
        <v>0</v>
      </c>
      <c r="I7516" s="560"/>
      <c r="J7516" s="560">
        <f>SUM(H7516:I7516)</f>
        <v>0</v>
      </c>
    </row>
    <row r="7517" spans="5:10" hidden="1" x14ac:dyDescent="0.25">
      <c r="F7517" s="284" t="s">
        <v>236</v>
      </c>
      <c r="G7517" s="287" t="s">
        <v>237</v>
      </c>
      <c r="J7517" s="560">
        <f t="shared" ref="J7517:J7531" si="257">SUM(H7517:I7517)</f>
        <v>0</v>
      </c>
    </row>
    <row r="7518" spans="5:10" hidden="1" x14ac:dyDescent="0.25">
      <c r="F7518" s="284" t="s">
        <v>238</v>
      </c>
      <c r="G7518" s="287" t="s">
        <v>239</v>
      </c>
      <c r="J7518" s="560">
        <f t="shared" si="257"/>
        <v>0</v>
      </c>
    </row>
    <row r="7519" spans="5:10" hidden="1" x14ac:dyDescent="0.25">
      <c r="F7519" s="284" t="s">
        <v>240</v>
      </c>
      <c r="G7519" s="287" t="s">
        <v>241</v>
      </c>
      <c r="J7519" s="560">
        <f t="shared" si="257"/>
        <v>0</v>
      </c>
    </row>
    <row r="7520" spans="5:10" hidden="1" x14ac:dyDescent="0.25">
      <c r="F7520" s="284" t="s">
        <v>242</v>
      </c>
      <c r="G7520" s="287" t="s">
        <v>243</v>
      </c>
      <c r="J7520" s="560">
        <f t="shared" si="257"/>
        <v>0</v>
      </c>
    </row>
    <row r="7521" spans="1:25" hidden="1" x14ac:dyDescent="0.25">
      <c r="F7521" s="284" t="s">
        <v>244</v>
      </c>
      <c r="G7521" s="287" t="s">
        <v>245</v>
      </c>
      <c r="J7521" s="560">
        <f t="shared" si="257"/>
        <v>0</v>
      </c>
    </row>
    <row r="7522" spans="1:25" hidden="1" x14ac:dyDescent="0.25">
      <c r="F7522" s="284" t="s">
        <v>246</v>
      </c>
      <c r="G7522" s="598" t="s">
        <v>4996</v>
      </c>
      <c r="J7522" s="560">
        <f t="shared" si="257"/>
        <v>0</v>
      </c>
    </row>
    <row r="7523" spans="1:25" hidden="1" x14ac:dyDescent="0.25">
      <c r="F7523" s="284" t="s">
        <v>247</v>
      </c>
      <c r="G7523" s="598" t="s">
        <v>4995</v>
      </c>
      <c r="J7523" s="560">
        <f t="shared" si="257"/>
        <v>0</v>
      </c>
    </row>
    <row r="7524" spans="1:25" hidden="1" x14ac:dyDescent="0.25">
      <c r="F7524" s="284" t="s">
        <v>248</v>
      </c>
      <c r="G7524" s="287" t="s">
        <v>57</v>
      </c>
      <c r="J7524" s="560">
        <f t="shared" si="257"/>
        <v>0</v>
      </c>
    </row>
    <row r="7525" spans="1:25" hidden="1" x14ac:dyDescent="0.25">
      <c r="F7525" s="284" t="s">
        <v>249</v>
      </c>
      <c r="G7525" s="287" t="s">
        <v>250</v>
      </c>
      <c r="J7525" s="560">
        <f t="shared" si="257"/>
        <v>0</v>
      </c>
    </row>
    <row r="7526" spans="1:25" hidden="1" x14ac:dyDescent="0.25">
      <c r="F7526" s="284" t="s">
        <v>251</v>
      </c>
      <c r="G7526" s="287" t="s">
        <v>252</v>
      </c>
      <c r="J7526" s="560">
        <f t="shared" si="257"/>
        <v>0</v>
      </c>
    </row>
    <row r="7527" spans="1:25" ht="30" hidden="1" x14ac:dyDescent="0.25">
      <c r="F7527" s="284" t="s">
        <v>253</v>
      </c>
      <c r="G7527" s="287" t="s">
        <v>254</v>
      </c>
      <c r="J7527" s="560">
        <f t="shared" si="257"/>
        <v>0</v>
      </c>
    </row>
    <row r="7528" spans="1:25" hidden="1" x14ac:dyDescent="0.25">
      <c r="F7528" s="284" t="s">
        <v>255</v>
      </c>
      <c r="G7528" s="287" t="s">
        <v>256</v>
      </c>
      <c r="J7528" s="560">
        <f t="shared" si="257"/>
        <v>0</v>
      </c>
    </row>
    <row r="7529" spans="1:25" ht="30" hidden="1" x14ac:dyDescent="0.25">
      <c r="F7529" s="284" t="s">
        <v>257</v>
      </c>
      <c r="G7529" s="287" t="s">
        <v>258</v>
      </c>
      <c r="J7529" s="560">
        <f t="shared" si="257"/>
        <v>0</v>
      </c>
    </row>
    <row r="7530" spans="1:25" hidden="1" x14ac:dyDescent="0.25">
      <c r="F7530" s="284" t="s">
        <v>259</v>
      </c>
      <c r="G7530" s="287" t="s">
        <v>260</v>
      </c>
      <c r="J7530" s="560">
        <f t="shared" si="257"/>
        <v>0</v>
      </c>
    </row>
    <row r="7531" spans="1:25" ht="15.75" hidden="1" thickBot="1" x14ac:dyDescent="0.3">
      <c r="F7531" s="284" t="s">
        <v>261</v>
      </c>
      <c r="G7531" s="287" t="s">
        <v>262</v>
      </c>
      <c r="H7531" s="559"/>
      <c r="I7531" s="560"/>
      <c r="J7531" s="560">
        <f t="shared" si="257"/>
        <v>0</v>
      </c>
    </row>
    <row r="7532" spans="1:25" ht="15.75" hidden="1" thickBot="1" x14ac:dyDescent="0.3">
      <c r="G7532" s="268" t="s">
        <v>4168</v>
      </c>
      <c r="H7532" s="561">
        <f>SUM(H7516:H7531)</f>
        <v>0</v>
      </c>
      <c r="I7532" s="562">
        <f>SUM(I7517:I7531)</f>
        <v>0</v>
      </c>
      <c r="J7532" s="562">
        <f>SUM(J7516:J7531)</f>
        <v>0</v>
      </c>
    </row>
    <row r="7533" spans="1:25" hidden="1" x14ac:dyDescent="0.25"/>
    <row r="7534" spans="1:25" s="88" customFormat="1" hidden="1" x14ac:dyDescent="0.25">
      <c r="A7534" s="258"/>
      <c r="B7534" s="288"/>
      <c r="C7534" s="334"/>
      <c r="D7534" s="286"/>
      <c r="E7534" s="876"/>
      <c r="F7534" s="293"/>
      <c r="G7534" s="285" t="s">
        <v>4221</v>
      </c>
      <c r="H7534" s="567"/>
      <c r="I7534" s="585"/>
      <c r="J7534" s="568"/>
      <c r="K7534" s="505"/>
      <c r="L7534" s="505"/>
      <c r="M7534" s="505"/>
      <c r="N7534" s="505"/>
      <c r="O7534" s="505"/>
      <c r="P7534" s="505"/>
      <c r="Q7534" s="505"/>
      <c r="R7534" s="505"/>
      <c r="S7534" s="505"/>
      <c r="T7534" s="505"/>
      <c r="U7534" s="505"/>
      <c r="V7534" s="505"/>
      <c r="W7534" s="505"/>
      <c r="X7534" s="505"/>
      <c r="Y7534" s="505"/>
    </row>
    <row r="7535" spans="1:25" s="88" customFormat="1" hidden="1" x14ac:dyDescent="0.25">
      <c r="A7535" s="290"/>
      <c r="B7535" s="288"/>
      <c r="C7535" s="334"/>
      <c r="D7535" s="286"/>
      <c r="E7535" s="876"/>
      <c r="F7535" s="284" t="s">
        <v>234</v>
      </c>
      <c r="G7535" s="287" t="s">
        <v>235</v>
      </c>
      <c r="H7535" s="559">
        <f>SUM(H7516)</f>
        <v>0</v>
      </c>
      <c r="I7535" s="560"/>
      <c r="J7535" s="560">
        <f>SUM(H7535:I7535)</f>
        <v>0</v>
      </c>
      <c r="K7535" s="505"/>
      <c r="L7535" s="505"/>
      <c r="M7535" s="505"/>
      <c r="N7535" s="505"/>
      <c r="O7535" s="505"/>
      <c r="P7535" s="505"/>
      <c r="Q7535" s="505"/>
      <c r="R7535" s="505"/>
      <c r="S7535" s="505"/>
      <c r="T7535" s="505"/>
      <c r="U7535" s="505"/>
      <c r="V7535" s="505"/>
      <c r="W7535" s="505"/>
      <c r="X7535" s="505"/>
      <c r="Y7535" s="505"/>
    </row>
    <row r="7536" spans="1:25" s="88" customFormat="1" hidden="1" x14ac:dyDescent="0.25">
      <c r="A7536" s="290"/>
      <c r="B7536" s="288"/>
      <c r="C7536" s="334"/>
      <c r="D7536" s="286"/>
      <c r="E7536" s="876"/>
      <c r="F7536" s="284" t="s">
        <v>236</v>
      </c>
      <c r="G7536" s="287" t="s">
        <v>237</v>
      </c>
      <c r="H7536" s="555"/>
      <c r="I7536" s="556"/>
      <c r="J7536" s="560">
        <f t="shared" ref="J7536:J7550" si="258">SUM(H7536:I7536)</f>
        <v>0</v>
      </c>
      <c r="K7536" s="505"/>
      <c r="L7536" s="505"/>
      <c r="M7536" s="505"/>
      <c r="N7536" s="505"/>
      <c r="O7536" s="505"/>
      <c r="P7536" s="505"/>
      <c r="Q7536" s="505"/>
      <c r="R7536" s="505"/>
      <c r="S7536" s="505"/>
      <c r="T7536" s="505"/>
      <c r="U7536" s="505"/>
      <c r="V7536" s="505"/>
      <c r="W7536" s="505"/>
      <c r="X7536" s="505"/>
      <c r="Y7536" s="505"/>
    </row>
    <row r="7537" spans="1:25" s="88" customFormat="1" hidden="1" x14ac:dyDescent="0.25">
      <c r="A7537" s="290"/>
      <c r="B7537" s="288"/>
      <c r="C7537" s="334"/>
      <c r="D7537" s="286"/>
      <c r="E7537" s="876"/>
      <c r="F7537" s="284" t="s">
        <v>238</v>
      </c>
      <c r="G7537" s="287" t="s">
        <v>239</v>
      </c>
      <c r="H7537" s="555"/>
      <c r="I7537" s="556"/>
      <c r="J7537" s="560">
        <f t="shared" si="258"/>
        <v>0</v>
      </c>
      <c r="K7537" s="505"/>
      <c r="L7537" s="505"/>
      <c r="M7537" s="505"/>
      <c r="N7537" s="505"/>
      <c r="O7537" s="505"/>
      <c r="P7537" s="505"/>
      <c r="Q7537" s="505"/>
      <c r="R7537" s="505"/>
      <c r="S7537" s="505"/>
      <c r="T7537" s="505"/>
      <c r="U7537" s="505"/>
      <c r="V7537" s="505"/>
      <c r="W7537" s="505"/>
      <c r="X7537" s="505"/>
      <c r="Y7537" s="505"/>
    </row>
    <row r="7538" spans="1:25" s="88" customFormat="1" hidden="1" x14ac:dyDescent="0.25">
      <c r="A7538" s="290"/>
      <c r="B7538" s="288"/>
      <c r="C7538" s="334"/>
      <c r="D7538" s="286"/>
      <c r="E7538" s="876"/>
      <c r="F7538" s="284" t="s">
        <v>240</v>
      </c>
      <c r="G7538" s="287" t="s">
        <v>241</v>
      </c>
      <c r="H7538" s="555"/>
      <c r="I7538" s="556"/>
      <c r="J7538" s="560">
        <f t="shared" si="258"/>
        <v>0</v>
      </c>
      <c r="K7538" s="505"/>
      <c r="L7538" s="505"/>
      <c r="M7538" s="505"/>
      <c r="N7538" s="505"/>
      <c r="O7538" s="505"/>
      <c r="P7538" s="505"/>
      <c r="Q7538" s="505"/>
      <c r="R7538" s="505"/>
      <c r="S7538" s="505"/>
      <c r="T7538" s="505"/>
      <c r="U7538" s="505"/>
      <c r="V7538" s="505"/>
      <c r="W7538" s="505"/>
      <c r="X7538" s="505"/>
      <c r="Y7538" s="505"/>
    </row>
    <row r="7539" spans="1:25" s="88" customFormat="1" hidden="1" x14ac:dyDescent="0.25">
      <c r="A7539" s="290"/>
      <c r="B7539" s="288"/>
      <c r="C7539" s="334"/>
      <c r="D7539" s="286"/>
      <c r="E7539" s="876"/>
      <c r="F7539" s="284" t="s">
        <v>242</v>
      </c>
      <c r="G7539" s="287" t="s">
        <v>243</v>
      </c>
      <c r="H7539" s="555"/>
      <c r="I7539" s="556"/>
      <c r="J7539" s="560">
        <f t="shared" si="258"/>
        <v>0</v>
      </c>
      <c r="K7539" s="505"/>
      <c r="L7539" s="505"/>
      <c r="M7539" s="505"/>
      <c r="N7539" s="505"/>
      <c r="O7539" s="505"/>
      <c r="P7539" s="505"/>
      <c r="Q7539" s="505"/>
      <c r="R7539" s="505"/>
      <c r="S7539" s="505"/>
      <c r="T7539" s="505"/>
      <c r="U7539" s="505"/>
      <c r="V7539" s="505"/>
      <c r="W7539" s="505"/>
      <c r="X7539" s="505"/>
      <c r="Y7539" s="505"/>
    </row>
    <row r="7540" spans="1:25" s="88" customFormat="1" hidden="1" x14ac:dyDescent="0.25">
      <c r="A7540" s="290"/>
      <c r="B7540" s="288"/>
      <c r="C7540" s="334"/>
      <c r="D7540" s="286"/>
      <c r="E7540" s="876"/>
      <c r="F7540" s="284" t="s">
        <v>244</v>
      </c>
      <c r="G7540" s="287" t="s">
        <v>245</v>
      </c>
      <c r="H7540" s="555"/>
      <c r="I7540" s="556"/>
      <c r="J7540" s="560">
        <f t="shared" si="258"/>
        <v>0</v>
      </c>
      <c r="K7540" s="505"/>
      <c r="L7540" s="505"/>
      <c r="M7540" s="505"/>
      <c r="N7540" s="505"/>
      <c r="O7540" s="505"/>
      <c r="P7540" s="505"/>
      <c r="Q7540" s="505"/>
      <c r="R7540" s="505"/>
      <c r="S7540" s="505"/>
      <c r="T7540" s="505"/>
      <c r="U7540" s="505"/>
      <c r="V7540" s="505"/>
      <c r="W7540" s="505"/>
      <c r="X7540" s="505"/>
      <c r="Y7540" s="505"/>
    </row>
    <row r="7541" spans="1:25" s="88" customFormat="1" hidden="1" x14ac:dyDescent="0.25">
      <c r="A7541" s="290"/>
      <c r="B7541" s="288"/>
      <c r="C7541" s="334"/>
      <c r="D7541" s="286"/>
      <c r="E7541" s="876"/>
      <c r="F7541" s="284" t="s">
        <v>246</v>
      </c>
      <c r="G7541" s="598" t="s">
        <v>4996</v>
      </c>
      <c r="H7541" s="555"/>
      <c r="I7541" s="556"/>
      <c r="J7541" s="560">
        <f t="shared" si="258"/>
        <v>0</v>
      </c>
      <c r="K7541" s="505"/>
      <c r="L7541" s="505"/>
      <c r="M7541" s="505"/>
      <c r="N7541" s="505"/>
      <c r="O7541" s="505"/>
      <c r="P7541" s="505"/>
      <c r="Q7541" s="505"/>
      <c r="R7541" s="505"/>
      <c r="S7541" s="505"/>
      <c r="T7541" s="505"/>
      <c r="U7541" s="505"/>
      <c r="V7541" s="505"/>
      <c r="W7541" s="505"/>
      <c r="X7541" s="505"/>
      <c r="Y7541" s="505"/>
    </row>
    <row r="7542" spans="1:25" s="88" customFormat="1" hidden="1" x14ac:dyDescent="0.25">
      <c r="A7542" s="290"/>
      <c r="B7542" s="288"/>
      <c r="C7542" s="334"/>
      <c r="D7542" s="286"/>
      <c r="E7542" s="876"/>
      <c r="F7542" s="284" t="s">
        <v>247</v>
      </c>
      <c r="G7542" s="598" t="s">
        <v>4995</v>
      </c>
      <c r="H7542" s="555"/>
      <c r="I7542" s="556"/>
      <c r="J7542" s="560">
        <f t="shared" si="258"/>
        <v>0</v>
      </c>
      <c r="K7542" s="505"/>
      <c r="L7542" s="505"/>
      <c r="M7542" s="505"/>
      <c r="N7542" s="505"/>
      <c r="O7542" s="505"/>
      <c r="P7542" s="505"/>
      <c r="Q7542" s="505"/>
      <c r="R7542" s="505"/>
      <c r="S7542" s="505"/>
      <c r="T7542" s="505"/>
      <c r="U7542" s="505"/>
      <c r="V7542" s="505"/>
      <c r="W7542" s="505"/>
      <c r="X7542" s="505"/>
      <c r="Y7542" s="505"/>
    </row>
    <row r="7543" spans="1:25" s="88" customFormat="1" hidden="1" x14ac:dyDescent="0.25">
      <c r="A7543" s="290"/>
      <c r="B7543" s="288"/>
      <c r="C7543" s="334"/>
      <c r="D7543" s="286"/>
      <c r="E7543" s="876"/>
      <c r="F7543" s="284" t="s">
        <v>248</v>
      </c>
      <c r="G7543" s="287" t="s">
        <v>57</v>
      </c>
      <c r="H7543" s="555"/>
      <c r="I7543" s="556"/>
      <c r="J7543" s="560">
        <f t="shared" si="258"/>
        <v>0</v>
      </c>
      <c r="K7543" s="505"/>
      <c r="L7543" s="505"/>
      <c r="M7543" s="505"/>
      <c r="N7543" s="505"/>
      <c r="O7543" s="505"/>
      <c r="P7543" s="505"/>
      <c r="Q7543" s="505"/>
      <c r="R7543" s="505"/>
      <c r="S7543" s="505"/>
      <c r="T7543" s="505"/>
      <c r="U7543" s="505"/>
      <c r="V7543" s="505"/>
      <c r="W7543" s="505"/>
      <c r="X7543" s="505"/>
      <c r="Y7543" s="505"/>
    </row>
    <row r="7544" spans="1:25" s="88" customFormat="1" hidden="1" x14ac:dyDescent="0.25">
      <c r="A7544" s="290"/>
      <c r="B7544" s="288"/>
      <c r="C7544" s="334"/>
      <c r="D7544" s="286"/>
      <c r="E7544" s="876"/>
      <c r="F7544" s="284" t="s">
        <v>249</v>
      </c>
      <c r="G7544" s="287" t="s">
        <v>250</v>
      </c>
      <c r="H7544" s="555"/>
      <c r="I7544" s="556"/>
      <c r="J7544" s="560">
        <f t="shared" si="258"/>
        <v>0</v>
      </c>
      <c r="K7544" s="505"/>
      <c r="L7544" s="505"/>
      <c r="M7544" s="505"/>
      <c r="N7544" s="505"/>
      <c r="O7544" s="505"/>
      <c r="P7544" s="505"/>
      <c r="Q7544" s="505"/>
      <c r="R7544" s="505"/>
      <c r="S7544" s="505"/>
      <c r="T7544" s="505"/>
      <c r="U7544" s="505"/>
      <c r="V7544" s="505"/>
      <c r="W7544" s="505"/>
      <c r="X7544" s="505"/>
      <c r="Y7544" s="505"/>
    </row>
    <row r="7545" spans="1:25" s="88" customFormat="1" hidden="1" x14ac:dyDescent="0.25">
      <c r="A7545" s="290"/>
      <c r="B7545" s="288"/>
      <c r="C7545" s="334"/>
      <c r="D7545" s="286"/>
      <c r="E7545" s="876"/>
      <c r="F7545" s="284" t="s">
        <v>251</v>
      </c>
      <c r="G7545" s="287" t="s">
        <v>252</v>
      </c>
      <c r="H7545" s="555"/>
      <c r="I7545" s="556"/>
      <c r="J7545" s="560">
        <f t="shared" si="258"/>
        <v>0</v>
      </c>
      <c r="K7545" s="505"/>
      <c r="L7545" s="505"/>
      <c r="M7545" s="505"/>
      <c r="N7545" s="505"/>
      <c r="O7545" s="505"/>
      <c r="P7545" s="505"/>
      <c r="Q7545" s="505"/>
      <c r="R7545" s="505"/>
      <c r="S7545" s="505"/>
      <c r="T7545" s="505"/>
      <c r="U7545" s="505"/>
      <c r="V7545" s="505"/>
      <c r="W7545" s="505"/>
      <c r="X7545" s="505"/>
      <c r="Y7545" s="505"/>
    </row>
    <row r="7546" spans="1:25" s="88" customFormat="1" ht="30" hidden="1" x14ac:dyDescent="0.25">
      <c r="A7546" s="290"/>
      <c r="B7546" s="288"/>
      <c r="C7546" s="334"/>
      <c r="D7546" s="286"/>
      <c r="E7546" s="876"/>
      <c r="F7546" s="284" t="s">
        <v>253</v>
      </c>
      <c r="G7546" s="287" t="s">
        <v>254</v>
      </c>
      <c r="H7546" s="555"/>
      <c r="I7546" s="556"/>
      <c r="J7546" s="560">
        <f t="shared" si="258"/>
        <v>0</v>
      </c>
      <c r="K7546" s="505"/>
      <c r="L7546" s="505"/>
      <c r="M7546" s="505"/>
      <c r="N7546" s="505"/>
      <c r="O7546" s="505"/>
      <c r="P7546" s="505"/>
      <c r="Q7546" s="505"/>
      <c r="R7546" s="505"/>
      <c r="S7546" s="505"/>
      <c r="T7546" s="505"/>
      <c r="U7546" s="505"/>
      <c r="V7546" s="505"/>
      <c r="W7546" s="505"/>
      <c r="X7546" s="505"/>
      <c r="Y7546" s="505"/>
    </row>
    <row r="7547" spans="1:25" s="88" customFormat="1" hidden="1" x14ac:dyDescent="0.25">
      <c r="A7547" s="290"/>
      <c r="B7547" s="288"/>
      <c r="C7547" s="334"/>
      <c r="D7547" s="286"/>
      <c r="E7547" s="876"/>
      <c r="F7547" s="284" t="s">
        <v>255</v>
      </c>
      <c r="G7547" s="287" t="s">
        <v>256</v>
      </c>
      <c r="H7547" s="555"/>
      <c r="I7547" s="556"/>
      <c r="J7547" s="560">
        <f t="shared" si="258"/>
        <v>0</v>
      </c>
      <c r="K7547" s="505"/>
      <c r="L7547" s="505"/>
      <c r="M7547" s="505"/>
      <c r="N7547" s="505"/>
      <c r="O7547" s="505"/>
      <c r="P7547" s="505"/>
      <c r="Q7547" s="505"/>
      <c r="R7547" s="505"/>
      <c r="S7547" s="505"/>
      <c r="T7547" s="505"/>
      <c r="U7547" s="505"/>
      <c r="V7547" s="505"/>
      <c r="W7547" s="505"/>
      <c r="X7547" s="505"/>
      <c r="Y7547" s="505"/>
    </row>
    <row r="7548" spans="1:25" s="88" customFormat="1" ht="30" hidden="1" x14ac:dyDescent="0.25">
      <c r="A7548" s="290"/>
      <c r="B7548" s="288"/>
      <c r="C7548" s="334"/>
      <c r="D7548" s="286"/>
      <c r="E7548" s="876"/>
      <c r="F7548" s="284" t="s">
        <v>257</v>
      </c>
      <c r="G7548" s="287" t="s">
        <v>258</v>
      </c>
      <c r="H7548" s="555"/>
      <c r="I7548" s="556"/>
      <c r="J7548" s="560">
        <f t="shared" si="258"/>
        <v>0</v>
      </c>
      <c r="K7548" s="505"/>
      <c r="L7548" s="505"/>
      <c r="M7548" s="505"/>
      <c r="N7548" s="505"/>
      <c r="O7548" s="505"/>
      <c r="P7548" s="505"/>
      <c r="Q7548" s="505"/>
      <c r="R7548" s="505"/>
      <c r="S7548" s="505"/>
      <c r="T7548" s="505"/>
      <c r="U7548" s="505"/>
      <c r="V7548" s="505"/>
      <c r="W7548" s="505"/>
      <c r="X7548" s="505"/>
      <c r="Y7548" s="505"/>
    </row>
    <row r="7549" spans="1:25" s="88" customFormat="1" hidden="1" x14ac:dyDescent="0.25">
      <c r="A7549" s="290"/>
      <c r="B7549" s="288"/>
      <c r="C7549" s="334"/>
      <c r="D7549" s="286"/>
      <c r="E7549" s="876"/>
      <c r="F7549" s="284" t="s">
        <v>259</v>
      </c>
      <c r="G7549" s="287" t="s">
        <v>260</v>
      </c>
      <c r="H7549" s="555"/>
      <c r="I7549" s="556"/>
      <c r="J7549" s="560">
        <f t="shared" si="258"/>
        <v>0</v>
      </c>
      <c r="K7549" s="505"/>
      <c r="L7549" s="505"/>
      <c r="M7549" s="505"/>
      <c r="N7549" s="505"/>
      <c r="O7549" s="505"/>
      <c r="P7549" s="505"/>
      <c r="Q7549" s="505"/>
      <c r="R7549" s="505"/>
      <c r="S7549" s="505"/>
      <c r="T7549" s="505"/>
      <c r="U7549" s="505"/>
      <c r="V7549" s="505"/>
      <c r="W7549" s="505"/>
      <c r="X7549" s="505"/>
      <c r="Y7549" s="505"/>
    </row>
    <row r="7550" spans="1:25" s="88" customFormat="1" ht="15.75" hidden="1" thickBot="1" x14ac:dyDescent="0.3">
      <c r="A7550" s="290"/>
      <c r="B7550" s="288"/>
      <c r="C7550" s="334"/>
      <c r="D7550" s="286"/>
      <c r="E7550" s="876"/>
      <c r="F7550" s="284" t="s">
        <v>261</v>
      </c>
      <c r="G7550" s="287" t="s">
        <v>262</v>
      </c>
      <c r="H7550" s="559"/>
      <c r="I7550" s="560"/>
      <c r="J7550" s="560">
        <f t="shared" si="258"/>
        <v>0</v>
      </c>
      <c r="K7550" s="505"/>
      <c r="L7550" s="505"/>
      <c r="M7550" s="505"/>
      <c r="N7550" s="505"/>
      <c r="O7550" s="505"/>
      <c r="P7550" s="505"/>
      <c r="Q7550" s="505"/>
      <c r="R7550" s="505"/>
      <c r="S7550" s="505"/>
      <c r="T7550" s="505"/>
      <c r="U7550" s="505"/>
      <c r="V7550" s="505"/>
      <c r="W7550" s="505"/>
      <c r="X7550" s="505"/>
      <c r="Y7550" s="505"/>
    </row>
    <row r="7551" spans="1:25" s="88" customFormat="1" ht="15.75" hidden="1" thickBot="1" x14ac:dyDescent="0.3">
      <c r="A7551" s="290"/>
      <c r="B7551" s="288"/>
      <c r="C7551" s="334"/>
      <c r="D7551" s="286"/>
      <c r="E7551" s="876"/>
      <c r="F7551" s="258"/>
      <c r="G7551" s="268" t="s">
        <v>4223</v>
      </c>
      <c r="H7551" s="561">
        <f>SUM(H7535:H7550)</f>
        <v>0</v>
      </c>
      <c r="I7551" s="562">
        <f>SUM(I7536:I7550)</f>
        <v>0</v>
      </c>
      <c r="J7551" s="562">
        <f>SUM(J7535:J7550)</f>
        <v>0</v>
      </c>
      <c r="K7551" s="505"/>
      <c r="L7551" s="505"/>
      <c r="M7551" s="505"/>
      <c r="N7551" s="505"/>
      <c r="O7551" s="505"/>
      <c r="P7551" s="505"/>
      <c r="Q7551" s="505"/>
      <c r="R7551" s="505"/>
      <c r="S7551" s="505"/>
      <c r="T7551" s="505"/>
      <c r="U7551" s="505"/>
      <c r="V7551" s="505"/>
      <c r="W7551" s="505"/>
      <c r="X7551" s="505"/>
      <c r="Y7551" s="505"/>
    </row>
    <row r="7552" spans="1:25" ht="1.5" hidden="1" customHeight="1" x14ac:dyDescent="0.25">
      <c r="A7552" s="290"/>
    </row>
    <row r="7553" spans="1:25" hidden="1" x14ac:dyDescent="0.25"/>
    <row r="7554" spans="1:25" s="88" customFormat="1" x14ac:dyDescent="0.25">
      <c r="A7554" s="258"/>
      <c r="B7554" s="288"/>
      <c r="C7554" s="302" t="s">
        <v>4750</v>
      </c>
      <c r="D7554" s="259"/>
      <c r="E7554" s="702"/>
      <c r="F7554" s="303"/>
      <c r="G7554" s="304" t="s">
        <v>5338</v>
      </c>
      <c r="H7554" s="588"/>
      <c r="I7554" s="571"/>
      <c r="J7554" s="589"/>
      <c r="K7554" s="505"/>
      <c r="L7554" s="505"/>
      <c r="M7554" s="505"/>
      <c r="N7554" s="505"/>
      <c r="O7554" s="505"/>
      <c r="P7554" s="505"/>
      <c r="Q7554" s="505"/>
      <c r="R7554" s="505"/>
      <c r="S7554" s="505"/>
      <c r="T7554" s="505"/>
      <c r="U7554" s="505"/>
      <c r="V7554" s="505"/>
      <c r="W7554" s="505"/>
      <c r="X7554" s="505"/>
      <c r="Y7554" s="505"/>
    </row>
    <row r="7555" spans="1:25" s="88" customFormat="1" ht="17.25" customHeight="1" x14ac:dyDescent="0.25">
      <c r="A7555" s="258"/>
      <c r="B7555" s="288"/>
      <c r="C7555" s="294"/>
      <c r="D7555" s="348" t="s">
        <v>4009</v>
      </c>
      <c r="E7555" s="871"/>
      <c r="F7555" s="345"/>
      <c r="G7555" s="346" t="s">
        <v>207</v>
      </c>
      <c r="H7555" s="555"/>
      <c r="I7555" s="556"/>
      <c r="J7555" s="556"/>
      <c r="K7555" s="505"/>
      <c r="L7555" s="505"/>
      <c r="M7555" s="505"/>
      <c r="N7555" s="505"/>
      <c r="O7555" s="505"/>
      <c r="P7555" s="505"/>
      <c r="Q7555" s="505"/>
      <c r="R7555" s="505"/>
      <c r="S7555" s="505"/>
      <c r="T7555" s="505"/>
      <c r="U7555" s="505"/>
      <c r="V7555" s="505"/>
      <c r="W7555" s="505"/>
      <c r="X7555" s="505"/>
      <c r="Y7555" s="505"/>
    </row>
    <row r="7556" spans="1:25" s="88" customFormat="1" hidden="1" x14ac:dyDescent="0.25">
      <c r="A7556" s="258"/>
      <c r="B7556" s="258"/>
      <c r="C7556" s="261"/>
      <c r="D7556" s="258"/>
      <c r="E7556" s="679"/>
      <c r="F7556" s="499">
        <v>411</v>
      </c>
      <c r="G7556" s="492" t="s">
        <v>4131</v>
      </c>
      <c r="H7556" s="555"/>
      <c r="I7556" s="556"/>
      <c r="J7556" s="556">
        <f>SUM(H7556:I7556)</f>
        <v>0</v>
      </c>
      <c r="K7556" s="505"/>
      <c r="L7556" s="505"/>
      <c r="M7556" s="505"/>
      <c r="N7556" s="505"/>
      <c r="O7556" s="505"/>
      <c r="P7556" s="505"/>
      <c r="Q7556" s="505"/>
      <c r="R7556" s="505"/>
      <c r="S7556" s="505"/>
      <c r="T7556" s="505"/>
      <c r="U7556" s="505"/>
      <c r="V7556" s="505"/>
      <c r="W7556" s="505"/>
      <c r="X7556" s="505"/>
      <c r="Y7556" s="505"/>
    </row>
    <row r="7557" spans="1:25" s="88" customFormat="1" hidden="1" x14ac:dyDescent="0.25">
      <c r="A7557" s="258"/>
      <c r="B7557" s="258"/>
      <c r="C7557" s="261"/>
      <c r="D7557" s="258"/>
      <c r="E7557" s="679"/>
      <c r="F7557" s="499">
        <v>412</v>
      </c>
      <c r="G7557" s="488" t="s">
        <v>3766</v>
      </c>
      <c r="H7557" s="555"/>
      <c r="I7557" s="556"/>
      <c r="J7557" s="556">
        <f t="shared" ref="J7557:J7615" si="259">SUM(H7557:I7557)</f>
        <v>0</v>
      </c>
      <c r="K7557" s="505"/>
      <c r="L7557" s="505"/>
      <c r="M7557" s="505"/>
      <c r="N7557" s="505"/>
      <c r="O7557" s="505"/>
      <c r="P7557" s="505"/>
      <c r="Q7557" s="505"/>
      <c r="R7557" s="505"/>
      <c r="S7557" s="505"/>
      <c r="T7557" s="505"/>
      <c r="U7557" s="505"/>
      <c r="V7557" s="505"/>
      <c r="W7557" s="505"/>
      <c r="X7557" s="505"/>
      <c r="Y7557" s="505"/>
    </row>
    <row r="7558" spans="1:25" s="88" customFormat="1" hidden="1" x14ac:dyDescent="0.25">
      <c r="A7558" s="258"/>
      <c r="B7558" s="258"/>
      <c r="C7558" s="261"/>
      <c r="D7558" s="258"/>
      <c r="E7558" s="679"/>
      <c r="F7558" s="499">
        <v>413</v>
      </c>
      <c r="G7558" s="492" t="s">
        <v>4132</v>
      </c>
      <c r="H7558" s="555"/>
      <c r="I7558" s="556"/>
      <c r="J7558" s="556">
        <f t="shared" si="259"/>
        <v>0</v>
      </c>
      <c r="K7558" s="505"/>
      <c r="L7558" s="505"/>
      <c r="M7558" s="505"/>
      <c r="N7558" s="505"/>
      <c r="O7558" s="505"/>
      <c r="P7558" s="505"/>
      <c r="Q7558" s="505"/>
      <c r="R7558" s="505"/>
      <c r="S7558" s="505"/>
      <c r="T7558" s="505"/>
      <c r="U7558" s="505"/>
      <c r="V7558" s="505"/>
      <c r="W7558" s="505"/>
      <c r="X7558" s="505"/>
      <c r="Y7558" s="505"/>
    </row>
    <row r="7559" spans="1:25" s="88" customFormat="1" hidden="1" x14ac:dyDescent="0.25">
      <c r="A7559" s="258"/>
      <c r="B7559" s="258"/>
      <c r="C7559" s="261"/>
      <c r="D7559" s="258"/>
      <c r="E7559" s="679"/>
      <c r="F7559" s="499">
        <v>414</v>
      </c>
      <c r="G7559" s="492" t="s">
        <v>3769</v>
      </c>
      <c r="H7559" s="555"/>
      <c r="I7559" s="556"/>
      <c r="J7559" s="556">
        <f t="shared" si="259"/>
        <v>0</v>
      </c>
      <c r="K7559" s="505"/>
      <c r="L7559" s="505"/>
      <c r="M7559" s="505"/>
      <c r="N7559" s="505"/>
      <c r="O7559" s="505"/>
      <c r="P7559" s="505"/>
      <c r="Q7559" s="505"/>
      <c r="R7559" s="505"/>
      <c r="S7559" s="505"/>
      <c r="T7559" s="505"/>
      <c r="U7559" s="505"/>
      <c r="V7559" s="505"/>
      <c r="W7559" s="505"/>
      <c r="X7559" s="505"/>
      <c r="Y7559" s="505"/>
    </row>
    <row r="7560" spans="1:25" s="88" customFormat="1" hidden="1" x14ac:dyDescent="0.25">
      <c r="A7560" s="258"/>
      <c r="B7560" s="258"/>
      <c r="C7560" s="261"/>
      <c r="D7560" s="258"/>
      <c r="E7560" s="679"/>
      <c r="F7560" s="499">
        <v>415</v>
      </c>
      <c r="G7560" s="492" t="s">
        <v>4141</v>
      </c>
      <c r="H7560" s="555"/>
      <c r="I7560" s="556"/>
      <c r="J7560" s="556">
        <f t="shared" si="259"/>
        <v>0</v>
      </c>
      <c r="K7560" s="505"/>
      <c r="L7560" s="505"/>
      <c r="M7560" s="505"/>
      <c r="N7560" s="505"/>
      <c r="O7560" s="505"/>
      <c r="P7560" s="505"/>
      <c r="Q7560" s="505"/>
      <c r="R7560" s="505"/>
      <c r="S7560" s="505"/>
      <c r="T7560" s="505"/>
      <c r="U7560" s="505"/>
      <c r="V7560" s="505"/>
      <c r="W7560" s="505"/>
      <c r="X7560" s="505"/>
      <c r="Y7560" s="505"/>
    </row>
    <row r="7561" spans="1:25" s="88" customFormat="1" hidden="1" x14ac:dyDescent="0.25">
      <c r="A7561" s="258"/>
      <c r="B7561" s="258"/>
      <c r="C7561" s="261"/>
      <c r="D7561" s="258"/>
      <c r="E7561" s="679"/>
      <c r="F7561" s="499">
        <v>416</v>
      </c>
      <c r="G7561" s="492" t="s">
        <v>4142</v>
      </c>
      <c r="H7561" s="555"/>
      <c r="I7561" s="556"/>
      <c r="J7561" s="556">
        <f t="shared" si="259"/>
        <v>0</v>
      </c>
      <c r="K7561" s="505"/>
      <c r="L7561" s="505"/>
      <c r="M7561" s="505"/>
      <c r="N7561" s="505"/>
      <c r="O7561" s="505"/>
      <c r="P7561" s="505"/>
      <c r="Q7561" s="505"/>
      <c r="R7561" s="505"/>
      <c r="S7561" s="505"/>
      <c r="T7561" s="505"/>
      <c r="U7561" s="505"/>
      <c r="V7561" s="505"/>
      <c r="W7561" s="505"/>
      <c r="X7561" s="505"/>
      <c r="Y7561" s="505"/>
    </row>
    <row r="7562" spans="1:25" s="88" customFormat="1" hidden="1" x14ac:dyDescent="0.25">
      <c r="A7562" s="258"/>
      <c r="B7562" s="258"/>
      <c r="C7562" s="261"/>
      <c r="D7562" s="258"/>
      <c r="E7562" s="679"/>
      <c r="F7562" s="499">
        <v>417</v>
      </c>
      <c r="G7562" s="492" t="s">
        <v>4143</v>
      </c>
      <c r="H7562" s="555"/>
      <c r="I7562" s="556"/>
      <c r="J7562" s="556">
        <f t="shared" si="259"/>
        <v>0</v>
      </c>
      <c r="K7562" s="505"/>
      <c r="L7562" s="505"/>
      <c r="M7562" s="505"/>
      <c r="N7562" s="505"/>
      <c r="O7562" s="505"/>
      <c r="P7562" s="505"/>
      <c r="Q7562" s="505"/>
      <c r="R7562" s="505"/>
      <c r="S7562" s="505"/>
      <c r="T7562" s="505"/>
      <c r="U7562" s="505"/>
      <c r="V7562" s="505"/>
      <c r="W7562" s="505"/>
      <c r="X7562" s="505"/>
      <c r="Y7562" s="505"/>
    </row>
    <row r="7563" spans="1:25" s="88" customFormat="1" hidden="1" x14ac:dyDescent="0.25">
      <c r="A7563" s="258"/>
      <c r="B7563" s="258"/>
      <c r="C7563" s="261"/>
      <c r="D7563" s="258"/>
      <c r="E7563" s="679"/>
      <c r="F7563" s="499">
        <v>418</v>
      </c>
      <c r="G7563" s="492" t="s">
        <v>3775</v>
      </c>
      <c r="H7563" s="555"/>
      <c r="I7563" s="556"/>
      <c r="J7563" s="556">
        <f t="shared" si="259"/>
        <v>0</v>
      </c>
      <c r="K7563" s="505"/>
      <c r="L7563" s="505"/>
      <c r="M7563" s="505"/>
      <c r="N7563" s="505"/>
      <c r="O7563" s="505"/>
      <c r="P7563" s="505"/>
      <c r="Q7563" s="505"/>
      <c r="R7563" s="505"/>
      <c r="S7563" s="505"/>
      <c r="T7563" s="505"/>
      <c r="U7563" s="505"/>
      <c r="V7563" s="505"/>
      <c r="W7563" s="505"/>
      <c r="X7563" s="505"/>
      <c r="Y7563" s="505"/>
    </row>
    <row r="7564" spans="1:25" s="88" customFormat="1" hidden="1" x14ac:dyDescent="0.25">
      <c r="A7564" s="258"/>
      <c r="B7564" s="258"/>
      <c r="C7564" s="261"/>
      <c r="D7564" s="258"/>
      <c r="E7564" s="679"/>
      <c r="F7564" s="499">
        <v>421</v>
      </c>
      <c r="G7564" s="492" t="s">
        <v>3779</v>
      </c>
      <c r="H7564" s="555"/>
      <c r="I7564" s="556"/>
      <c r="J7564" s="556">
        <f t="shared" si="259"/>
        <v>0</v>
      </c>
      <c r="K7564" s="505"/>
      <c r="L7564" s="505"/>
      <c r="M7564" s="505"/>
      <c r="N7564" s="505"/>
      <c r="O7564" s="505"/>
      <c r="P7564" s="505"/>
      <c r="Q7564" s="505"/>
      <c r="R7564" s="505"/>
      <c r="S7564" s="505"/>
      <c r="T7564" s="505"/>
      <c r="U7564" s="505"/>
      <c r="V7564" s="505"/>
      <c r="W7564" s="505"/>
      <c r="X7564" s="505"/>
      <c r="Y7564" s="505"/>
    </row>
    <row r="7565" spans="1:25" s="88" customFormat="1" hidden="1" x14ac:dyDescent="0.25">
      <c r="A7565" s="258"/>
      <c r="B7565" s="258"/>
      <c r="C7565" s="261"/>
      <c r="D7565" s="258"/>
      <c r="E7565" s="679"/>
      <c r="F7565" s="499">
        <v>422</v>
      </c>
      <c r="G7565" s="492" t="s">
        <v>3780</v>
      </c>
      <c r="H7565" s="555"/>
      <c r="I7565" s="556"/>
      <c r="J7565" s="556">
        <f t="shared" si="259"/>
        <v>0</v>
      </c>
      <c r="K7565" s="505"/>
      <c r="L7565" s="505"/>
      <c r="M7565" s="505"/>
      <c r="N7565" s="505"/>
      <c r="O7565" s="505"/>
      <c r="P7565" s="505"/>
      <c r="Q7565" s="505"/>
      <c r="R7565" s="505"/>
      <c r="S7565" s="505"/>
      <c r="T7565" s="505"/>
      <c r="U7565" s="505"/>
      <c r="V7565" s="505"/>
      <c r="W7565" s="505"/>
      <c r="X7565" s="505"/>
      <c r="Y7565" s="505"/>
    </row>
    <row r="7566" spans="1:25" s="88" customFormat="1" hidden="1" x14ac:dyDescent="0.25">
      <c r="A7566" s="258"/>
      <c r="B7566" s="258"/>
      <c r="C7566" s="261"/>
      <c r="D7566" s="258"/>
      <c r="E7566" s="679"/>
      <c r="F7566" s="499">
        <v>423</v>
      </c>
      <c r="G7566" s="492" t="s">
        <v>3781</v>
      </c>
      <c r="H7566" s="555">
        <v>0</v>
      </c>
      <c r="I7566" s="556"/>
      <c r="J7566" s="556">
        <f t="shared" si="259"/>
        <v>0</v>
      </c>
      <c r="K7566" s="505"/>
      <c r="L7566" s="505"/>
      <c r="M7566" s="505"/>
      <c r="N7566" s="505"/>
      <c r="O7566" s="505"/>
      <c r="P7566" s="505"/>
      <c r="Q7566" s="505"/>
      <c r="R7566" s="505"/>
      <c r="S7566" s="505"/>
      <c r="T7566" s="505"/>
      <c r="U7566" s="505"/>
      <c r="V7566" s="505"/>
      <c r="W7566" s="505"/>
      <c r="X7566" s="505"/>
      <c r="Y7566" s="505"/>
    </row>
    <row r="7567" spans="1:25" s="88" customFormat="1" hidden="1" x14ac:dyDescent="0.25">
      <c r="A7567" s="258"/>
      <c r="B7567" s="258"/>
      <c r="C7567" s="261"/>
      <c r="D7567" s="258"/>
      <c r="E7567" s="679"/>
      <c r="F7567" s="499">
        <v>424</v>
      </c>
      <c r="G7567" s="492" t="s">
        <v>3783</v>
      </c>
      <c r="H7567" s="555"/>
      <c r="I7567" s="556"/>
      <c r="J7567" s="556">
        <f t="shared" si="259"/>
        <v>0</v>
      </c>
      <c r="K7567" s="505"/>
      <c r="L7567" s="505"/>
      <c r="M7567" s="505"/>
      <c r="N7567" s="505"/>
      <c r="O7567" s="505"/>
      <c r="P7567" s="505"/>
      <c r="Q7567" s="505"/>
      <c r="R7567" s="505"/>
      <c r="S7567" s="505"/>
      <c r="T7567" s="505"/>
      <c r="U7567" s="505"/>
      <c r="V7567" s="505"/>
      <c r="W7567" s="505"/>
      <c r="X7567" s="505"/>
      <c r="Y7567" s="505"/>
    </row>
    <row r="7568" spans="1:25" s="88" customFormat="1" hidden="1" x14ac:dyDescent="0.25">
      <c r="A7568" s="258"/>
      <c r="B7568" s="258"/>
      <c r="C7568" s="261"/>
      <c r="D7568" s="258"/>
      <c r="E7568" s="679"/>
      <c r="F7568" s="499">
        <v>425</v>
      </c>
      <c r="G7568" s="492" t="s">
        <v>4144</v>
      </c>
      <c r="H7568" s="555"/>
      <c r="I7568" s="556"/>
      <c r="J7568" s="556">
        <f t="shared" si="259"/>
        <v>0</v>
      </c>
      <c r="K7568" s="505"/>
      <c r="L7568" s="505"/>
      <c r="M7568" s="505"/>
      <c r="N7568" s="505"/>
      <c r="O7568" s="505"/>
      <c r="P7568" s="505"/>
      <c r="Q7568" s="505"/>
      <c r="R7568" s="505"/>
      <c r="S7568" s="505"/>
      <c r="T7568" s="505"/>
      <c r="U7568" s="505"/>
      <c r="V7568" s="505"/>
      <c r="W7568" s="505"/>
      <c r="X7568" s="505"/>
      <c r="Y7568" s="505"/>
    </row>
    <row r="7569" spans="1:25" s="88" customFormat="1" hidden="1" x14ac:dyDescent="0.25">
      <c r="A7569" s="258"/>
      <c r="B7569" s="258"/>
      <c r="C7569" s="261"/>
      <c r="D7569" s="258"/>
      <c r="E7569" s="679"/>
      <c r="F7569" s="499">
        <v>426</v>
      </c>
      <c r="G7569" s="492" t="s">
        <v>3787</v>
      </c>
      <c r="H7569" s="555"/>
      <c r="I7569" s="556"/>
      <c r="J7569" s="556">
        <f t="shared" si="259"/>
        <v>0</v>
      </c>
      <c r="K7569" s="505"/>
      <c r="L7569" s="505"/>
      <c r="M7569" s="505"/>
      <c r="N7569" s="505"/>
      <c r="O7569" s="505"/>
      <c r="P7569" s="505"/>
      <c r="Q7569" s="505"/>
      <c r="R7569" s="505"/>
      <c r="S7569" s="505"/>
      <c r="T7569" s="505"/>
      <c r="U7569" s="505"/>
      <c r="V7569" s="505"/>
      <c r="W7569" s="505"/>
      <c r="X7569" s="505"/>
      <c r="Y7569" s="505"/>
    </row>
    <row r="7570" spans="1:25" s="88" customFormat="1" hidden="1" x14ac:dyDescent="0.25">
      <c r="A7570" s="258"/>
      <c r="B7570" s="258"/>
      <c r="C7570" s="261"/>
      <c r="D7570" s="258"/>
      <c r="E7570" s="679"/>
      <c r="F7570" s="499">
        <v>431</v>
      </c>
      <c r="G7570" s="492" t="s">
        <v>4145</v>
      </c>
      <c r="H7570" s="555"/>
      <c r="I7570" s="556"/>
      <c r="J7570" s="556">
        <f t="shared" si="259"/>
        <v>0</v>
      </c>
      <c r="K7570" s="505"/>
      <c r="L7570" s="505"/>
      <c r="M7570" s="505"/>
      <c r="N7570" s="505"/>
      <c r="O7570" s="505"/>
      <c r="P7570" s="505"/>
      <c r="Q7570" s="505"/>
      <c r="R7570" s="505"/>
      <c r="S7570" s="505"/>
      <c r="T7570" s="505"/>
      <c r="U7570" s="505"/>
      <c r="V7570" s="505"/>
      <c r="W7570" s="505"/>
      <c r="X7570" s="505"/>
      <c r="Y7570" s="505"/>
    </row>
    <row r="7571" spans="1:25" s="88" customFormat="1" hidden="1" x14ac:dyDescent="0.25">
      <c r="A7571" s="258"/>
      <c r="B7571" s="258"/>
      <c r="C7571" s="261"/>
      <c r="D7571" s="258"/>
      <c r="E7571" s="679"/>
      <c r="F7571" s="499">
        <v>432</v>
      </c>
      <c r="G7571" s="492" t="s">
        <v>4146</v>
      </c>
      <c r="H7571" s="555"/>
      <c r="I7571" s="556"/>
      <c r="J7571" s="556">
        <f t="shared" si="259"/>
        <v>0</v>
      </c>
      <c r="K7571" s="505"/>
      <c r="L7571" s="505"/>
      <c r="M7571" s="505"/>
      <c r="N7571" s="505"/>
      <c r="O7571" s="505"/>
      <c r="P7571" s="505"/>
      <c r="Q7571" s="505"/>
      <c r="R7571" s="505"/>
      <c r="S7571" s="505"/>
      <c r="T7571" s="505"/>
      <c r="U7571" s="505"/>
      <c r="V7571" s="505"/>
      <c r="W7571" s="505"/>
      <c r="X7571" s="505"/>
      <c r="Y7571" s="505"/>
    </row>
    <row r="7572" spans="1:25" s="88" customFormat="1" hidden="1" x14ac:dyDescent="0.25">
      <c r="A7572" s="258"/>
      <c r="B7572" s="258"/>
      <c r="C7572" s="261"/>
      <c r="D7572" s="258"/>
      <c r="E7572" s="679"/>
      <c r="F7572" s="499">
        <v>433</v>
      </c>
      <c r="G7572" s="492" t="s">
        <v>4147</v>
      </c>
      <c r="H7572" s="555"/>
      <c r="I7572" s="556"/>
      <c r="J7572" s="556">
        <f t="shared" si="259"/>
        <v>0</v>
      </c>
      <c r="K7572" s="505"/>
      <c r="L7572" s="505"/>
      <c r="M7572" s="505"/>
      <c r="N7572" s="505"/>
      <c r="O7572" s="505"/>
      <c r="P7572" s="505"/>
      <c r="Q7572" s="505"/>
      <c r="R7572" s="505"/>
      <c r="S7572" s="505"/>
      <c r="T7572" s="505"/>
      <c r="U7572" s="505"/>
      <c r="V7572" s="505"/>
      <c r="W7572" s="505"/>
      <c r="X7572" s="505"/>
      <c r="Y7572" s="505"/>
    </row>
    <row r="7573" spans="1:25" s="88" customFormat="1" hidden="1" x14ac:dyDescent="0.25">
      <c r="A7573" s="258"/>
      <c r="B7573" s="258"/>
      <c r="C7573" s="261"/>
      <c r="D7573" s="258"/>
      <c r="E7573" s="679"/>
      <c r="F7573" s="499">
        <v>434</v>
      </c>
      <c r="G7573" s="492" t="s">
        <v>4148</v>
      </c>
      <c r="H7573" s="555"/>
      <c r="I7573" s="556"/>
      <c r="J7573" s="556">
        <f t="shared" si="259"/>
        <v>0</v>
      </c>
      <c r="K7573" s="505"/>
      <c r="L7573" s="505"/>
      <c r="M7573" s="505"/>
      <c r="N7573" s="505"/>
      <c r="O7573" s="505"/>
      <c r="P7573" s="505"/>
      <c r="Q7573" s="505"/>
      <c r="R7573" s="505"/>
      <c r="S7573" s="505"/>
      <c r="T7573" s="505"/>
      <c r="U7573" s="505"/>
      <c r="V7573" s="505"/>
      <c r="W7573" s="505"/>
      <c r="X7573" s="505"/>
      <c r="Y7573" s="505"/>
    </row>
    <row r="7574" spans="1:25" s="88" customFormat="1" hidden="1" x14ac:dyDescent="0.25">
      <c r="A7574" s="258"/>
      <c r="B7574" s="258"/>
      <c r="C7574" s="261"/>
      <c r="D7574" s="258"/>
      <c r="E7574" s="679"/>
      <c r="F7574" s="499">
        <v>435</v>
      </c>
      <c r="G7574" s="492" t="s">
        <v>3794</v>
      </c>
      <c r="H7574" s="555"/>
      <c r="I7574" s="556"/>
      <c r="J7574" s="556">
        <f t="shared" si="259"/>
        <v>0</v>
      </c>
      <c r="K7574" s="505"/>
      <c r="L7574" s="505"/>
      <c r="M7574" s="505"/>
      <c r="N7574" s="505"/>
      <c r="O7574" s="505"/>
      <c r="P7574" s="505"/>
      <c r="Q7574" s="505"/>
      <c r="R7574" s="505"/>
      <c r="S7574" s="505"/>
      <c r="T7574" s="505"/>
      <c r="U7574" s="505"/>
      <c r="V7574" s="505"/>
      <c r="W7574" s="505"/>
      <c r="X7574" s="505"/>
      <c r="Y7574" s="505"/>
    </row>
    <row r="7575" spans="1:25" s="88" customFormat="1" hidden="1" x14ac:dyDescent="0.25">
      <c r="A7575" s="258"/>
      <c r="B7575" s="258"/>
      <c r="C7575" s="261"/>
      <c r="D7575" s="258"/>
      <c r="E7575" s="679"/>
      <c r="F7575" s="499">
        <v>441</v>
      </c>
      <c r="G7575" s="492" t="s">
        <v>4149</v>
      </c>
      <c r="H7575" s="555"/>
      <c r="I7575" s="556"/>
      <c r="J7575" s="556">
        <f t="shared" si="259"/>
        <v>0</v>
      </c>
      <c r="K7575" s="505"/>
      <c r="L7575" s="505"/>
      <c r="M7575" s="505"/>
      <c r="N7575" s="505"/>
      <c r="O7575" s="505"/>
      <c r="P7575" s="505"/>
      <c r="Q7575" s="505"/>
      <c r="R7575" s="505"/>
      <c r="S7575" s="505"/>
      <c r="T7575" s="505"/>
      <c r="U7575" s="505"/>
      <c r="V7575" s="505"/>
      <c r="W7575" s="505"/>
      <c r="X7575" s="505"/>
      <c r="Y7575" s="505"/>
    </row>
    <row r="7576" spans="1:25" s="88" customFormat="1" hidden="1" x14ac:dyDescent="0.25">
      <c r="A7576" s="258"/>
      <c r="B7576" s="258"/>
      <c r="C7576" s="261"/>
      <c r="D7576" s="258"/>
      <c r="E7576" s="679"/>
      <c r="F7576" s="499">
        <v>442</v>
      </c>
      <c r="G7576" s="492" t="s">
        <v>4150</v>
      </c>
      <c r="H7576" s="555"/>
      <c r="I7576" s="556"/>
      <c r="J7576" s="556">
        <f t="shared" si="259"/>
        <v>0</v>
      </c>
      <c r="K7576" s="505"/>
      <c r="L7576" s="505"/>
      <c r="M7576" s="505"/>
      <c r="N7576" s="505"/>
      <c r="O7576" s="505"/>
      <c r="P7576" s="505"/>
      <c r="Q7576" s="505"/>
      <c r="R7576" s="505"/>
      <c r="S7576" s="505"/>
      <c r="T7576" s="505"/>
      <c r="U7576" s="505"/>
      <c r="V7576" s="505"/>
      <c r="W7576" s="505"/>
      <c r="X7576" s="505"/>
      <c r="Y7576" s="505"/>
    </row>
    <row r="7577" spans="1:25" s="88" customFormat="1" hidden="1" x14ac:dyDescent="0.25">
      <c r="A7577" s="258"/>
      <c r="B7577" s="258"/>
      <c r="C7577" s="261"/>
      <c r="D7577" s="258"/>
      <c r="E7577" s="679"/>
      <c r="F7577" s="499">
        <v>443</v>
      </c>
      <c r="G7577" s="492" t="s">
        <v>3799</v>
      </c>
      <c r="H7577" s="555"/>
      <c r="I7577" s="556"/>
      <c r="J7577" s="556">
        <f t="shared" si="259"/>
        <v>0</v>
      </c>
      <c r="K7577" s="505"/>
      <c r="L7577" s="505"/>
      <c r="M7577" s="505"/>
      <c r="N7577" s="505"/>
      <c r="O7577" s="505"/>
      <c r="P7577" s="505"/>
      <c r="Q7577" s="505"/>
      <c r="R7577" s="505"/>
      <c r="S7577" s="505"/>
      <c r="T7577" s="505"/>
      <c r="U7577" s="505"/>
      <c r="V7577" s="505"/>
      <c r="W7577" s="505"/>
      <c r="X7577" s="505"/>
      <c r="Y7577" s="505"/>
    </row>
    <row r="7578" spans="1:25" s="88" customFormat="1" hidden="1" x14ac:dyDescent="0.25">
      <c r="A7578" s="258"/>
      <c r="B7578" s="258"/>
      <c r="C7578" s="261"/>
      <c r="D7578" s="258"/>
      <c r="E7578" s="679"/>
      <c r="F7578" s="499">
        <v>444</v>
      </c>
      <c r="G7578" s="492" t="s">
        <v>3800</v>
      </c>
      <c r="H7578" s="555"/>
      <c r="I7578" s="556"/>
      <c r="J7578" s="556">
        <f t="shared" si="259"/>
        <v>0</v>
      </c>
      <c r="K7578" s="505"/>
      <c r="L7578" s="505"/>
      <c r="M7578" s="505"/>
      <c r="N7578" s="505"/>
      <c r="O7578" s="505"/>
      <c r="P7578" s="505"/>
      <c r="Q7578" s="505"/>
      <c r="R7578" s="505"/>
      <c r="S7578" s="505"/>
      <c r="T7578" s="505"/>
      <c r="U7578" s="505"/>
      <c r="V7578" s="505"/>
      <c r="W7578" s="505"/>
      <c r="X7578" s="505"/>
      <c r="Y7578" s="505"/>
    </row>
    <row r="7579" spans="1:25" s="88" customFormat="1" ht="30" hidden="1" x14ac:dyDescent="0.25">
      <c r="A7579" s="258"/>
      <c r="B7579" s="258"/>
      <c r="C7579" s="261"/>
      <c r="D7579" s="258"/>
      <c r="E7579" s="679"/>
      <c r="F7579" s="499">
        <v>4511</v>
      </c>
      <c r="G7579" s="778" t="s">
        <v>1690</v>
      </c>
      <c r="H7579" s="555"/>
      <c r="I7579" s="556"/>
      <c r="J7579" s="556">
        <f t="shared" si="259"/>
        <v>0</v>
      </c>
      <c r="K7579" s="505"/>
      <c r="L7579" s="505"/>
      <c r="M7579" s="505"/>
      <c r="N7579" s="505"/>
      <c r="O7579" s="505"/>
      <c r="P7579" s="505"/>
      <c r="Q7579" s="505"/>
      <c r="R7579" s="505"/>
      <c r="S7579" s="505"/>
      <c r="T7579" s="505"/>
      <c r="U7579" s="505"/>
      <c r="V7579" s="505"/>
      <c r="W7579" s="505"/>
      <c r="X7579" s="505"/>
      <c r="Y7579" s="505"/>
    </row>
    <row r="7580" spans="1:25" s="88" customFormat="1" ht="15" hidden="1" customHeight="1" x14ac:dyDescent="0.25">
      <c r="A7580" s="258"/>
      <c r="B7580" s="258"/>
      <c r="C7580" s="261"/>
      <c r="D7580" s="258"/>
      <c r="E7580" s="679">
        <v>69</v>
      </c>
      <c r="F7580" s="691">
        <v>511</v>
      </c>
      <c r="G7580" s="777" t="s">
        <v>5208</v>
      </c>
      <c r="H7580" s="555">
        <v>0</v>
      </c>
      <c r="I7580" s="556"/>
      <c r="J7580" s="556">
        <f t="shared" si="259"/>
        <v>0</v>
      </c>
      <c r="K7580" s="505"/>
      <c r="L7580" s="505"/>
      <c r="M7580" s="505"/>
      <c r="N7580" s="505"/>
      <c r="O7580" s="505"/>
      <c r="P7580" s="505"/>
      <c r="Q7580" s="505"/>
      <c r="R7580" s="505"/>
      <c r="S7580" s="505"/>
      <c r="T7580" s="505"/>
      <c r="U7580" s="505"/>
      <c r="V7580" s="505"/>
      <c r="W7580" s="505"/>
      <c r="X7580" s="505"/>
      <c r="Y7580" s="505"/>
    </row>
    <row r="7581" spans="1:25" s="88" customFormat="1" hidden="1" x14ac:dyDescent="0.25">
      <c r="A7581" s="258"/>
      <c r="B7581" s="258"/>
      <c r="C7581" s="261"/>
      <c r="D7581" s="258"/>
      <c r="E7581" s="679"/>
      <c r="F7581" s="499">
        <v>452</v>
      </c>
      <c r="G7581" s="492" t="s">
        <v>4151</v>
      </c>
      <c r="H7581" s="555"/>
      <c r="I7581" s="556"/>
      <c r="J7581" s="556">
        <f t="shared" si="259"/>
        <v>0</v>
      </c>
      <c r="K7581" s="505"/>
      <c r="L7581" s="505"/>
      <c r="M7581" s="505"/>
      <c r="N7581" s="505"/>
      <c r="O7581" s="505"/>
      <c r="P7581" s="505"/>
      <c r="Q7581" s="505"/>
      <c r="R7581" s="505"/>
      <c r="S7581" s="505"/>
      <c r="T7581" s="505"/>
      <c r="U7581" s="505"/>
      <c r="V7581" s="505"/>
      <c r="W7581" s="505"/>
      <c r="X7581" s="505"/>
      <c r="Y7581" s="505"/>
    </row>
    <row r="7582" spans="1:25" s="88" customFormat="1" hidden="1" x14ac:dyDescent="0.25">
      <c r="A7582" s="258"/>
      <c r="B7582" s="258"/>
      <c r="C7582" s="261"/>
      <c r="D7582" s="258"/>
      <c r="E7582" s="679"/>
      <c r="F7582" s="499">
        <v>453</v>
      </c>
      <c r="G7582" s="492" t="s">
        <v>4152</v>
      </c>
      <c r="H7582" s="555"/>
      <c r="I7582" s="556"/>
      <c r="J7582" s="556">
        <f t="shared" si="259"/>
        <v>0</v>
      </c>
      <c r="K7582" s="505"/>
      <c r="L7582" s="505"/>
      <c r="M7582" s="505"/>
      <c r="N7582" s="505"/>
      <c r="O7582" s="505"/>
      <c r="P7582" s="505"/>
      <c r="Q7582" s="505"/>
      <c r="R7582" s="505"/>
      <c r="S7582" s="505"/>
      <c r="T7582" s="505"/>
      <c r="U7582" s="505"/>
      <c r="V7582" s="505"/>
      <c r="W7582" s="505"/>
      <c r="X7582" s="505"/>
      <c r="Y7582" s="505"/>
    </row>
    <row r="7583" spans="1:25" s="88" customFormat="1" hidden="1" x14ac:dyDescent="0.25">
      <c r="A7583" s="258"/>
      <c r="B7583" s="258"/>
      <c r="C7583" s="261"/>
      <c r="D7583" s="258"/>
      <c r="E7583" s="679"/>
      <c r="F7583" s="499">
        <v>454</v>
      </c>
      <c r="G7583" s="492" t="s">
        <v>3805</v>
      </c>
      <c r="H7583" s="555"/>
      <c r="I7583" s="556"/>
      <c r="J7583" s="556">
        <f t="shared" si="259"/>
        <v>0</v>
      </c>
      <c r="K7583" s="505"/>
      <c r="L7583" s="505"/>
      <c r="M7583" s="505"/>
      <c r="N7583" s="505"/>
      <c r="O7583" s="505"/>
      <c r="P7583" s="505"/>
      <c r="Q7583" s="505"/>
      <c r="R7583" s="505"/>
      <c r="S7583" s="505"/>
      <c r="T7583" s="505"/>
      <c r="U7583" s="505"/>
      <c r="V7583" s="505"/>
      <c r="W7583" s="505"/>
      <c r="X7583" s="505"/>
      <c r="Y7583" s="505"/>
    </row>
    <row r="7584" spans="1:25" s="88" customFormat="1" hidden="1" x14ac:dyDescent="0.25">
      <c r="A7584" s="258"/>
      <c r="B7584" s="258"/>
      <c r="C7584" s="261"/>
      <c r="D7584" s="258"/>
      <c r="E7584" s="679"/>
      <c r="F7584" s="499">
        <v>461</v>
      </c>
      <c r="G7584" s="492" t="s">
        <v>4133</v>
      </c>
      <c r="H7584" s="555"/>
      <c r="I7584" s="556"/>
      <c r="J7584" s="556">
        <f t="shared" si="259"/>
        <v>0</v>
      </c>
      <c r="K7584" s="505"/>
      <c r="L7584" s="505"/>
      <c r="M7584" s="505"/>
      <c r="N7584" s="505"/>
      <c r="O7584" s="505"/>
      <c r="P7584" s="505"/>
      <c r="Q7584" s="505"/>
      <c r="R7584" s="505"/>
      <c r="S7584" s="505"/>
      <c r="T7584" s="505"/>
      <c r="U7584" s="505"/>
      <c r="V7584" s="505"/>
      <c r="W7584" s="505"/>
      <c r="X7584" s="505"/>
      <c r="Y7584" s="505"/>
    </row>
    <row r="7585" spans="1:25" s="88" customFormat="1" hidden="1" x14ac:dyDescent="0.25">
      <c r="A7585" s="258"/>
      <c r="B7585" s="258"/>
      <c r="C7585" s="261"/>
      <c r="D7585" s="258"/>
      <c r="E7585" s="679"/>
      <c r="F7585" s="499">
        <v>462</v>
      </c>
      <c r="G7585" s="492" t="s">
        <v>3808</v>
      </c>
      <c r="H7585" s="555"/>
      <c r="I7585" s="556"/>
      <c r="J7585" s="556">
        <f t="shared" si="259"/>
        <v>0</v>
      </c>
      <c r="K7585" s="505"/>
      <c r="L7585" s="505"/>
      <c r="M7585" s="505"/>
      <c r="N7585" s="505"/>
      <c r="O7585" s="505"/>
      <c r="P7585" s="505"/>
      <c r="Q7585" s="505"/>
      <c r="R7585" s="505"/>
      <c r="S7585" s="505"/>
      <c r="T7585" s="505"/>
      <c r="U7585" s="505"/>
      <c r="V7585" s="505"/>
      <c r="W7585" s="505"/>
      <c r="X7585" s="505"/>
      <c r="Y7585" s="505"/>
    </row>
    <row r="7586" spans="1:25" s="88" customFormat="1" hidden="1" x14ac:dyDescent="0.25">
      <c r="A7586" s="258"/>
      <c r="B7586" s="258"/>
      <c r="C7586" s="261"/>
      <c r="D7586" s="258"/>
      <c r="E7586" s="679"/>
      <c r="F7586" s="499">
        <v>4631</v>
      </c>
      <c r="G7586" s="492" t="s">
        <v>3809</v>
      </c>
      <c r="H7586" s="555"/>
      <c r="I7586" s="556"/>
      <c r="J7586" s="556">
        <f t="shared" si="259"/>
        <v>0</v>
      </c>
      <c r="K7586" s="505"/>
      <c r="L7586" s="505"/>
      <c r="M7586" s="505"/>
      <c r="N7586" s="505"/>
      <c r="O7586" s="505"/>
      <c r="P7586" s="505"/>
      <c r="Q7586" s="505"/>
      <c r="R7586" s="505"/>
      <c r="S7586" s="505"/>
      <c r="T7586" s="505"/>
      <c r="U7586" s="505"/>
      <c r="V7586" s="505"/>
      <c r="W7586" s="505"/>
      <c r="X7586" s="505"/>
      <c r="Y7586" s="505"/>
    </row>
    <row r="7587" spans="1:25" s="88" customFormat="1" hidden="1" x14ac:dyDescent="0.25">
      <c r="A7587" s="258"/>
      <c r="B7587" s="258"/>
      <c r="C7587" s="261"/>
      <c r="D7587" s="258"/>
      <c r="E7587" s="679"/>
      <c r="F7587" s="499">
        <v>4632</v>
      </c>
      <c r="G7587" s="492" t="s">
        <v>3810</v>
      </c>
      <c r="H7587" s="555"/>
      <c r="I7587" s="556"/>
      <c r="J7587" s="556">
        <f t="shared" si="259"/>
        <v>0</v>
      </c>
      <c r="K7587" s="505"/>
      <c r="L7587" s="505"/>
      <c r="M7587" s="505"/>
      <c r="N7587" s="505"/>
      <c r="O7587" s="505"/>
      <c r="P7587" s="505"/>
      <c r="Q7587" s="505"/>
      <c r="R7587" s="505"/>
      <c r="S7587" s="505"/>
      <c r="T7587" s="505"/>
      <c r="U7587" s="505"/>
      <c r="V7587" s="505"/>
      <c r="W7587" s="505"/>
      <c r="X7587" s="505"/>
      <c r="Y7587" s="505"/>
    </row>
    <row r="7588" spans="1:25" s="88" customFormat="1" hidden="1" x14ac:dyDescent="0.25">
      <c r="A7588" s="258"/>
      <c r="B7588" s="258"/>
      <c r="C7588" s="261"/>
      <c r="D7588" s="258"/>
      <c r="E7588" s="679"/>
      <c r="F7588" s="499">
        <v>464</v>
      </c>
      <c r="G7588" s="492" t="s">
        <v>3811</v>
      </c>
      <c r="H7588" s="555"/>
      <c r="I7588" s="556"/>
      <c r="J7588" s="556">
        <f t="shared" si="259"/>
        <v>0</v>
      </c>
      <c r="K7588" s="505"/>
      <c r="L7588" s="505"/>
      <c r="M7588" s="505"/>
      <c r="N7588" s="505"/>
      <c r="O7588" s="505"/>
      <c r="P7588" s="505"/>
      <c r="Q7588" s="505"/>
      <c r="R7588" s="505"/>
      <c r="S7588" s="505"/>
      <c r="T7588" s="505"/>
      <c r="U7588" s="505"/>
      <c r="V7588" s="505"/>
      <c r="W7588" s="505"/>
      <c r="X7588" s="505"/>
      <c r="Y7588" s="505"/>
    </row>
    <row r="7589" spans="1:25" s="88" customFormat="1" hidden="1" x14ac:dyDescent="0.25">
      <c r="A7589" s="258"/>
      <c r="B7589" s="258"/>
      <c r="C7589" s="261"/>
      <c r="D7589" s="258"/>
      <c r="E7589" s="679"/>
      <c r="F7589" s="499">
        <v>465</v>
      </c>
      <c r="G7589" s="492" t="s">
        <v>4134</v>
      </c>
      <c r="H7589" s="555"/>
      <c r="I7589" s="556"/>
      <c r="J7589" s="556">
        <f t="shared" si="259"/>
        <v>0</v>
      </c>
      <c r="K7589" s="505"/>
      <c r="L7589" s="505"/>
      <c r="M7589" s="505"/>
      <c r="N7589" s="505"/>
      <c r="O7589" s="505"/>
      <c r="P7589" s="505"/>
      <c r="Q7589" s="505"/>
      <c r="R7589" s="505"/>
      <c r="S7589" s="505"/>
      <c r="T7589" s="505"/>
      <c r="U7589" s="505"/>
      <c r="V7589" s="505"/>
      <c r="W7589" s="505"/>
      <c r="X7589" s="505"/>
      <c r="Y7589" s="505"/>
    </row>
    <row r="7590" spans="1:25" s="88" customFormat="1" hidden="1" x14ac:dyDescent="0.25">
      <c r="A7590" s="258"/>
      <c r="B7590" s="258"/>
      <c r="C7590" s="261"/>
      <c r="D7590" s="258"/>
      <c r="E7590" s="679"/>
      <c r="F7590" s="499">
        <v>472</v>
      </c>
      <c r="G7590" s="492" t="s">
        <v>3815</v>
      </c>
      <c r="H7590" s="555"/>
      <c r="I7590" s="556"/>
      <c r="J7590" s="556">
        <f t="shared" si="259"/>
        <v>0</v>
      </c>
      <c r="K7590" s="505"/>
      <c r="L7590" s="505"/>
      <c r="M7590" s="505"/>
      <c r="N7590" s="505"/>
      <c r="O7590" s="505"/>
      <c r="P7590" s="505"/>
      <c r="Q7590" s="505"/>
      <c r="R7590" s="505"/>
      <c r="S7590" s="505"/>
      <c r="T7590" s="505"/>
      <c r="U7590" s="505"/>
      <c r="V7590" s="505"/>
      <c r="W7590" s="505"/>
      <c r="X7590" s="505"/>
      <c r="Y7590" s="505"/>
    </row>
    <row r="7591" spans="1:25" s="88" customFormat="1" hidden="1" x14ac:dyDescent="0.25">
      <c r="A7591" s="258"/>
      <c r="B7591" s="258"/>
      <c r="C7591" s="261"/>
      <c r="D7591" s="258"/>
      <c r="E7591" s="679"/>
      <c r="F7591" s="499">
        <v>481</v>
      </c>
      <c r="G7591" s="492" t="s">
        <v>4153</v>
      </c>
      <c r="H7591" s="555"/>
      <c r="I7591" s="556"/>
      <c r="J7591" s="556">
        <f t="shared" si="259"/>
        <v>0</v>
      </c>
      <c r="K7591" s="505"/>
      <c r="L7591" s="505"/>
      <c r="M7591" s="505"/>
      <c r="N7591" s="505"/>
      <c r="O7591" s="505"/>
      <c r="P7591" s="505"/>
      <c r="Q7591" s="505"/>
      <c r="R7591" s="505"/>
      <c r="S7591" s="505"/>
      <c r="T7591" s="505"/>
      <c r="U7591" s="505"/>
      <c r="V7591" s="505"/>
      <c r="W7591" s="505"/>
      <c r="X7591" s="505"/>
      <c r="Y7591" s="505"/>
    </row>
    <row r="7592" spans="1:25" s="88" customFormat="1" hidden="1" x14ac:dyDescent="0.25">
      <c r="A7592" s="258"/>
      <c r="B7592" s="258"/>
      <c r="C7592" s="261"/>
      <c r="D7592" s="258"/>
      <c r="E7592" s="679"/>
      <c r="F7592" s="499">
        <v>482</v>
      </c>
      <c r="G7592" s="492" t="s">
        <v>4154</v>
      </c>
      <c r="H7592" s="555"/>
      <c r="I7592" s="556"/>
      <c r="J7592" s="556">
        <f t="shared" si="259"/>
        <v>0</v>
      </c>
      <c r="K7592" s="505"/>
      <c r="L7592" s="505"/>
      <c r="M7592" s="505"/>
      <c r="N7592" s="505"/>
      <c r="O7592" s="505"/>
      <c r="P7592" s="505"/>
      <c r="Q7592" s="505"/>
      <c r="R7592" s="505"/>
      <c r="S7592" s="505"/>
      <c r="T7592" s="505"/>
      <c r="U7592" s="505"/>
      <c r="V7592" s="505"/>
      <c r="W7592" s="505"/>
      <c r="X7592" s="505"/>
      <c r="Y7592" s="505"/>
    </row>
    <row r="7593" spans="1:25" s="88" customFormat="1" hidden="1" x14ac:dyDescent="0.25">
      <c r="A7593" s="258"/>
      <c r="B7593" s="258"/>
      <c r="C7593" s="261"/>
      <c r="D7593" s="258"/>
      <c r="E7593" s="679"/>
      <c r="F7593" s="499">
        <v>483</v>
      </c>
      <c r="G7593" s="496" t="s">
        <v>4155</v>
      </c>
      <c r="H7593" s="555"/>
      <c r="I7593" s="556"/>
      <c r="J7593" s="556">
        <f t="shared" si="259"/>
        <v>0</v>
      </c>
      <c r="K7593" s="505"/>
      <c r="L7593" s="505"/>
      <c r="M7593" s="505"/>
      <c r="N7593" s="505"/>
      <c r="O7593" s="505"/>
      <c r="P7593" s="505"/>
      <c r="Q7593" s="505"/>
      <c r="R7593" s="505"/>
      <c r="S7593" s="505"/>
      <c r="T7593" s="505"/>
      <c r="U7593" s="505"/>
      <c r="V7593" s="505"/>
      <c r="W7593" s="505"/>
      <c r="X7593" s="505"/>
      <c r="Y7593" s="505"/>
    </row>
    <row r="7594" spans="1:25" s="88" customFormat="1" ht="30" hidden="1" x14ac:dyDescent="0.25">
      <c r="A7594" s="258"/>
      <c r="B7594" s="258"/>
      <c r="C7594" s="261"/>
      <c r="D7594" s="258"/>
      <c r="E7594" s="679"/>
      <c r="F7594" s="499">
        <v>484</v>
      </c>
      <c r="G7594" s="492" t="s">
        <v>4156</v>
      </c>
      <c r="H7594" s="555"/>
      <c r="I7594" s="556"/>
      <c r="J7594" s="556">
        <f t="shared" si="259"/>
        <v>0</v>
      </c>
      <c r="K7594" s="505"/>
      <c r="L7594" s="505"/>
      <c r="M7594" s="505"/>
      <c r="N7594" s="505"/>
      <c r="O7594" s="505"/>
      <c r="P7594" s="505"/>
      <c r="Q7594" s="505"/>
      <c r="R7594" s="505"/>
      <c r="S7594" s="505"/>
      <c r="T7594" s="505"/>
      <c r="U7594" s="505"/>
      <c r="V7594" s="505"/>
      <c r="W7594" s="505"/>
      <c r="X7594" s="505"/>
      <c r="Y7594" s="505"/>
    </row>
    <row r="7595" spans="1:25" s="88" customFormat="1" ht="30" hidden="1" x14ac:dyDescent="0.25">
      <c r="A7595" s="258"/>
      <c r="B7595" s="258"/>
      <c r="C7595" s="261"/>
      <c r="D7595" s="258"/>
      <c r="E7595" s="679"/>
      <c r="F7595" s="499">
        <v>485</v>
      </c>
      <c r="G7595" s="492" t="s">
        <v>4157</v>
      </c>
      <c r="H7595" s="555"/>
      <c r="I7595" s="556"/>
      <c r="J7595" s="556">
        <f t="shared" si="259"/>
        <v>0</v>
      </c>
      <c r="K7595" s="505"/>
      <c r="L7595" s="505"/>
      <c r="M7595" s="505"/>
      <c r="N7595" s="505"/>
      <c r="O7595" s="505"/>
      <c r="P7595" s="505"/>
      <c r="Q7595" s="505"/>
      <c r="R7595" s="505"/>
      <c r="S7595" s="505"/>
      <c r="T7595" s="505"/>
      <c r="U7595" s="505"/>
      <c r="V7595" s="505"/>
      <c r="W7595" s="505"/>
      <c r="X7595" s="505"/>
      <c r="Y7595" s="505"/>
    </row>
    <row r="7596" spans="1:25" s="88" customFormat="1" ht="30" hidden="1" x14ac:dyDescent="0.25">
      <c r="A7596" s="258"/>
      <c r="B7596" s="258"/>
      <c r="C7596" s="261"/>
      <c r="D7596" s="258"/>
      <c r="E7596" s="679"/>
      <c r="F7596" s="499">
        <v>489</v>
      </c>
      <c r="G7596" s="492" t="s">
        <v>3823</v>
      </c>
      <c r="H7596" s="555"/>
      <c r="I7596" s="556"/>
      <c r="J7596" s="556">
        <f t="shared" si="259"/>
        <v>0</v>
      </c>
      <c r="K7596" s="505"/>
      <c r="L7596" s="505"/>
      <c r="M7596" s="505"/>
      <c r="N7596" s="505"/>
      <c r="O7596" s="505"/>
      <c r="P7596" s="505"/>
      <c r="Q7596" s="505"/>
      <c r="R7596" s="505"/>
      <c r="S7596" s="505"/>
      <c r="T7596" s="505"/>
      <c r="U7596" s="505"/>
      <c r="V7596" s="505"/>
      <c r="W7596" s="505"/>
      <c r="X7596" s="505"/>
      <c r="Y7596" s="505"/>
    </row>
    <row r="7597" spans="1:25" s="88" customFormat="1" hidden="1" x14ac:dyDescent="0.25">
      <c r="A7597" s="258"/>
      <c r="B7597" s="258"/>
      <c r="C7597" s="261"/>
      <c r="D7597" s="258"/>
      <c r="E7597" s="679"/>
      <c r="F7597" s="499">
        <v>494</v>
      </c>
      <c r="G7597" s="492" t="s">
        <v>4135</v>
      </c>
      <c r="H7597" s="555"/>
      <c r="I7597" s="556"/>
      <c r="J7597" s="556">
        <f t="shared" si="259"/>
        <v>0</v>
      </c>
      <c r="K7597" s="505"/>
      <c r="L7597" s="505"/>
      <c r="M7597" s="505"/>
      <c r="N7597" s="505"/>
      <c r="O7597" s="505"/>
      <c r="P7597" s="505"/>
      <c r="Q7597" s="505"/>
      <c r="R7597" s="505"/>
      <c r="S7597" s="505"/>
      <c r="T7597" s="505"/>
      <c r="U7597" s="505"/>
      <c r="V7597" s="505"/>
      <c r="W7597" s="505"/>
      <c r="X7597" s="505"/>
      <c r="Y7597" s="505"/>
    </row>
    <row r="7598" spans="1:25" s="88" customFormat="1" ht="30" hidden="1" x14ac:dyDescent="0.25">
      <c r="A7598" s="258"/>
      <c r="B7598" s="258"/>
      <c r="C7598" s="261"/>
      <c r="D7598" s="258"/>
      <c r="E7598" s="679"/>
      <c r="F7598" s="499">
        <v>495</v>
      </c>
      <c r="G7598" s="492" t="s">
        <v>4136</v>
      </c>
      <c r="H7598" s="555"/>
      <c r="I7598" s="556"/>
      <c r="J7598" s="556">
        <f t="shared" si="259"/>
        <v>0</v>
      </c>
      <c r="K7598" s="505"/>
      <c r="L7598" s="505"/>
      <c r="M7598" s="505"/>
      <c r="N7598" s="505"/>
      <c r="O7598" s="505"/>
      <c r="P7598" s="505"/>
      <c r="Q7598" s="505"/>
      <c r="R7598" s="505"/>
      <c r="S7598" s="505"/>
      <c r="T7598" s="505"/>
      <c r="U7598" s="505"/>
      <c r="V7598" s="505"/>
      <c r="W7598" s="505"/>
      <c r="X7598" s="505"/>
      <c r="Y7598" s="505"/>
    </row>
    <row r="7599" spans="1:25" s="88" customFormat="1" ht="30" hidden="1" x14ac:dyDescent="0.25">
      <c r="A7599" s="258"/>
      <c r="B7599" s="258"/>
      <c r="C7599" s="261"/>
      <c r="D7599" s="258"/>
      <c r="E7599" s="679"/>
      <c r="F7599" s="499">
        <v>496</v>
      </c>
      <c r="G7599" s="492" t="s">
        <v>4137</v>
      </c>
      <c r="H7599" s="555"/>
      <c r="I7599" s="556"/>
      <c r="J7599" s="556">
        <f t="shared" si="259"/>
        <v>0</v>
      </c>
      <c r="K7599" s="505"/>
      <c r="L7599" s="505"/>
      <c r="M7599" s="505"/>
      <c r="N7599" s="505"/>
      <c r="O7599" s="505"/>
      <c r="P7599" s="505"/>
      <c r="Q7599" s="505"/>
      <c r="R7599" s="505"/>
      <c r="S7599" s="505"/>
      <c r="T7599" s="505"/>
      <c r="U7599" s="505"/>
      <c r="V7599" s="505"/>
      <c r="W7599" s="505"/>
      <c r="X7599" s="505"/>
      <c r="Y7599" s="505"/>
    </row>
    <row r="7600" spans="1:25" s="88" customFormat="1" ht="30" hidden="1" x14ac:dyDescent="0.25">
      <c r="A7600" s="258"/>
      <c r="B7600" s="258"/>
      <c r="C7600" s="261"/>
      <c r="D7600" s="258"/>
      <c r="E7600" s="679"/>
      <c r="F7600" s="499">
        <v>499</v>
      </c>
      <c r="G7600" s="492" t="s">
        <v>4138</v>
      </c>
      <c r="H7600" s="555"/>
      <c r="I7600" s="556"/>
      <c r="J7600" s="556">
        <f t="shared" si="259"/>
        <v>0</v>
      </c>
      <c r="K7600" s="505"/>
      <c r="L7600" s="505"/>
      <c r="M7600" s="505"/>
      <c r="N7600" s="505"/>
      <c r="O7600" s="505"/>
      <c r="P7600" s="505"/>
      <c r="Q7600" s="505"/>
      <c r="R7600" s="505"/>
      <c r="S7600" s="505"/>
      <c r="T7600" s="505"/>
      <c r="U7600" s="505"/>
      <c r="V7600" s="505"/>
      <c r="W7600" s="505"/>
      <c r="X7600" s="505"/>
      <c r="Y7600" s="505"/>
    </row>
    <row r="7601" spans="1:25" s="88" customFormat="1" hidden="1" x14ac:dyDescent="0.25">
      <c r="A7601" s="258"/>
      <c r="B7601" s="258"/>
      <c r="C7601" s="261"/>
      <c r="D7601" s="258"/>
      <c r="E7601" s="679"/>
      <c r="F7601" s="499">
        <v>511</v>
      </c>
      <c r="G7601" s="496" t="s">
        <v>4158</v>
      </c>
      <c r="H7601" s="555">
        <v>0</v>
      </c>
      <c r="I7601" s="556"/>
      <c r="J7601" s="556">
        <f t="shared" si="259"/>
        <v>0</v>
      </c>
      <c r="K7601" s="505"/>
      <c r="L7601" s="505"/>
      <c r="M7601" s="505"/>
      <c r="N7601" s="505"/>
      <c r="O7601" s="505"/>
      <c r="P7601" s="505"/>
      <c r="Q7601" s="505"/>
      <c r="R7601" s="505"/>
      <c r="S7601" s="505"/>
      <c r="T7601" s="505"/>
      <c r="U7601" s="505"/>
      <c r="V7601" s="505"/>
      <c r="W7601" s="505"/>
      <c r="X7601" s="505"/>
      <c r="Y7601" s="505"/>
    </row>
    <row r="7602" spans="1:25" s="88" customFormat="1" x14ac:dyDescent="0.25">
      <c r="A7602" s="258"/>
      <c r="B7602" s="258"/>
      <c r="C7602" s="261"/>
      <c r="D7602" s="258"/>
      <c r="E7602" s="679">
        <v>224</v>
      </c>
      <c r="F7602" s="499">
        <v>512</v>
      </c>
      <c r="G7602" s="496" t="s">
        <v>4159</v>
      </c>
      <c r="H7602" s="555">
        <v>800000</v>
      </c>
      <c r="I7602" s="556"/>
      <c r="J7602" s="556">
        <f t="shared" si="259"/>
        <v>800000</v>
      </c>
      <c r="K7602" s="505"/>
      <c r="L7602" s="505"/>
      <c r="M7602" s="505"/>
      <c r="N7602" s="505"/>
      <c r="O7602" s="505"/>
      <c r="P7602" s="505"/>
      <c r="Q7602" s="505"/>
      <c r="R7602" s="505"/>
      <c r="S7602" s="505"/>
      <c r="T7602" s="505"/>
      <c r="U7602" s="505"/>
      <c r="V7602" s="505"/>
      <c r="W7602" s="505"/>
      <c r="X7602" s="505"/>
      <c r="Y7602" s="505"/>
    </row>
    <row r="7603" spans="1:25" s="88" customFormat="1" hidden="1" x14ac:dyDescent="0.25">
      <c r="A7603" s="258"/>
      <c r="B7603" s="258"/>
      <c r="C7603" s="261"/>
      <c r="D7603" s="258"/>
      <c r="E7603" s="679"/>
      <c r="F7603" s="499">
        <v>513</v>
      </c>
      <c r="G7603" s="496" t="s">
        <v>4160</v>
      </c>
      <c r="H7603" s="555"/>
      <c r="I7603" s="556"/>
      <c r="J7603" s="556">
        <f t="shared" si="259"/>
        <v>0</v>
      </c>
      <c r="K7603" s="505"/>
      <c r="L7603" s="505"/>
      <c r="M7603" s="505"/>
      <c r="N7603" s="505"/>
      <c r="O7603" s="505"/>
      <c r="P7603" s="505"/>
      <c r="Q7603" s="505"/>
      <c r="R7603" s="505"/>
      <c r="S7603" s="505"/>
      <c r="T7603" s="505"/>
      <c r="U7603" s="505"/>
      <c r="V7603" s="505"/>
      <c r="W7603" s="505"/>
      <c r="X7603" s="505"/>
      <c r="Y7603" s="505"/>
    </row>
    <row r="7604" spans="1:25" s="88" customFormat="1" hidden="1" x14ac:dyDescent="0.25">
      <c r="A7604" s="258"/>
      <c r="B7604" s="258"/>
      <c r="C7604" s="261"/>
      <c r="D7604" s="258"/>
      <c r="E7604" s="679"/>
      <c r="F7604" s="499">
        <v>514</v>
      </c>
      <c r="G7604" s="492" t="s">
        <v>4161</v>
      </c>
      <c r="H7604" s="555"/>
      <c r="I7604" s="556"/>
      <c r="J7604" s="556">
        <f t="shared" si="259"/>
        <v>0</v>
      </c>
      <c r="K7604" s="505"/>
      <c r="L7604" s="505"/>
      <c r="M7604" s="505"/>
      <c r="N7604" s="505"/>
      <c r="O7604" s="505"/>
      <c r="P7604" s="505"/>
      <c r="Q7604" s="505"/>
      <c r="R7604" s="505"/>
      <c r="S7604" s="505"/>
      <c r="T7604" s="505"/>
      <c r="U7604" s="505"/>
      <c r="V7604" s="505"/>
      <c r="W7604" s="505"/>
      <c r="X7604" s="505"/>
      <c r="Y7604" s="505"/>
    </row>
    <row r="7605" spans="1:25" s="88" customFormat="1" hidden="1" x14ac:dyDescent="0.25">
      <c r="A7605" s="258"/>
      <c r="B7605" s="258"/>
      <c r="C7605" s="261"/>
      <c r="D7605" s="258"/>
      <c r="E7605" s="679"/>
      <c r="F7605" s="499">
        <v>515</v>
      </c>
      <c r="G7605" s="492" t="s">
        <v>3834</v>
      </c>
      <c r="H7605" s="555"/>
      <c r="I7605" s="556"/>
      <c r="J7605" s="556">
        <f t="shared" si="259"/>
        <v>0</v>
      </c>
      <c r="K7605" s="505"/>
      <c r="L7605" s="505"/>
      <c r="M7605" s="505"/>
      <c r="N7605" s="505"/>
      <c r="O7605" s="505"/>
      <c r="P7605" s="505"/>
      <c r="Q7605" s="505"/>
      <c r="R7605" s="505"/>
      <c r="S7605" s="505"/>
      <c r="T7605" s="505"/>
      <c r="U7605" s="505"/>
      <c r="V7605" s="505"/>
      <c r="W7605" s="505"/>
      <c r="X7605" s="505"/>
      <c r="Y7605" s="505"/>
    </row>
    <row r="7606" spans="1:25" s="88" customFormat="1" hidden="1" x14ac:dyDescent="0.25">
      <c r="A7606" s="258"/>
      <c r="B7606" s="258"/>
      <c r="C7606" s="261"/>
      <c r="D7606" s="258"/>
      <c r="E7606" s="679"/>
      <c r="F7606" s="499">
        <v>521</v>
      </c>
      <c r="G7606" s="492" t="s">
        <v>4162</v>
      </c>
      <c r="H7606" s="555"/>
      <c r="I7606" s="556"/>
      <c r="J7606" s="556">
        <f t="shared" si="259"/>
        <v>0</v>
      </c>
      <c r="K7606" s="505"/>
      <c r="L7606" s="505"/>
      <c r="M7606" s="505"/>
      <c r="N7606" s="505"/>
      <c r="O7606" s="505"/>
      <c r="P7606" s="505"/>
      <c r="Q7606" s="505"/>
      <c r="R7606" s="505"/>
      <c r="S7606" s="505"/>
      <c r="T7606" s="505"/>
      <c r="U7606" s="505"/>
      <c r="V7606" s="505"/>
      <c r="W7606" s="505"/>
      <c r="X7606" s="505"/>
      <c r="Y7606" s="505"/>
    </row>
    <row r="7607" spans="1:25" s="88" customFormat="1" hidden="1" x14ac:dyDescent="0.25">
      <c r="A7607" s="258"/>
      <c r="B7607" s="258"/>
      <c r="C7607" s="261"/>
      <c r="D7607" s="258"/>
      <c r="E7607" s="679"/>
      <c r="F7607" s="499">
        <v>522</v>
      </c>
      <c r="G7607" s="492" t="s">
        <v>4163</v>
      </c>
      <c r="H7607" s="555"/>
      <c r="I7607" s="556"/>
      <c r="J7607" s="556">
        <f t="shared" si="259"/>
        <v>0</v>
      </c>
      <c r="K7607" s="505"/>
      <c r="L7607" s="505"/>
      <c r="M7607" s="505"/>
      <c r="N7607" s="505"/>
      <c r="O7607" s="505"/>
      <c r="P7607" s="505"/>
      <c r="Q7607" s="505"/>
      <c r="R7607" s="505"/>
      <c r="S7607" s="505"/>
      <c r="T7607" s="505"/>
      <c r="U7607" s="505"/>
      <c r="V7607" s="505"/>
      <c r="W7607" s="505"/>
      <c r="X7607" s="505"/>
      <c r="Y7607" s="505"/>
    </row>
    <row r="7608" spans="1:25" s="88" customFormat="1" hidden="1" x14ac:dyDescent="0.25">
      <c r="A7608" s="258"/>
      <c r="B7608" s="258"/>
      <c r="C7608" s="261"/>
      <c r="D7608" s="258"/>
      <c r="E7608" s="679"/>
      <c r="F7608" s="499">
        <v>523</v>
      </c>
      <c r="G7608" s="492" t="s">
        <v>3839</v>
      </c>
      <c r="H7608" s="555"/>
      <c r="I7608" s="556"/>
      <c r="J7608" s="556">
        <f t="shared" si="259"/>
        <v>0</v>
      </c>
      <c r="K7608" s="505"/>
      <c r="L7608" s="505"/>
      <c r="M7608" s="505"/>
      <c r="N7608" s="505"/>
      <c r="O7608" s="505"/>
      <c r="P7608" s="505"/>
      <c r="Q7608" s="505"/>
      <c r="R7608" s="505"/>
      <c r="S7608" s="505"/>
      <c r="T7608" s="505"/>
      <c r="U7608" s="505"/>
      <c r="V7608" s="505"/>
      <c r="W7608" s="505"/>
      <c r="X7608" s="505"/>
      <c r="Y7608" s="505"/>
    </row>
    <row r="7609" spans="1:25" s="88" customFormat="1" hidden="1" x14ac:dyDescent="0.25">
      <c r="A7609" s="258"/>
      <c r="B7609" s="258"/>
      <c r="C7609" s="261"/>
      <c r="D7609" s="258"/>
      <c r="E7609" s="679"/>
      <c r="F7609" s="499">
        <v>531</v>
      </c>
      <c r="G7609" s="488" t="s">
        <v>4139</v>
      </c>
      <c r="H7609" s="555"/>
      <c r="I7609" s="556"/>
      <c r="J7609" s="556">
        <f t="shared" si="259"/>
        <v>0</v>
      </c>
      <c r="K7609" s="505"/>
      <c r="L7609" s="505"/>
      <c r="M7609" s="505"/>
      <c r="N7609" s="505"/>
      <c r="O7609" s="505"/>
      <c r="P7609" s="505"/>
      <c r="Q7609" s="505"/>
      <c r="R7609" s="505"/>
      <c r="S7609" s="505"/>
      <c r="T7609" s="505"/>
      <c r="U7609" s="505"/>
      <c r="V7609" s="505"/>
      <c r="W7609" s="505"/>
      <c r="X7609" s="505"/>
      <c r="Y7609" s="505"/>
    </row>
    <row r="7610" spans="1:25" s="88" customFormat="1" hidden="1" x14ac:dyDescent="0.25">
      <c r="A7610" s="258"/>
      <c r="B7610" s="258"/>
      <c r="C7610" s="261"/>
      <c r="D7610" s="258"/>
      <c r="E7610" s="679"/>
      <c r="F7610" s="499">
        <v>541</v>
      </c>
      <c r="G7610" s="492" t="s">
        <v>4164</v>
      </c>
      <c r="H7610" s="555"/>
      <c r="I7610" s="556"/>
      <c r="J7610" s="556">
        <f t="shared" si="259"/>
        <v>0</v>
      </c>
      <c r="K7610" s="505"/>
      <c r="L7610" s="505"/>
      <c r="M7610" s="505"/>
      <c r="N7610" s="505"/>
      <c r="O7610" s="505"/>
      <c r="P7610" s="505"/>
      <c r="Q7610" s="505"/>
      <c r="R7610" s="505"/>
      <c r="S7610" s="505"/>
      <c r="T7610" s="505"/>
      <c r="U7610" s="505"/>
      <c r="V7610" s="505"/>
      <c r="W7610" s="505"/>
      <c r="X7610" s="505"/>
      <c r="Y7610" s="505"/>
    </row>
    <row r="7611" spans="1:25" s="88" customFormat="1" hidden="1" x14ac:dyDescent="0.25">
      <c r="A7611" s="258"/>
      <c r="B7611" s="258"/>
      <c r="C7611" s="261"/>
      <c r="D7611" s="258"/>
      <c r="E7611" s="679"/>
      <c r="F7611" s="499">
        <v>542</v>
      </c>
      <c r="G7611" s="492" t="s">
        <v>4165</v>
      </c>
      <c r="H7611" s="555"/>
      <c r="I7611" s="556"/>
      <c r="J7611" s="556">
        <f t="shared" si="259"/>
        <v>0</v>
      </c>
      <c r="K7611" s="505"/>
      <c r="L7611" s="505"/>
      <c r="M7611" s="505"/>
      <c r="N7611" s="505"/>
      <c r="O7611" s="505"/>
      <c r="P7611" s="505"/>
      <c r="Q7611" s="505"/>
      <c r="R7611" s="505"/>
      <c r="S7611" s="505"/>
      <c r="T7611" s="505"/>
      <c r="U7611" s="505"/>
      <c r="V7611" s="505"/>
      <c r="W7611" s="505"/>
      <c r="X7611" s="505"/>
      <c r="Y7611" s="505"/>
    </row>
    <row r="7612" spans="1:25" s="88" customFormat="1" hidden="1" x14ac:dyDescent="0.25">
      <c r="A7612" s="258"/>
      <c r="B7612" s="258"/>
      <c r="C7612" s="261"/>
      <c r="D7612" s="258"/>
      <c r="E7612" s="679"/>
      <c r="F7612" s="499">
        <v>543</v>
      </c>
      <c r="G7612" s="492" t="s">
        <v>3844</v>
      </c>
      <c r="H7612" s="555"/>
      <c r="I7612" s="556"/>
      <c r="J7612" s="556">
        <f t="shared" si="259"/>
        <v>0</v>
      </c>
      <c r="K7612" s="505"/>
      <c r="L7612" s="505"/>
      <c r="M7612" s="505"/>
      <c r="N7612" s="505"/>
      <c r="O7612" s="505"/>
      <c r="P7612" s="505"/>
      <c r="Q7612" s="505"/>
      <c r="R7612" s="505"/>
      <c r="S7612" s="505"/>
      <c r="T7612" s="505"/>
      <c r="U7612" s="505"/>
      <c r="V7612" s="505"/>
      <c r="W7612" s="505"/>
      <c r="X7612" s="505"/>
      <c r="Y7612" s="505"/>
    </row>
    <row r="7613" spans="1:25" s="88" customFormat="1" ht="30" hidden="1" x14ac:dyDescent="0.25">
      <c r="A7613" s="258"/>
      <c r="B7613" s="258"/>
      <c r="C7613" s="261"/>
      <c r="D7613" s="258"/>
      <c r="E7613" s="679"/>
      <c r="F7613" s="499">
        <v>551</v>
      </c>
      <c r="G7613" s="492" t="s">
        <v>4140</v>
      </c>
      <c r="H7613" s="555"/>
      <c r="I7613" s="556"/>
      <c r="J7613" s="556">
        <f t="shared" si="259"/>
        <v>0</v>
      </c>
      <c r="K7613" s="505"/>
      <c r="L7613" s="505"/>
      <c r="M7613" s="505"/>
      <c r="N7613" s="505"/>
      <c r="O7613" s="505"/>
      <c r="P7613" s="505"/>
      <c r="Q7613" s="505"/>
      <c r="R7613" s="505"/>
      <c r="S7613" s="505"/>
      <c r="T7613" s="505"/>
      <c r="U7613" s="505"/>
      <c r="V7613" s="505"/>
      <c r="W7613" s="505"/>
      <c r="X7613" s="505"/>
      <c r="Y7613" s="505"/>
    </row>
    <row r="7614" spans="1:25" s="88" customFormat="1" hidden="1" x14ac:dyDescent="0.25">
      <c r="A7614" s="258"/>
      <c r="B7614" s="258"/>
      <c r="C7614" s="261"/>
      <c r="D7614" s="258"/>
      <c r="E7614" s="679"/>
      <c r="F7614" s="500">
        <v>611</v>
      </c>
      <c r="G7614" s="498" t="s">
        <v>3850</v>
      </c>
      <c r="H7614" s="555"/>
      <c r="I7614" s="556"/>
      <c r="J7614" s="556">
        <f t="shared" si="259"/>
        <v>0</v>
      </c>
      <c r="K7614" s="505"/>
      <c r="L7614" s="505"/>
      <c r="M7614" s="505"/>
      <c r="N7614" s="505"/>
      <c r="O7614" s="505"/>
      <c r="P7614" s="505"/>
      <c r="Q7614" s="505"/>
      <c r="R7614" s="505"/>
      <c r="S7614" s="505"/>
      <c r="T7614" s="505"/>
      <c r="U7614" s="505"/>
      <c r="V7614" s="505"/>
      <c r="W7614" s="505"/>
      <c r="X7614" s="505"/>
      <c r="Y7614" s="505"/>
    </row>
    <row r="7615" spans="1:25" s="88" customFormat="1" ht="0.75" customHeight="1" thickBot="1" x14ac:dyDescent="0.3">
      <c r="A7615" s="258"/>
      <c r="B7615" s="258"/>
      <c r="C7615" s="261"/>
      <c r="D7615" s="258"/>
      <c r="E7615" s="679"/>
      <c r="F7615" s="500">
        <v>620</v>
      </c>
      <c r="G7615" s="498" t="s">
        <v>88</v>
      </c>
      <c r="H7615" s="555"/>
      <c r="I7615" s="556"/>
      <c r="J7615" s="556">
        <f t="shared" si="259"/>
        <v>0</v>
      </c>
      <c r="K7615" s="505"/>
      <c r="L7615" s="505"/>
      <c r="M7615" s="505"/>
      <c r="N7615" s="505"/>
      <c r="O7615" s="505"/>
      <c r="P7615" s="505"/>
      <c r="Q7615" s="505"/>
      <c r="R7615" s="505"/>
      <c r="S7615" s="505"/>
      <c r="T7615" s="505"/>
      <c r="U7615" s="505"/>
      <c r="V7615" s="505"/>
      <c r="W7615" s="505"/>
      <c r="X7615" s="505"/>
      <c r="Y7615" s="505"/>
    </row>
    <row r="7616" spans="1:25" s="88" customFormat="1" x14ac:dyDescent="0.25">
      <c r="A7616" s="258"/>
      <c r="B7616" s="258"/>
      <c r="C7616" s="261"/>
      <c r="D7616" s="258"/>
      <c r="E7616" s="489"/>
      <c r="F7616" s="500"/>
      <c r="G7616" s="343" t="s">
        <v>5339</v>
      </c>
      <c r="H7616" s="557"/>
      <c r="I7616" s="583"/>
      <c r="J7616" s="558"/>
      <c r="K7616" s="505"/>
      <c r="L7616" s="505"/>
      <c r="M7616" s="505"/>
      <c r="N7616" s="505"/>
      <c r="O7616" s="505"/>
      <c r="P7616" s="505"/>
      <c r="Q7616" s="505"/>
      <c r="R7616" s="505"/>
      <c r="S7616" s="505"/>
      <c r="T7616" s="505"/>
      <c r="U7616" s="505"/>
      <c r="V7616" s="505"/>
      <c r="W7616" s="505"/>
      <c r="X7616" s="505"/>
      <c r="Y7616" s="505"/>
    </row>
    <row r="7617" spans="1:25" s="88" customFormat="1" ht="15.75" thickBot="1" x14ac:dyDescent="0.3">
      <c r="A7617" s="258"/>
      <c r="B7617" s="258"/>
      <c r="C7617" s="261"/>
      <c r="D7617" s="258"/>
      <c r="E7617" s="693"/>
      <c r="F7617" s="597" t="s">
        <v>234</v>
      </c>
      <c r="G7617" s="598" t="s">
        <v>235</v>
      </c>
      <c r="H7617" s="559">
        <f>SUM(H7556:H7616)</f>
        <v>800000</v>
      </c>
      <c r="I7617" s="560"/>
      <c r="J7617" s="560">
        <f t="shared" ref="J7617:J7632" si="260">SUM(H7617:I7617)</f>
        <v>800000</v>
      </c>
      <c r="K7617" s="505"/>
      <c r="L7617" s="505"/>
      <c r="M7617" s="505"/>
      <c r="N7617" s="505"/>
      <c r="O7617" s="505"/>
      <c r="P7617" s="505"/>
      <c r="Q7617" s="505"/>
      <c r="R7617" s="505"/>
      <c r="S7617" s="505"/>
      <c r="T7617" s="505"/>
      <c r="U7617" s="505"/>
      <c r="V7617" s="505"/>
      <c r="W7617" s="505"/>
      <c r="X7617" s="505"/>
      <c r="Y7617" s="505"/>
    </row>
    <row r="7618" spans="1:25" s="88" customFormat="1" hidden="1" x14ac:dyDescent="0.25">
      <c r="A7618" s="258"/>
      <c r="B7618" s="258"/>
      <c r="C7618" s="261"/>
      <c r="D7618" s="258"/>
      <c r="E7618" s="679"/>
      <c r="F7618" s="597" t="s">
        <v>236</v>
      </c>
      <c r="G7618" s="598" t="s">
        <v>237</v>
      </c>
      <c r="H7618" s="555"/>
      <c r="I7618" s="556"/>
      <c r="J7618" s="560">
        <f t="shared" si="260"/>
        <v>0</v>
      </c>
      <c r="K7618" s="505"/>
      <c r="L7618" s="505"/>
      <c r="M7618" s="505"/>
      <c r="N7618" s="505"/>
      <c r="O7618" s="505"/>
      <c r="P7618" s="505"/>
      <c r="Q7618" s="505"/>
      <c r="R7618" s="505"/>
      <c r="S7618" s="505"/>
      <c r="T7618" s="505"/>
      <c r="U7618" s="505"/>
      <c r="V7618" s="505"/>
      <c r="W7618" s="505"/>
      <c r="X7618" s="505"/>
      <c r="Y7618" s="505"/>
    </row>
    <row r="7619" spans="1:25" s="88" customFormat="1" hidden="1" x14ac:dyDescent="0.25">
      <c r="A7619" s="258"/>
      <c r="B7619" s="258"/>
      <c r="C7619" s="261"/>
      <c r="D7619" s="258"/>
      <c r="E7619" s="679"/>
      <c r="F7619" s="597" t="s">
        <v>238</v>
      </c>
      <c r="G7619" s="598" t="s">
        <v>239</v>
      </c>
      <c r="H7619" s="555"/>
      <c r="I7619" s="556"/>
      <c r="J7619" s="560">
        <f t="shared" si="260"/>
        <v>0</v>
      </c>
      <c r="K7619" s="505"/>
      <c r="L7619" s="505"/>
      <c r="M7619" s="505"/>
      <c r="N7619" s="505"/>
      <c r="O7619" s="505"/>
      <c r="P7619" s="505"/>
      <c r="Q7619" s="505"/>
      <c r="R7619" s="505"/>
      <c r="S7619" s="505"/>
      <c r="T7619" s="505"/>
      <c r="U7619" s="505"/>
      <c r="V7619" s="505"/>
      <c r="W7619" s="505"/>
      <c r="X7619" s="505"/>
      <c r="Y7619" s="505"/>
    </row>
    <row r="7620" spans="1:25" s="88" customFormat="1" hidden="1" x14ac:dyDescent="0.25">
      <c r="A7620" s="258"/>
      <c r="B7620" s="258"/>
      <c r="C7620" s="261"/>
      <c r="D7620" s="258"/>
      <c r="E7620" s="679"/>
      <c r="F7620" s="597" t="s">
        <v>240</v>
      </c>
      <c r="G7620" s="598" t="s">
        <v>241</v>
      </c>
      <c r="H7620" s="555"/>
      <c r="I7620" s="556"/>
      <c r="J7620" s="560">
        <f t="shared" si="260"/>
        <v>0</v>
      </c>
      <c r="K7620" s="505"/>
      <c r="L7620" s="505"/>
      <c r="M7620" s="505"/>
      <c r="N7620" s="505"/>
      <c r="O7620" s="505"/>
      <c r="P7620" s="505"/>
      <c r="Q7620" s="505"/>
      <c r="R7620" s="505"/>
      <c r="S7620" s="505"/>
      <c r="T7620" s="505"/>
      <c r="U7620" s="505"/>
      <c r="V7620" s="505"/>
      <c r="W7620" s="505"/>
      <c r="X7620" s="505"/>
      <c r="Y7620" s="505"/>
    </row>
    <row r="7621" spans="1:25" s="88" customFormat="1" hidden="1" x14ac:dyDescent="0.25">
      <c r="A7621" s="258"/>
      <c r="B7621" s="258"/>
      <c r="C7621" s="261"/>
      <c r="D7621" s="258"/>
      <c r="E7621" s="679"/>
      <c r="F7621" s="597" t="s">
        <v>242</v>
      </c>
      <c r="G7621" s="598" t="s">
        <v>243</v>
      </c>
      <c r="H7621" s="555"/>
      <c r="I7621" s="556"/>
      <c r="J7621" s="560">
        <f t="shared" si="260"/>
        <v>0</v>
      </c>
      <c r="K7621" s="505"/>
      <c r="L7621" s="505"/>
      <c r="M7621" s="505"/>
      <c r="N7621" s="505"/>
      <c r="O7621" s="505"/>
      <c r="P7621" s="505"/>
      <c r="Q7621" s="505"/>
      <c r="R7621" s="505"/>
      <c r="S7621" s="505"/>
      <c r="T7621" s="505"/>
      <c r="U7621" s="505"/>
      <c r="V7621" s="505"/>
      <c r="W7621" s="505"/>
      <c r="X7621" s="505"/>
      <c r="Y7621" s="505"/>
    </row>
    <row r="7622" spans="1:25" s="88" customFormat="1" hidden="1" x14ac:dyDescent="0.25">
      <c r="A7622" s="258"/>
      <c r="B7622" s="258"/>
      <c r="C7622" s="261"/>
      <c r="D7622" s="258"/>
      <c r="E7622" s="679"/>
      <c r="F7622" s="597" t="s">
        <v>244</v>
      </c>
      <c r="G7622" s="598" t="s">
        <v>245</v>
      </c>
      <c r="H7622" s="555"/>
      <c r="I7622" s="556"/>
      <c r="J7622" s="560">
        <f t="shared" si="260"/>
        <v>0</v>
      </c>
      <c r="K7622" s="505"/>
      <c r="L7622" s="505"/>
      <c r="M7622" s="505"/>
      <c r="N7622" s="505"/>
      <c r="O7622" s="505"/>
      <c r="P7622" s="505"/>
      <c r="Q7622" s="505"/>
      <c r="R7622" s="505"/>
      <c r="S7622" s="505"/>
      <c r="T7622" s="505"/>
      <c r="U7622" s="505"/>
      <c r="V7622" s="505"/>
      <c r="W7622" s="505"/>
      <c r="X7622" s="505"/>
      <c r="Y7622" s="505"/>
    </row>
    <row r="7623" spans="1:25" s="88" customFormat="1" hidden="1" x14ac:dyDescent="0.25">
      <c r="A7623" s="258"/>
      <c r="B7623" s="258"/>
      <c r="C7623" s="261"/>
      <c r="D7623" s="258"/>
      <c r="E7623" s="679"/>
      <c r="F7623" s="597" t="s">
        <v>246</v>
      </c>
      <c r="G7623" s="598" t="s">
        <v>4996</v>
      </c>
      <c r="H7623" s="555"/>
      <c r="I7623" s="556"/>
      <c r="J7623" s="560">
        <f t="shared" si="260"/>
        <v>0</v>
      </c>
      <c r="K7623" s="505"/>
      <c r="L7623" s="505"/>
      <c r="M7623" s="505"/>
      <c r="N7623" s="505"/>
      <c r="O7623" s="505"/>
      <c r="P7623" s="505"/>
      <c r="Q7623" s="505"/>
      <c r="R7623" s="505"/>
      <c r="S7623" s="505"/>
      <c r="T7623" s="505"/>
      <c r="U7623" s="505"/>
      <c r="V7623" s="505"/>
      <c r="W7623" s="505"/>
      <c r="X7623" s="505"/>
      <c r="Y7623" s="505"/>
    </row>
    <row r="7624" spans="1:25" s="88" customFormat="1" hidden="1" x14ac:dyDescent="0.25">
      <c r="A7624" s="258"/>
      <c r="B7624" s="258"/>
      <c r="C7624" s="261"/>
      <c r="D7624" s="258"/>
      <c r="E7624" s="679"/>
      <c r="F7624" s="597" t="s">
        <v>247</v>
      </c>
      <c r="G7624" s="598" t="s">
        <v>4995</v>
      </c>
      <c r="H7624" s="555"/>
      <c r="I7624" s="556"/>
      <c r="J7624" s="560">
        <f t="shared" si="260"/>
        <v>0</v>
      </c>
      <c r="K7624" s="505"/>
      <c r="L7624" s="505"/>
      <c r="M7624" s="505"/>
      <c r="N7624" s="505"/>
      <c r="O7624" s="505"/>
      <c r="P7624" s="505"/>
      <c r="Q7624" s="505"/>
      <c r="R7624" s="505"/>
      <c r="S7624" s="505"/>
      <c r="T7624" s="505"/>
      <c r="U7624" s="505"/>
      <c r="V7624" s="505"/>
      <c r="W7624" s="505"/>
      <c r="X7624" s="505"/>
      <c r="Y7624" s="505"/>
    </row>
    <row r="7625" spans="1:25" s="88" customFormat="1" hidden="1" x14ac:dyDescent="0.25">
      <c r="A7625" s="258"/>
      <c r="B7625" s="258"/>
      <c r="C7625" s="261"/>
      <c r="D7625" s="258"/>
      <c r="E7625" s="679"/>
      <c r="F7625" s="597" t="s">
        <v>248</v>
      </c>
      <c r="G7625" s="598" t="s">
        <v>57</v>
      </c>
      <c r="H7625" s="555"/>
      <c r="I7625" s="556"/>
      <c r="J7625" s="560">
        <f t="shared" si="260"/>
        <v>0</v>
      </c>
      <c r="K7625" s="505"/>
      <c r="L7625" s="505"/>
      <c r="M7625" s="505"/>
      <c r="N7625" s="505"/>
      <c r="O7625" s="505"/>
      <c r="P7625" s="505"/>
      <c r="Q7625" s="505"/>
      <c r="R7625" s="505"/>
      <c r="S7625" s="505"/>
      <c r="T7625" s="505"/>
      <c r="U7625" s="505"/>
      <c r="V7625" s="505"/>
      <c r="W7625" s="505"/>
      <c r="X7625" s="505"/>
      <c r="Y7625" s="505"/>
    </row>
    <row r="7626" spans="1:25" s="88" customFormat="1" hidden="1" x14ac:dyDescent="0.25">
      <c r="A7626" s="258"/>
      <c r="B7626" s="258"/>
      <c r="C7626" s="261"/>
      <c r="D7626" s="258"/>
      <c r="E7626" s="679"/>
      <c r="F7626" s="597" t="s">
        <v>249</v>
      </c>
      <c r="G7626" s="598" t="s">
        <v>250</v>
      </c>
      <c r="H7626" s="555"/>
      <c r="I7626" s="556"/>
      <c r="J7626" s="560">
        <f t="shared" si="260"/>
        <v>0</v>
      </c>
      <c r="K7626" s="505"/>
      <c r="L7626" s="505"/>
      <c r="M7626" s="505"/>
      <c r="N7626" s="505"/>
      <c r="O7626" s="505"/>
      <c r="P7626" s="505"/>
      <c r="Q7626" s="505"/>
      <c r="R7626" s="505"/>
      <c r="S7626" s="505"/>
      <c r="T7626" s="505"/>
      <c r="U7626" s="505"/>
      <c r="V7626" s="505"/>
      <c r="W7626" s="505"/>
      <c r="X7626" s="505"/>
      <c r="Y7626" s="505"/>
    </row>
    <row r="7627" spans="1:25" s="88" customFormat="1" hidden="1" x14ac:dyDescent="0.25">
      <c r="A7627" s="258"/>
      <c r="B7627" s="258"/>
      <c r="C7627" s="261"/>
      <c r="D7627" s="258"/>
      <c r="E7627" s="679"/>
      <c r="F7627" s="597" t="s">
        <v>251</v>
      </c>
      <c r="G7627" s="598" t="s">
        <v>252</v>
      </c>
      <c r="H7627" s="555"/>
      <c r="I7627" s="556"/>
      <c r="J7627" s="560">
        <f t="shared" si="260"/>
        <v>0</v>
      </c>
      <c r="K7627" s="505"/>
      <c r="L7627" s="505"/>
      <c r="M7627" s="505"/>
      <c r="N7627" s="505"/>
      <c r="O7627" s="505"/>
      <c r="P7627" s="505"/>
      <c r="Q7627" s="505"/>
      <c r="R7627" s="505"/>
      <c r="S7627" s="505"/>
      <c r="T7627" s="505"/>
      <c r="U7627" s="505"/>
      <c r="V7627" s="505"/>
      <c r="W7627" s="505"/>
      <c r="X7627" s="505"/>
      <c r="Y7627" s="505"/>
    </row>
    <row r="7628" spans="1:25" s="88" customFormat="1" ht="30" hidden="1" x14ac:dyDescent="0.25">
      <c r="A7628" s="258"/>
      <c r="B7628" s="258"/>
      <c r="C7628" s="261"/>
      <c r="D7628" s="258"/>
      <c r="E7628" s="679"/>
      <c r="F7628" s="597" t="s">
        <v>253</v>
      </c>
      <c r="G7628" s="598" t="s">
        <v>254</v>
      </c>
      <c r="H7628" s="555"/>
      <c r="I7628" s="556"/>
      <c r="J7628" s="560">
        <f t="shared" si="260"/>
        <v>0</v>
      </c>
      <c r="K7628" s="505"/>
      <c r="L7628" s="505"/>
      <c r="M7628" s="505"/>
      <c r="N7628" s="505"/>
      <c r="O7628" s="505"/>
      <c r="P7628" s="505"/>
      <c r="Q7628" s="505"/>
      <c r="R7628" s="505"/>
      <c r="S7628" s="505"/>
      <c r="T7628" s="505"/>
      <c r="U7628" s="505"/>
      <c r="V7628" s="505"/>
      <c r="W7628" s="505"/>
      <c r="X7628" s="505"/>
      <c r="Y7628" s="505"/>
    </row>
    <row r="7629" spans="1:25" s="88" customFormat="1" hidden="1" x14ac:dyDescent="0.25">
      <c r="A7629" s="258"/>
      <c r="B7629" s="258"/>
      <c r="C7629" s="261"/>
      <c r="D7629" s="258"/>
      <c r="E7629" s="679"/>
      <c r="F7629" s="597" t="s">
        <v>255</v>
      </c>
      <c r="G7629" s="598" t="s">
        <v>256</v>
      </c>
      <c r="H7629" s="555"/>
      <c r="I7629" s="556"/>
      <c r="J7629" s="560">
        <f t="shared" si="260"/>
        <v>0</v>
      </c>
      <c r="K7629" s="505"/>
      <c r="L7629" s="505"/>
      <c r="M7629" s="505"/>
      <c r="N7629" s="505"/>
      <c r="O7629" s="505"/>
      <c r="P7629" s="505"/>
      <c r="Q7629" s="505"/>
      <c r="R7629" s="505"/>
      <c r="S7629" s="505"/>
      <c r="T7629" s="505"/>
      <c r="U7629" s="505"/>
      <c r="V7629" s="505"/>
      <c r="W7629" s="505"/>
      <c r="X7629" s="505"/>
      <c r="Y7629" s="505"/>
    </row>
    <row r="7630" spans="1:25" s="88" customFormat="1" ht="30" hidden="1" x14ac:dyDescent="0.25">
      <c r="A7630" s="258"/>
      <c r="B7630" s="258"/>
      <c r="C7630" s="261"/>
      <c r="D7630" s="258"/>
      <c r="E7630" s="679"/>
      <c r="F7630" s="597" t="s">
        <v>257</v>
      </c>
      <c r="G7630" s="598" t="s">
        <v>258</v>
      </c>
      <c r="H7630" s="555"/>
      <c r="I7630" s="556"/>
      <c r="J7630" s="560">
        <f t="shared" si="260"/>
        <v>0</v>
      </c>
      <c r="K7630" s="505"/>
      <c r="L7630" s="505"/>
      <c r="M7630" s="505"/>
      <c r="N7630" s="505"/>
      <c r="O7630" s="505"/>
      <c r="P7630" s="505"/>
      <c r="Q7630" s="505"/>
      <c r="R7630" s="505"/>
      <c r="S7630" s="505"/>
      <c r="T7630" s="505"/>
      <c r="U7630" s="505"/>
      <c r="V7630" s="505"/>
      <c r="W7630" s="505"/>
      <c r="X7630" s="505"/>
      <c r="Y7630" s="505"/>
    </row>
    <row r="7631" spans="1:25" s="88" customFormat="1" hidden="1" x14ac:dyDescent="0.25">
      <c r="A7631" s="258"/>
      <c r="B7631" s="258"/>
      <c r="C7631" s="261"/>
      <c r="D7631" s="258"/>
      <c r="E7631" s="679"/>
      <c r="F7631" s="597" t="s">
        <v>259</v>
      </c>
      <c r="G7631" s="598" t="s">
        <v>260</v>
      </c>
      <c r="H7631" s="555"/>
      <c r="I7631" s="556"/>
      <c r="J7631" s="560">
        <f t="shared" si="260"/>
        <v>0</v>
      </c>
      <c r="K7631" s="505"/>
      <c r="L7631" s="505"/>
      <c r="M7631" s="505"/>
      <c r="N7631" s="505"/>
      <c r="O7631" s="505"/>
      <c r="P7631" s="505"/>
      <c r="Q7631" s="505"/>
      <c r="R7631" s="505"/>
      <c r="S7631" s="505"/>
      <c r="T7631" s="505"/>
      <c r="U7631" s="505"/>
      <c r="V7631" s="505"/>
      <c r="W7631" s="505"/>
      <c r="X7631" s="505"/>
      <c r="Y7631" s="505"/>
    </row>
    <row r="7632" spans="1:25" s="88" customFormat="1" ht="15.75" hidden="1" thickBot="1" x14ac:dyDescent="0.3">
      <c r="A7632" s="258"/>
      <c r="B7632" s="258"/>
      <c r="C7632" s="261"/>
      <c r="D7632" s="258"/>
      <c r="E7632" s="679"/>
      <c r="F7632" s="597" t="s">
        <v>261</v>
      </c>
      <c r="G7632" s="598" t="s">
        <v>262</v>
      </c>
      <c r="H7632" s="559"/>
      <c r="I7632" s="560"/>
      <c r="J7632" s="560">
        <f t="shared" si="260"/>
        <v>0</v>
      </c>
      <c r="K7632" s="505"/>
      <c r="L7632" s="505"/>
      <c r="M7632" s="505"/>
      <c r="N7632" s="505"/>
      <c r="O7632" s="505"/>
      <c r="P7632" s="505"/>
      <c r="Q7632" s="505"/>
      <c r="R7632" s="505"/>
      <c r="S7632" s="505"/>
      <c r="T7632" s="505"/>
      <c r="U7632" s="505"/>
      <c r="V7632" s="505"/>
      <c r="W7632" s="505"/>
      <c r="X7632" s="505"/>
      <c r="Y7632" s="505"/>
    </row>
    <row r="7633" spans="1:25" s="88" customFormat="1" ht="18" customHeight="1" thickBot="1" x14ac:dyDescent="0.3">
      <c r="A7633" s="258"/>
      <c r="B7633" s="258"/>
      <c r="C7633" s="261"/>
      <c r="D7633" s="258"/>
      <c r="E7633" s="679"/>
      <c r="F7633" s="258"/>
      <c r="G7633" s="268" t="s">
        <v>5037</v>
      </c>
      <c r="H7633" s="561">
        <f>SUM(H7617:H7632)</f>
        <v>800000</v>
      </c>
      <c r="I7633" s="562">
        <f>SUM(I7618:I7632)</f>
        <v>0</v>
      </c>
      <c r="J7633" s="562">
        <f>SUM(J7617:J7632)</f>
        <v>800000</v>
      </c>
      <c r="K7633" s="505"/>
      <c r="L7633" s="505"/>
      <c r="M7633" s="505"/>
      <c r="N7633" s="505"/>
      <c r="O7633" s="505"/>
      <c r="P7633" s="505"/>
      <c r="Q7633" s="505"/>
      <c r="R7633" s="505"/>
      <c r="S7633" s="505"/>
      <c r="T7633" s="505"/>
      <c r="U7633" s="505"/>
      <c r="V7633" s="505"/>
      <c r="W7633" s="505"/>
      <c r="X7633" s="505"/>
      <c r="Y7633" s="505"/>
    </row>
    <row r="7634" spans="1:25" s="88" customFormat="1" ht="28.5" x14ac:dyDescent="0.25">
      <c r="A7634" s="258"/>
      <c r="B7634" s="258"/>
      <c r="C7634" s="261"/>
      <c r="D7634" s="258"/>
      <c r="E7634" s="489"/>
      <c r="F7634" s="500"/>
      <c r="G7634" s="270" t="s">
        <v>5340</v>
      </c>
      <c r="H7634" s="563"/>
      <c r="I7634" s="584"/>
      <c r="J7634" s="564"/>
      <c r="K7634" s="505"/>
      <c r="L7634" s="505"/>
      <c r="M7634" s="505"/>
      <c r="N7634" s="505"/>
      <c r="O7634" s="505"/>
      <c r="P7634" s="505"/>
      <c r="Q7634" s="505"/>
      <c r="R7634" s="505"/>
      <c r="S7634" s="505"/>
      <c r="T7634" s="505"/>
      <c r="U7634" s="505"/>
      <c r="V7634" s="505"/>
      <c r="W7634" s="505"/>
      <c r="X7634" s="505"/>
      <c r="Y7634" s="505"/>
    </row>
    <row r="7635" spans="1:25" s="88" customFormat="1" ht="15.75" thickBot="1" x14ac:dyDescent="0.3">
      <c r="A7635" s="258"/>
      <c r="B7635" s="258"/>
      <c r="C7635" s="261"/>
      <c r="D7635" s="258"/>
      <c r="E7635" s="693"/>
      <c r="F7635" s="597" t="s">
        <v>234</v>
      </c>
      <c r="G7635" s="598" t="s">
        <v>235</v>
      </c>
      <c r="H7635" s="559">
        <f>SUM(H7556:H7614)</f>
        <v>800000</v>
      </c>
      <c r="I7635" s="560"/>
      <c r="J7635" s="560">
        <f>SUM(H7635:I7635)</f>
        <v>800000</v>
      </c>
      <c r="K7635" s="505"/>
      <c r="L7635" s="505"/>
      <c r="M7635" s="505"/>
      <c r="N7635" s="505"/>
      <c r="O7635" s="505"/>
      <c r="P7635" s="505"/>
      <c r="Q7635" s="505"/>
      <c r="R7635" s="505"/>
      <c r="S7635" s="505"/>
      <c r="T7635" s="505"/>
      <c r="U7635" s="505"/>
      <c r="V7635" s="505"/>
      <c r="W7635" s="505"/>
      <c r="X7635" s="505"/>
      <c r="Y7635" s="505"/>
    </row>
    <row r="7636" spans="1:25" s="88" customFormat="1" hidden="1" x14ac:dyDescent="0.25">
      <c r="A7636" s="258"/>
      <c r="B7636" s="258"/>
      <c r="C7636" s="261"/>
      <c r="D7636" s="258"/>
      <c r="E7636" s="679"/>
      <c r="F7636" s="597" t="s">
        <v>236</v>
      </c>
      <c r="G7636" s="598" t="s">
        <v>237</v>
      </c>
      <c r="H7636" s="555"/>
      <c r="I7636" s="556"/>
      <c r="J7636" s="560">
        <f t="shared" ref="J7636:J7650" si="261">SUM(H7636:I7636)</f>
        <v>0</v>
      </c>
      <c r="K7636" s="505"/>
      <c r="L7636" s="505"/>
      <c r="M7636" s="505"/>
      <c r="N7636" s="505"/>
      <c r="O7636" s="505"/>
      <c r="P7636" s="505"/>
      <c r="Q7636" s="505"/>
      <c r="R7636" s="505"/>
      <c r="S7636" s="505"/>
      <c r="T7636" s="505"/>
      <c r="U7636" s="505"/>
      <c r="V7636" s="505"/>
      <c r="W7636" s="505"/>
      <c r="X7636" s="505"/>
      <c r="Y7636" s="505"/>
    </row>
    <row r="7637" spans="1:25" s="88" customFormat="1" hidden="1" x14ac:dyDescent="0.25">
      <c r="A7637" s="258"/>
      <c r="B7637" s="258"/>
      <c r="C7637" s="261"/>
      <c r="D7637" s="258"/>
      <c r="E7637" s="679"/>
      <c r="F7637" s="597" t="s">
        <v>238</v>
      </c>
      <c r="G7637" s="598" t="s">
        <v>239</v>
      </c>
      <c r="H7637" s="555"/>
      <c r="I7637" s="556"/>
      <c r="J7637" s="560">
        <f t="shared" si="261"/>
        <v>0</v>
      </c>
      <c r="K7637" s="505"/>
      <c r="L7637" s="505"/>
      <c r="M7637" s="505"/>
      <c r="N7637" s="505"/>
      <c r="O7637" s="505"/>
      <c r="P7637" s="505"/>
      <c r="Q7637" s="505"/>
      <c r="R7637" s="505"/>
      <c r="S7637" s="505"/>
      <c r="T7637" s="505"/>
      <c r="U7637" s="505"/>
      <c r="V7637" s="505"/>
      <c r="W7637" s="505"/>
      <c r="X7637" s="505"/>
      <c r="Y7637" s="505"/>
    </row>
    <row r="7638" spans="1:25" s="88" customFormat="1" hidden="1" x14ac:dyDescent="0.25">
      <c r="A7638" s="258"/>
      <c r="B7638" s="258"/>
      <c r="C7638" s="261"/>
      <c r="D7638" s="258"/>
      <c r="E7638" s="679"/>
      <c r="F7638" s="597" t="s">
        <v>240</v>
      </c>
      <c r="G7638" s="598" t="s">
        <v>241</v>
      </c>
      <c r="H7638" s="555"/>
      <c r="I7638" s="556"/>
      <c r="J7638" s="560">
        <f t="shared" si="261"/>
        <v>0</v>
      </c>
      <c r="K7638" s="505"/>
      <c r="L7638" s="505"/>
      <c r="M7638" s="505"/>
      <c r="N7638" s="505"/>
      <c r="O7638" s="505"/>
      <c r="P7638" s="505"/>
      <c r="Q7638" s="505"/>
      <c r="R7638" s="505"/>
      <c r="S7638" s="505"/>
      <c r="T7638" s="505"/>
      <c r="U7638" s="505"/>
      <c r="V7638" s="505"/>
      <c r="W7638" s="505"/>
      <c r="X7638" s="505"/>
      <c r="Y7638" s="505"/>
    </row>
    <row r="7639" spans="1:25" s="88" customFormat="1" hidden="1" x14ac:dyDescent="0.25">
      <c r="A7639" s="258"/>
      <c r="B7639" s="258"/>
      <c r="C7639" s="261"/>
      <c r="D7639" s="258"/>
      <c r="E7639" s="679"/>
      <c r="F7639" s="597" t="s">
        <v>242</v>
      </c>
      <c r="G7639" s="598" t="s">
        <v>243</v>
      </c>
      <c r="H7639" s="555"/>
      <c r="I7639" s="556"/>
      <c r="J7639" s="560">
        <f t="shared" si="261"/>
        <v>0</v>
      </c>
      <c r="K7639" s="505"/>
      <c r="L7639" s="505"/>
      <c r="M7639" s="505"/>
      <c r="N7639" s="505"/>
      <c r="O7639" s="505"/>
      <c r="P7639" s="505"/>
      <c r="Q7639" s="505"/>
      <c r="R7639" s="505"/>
      <c r="S7639" s="505"/>
      <c r="T7639" s="505"/>
      <c r="U7639" s="505"/>
      <c r="V7639" s="505"/>
      <c r="W7639" s="505"/>
      <c r="X7639" s="505"/>
      <c r="Y7639" s="505"/>
    </row>
    <row r="7640" spans="1:25" s="88" customFormat="1" hidden="1" x14ac:dyDescent="0.25">
      <c r="A7640" s="258"/>
      <c r="B7640" s="258"/>
      <c r="C7640" s="261"/>
      <c r="D7640" s="258"/>
      <c r="E7640" s="679"/>
      <c r="F7640" s="597" t="s">
        <v>244</v>
      </c>
      <c r="G7640" s="598" t="s">
        <v>245</v>
      </c>
      <c r="H7640" s="555"/>
      <c r="I7640" s="556"/>
      <c r="J7640" s="560">
        <f t="shared" si="261"/>
        <v>0</v>
      </c>
      <c r="K7640" s="505"/>
      <c r="L7640" s="505"/>
      <c r="M7640" s="505"/>
      <c r="N7640" s="505"/>
      <c r="O7640" s="505"/>
      <c r="P7640" s="505"/>
      <c r="Q7640" s="505"/>
      <c r="R7640" s="505"/>
      <c r="S7640" s="505"/>
      <c r="T7640" s="505"/>
      <c r="U7640" s="505"/>
      <c r="V7640" s="505"/>
      <c r="W7640" s="505"/>
      <c r="X7640" s="505"/>
      <c r="Y7640" s="505"/>
    </row>
    <row r="7641" spans="1:25" s="88" customFormat="1" hidden="1" x14ac:dyDescent="0.25">
      <c r="A7641" s="258"/>
      <c r="B7641" s="258"/>
      <c r="C7641" s="261"/>
      <c r="D7641" s="258"/>
      <c r="E7641" s="679"/>
      <c r="F7641" s="597" t="s">
        <v>246</v>
      </c>
      <c r="G7641" s="598" t="s">
        <v>4996</v>
      </c>
      <c r="H7641" s="555"/>
      <c r="I7641" s="556"/>
      <c r="J7641" s="560">
        <f t="shared" si="261"/>
        <v>0</v>
      </c>
      <c r="K7641" s="505"/>
      <c r="L7641" s="505"/>
      <c r="M7641" s="505"/>
      <c r="N7641" s="505"/>
      <c r="O7641" s="505"/>
      <c r="P7641" s="505"/>
      <c r="Q7641" s="505"/>
      <c r="R7641" s="505"/>
      <c r="S7641" s="505"/>
      <c r="T7641" s="505"/>
      <c r="U7641" s="505"/>
      <c r="V7641" s="505"/>
      <c r="W7641" s="505"/>
      <c r="X7641" s="505"/>
      <c r="Y7641" s="505"/>
    </row>
    <row r="7642" spans="1:25" s="88" customFormat="1" hidden="1" x14ac:dyDescent="0.25">
      <c r="A7642" s="258"/>
      <c r="B7642" s="258"/>
      <c r="C7642" s="261"/>
      <c r="D7642" s="258"/>
      <c r="E7642" s="679"/>
      <c r="F7642" s="597" t="s">
        <v>247</v>
      </c>
      <c r="G7642" s="598" t="s">
        <v>4995</v>
      </c>
      <c r="H7642" s="555"/>
      <c r="I7642" s="556"/>
      <c r="J7642" s="560">
        <f t="shared" si="261"/>
        <v>0</v>
      </c>
      <c r="K7642" s="505"/>
      <c r="L7642" s="505"/>
      <c r="M7642" s="505"/>
      <c r="N7642" s="505"/>
      <c r="O7642" s="505"/>
      <c r="P7642" s="505"/>
      <c r="Q7642" s="505"/>
      <c r="R7642" s="505"/>
      <c r="S7642" s="505"/>
      <c r="T7642" s="505"/>
      <c r="U7642" s="505"/>
      <c r="V7642" s="505"/>
      <c r="W7642" s="505"/>
      <c r="X7642" s="505"/>
      <c r="Y7642" s="505"/>
    </row>
    <row r="7643" spans="1:25" s="88" customFormat="1" hidden="1" x14ac:dyDescent="0.25">
      <c r="A7643" s="258"/>
      <c r="B7643" s="258"/>
      <c r="C7643" s="261"/>
      <c r="D7643" s="258"/>
      <c r="E7643" s="679"/>
      <c r="F7643" s="597" t="s">
        <v>248</v>
      </c>
      <c r="G7643" s="598" t="s">
        <v>57</v>
      </c>
      <c r="H7643" s="555"/>
      <c r="I7643" s="556"/>
      <c r="J7643" s="560">
        <f t="shared" si="261"/>
        <v>0</v>
      </c>
      <c r="K7643" s="505"/>
      <c r="L7643" s="505"/>
      <c r="M7643" s="505"/>
      <c r="N7643" s="505"/>
      <c r="O7643" s="505"/>
      <c r="P7643" s="505"/>
      <c r="Q7643" s="505"/>
      <c r="R7643" s="505"/>
      <c r="S7643" s="505"/>
      <c r="T7643" s="505"/>
      <c r="U7643" s="505"/>
      <c r="V7643" s="505"/>
      <c r="W7643" s="505"/>
      <c r="X7643" s="505"/>
      <c r="Y7643" s="505"/>
    </row>
    <row r="7644" spans="1:25" s="88" customFormat="1" hidden="1" x14ac:dyDescent="0.25">
      <c r="A7644" s="258"/>
      <c r="B7644" s="258"/>
      <c r="C7644" s="261"/>
      <c r="D7644" s="258"/>
      <c r="E7644" s="679"/>
      <c r="F7644" s="597" t="s">
        <v>249</v>
      </c>
      <c r="G7644" s="598" t="s">
        <v>250</v>
      </c>
      <c r="H7644" s="555"/>
      <c r="I7644" s="556"/>
      <c r="J7644" s="560">
        <f t="shared" si="261"/>
        <v>0</v>
      </c>
      <c r="K7644" s="505"/>
      <c r="L7644" s="505"/>
      <c r="M7644" s="505"/>
      <c r="N7644" s="505"/>
      <c r="O7644" s="505"/>
      <c r="P7644" s="505"/>
      <c r="Q7644" s="505"/>
      <c r="R7644" s="505"/>
      <c r="S7644" s="505"/>
      <c r="T7644" s="505"/>
      <c r="U7644" s="505"/>
      <c r="V7644" s="505"/>
      <c r="W7644" s="505"/>
      <c r="X7644" s="505"/>
      <c r="Y7644" s="505"/>
    </row>
    <row r="7645" spans="1:25" s="88" customFormat="1" hidden="1" x14ac:dyDescent="0.25">
      <c r="A7645" s="258"/>
      <c r="B7645" s="258"/>
      <c r="C7645" s="261"/>
      <c r="D7645" s="258"/>
      <c r="E7645" s="679"/>
      <c r="F7645" s="597" t="s">
        <v>251</v>
      </c>
      <c r="G7645" s="598" t="s">
        <v>252</v>
      </c>
      <c r="H7645" s="555"/>
      <c r="I7645" s="556"/>
      <c r="J7645" s="560">
        <f t="shared" si="261"/>
        <v>0</v>
      </c>
      <c r="K7645" s="505"/>
      <c r="L7645" s="505"/>
      <c r="M7645" s="505"/>
      <c r="N7645" s="505"/>
      <c r="O7645" s="505"/>
      <c r="P7645" s="505"/>
      <c r="Q7645" s="505"/>
      <c r="R7645" s="505"/>
      <c r="S7645" s="505"/>
      <c r="T7645" s="505"/>
      <c r="U7645" s="505"/>
      <c r="V7645" s="505"/>
      <c r="W7645" s="505"/>
      <c r="X7645" s="505"/>
      <c r="Y7645" s="505"/>
    </row>
    <row r="7646" spans="1:25" s="88" customFormat="1" ht="30" hidden="1" x14ac:dyDescent="0.25">
      <c r="A7646" s="258"/>
      <c r="B7646" s="258"/>
      <c r="C7646" s="261"/>
      <c r="D7646" s="258"/>
      <c r="E7646" s="679"/>
      <c r="F7646" s="597" t="s">
        <v>253</v>
      </c>
      <c r="G7646" s="598" t="s">
        <v>254</v>
      </c>
      <c r="H7646" s="555"/>
      <c r="I7646" s="556"/>
      <c r="J7646" s="560">
        <f t="shared" si="261"/>
        <v>0</v>
      </c>
      <c r="K7646" s="505"/>
      <c r="L7646" s="505"/>
      <c r="M7646" s="505"/>
      <c r="N7646" s="505"/>
      <c r="O7646" s="505"/>
      <c r="P7646" s="505"/>
      <c r="Q7646" s="505"/>
      <c r="R7646" s="505"/>
      <c r="S7646" s="505"/>
      <c r="T7646" s="505"/>
      <c r="U7646" s="505"/>
      <c r="V7646" s="505"/>
      <c r="W7646" s="505"/>
      <c r="X7646" s="505"/>
      <c r="Y7646" s="505"/>
    </row>
    <row r="7647" spans="1:25" s="88" customFormat="1" hidden="1" x14ac:dyDescent="0.25">
      <c r="A7647" s="258"/>
      <c r="B7647" s="258"/>
      <c r="C7647" s="261"/>
      <c r="D7647" s="258"/>
      <c r="E7647" s="679"/>
      <c r="F7647" s="597" t="s">
        <v>255</v>
      </c>
      <c r="G7647" s="598" t="s">
        <v>256</v>
      </c>
      <c r="H7647" s="555"/>
      <c r="I7647" s="556"/>
      <c r="J7647" s="560">
        <f t="shared" si="261"/>
        <v>0</v>
      </c>
      <c r="K7647" s="505"/>
      <c r="L7647" s="505"/>
      <c r="M7647" s="505"/>
      <c r="N7647" s="505"/>
      <c r="O7647" s="505"/>
      <c r="P7647" s="505"/>
      <c r="Q7647" s="505"/>
      <c r="R7647" s="505"/>
      <c r="S7647" s="505"/>
      <c r="T7647" s="505"/>
      <c r="U7647" s="505"/>
      <c r="V7647" s="505"/>
      <c r="W7647" s="505"/>
      <c r="X7647" s="505"/>
      <c r="Y7647" s="505"/>
    </row>
    <row r="7648" spans="1:25" s="88" customFormat="1" ht="30" hidden="1" x14ac:dyDescent="0.25">
      <c r="A7648" s="258"/>
      <c r="B7648" s="258"/>
      <c r="C7648" s="261"/>
      <c r="D7648" s="258"/>
      <c r="E7648" s="679"/>
      <c r="F7648" s="597" t="s">
        <v>257</v>
      </c>
      <c r="G7648" s="598" t="s">
        <v>258</v>
      </c>
      <c r="H7648" s="555"/>
      <c r="I7648" s="556"/>
      <c r="J7648" s="560">
        <f t="shared" si="261"/>
        <v>0</v>
      </c>
      <c r="K7648" s="505"/>
      <c r="L7648" s="505"/>
      <c r="M7648" s="505"/>
      <c r="N7648" s="505"/>
      <c r="O7648" s="505"/>
      <c r="P7648" s="505"/>
      <c r="Q7648" s="505"/>
      <c r="R7648" s="505"/>
      <c r="S7648" s="505"/>
      <c r="T7648" s="505"/>
      <c r="U7648" s="505"/>
      <c r="V7648" s="505"/>
      <c r="W7648" s="505"/>
      <c r="X7648" s="505"/>
      <c r="Y7648" s="505"/>
    </row>
    <row r="7649" spans="1:25" s="88" customFormat="1" hidden="1" x14ac:dyDescent="0.25">
      <c r="A7649" s="258"/>
      <c r="B7649" s="258"/>
      <c r="C7649" s="261"/>
      <c r="D7649" s="258"/>
      <c r="E7649" s="679"/>
      <c r="F7649" s="597" t="s">
        <v>259</v>
      </c>
      <c r="G7649" s="598" t="s">
        <v>260</v>
      </c>
      <c r="H7649" s="555"/>
      <c r="I7649" s="556"/>
      <c r="J7649" s="560">
        <f t="shared" si="261"/>
        <v>0</v>
      </c>
      <c r="K7649" s="505"/>
      <c r="L7649" s="505"/>
      <c r="M7649" s="505"/>
      <c r="N7649" s="505"/>
      <c r="O7649" s="505"/>
      <c r="P7649" s="505"/>
      <c r="Q7649" s="505"/>
      <c r="R7649" s="505"/>
      <c r="S7649" s="505"/>
      <c r="T7649" s="505"/>
      <c r="U7649" s="505"/>
      <c r="V7649" s="505"/>
      <c r="W7649" s="505"/>
      <c r="X7649" s="505"/>
      <c r="Y7649" s="505"/>
    </row>
    <row r="7650" spans="1:25" s="88" customFormat="1" ht="15.75" hidden="1" thickBot="1" x14ac:dyDescent="0.3">
      <c r="A7650" s="258"/>
      <c r="B7650" s="258"/>
      <c r="C7650" s="261"/>
      <c r="D7650" s="258"/>
      <c r="E7650" s="679"/>
      <c r="F7650" s="597" t="s">
        <v>261</v>
      </c>
      <c r="G7650" s="598" t="s">
        <v>262</v>
      </c>
      <c r="H7650" s="559"/>
      <c r="I7650" s="560"/>
      <c r="J7650" s="560">
        <f t="shared" si="261"/>
        <v>0</v>
      </c>
      <c r="K7650" s="505"/>
      <c r="L7650" s="505"/>
      <c r="M7650" s="505"/>
      <c r="N7650" s="505"/>
      <c r="O7650" s="505"/>
      <c r="P7650" s="505"/>
      <c r="Q7650" s="505"/>
      <c r="R7650" s="505"/>
      <c r="S7650" s="505"/>
      <c r="T7650" s="505"/>
      <c r="U7650" s="505"/>
      <c r="V7650" s="505"/>
      <c r="W7650" s="505"/>
      <c r="X7650" s="505"/>
      <c r="Y7650" s="505"/>
    </row>
    <row r="7651" spans="1:25" s="88" customFormat="1" ht="18" customHeight="1" thickBot="1" x14ac:dyDescent="0.3">
      <c r="A7651" s="262"/>
      <c r="B7651" s="262"/>
      <c r="C7651" s="788"/>
      <c r="D7651" s="258"/>
      <c r="E7651" s="679"/>
      <c r="F7651" s="258"/>
      <c r="G7651" s="268" t="s">
        <v>4979</v>
      </c>
      <c r="H7651" s="561">
        <f>SUM(H7635:H7650)</f>
        <v>800000</v>
      </c>
      <c r="I7651" s="562">
        <f>SUM(I7636:I7650)</f>
        <v>0</v>
      </c>
      <c r="J7651" s="562">
        <f>SUM(J7635:J7650)</f>
        <v>800000</v>
      </c>
      <c r="K7651" s="505"/>
      <c r="L7651" s="505"/>
      <c r="M7651" s="505"/>
      <c r="N7651" s="505"/>
      <c r="O7651" s="505"/>
      <c r="P7651" s="505"/>
      <c r="Q7651" s="505"/>
      <c r="R7651" s="505"/>
      <c r="S7651" s="505"/>
      <c r="T7651" s="505"/>
      <c r="U7651" s="505"/>
      <c r="V7651" s="505"/>
      <c r="W7651" s="505"/>
      <c r="X7651" s="505"/>
      <c r="Y7651" s="505"/>
    </row>
    <row r="7652" spans="1:25" s="88" customFormat="1" ht="18" customHeight="1" x14ac:dyDescent="0.25">
      <c r="A7652" s="262"/>
      <c r="B7652" s="262"/>
      <c r="C7652" s="788"/>
      <c r="D7652" s="258"/>
      <c r="E7652" s="679"/>
      <c r="F7652" s="258"/>
      <c r="G7652" s="312"/>
      <c r="H7652" s="565"/>
      <c r="I7652" s="566"/>
      <c r="J7652" s="566"/>
      <c r="K7652" s="505"/>
      <c r="L7652" s="505"/>
      <c r="M7652" s="505"/>
      <c r="N7652" s="505"/>
      <c r="O7652" s="505"/>
      <c r="P7652" s="505"/>
      <c r="Q7652" s="505"/>
      <c r="R7652" s="505"/>
      <c r="S7652" s="505"/>
      <c r="T7652" s="505"/>
      <c r="U7652" s="505"/>
      <c r="V7652" s="505"/>
      <c r="W7652" s="505"/>
      <c r="X7652" s="505"/>
      <c r="Y7652" s="505"/>
    </row>
    <row r="7653" spans="1:25" s="88" customFormat="1" x14ac:dyDescent="0.25">
      <c r="A7653" s="258"/>
      <c r="B7653" s="258"/>
      <c r="C7653" s="261"/>
      <c r="D7653" s="258"/>
      <c r="E7653" s="489"/>
      <c r="F7653" s="500"/>
      <c r="G7653" s="285" t="s">
        <v>5354</v>
      </c>
      <c r="H7653" s="567"/>
      <c r="I7653" s="585"/>
      <c r="J7653" s="568"/>
      <c r="K7653" s="505"/>
      <c r="L7653" s="505"/>
      <c r="M7653" s="505"/>
      <c r="N7653" s="505"/>
      <c r="O7653" s="505"/>
      <c r="P7653" s="505"/>
      <c r="Q7653" s="505"/>
      <c r="R7653" s="505"/>
      <c r="S7653" s="505"/>
      <c r="T7653" s="505"/>
      <c r="U7653" s="505"/>
      <c r="V7653" s="505"/>
      <c r="W7653" s="505"/>
      <c r="X7653" s="505"/>
      <c r="Y7653" s="505"/>
    </row>
    <row r="7654" spans="1:25" s="88" customFormat="1" ht="15.75" customHeight="1" x14ac:dyDescent="0.25">
      <c r="A7654" s="258"/>
      <c r="B7654" s="258"/>
      <c r="C7654" s="261"/>
      <c r="D7654" s="258"/>
      <c r="E7654" s="693"/>
      <c r="F7654" s="597" t="s">
        <v>234</v>
      </c>
      <c r="G7654" s="598" t="s">
        <v>235</v>
      </c>
      <c r="H7654" s="559">
        <f>SUM(H7635+H7063+H6959+H6861+H6763+H6680)</f>
        <v>7988000</v>
      </c>
      <c r="I7654" s="560"/>
      <c r="J7654" s="560">
        <f>SUM(H7654:I7654)</f>
        <v>7988000</v>
      </c>
      <c r="K7654" s="505"/>
      <c r="L7654" s="505"/>
      <c r="M7654" s="505"/>
      <c r="N7654" s="505"/>
      <c r="O7654" s="505"/>
      <c r="P7654" s="505"/>
      <c r="Q7654" s="505"/>
      <c r="R7654" s="505"/>
      <c r="S7654" s="505"/>
      <c r="T7654" s="505"/>
      <c r="U7654" s="505"/>
      <c r="V7654" s="505"/>
      <c r="W7654" s="505"/>
      <c r="X7654" s="505"/>
      <c r="Y7654" s="505"/>
    </row>
    <row r="7655" spans="1:25" s="88" customFormat="1" hidden="1" x14ac:dyDescent="0.25">
      <c r="A7655" s="258"/>
      <c r="B7655" s="258"/>
      <c r="C7655" s="261"/>
      <c r="D7655" s="258"/>
      <c r="E7655" s="679"/>
      <c r="F7655" s="597" t="s">
        <v>236</v>
      </c>
      <c r="G7655" s="598" t="s">
        <v>237</v>
      </c>
      <c r="H7655" s="555"/>
      <c r="I7655" s="556"/>
      <c r="J7655" s="560">
        <f t="shared" ref="J7655:J7669" si="262">SUM(H7655:I7655)</f>
        <v>0</v>
      </c>
      <c r="K7655" s="505"/>
      <c r="L7655" s="505"/>
      <c r="M7655" s="505"/>
      <c r="N7655" s="505"/>
      <c r="O7655" s="505"/>
      <c r="P7655" s="505"/>
      <c r="Q7655" s="505"/>
      <c r="R7655" s="505"/>
      <c r="S7655" s="505"/>
      <c r="T7655" s="505"/>
      <c r="U7655" s="505"/>
      <c r="V7655" s="505"/>
      <c r="W7655" s="505"/>
      <c r="X7655" s="505"/>
      <c r="Y7655" s="505"/>
    </row>
    <row r="7656" spans="1:25" s="88" customFormat="1" hidden="1" x14ac:dyDescent="0.25">
      <c r="A7656" s="258"/>
      <c r="B7656" s="258"/>
      <c r="C7656" s="261"/>
      <c r="D7656" s="258"/>
      <c r="E7656" s="679"/>
      <c r="F7656" s="597" t="s">
        <v>238</v>
      </c>
      <c r="G7656" s="598" t="s">
        <v>239</v>
      </c>
      <c r="H7656" s="555"/>
      <c r="I7656" s="556"/>
      <c r="J7656" s="560">
        <f t="shared" si="262"/>
        <v>0</v>
      </c>
      <c r="K7656" s="505"/>
      <c r="L7656" s="505"/>
      <c r="M7656" s="505"/>
      <c r="N7656" s="505"/>
      <c r="O7656" s="505"/>
      <c r="P7656" s="505"/>
      <c r="Q7656" s="505"/>
      <c r="R7656" s="505"/>
      <c r="S7656" s="505"/>
      <c r="T7656" s="505"/>
      <c r="U7656" s="505"/>
      <c r="V7656" s="505"/>
      <c r="W7656" s="505"/>
      <c r="X7656" s="505"/>
      <c r="Y7656" s="505"/>
    </row>
    <row r="7657" spans="1:25" s="88" customFormat="1" hidden="1" x14ac:dyDescent="0.25">
      <c r="A7657" s="258"/>
      <c r="B7657" s="258"/>
      <c r="C7657" s="261"/>
      <c r="D7657" s="258"/>
      <c r="E7657" s="679"/>
      <c r="F7657" s="597" t="s">
        <v>240</v>
      </c>
      <c r="G7657" s="598" t="s">
        <v>241</v>
      </c>
      <c r="H7657" s="555"/>
      <c r="I7657" s="556">
        <f>SUM(I7341)</f>
        <v>0</v>
      </c>
      <c r="J7657" s="560">
        <f t="shared" si="262"/>
        <v>0</v>
      </c>
      <c r="K7657" s="505"/>
      <c r="L7657" s="505"/>
      <c r="M7657" s="505"/>
      <c r="N7657" s="505"/>
      <c r="O7657" s="505"/>
      <c r="P7657" s="505"/>
      <c r="Q7657" s="505"/>
      <c r="R7657" s="505"/>
      <c r="S7657" s="505"/>
      <c r="T7657" s="505"/>
      <c r="U7657" s="505"/>
      <c r="V7657" s="505"/>
      <c r="W7657" s="505"/>
      <c r="X7657" s="505"/>
      <c r="Y7657" s="505"/>
    </row>
    <row r="7658" spans="1:25" s="88" customFormat="1" hidden="1" x14ac:dyDescent="0.25">
      <c r="A7658" s="258"/>
      <c r="B7658" s="258"/>
      <c r="C7658" s="261"/>
      <c r="D7658" s="258"/>
      <c r="E7658" s="679"/>
      <c r="F7658" s="597" t="s">
        <v>242</v>
      </c>
      <c r="G7658" s="598" t="s">
        <v>243</v>
      </c>
      <c r="H7658" s="555"/>
      <c r="I7658" s="556"/>
      <c r="J7658" s="560">
        <f t="shared" si="262"/>
        <v>0</v>
      </c>
      <c r="K7658" s="505"/>
      <c r="L7658" s="505"/>
      <c r="M7658" s="505"/>
      <c r="N7658" s="505"/>
      <c r="O7658" s="505"/>
      <c r="P7658" s="505"/>
      <c r="Q7658" s="505"/>
      <c r="R7658" s="505"/>
      <c r="S7658" s="505"/>
      <c r="T7658" s="505"/>
      <c r="U7658" s="505"/>
      <c r="V7658" s="505"/>
      <c r="W7658" s="505"/>
      <c r="X7658" s="505"/>
      <c r="Y7658" s="505"/>
    </row>
    <row r="7659" spans="1:25" s="88" customFormat="1" hidden="1" x14ac:dyDescent="0.25">
      <c r="A7659" s="258"/>
      <c r="B7659" s="258"/>
      <c r="C7659" s="261"/>
      <c r="D7659" s="258"/>
      <c r="E7659" s="679"/>
      <c r="F7659" s="597" t="s">
        <v>244</v>
      </c>
      <c r="G7659" s="598" t="s">
        <v>245</v>
      </c>
      <c r="H7659" s="555"/>
      <c r="I7659" s="556"/>
      <c r="J7659" s="560">
        <f t="shared" si="262"/>
        <v>0</v>
      </c>
      <c r="K7659" s="505"/>
      <c r="L7659" s="505"/>
      <c r="M7659" s="505"/>
      <c r="N7659" s="505"/>
      <c r="O7659" s="505"/>
      <c r="P7659" s="505"/>
      <c r="Q7659" s="505"/>
      <c r="R7659" s="505"/>
      <c r="S7659" s="505"/>
      <c r="T7659" s="505"/>
      <c r="U7659" s="505"/>
      <c r="V7659" s="505"/>
      <c r="W7659" s="505"/>
      <c r="X7659" s="505"/>
      <c r="Y7659" s="505"/>
    </row>
    <row r="7660" spans="1:25" s="88" customFormat="1" x14ac:dyDescent="0.25">
      <c r="A7660" s="258"/>
      <c r="B7660" s="258"/>
      <c r="C7660" s="261"/>
      <c r="D7660" s="258"/>
      <c r="E7660" s="679"/>
      <c r="F7660" s="597" t="s">
        <v>246</v>
      </c>
      <c r="G7660" s="598" t="s">
        <v>4996</v>
      </c>
      <c r="H7660" s="555"/>
      <c r="I7660" s="556">
        <v>450000</v>
      </c>
      <c r="J7660" s="560">
        <f t="shared" si="262"/>
        <v>450000</v>
      </c>
      <c r="K7660" s="505"/>
      <c r="L7660" s="505"/>
      <c r="M7660" s="505"/>
      <c r="N7660" s="505"/>
      <c r="O7660" s="505"/>
      <c r="P7660" s="505"/>
      <c r="Q7660" s="505"/>
      <c r="R7660" s="505"/>
      <c r="S7660" s="505"/>
      <c r="T7660" s="505"/>
      <c r="U7660" s="505"/>
      <c r="V7660" s="505"/>
      <c r="W7660" s="505"/>
      <c r="X7660" s="505"/>
      <c r="Y7660" s="505"/>
    </row>
    <row r="7661" spans="1:25" s="88" customFormat="1" ht="15.75" thickBot="1" x14ac:dyDescent="0.3">
      <c r="A7661" s="258"/>
      <c r="B7661" s="258"/>
      <c r="C7661" s="261"/>
      <c r="D7661" s="258"/>
      <c r="E7661" s="679"/>
      <c r="F7661" s="597" t="s">
        <v>247</v>
      </c>
      <c r="G7661" s="598" t="s">
        <v>4995</v>
      </c>
      <c r="H7661" s="555"/>
      <c r="I7661" s="556">
        <f>SUM(I6966+I6770)</f>
        <v>350000</v>
      </c>
      <c r="J7661" s="560">
        <f t="shared" si="262"/>
        <v>350000</v>
      </c>
      <c r="K7661" s="505"/>
      <c r="L7661" s="505"/>
      <c r="M7661" s="505"/>
      <c r="N7661" s="505"/>
      <c r="O7661" s="505"/>
      <c r="P7661" s="505"/>
      <c r="Q7661" s="505"/>
      <c r="R7661" s="505"/>
      <c r="S7661" s="505"/>
      <c r="T7661" s="505"/>
      <c r="U7661" s="505"/>
      <c r="V7661" s="505"/>
      <c r="W7661" s="505"/>
      <c r="X7661" s="505"/>
      <c r="Y7661" s="505"/>
    </row>
    <row r="7662" spans="1:25" s="88" customFormat="1" hidden="1" x14ac:dyDescent="0.25">
      <c r="A7662" s="258"/>
      <c r="B7662" s="258"/>
      <c r="C7662" s="261"/>
      <c r="D7662" s="258"/>
      <c r="E7662" s="679"/>
      <c r="F7662" s="597" t="s">
        <v>248</v>
      </c>
      <c r="G7662" s="598" t="s">
        <v>57</v>
      </c>
      <c r="H7662" s="555"/>
      <c r="I7662" s="556"/>
      <c r="J7662" s="560">
        <f t="shared" si="262"/>
        <v>0</v>
      </c>
      <c r="K7662" s="505"/>
      <c r="L7662" s="505"/>
      <c r="M7662" s="505"/>
      <c r="N7662" s="505"/>
      <c r="O7662" s="505"/>
      <c r="P7662" s="505"/>
      <c r="Q7662" s="505"/>
      <c r="R7662" s="505"/>
      <c r="S7662" s="505"/>
      <c r="T7662" s="505"/>
      <c r="U7662" s="505"/>
      <c r="V7662" s="505"/>
      <c r="W7662" s="505"/>
      <c r="X7662" s="505"/>
      <c r="Y7662" s="505"/>
    </row>
    <row r="7663" spans="1:25" s="88" customFormat="1" hidden="1" x14ac:dyDescent="0.25">
      <c r="A7663" s="258"/>
      <c r="B7663" s="258"/>
      <c r="C7663" s="261"/>
      <c r="D7663" s="258"/>
      <c r="E7663" s="679"/>
      <c r="F7663" s="597" t="s">
        <v>249</v>
      </c>
      <c r="G7663" s="598" t="s">
        <v>250</v>
      </c>
      <c r="H7663" s="555"/>
      <c r="I7663" s="556"/>
      <c r="J7663" s="560">
        <f t="shared" si="262"/>
        <v>0</v>
      </c>
      <c r="K7663" s="505"/>
      <c r="L7663" s="505"/>
      <c r="M7663" s="505"/>
      <c r="N7663" s="505"/>
      <c r="O7663" s="505"/>
      <c r="P7663" s="505"/>
      <c r="Q7663" s="505"/>
      <c r="R7663" s="505"/>
      <c r="S7663" s="505"/>
      <c r="T7663" s="505"/>
      <c r="U7663" s="505"/>
      <c r="V7663" s="505"/>
      <c r="W7663" s="505"/>
      <c r="X7663" s="505"/>
      <c r="Y7663" s="505"/>
    </row>
    <row r="7664" spans="1:25" s="88" customFormat="1" hidden="1" x14ac:dyDescent="0.25">
      <c r="A7664" s="258"/>
      <c r="B7664" s="258"/>
      <c r="C7664" s="261"/>
      <c r="D7664" s="258"/>
      <c r="E7664" s="679"/>
      <c r="F7664" s="597" t="s">
        <v>251</v>
      </c>
      <c r="G7664" s="598" t="s">
        <v>252</v>
      </c>
      <c r="H7664" s="555"/>
      <c r="I7664" s="556"/>
      <c r="J7664" s="560">
        <f t="shared" si="262"/>
        <v>0</v>
      </c>
      <c r="K7664" s="505"/>
      <c r="L7664" s="505"/>
      <c r="M7664" s="505"/>
      <c r="N7664" s="505"/>
      <c r="O7664" s="505"/>
      <c r="P7664" s="505"/>
      <c r="Q7664" s="505"/>
      <c r="R7664" s="505"/>
      <c r="S7664" s="505"/>
      <c r="T7664" s="505"/>
      <c r="U7664" s="505"/>
      <c r="V7664" s="505"/>
      <c r="W7664" s="505"/>
      <c r="X7664" s="505"/>
      <c r="Y7664" s="505"/>
    </row>
    <row r="7665" spans="1:25" s="88" customFormat="1" ht="30" hidden="1" x14ac:dyDescent="0.25">
      <c r="A7665" s="258"/>
      <c r="B7665" s="258"/>
      <c r="C7665" s="261"/>
      <c r="D7665" s="258"/>
      <c r="E7665" s="679"/>
      <c r="F7665" s="597" t="s">
        <v>253</v>
      </c>
      <c r="G7665" s="598" t="s">
        <v>254</v>
      </c>
      <c r="H7665" s="555"/>
      <c r="I7665" s="556"/>
      <c r="J7665" s="560">
        <f t="shared" si="262"/>
        <v>0</v>
      </c>
      <c r="K7665" s="505"/>
      <c r="L7665" s="505"/>
      <c r="M7665" s="505"/>
      <c r="N7665" s="505"/>
      <c r="O7665" s="505"/>
      <c r="P7665" s="505"/>
      <c r="Q7665" s="505"/>
      <c r="R7665" s="505"/>
      <c r="S7665" s="505"/>
      <c r="T7665" s="505"/>
      <c r="U7665" s="505"/>
      <c r="V7665" s="505"/>
      <c r="W7665" s="505"/>
      <c r="X7665" s="505"/>
      <c r="Y7665" s="505"/>
    </row>
    <row r="7666" spans="1:25" s="88" customFormat="1" hidden="1" x14ac:dyDescent="0.25">
      <c r="A7666" s="258"/>
      <c r="B7666" s="258"/>
      <c r="C7666" s="261"/>
      <c r="D7666" s="258"/>
      <c r="E7666" s="679"/>
      <c r="F7666" s="597" t="s">
        <v>255</v>
      </c>
      <c r="G7666" s="598" t="s">
        <v>256</v>
      </c>
      <c r="H7666" s="555"/>
      <c r="I7666" s="556"/>
      <c r="J7666" s="560">
        <f t="shared" si="262"/>
        <v>0</v>
      </c>
      <c r="K7666" s="505"/>
      <c r="L7666" s="505"/>
      <c r="M7666" s="505"/>
      <c r="N7666" s="505"/>
      <c r="O7666" s="505"/>
      <c r="P7666" s="505"/>
      <c r="Q7666" s="505"/>
      <c r="R7666" s="505"/>
      <c r="S7666" s="505"/>
      <c r="T7666" s="505"/>
      <c r="U7666" s="505"/>
      <c r="V7666" s="505"/>
      <c r="W7666" s="505"/>
      <c r="X7666" s="505"/>
      <c r="Y7666" s="505"/>
    </row>
    <row r="7667" spans="1:25" s="88" customFormat="1" ht="30" hidden="1" x14ac:dyDescent="0.25">
      <c r="A7667" s="258"/>
      <c r="B7667" s="258"/>
      <c r="C7667" s="261"/>
      <c r="D7667" s="258"/>
      <c r="E7667" s="679"/>
      <c r="F7667" s="597" t="s">
        <v>257</v>
      </c>
      <c r="G7667" s="598" t="s">
        <v>258</v>
      </c>
      <c r="H7667" s="555"/>
      <c r="I7667" s="556"/>
      <c r="J7667" s="560">
        <f t="shared" si="262"/>
        <v>0</v>
      </c>
      <c r="K7667" s="505"/>
      <c r="L7667" s="505"/>
      <c r="M7667" s="505"/>
      <c r="N7667" s="505"/>
      <c r="O7667" s="505"/>
      <c r="P7667" s="505"/>
      <c r="Q7667" s="505"/>
      <c r="R7667" s="505"/>
      <c r="S7667" s="505"/>
      <c r="T7667" s="505"/>
      <c r="U7667" s="505"/>
      <c r="V7667" s="505"/>
      <c r="W7667" s="505"/>
      <c r="X7667" s="505"/>
      <c r="Y7667" s="505"/>
    </row>
    <row r="7668" spans="1:25" s="88" customFormat="1" hidden="1" x14ac:dyDescent="0.25">
      <c r="A7668" s="258"/>
      <c r="B7668" s="258"/>
      <c r="C7668" s="261"/>
      <c r="D7668" s="258"/>
      <c r="E7668" s="679"/>
      <c r="F7668" s="597" t="s">
        <v>259</v>
      </c>
      <c r="G7668" s="598" t="s">
        <v>260</v>
      </c>
      <c r="H7668" s="555"/>
      <c r="I7668" s="556"/>
      <c r="J7668" s="560">
        <f t="shared" si="262"/>
        <v>0</v>
      </c>
      <c r="K7668" s="505"/>
      <c r="L7668" s="505"/>
      <c r="M7668" s="505"/>
      <c r="N7668" s="505"/>
      <c r="O7668" s="505"/>
      <c r="P7668" s="505"/>
      <c r="Q7668" s="505"/>
      <c r="R7668" s="505"/>
      <c r="S7668" s="505"/>
      <c r="T7668" s="505"/>
      <c r="U7668" s="505"/>
      <c r="V7668" s="505"/>
      <c r="W7668" s="505"/>
      <c r="X7668" s="505"/>
      <c r="Y7668" s="505"/>
    </row>
    <row r="7669" spans="1:25" s="88" customFormat="1" ht="15.75" hidden="1" thickBot="1" x14ac:dyDescent="0.3">
      <c r="A7669" s="258"/>
      <c r="B7669" s="258"/>
      <c r="C7669" s="261"/>
      <c r="D7669" s="258"/>
      <c r="E7669" s="679"/>
      <c r="F7669" s="597" t="s">
        <v>261</v>
      </c>
      <c r="G7669" s="598" t="s">
        <v>262</v>
      </c>
      <c r="H7669" s="559"/>
      <c r="I7669" s="560"/>
      <c r="J7669" s="560">
        <f t="shared" si="262"/>
        <v>0</v>
      </c>
      <c r="K7669" s="505"/>
      <c r="L7669" s="505"/>
      <c r="M7669" s="505"/>
      <c r="N7669" s="505"/>
      <c r="O7669" s="505"/>
      <c r="P7669" s="505"/>
      <c r="Q7669" s="505"/>
      <c r="R7669" s="505"/>
      <c r="S7669" s="505"/>
      <c r="T7669" s="505"/>
      <c r="U7669" s="505"/>
      <c r="V7669" s="505"/>
      <c r="W7669" s="505"/>
      <c r="X7669" s="505"/>
      <c r="Y7669" s="505"/>
    </row>
    <row r="7670" spans="1:25" s="88" customFormat="1" ht="14.25" customHeight="1" thickBot="1" x14ac:dyDescent="0.3">
      <c r="A7670" s="258"/>
      <c r="B7670" s="258"/>
      <c r="C7670" s="261"/>
      <c r="D7670" s="258"/>
      <c r="E7670" s="679"/>
      <c r="F7670" s="258"/>
      <c r="G7670" s="268" t="s">
        <v>5355</v>
      </c>
      <c r="H7670" s="561">
        <f>SUM(H7654:H7669)</f>
        <v>7988000</v>
      </c>
      <c r="I7670" s="562">
        <f>SUM(I7655:I7669)</f>
        <v>800000</v>
      </c>
      <c r="J7670" s="562">
        <f>SUM(J7654:J7669)</f>
        <v>8788000</v>
      </c>
      <c r="K7670" s="505"/>
      <c r="L7670" s="505"/>
      <c r="M7670" s="505"/>
      <c r="N7670" s="505"/>
      <c r="O7670" s="505"/>
      <c r="P7670" s="505"/>
      <c r="Q7670" s="505"/>
      <c r="R7670" s="505"/>
      <c r="S7670" s="505"/>
      <c r="T7670" s="505"/>
      <c r="U7670" s="505"/>
      <c r="V7670" s="505"/>
      <c r="W7670" s="505"/>
      <c r="X7670" s="505"/>
      <c r="Y7670" s="505"/>
    </row>
    <row r="7671" spans="1:25" s="88" customFormat="1" ht="18" customHeight="1" x14ac:dyDescent="0.25">
      <c r="A7671" s="258"/>
      <c r="B7671" s="258"/>
      <c r="C7671" s="261"/>
      <c r="D7671" s="258"/>
      <c r="E7671" s="679"/>
      <c r="F7671" s="258"/>
      <c r="G7671" s="312"/>
      <c r="H7671" s="565"/>
      <c r="I7671" s="566"/>
      <c r="J7671" s="566"/>
      <c r="K7671" s="505"/>
      <c r="L7671" s="505"/>
      <c r="M7671" s="505"/>
      <c r="N7671" s="505"/>
      <c r="O7671" s="505"/>
      <c r="P7671" s="505"/>
      <c r="Q7671" s="505"/>
      <c r="R7671" s="505"/>
      <c r="S7671" s="505"/>
      <c r="T7671" s="505"/>
      <c r="U7671" s="505"/>
      <c r="V7671" s="505"/>
      <c r="W7671" s="505"/>
      <c r="X7671" s="505"/>
      <c r="Y7671" s="505"/>
    </row>
    <row r="7672" spans="1:25" s="851" customFormat="1" ht="14.25" x14ac:dyDescent="0.2">
      <c r="A7672" s="844"/>
      <c r="B7672" s="844">
        <v>4</v>
      </c>
      <c r="C7672" s="845"/>
      <c r="D7672" s="846"/>
      <c r="E7672" s="886"/>
      <c r="F7672" s="846"/>
      <c r="G7672" s="847" t="s">
        <v>5341</v>
      </c>
      <c r="H7672" s="848"/>
      <c r="I7672" s="849"/>
      <c r="J7672" s="849"/>
      <c r="K7672" s="850"/>
      <c r="L7672" s="850"/>
      <c r="M7672" s="850"/>
      <c r="N7672" s="850"/>
      <c r="O7672" s="850"/>
      <c r="P7672" s="850"/>
      <c r="Q7672" s="850"/>
      <c r="R7672" s="850"/>
      <c r="S7672" s="850"/>
      <c r="T7672" s="850"/>
      <c r="U7672" s="850"/>
      <c r="V7672" s="850"/>
      <c r="W7672" s="850"/>
      <c r="X7672" s="850"/>
      <c r="Y7672" s="850"/>
    </row>
    <row r="7673" spans="1:25" ht="12.75" customHeight="1" x14ac:dyDescent="0.25">
      <c r="A7673" s="787"/>
      <c r="B7673" s="262"/>
      <c r="C7673" s="789" t="s">
        <v>3566</v>
      </c>
      <c r="G7673" s="490" t="s">
        <v>4229</v>
      </c>
    </row>
    <row r="7674" spans="1:25" ht="12.75" customHeight="1" x14ac:dyDescent="0.25">
      <c r="A7674" s="262"/>
      <c r="B7674" s="262"/>
      <c r="C7674" s="339" t="s">
        <v>4074</v>
      </c>
      <c r="D7674" s="311"/>
      <c r="E7674" s="887"/>
      <c r="F7674" s="262"/>
      <c r="G7674" s="313" t="s">
        <v>4059</v>
      </c>
      <c r="K7674" s="504"/>
      <c r="L7674" s="502"/>
      <c r="M7674" s="505"/>
    </row>
    <row r="7675" spans="1:25" ht="10.5" customHeight="1" x14ac:dyDescent="0.25">
      <c r="A7675" s="262"/>
      <c r="B7675" s="262"/>
      <c r="C7675" s="790"/>
      <c r="D7675" s="331">
        <v>473</v>
      </c>
      <c r="E7675" s="869"/>
      <c r="F7675" s="331"/>
      <c r="G7675" s="751" t="s">
        <v>162</v>
      </c>
      <c r="K7675" s="506"/>
      <c r="L7675" s="502"/>
      <c r="M7675" s="505"/>
    </row>
    <row r="7676" spans="1:25" x14ac:dyDescent="0.25">
      <c r="E7676" s="679">
        <v>225</v>
      </c>
      <c r="F7676" s="499">
        <v>411</v>
      </c>
      <c r="G7676" s="492" t="s">
        <v>4131</v>
      </c>
      <c r="H7676" s="555">
        <v>791000</v>
      </c>
      <c r="J7676" s="556">
        <f>SUM(H7676:I7676)</f>
        <v>791000</v>
      </c>
      <c r="K7676" s="505"/>
      <c r="L7676" s="505"/>
      <c r="M7676" s="505"/>
    </row>
    <row r="7677" spans="1:25" x14ac:dyDescent="0.25">
      <c r="E7677" s="679">
        <v>226</v>
      </c>
      <c r="F7677" s="499">
        <v>412</v>
      </c>
      <c r="G7677" s="488" t="s">
        <v>3766</v>
      </c>
      <c r="H7677" s="555">
        <v>141000</v>
      </c>
      <c r="J7677" s="556">
        <f t="shared" ref="J7677:J7735" si="263">SUM(H7677:I7677)</f>
        <v>141000</v>
      </c>
      <c r="K7677" s="505"/>
      <c r="L7677" s="505"/>
      <c r="M7677" s="505"/>
    </row>
    <row r="7678" spans="1:25" hidden="1" x14ac:dyDescent="0.25">
      <c r="F7678" s="499">
        <v>413</v>
      </c>
      <c r="G7678" s="492" t="s">
        <v>4132</v>
      </c>
      <c r="J7678" s="556">
        <f t="shared" si="263"/>
        <v>0</v>
      </c>
      <c r="K7678" s="505"/>
      <c r="L7678" s="505"/>
      <c r="M7678" s="505"/>
    </row>
    <row r="7679" spans="1:25" x14ac:dyDescent="0.25">
      <c r="E7679" s="679">
        <v>227</v>
      </c>
      <c r="F7679" s="499">
        <v>414</v>
      </c>
      <c r="G7679" s="492" t="s">
        <v>3769</v>
      </c>
      <c r="J7679" s="556">
        <f t="shared" si="263"/>
        <v>0</v>
      </c>
      <c r="K7679" s="505"/>
      <c r="L7679" s="505"/>
      <c r="M7679" s="505"/>
    </row>
    <row r="7680" spans="1:25" x14ac:dyDescent="0.25">
      <c r="E7680" s="679">
        <v>228</v>
      </c>
      <c r="F7680" s="499">
        <v>415</v>
      </c>
      <c r="G7680" s="492" t="s">
        <v>4141</v>
      </c>
      <c r="H7680" s="555">
        <v>90000</v>
      </c>
      <c r="J7680" s="556">
        <f t="shared" si="263"/>
        <v>90000</v>
      </c>
      <c r="K7680" s="505"/>
      <c r="L7680" s="505"/>
      <c r="M7680" s="505"/>
    </row>
    <row r="7681" spans="5:13" hidden="1" x14ac:dyDescent="0.25">
      <c r="F7681" s="499">
        <v>416</v>
      </c>
      <c r="G7681" s="492" t="s">
        <v>4142</v>
      </c>
      <c r="J7681" s="556">
        <f t="shared" si="263"/>
        <v>0</v>
      </c>
      <c r="K7681" s="505"/>
      <c r="L7681" s="505"/>
      <c r="M7681" s="505"/>
    </row>
    <row r="7682" spans="5:13" hidden="1" x14ac:dyDescent="0.25">
      <c r="F7682" s="499">
        <v>417</v>
      </c>
      <c r="G7682" s="492" t="s">
        <v>4143</v>
      </c>
      <c r="J7682" s="556">
        <f t="shared" si="263"/>
        <v>0</v>
      </c>
      <c r="K7682" s="505"/>
      <c r="L7682" s="505"/>
      <c r="M7682" s="505"/>
    </row>
    <row r="7683" spans="5:13" hidden="1" x14ac:dyDescent="0.25">
      <c r="F7683" s="499">
        <v>418</v>
      </c>
      <c r="G7683" s="492" t="s">
        <v>3775</v>
      </c>
      <c r="J7683" s="556">
        <f t="shared" si="263"/>
        <v>0</v>
      </c>
      <c r="K7683" s="505"/>
      <c r="L7683" s="505"/>
      <c r="M7683" s="505"/>
    </row>
    <row r="7684" spans="5:13" x14ac:dyDescent="0.25">
      <c r="E7684" s="679">
        <v>229</v>
      </c>
      <c r="F7684" s="499">
        <v>421</v>
      </c>
      <c r="G7684" s="492" t="s">
        <v>3779</v>
      </c>
      <c r="H7684" s="555">
        <v>140000</v>
      </c>
      <c r="J7684" s="556">
        <f t="shared" si="263"/>
        <v>140000</v>
      </c>
      <c r="K7684" s="505"/>
      <c r="L7684" s="505"/>
      <c r="M7684" s="505"/>
    </row>
    <row r="7685" spans="5:13" ht="12" customHeight="1" x14ac:dyDescent="0.25">
      <c r="E7685" s="679">
        <v>230</v>
      </c>
      <c r="F7685" s="499">
        <v>422</v>
      </c>
      <c r="G7685" s="492" t="s">
        <v>3780</v>
      </c>
      <c r="H7685" s="555">
        <v>120000</v>
      </c>
      <c r="J7685" s="556">
        <f t="shared" si="263"/>
        <v>120000</v>
      </c>
      <c r="K7685" s="505"/>
      <c r="L7685" s="505"/>
      <c r="M7685" s="505"/>
    </row>
    <row r="7686" spans="5:13" x14ac:dyDescent="0.25">
      <c r="E7686" s="679">
        <v>231</v>
      </c>
      <c r="F7686" s="499">
        <v>423</v>
      </c>
      <c r="G7686" s="492" t="s">
        <v>3781</v>
      </c>
      <c r="H7686" s="555">
        <v>735000</v>
      </c>
      <c r="I7686" s="556">
        <v>0</v>
      </c>
      <c r="J7686" s="556">
        <f t="shared" si="263"/>
        <v>735000</v>
      </c>
      <c r="K7686" s="505"/>
      <c r="L7686" s="505"/>
      <c r="M7686" s="505"/>
    </row>
    <row r="7687" spans="5:13" x14ac:dyDescent="0.25">
      <c r="E7687" s="679">
        <v>232</v>
      </c>
      <c r="F7687" s="499">
        <v>424</v>
      </c>
      <c r="G7687" s="492" t="s">
        <v>3783</v>
      </c>
      <c r="H7687" s="555">
        <v>10000</v>
      </c>
      <c r="J7687" s="556">
        <f t="shared" si="263"/>
        <v>10000</v>
      </c>
      <c r="K7687" s="505"/>
      <c r="L7687" s="505"/>
      <c r="M7687" s="505"/>
    </row>
    <row r="7688" spans="5:13" x14ac:dyDescent="0.25">
      <c r="E7688" s="679">
        <v>233</v>
      </c>
      <c r="F7688" s="499">
        <v>425</v>
      </c>
      <c r="G7688" s="492" t="s">
        <v>4144</v>
      </c>
      <c r="H7688" s="555">
        <v>30000</v>
      </c>
      <c r="J7688" s="556">
        <f t="shared" si="263"/>
        <v>30000</v>
      </c>
      <c r="K7688" s="505"/>
      <c r="L7688" s="505"/>
      <c r="M7688" s="505"/>
    </row>
    <row r="7689" spans="5:13" ht="12.75" customHeight="1" x14ac:dyDescent="0.25">
      <c r="E7689" s="679">
        <v>234</v>
      </c>
      <c r="F7689" s="499">
        <v>426</v>
      </c>
      <c r="G7689" s="492" t="s">
        <v>3787</v>
      </c>
      <c r="H7689" s="555">
        <v>70000</v>
      </c>
      <c r="I7689" s="556">
        <v>0</v>
      </c>
      <c r="J7689" s="556">
        <f t="shared" si="263"/>
        <v>70000</v>
      </c>
      <c r="K7689" s="505"/>
      <c r="L7689" s="505"/>
      <c r="M7689" s="505"/>
    </row>
    <row r="7690" spans="5:13" hidden="1" x14ac:dyDescent="0.25">
      <c r="F7690" s="499">
        <v>431</v>
      </c>
      <c r="G7690" s="492" t="s">
        <v>4145</v>
      </c>
      <c r="J7690" s="556">
        <f t="shared" si="263"/>
        <v>0</v>
      </c>
      <c r="K7690" s="505"/>
      <c r="L7690" s="505"/>
      <c r="M7690" s="505"/>
    </row>
    <row r="7691" spans="5:13" hidden="1" x14ac:dyDescent="0.25">
      <c r="F7691" s="499">
        <v>432</v>
      </c>
      <c r="G7691" s="492" t="s">
        <v>4146</v>
      </c>
      <c r="J7691" s="556">
        <f t="shared" si="263"/>
        <v>0</v>
      </c>
      <c r="K7691" s="505"/>
      <c r="L7691" s="505"/>
      <c r="M7691" s="505"/>
    </row>
    <row r="7692" spans="5:13" hidden="1" x14ac:dyDescent="0.25">
      <c r="F7692" s="499">
        <v>433</v>
      </c>
      <c r="G7692" s="492" t="s">
        <v>4147</v>
      </c>
      <c r="J7692" s="556">
        <f t="shared" si="263"/>
        <v>0</v>
      </c>
      <c r="K7692" s="505"/>
      <c r="L7692" s="505"/>
      <c r="M7692" s="505"/>
    </row>
    <row r="7693" spans="5:13" hidden="1" x14ac:dyDescent="0.25">
      <c r="F7693" s="499">
        <v>434</v>
      </c>
      <c r="G7693" s="492" t="s">
        <v>4148</v>
      </c>
      <c r="J7693" s="556">
        <f t="shared" si="263"/>
        <v>0</v>
      </c>
      <c r="K7693" s="505"/>
      <c r="L7693" s="505"/>
      <c r="M7693" s="505"/>
    </row>
    <row r="7694" spans="5:13" hidden="1" x14ac:dyDescent="0.25">
      <c r="F7694" s="499">
        <v>435</v>
      </c>
      <c r="G7694" s="492" t="s">
        <v>3794</v>
      </c>
      <c r="J7694" s="556">
        <f t="shared" si="263"/>
        <v>0</v>
      </c>
      <c r="K7694" s="505"/>
      <c r="L7694" s="505"/>
      <c r="M7694" s="505"/>
    </row>
    <row r="7695" spans="5:13" hidden="1" x14ac:dyDescent="0.25">
      <c r="F7695" s="499">
        <v>441</v>
      </c>
      <c r="G7695" s="492" t="s">
        <v>4149</v>
      </c>
      <c r="J7695" s="556">
        <f t="shared" si="263"/>
        <v>0</v>
      </c>
      <c r="K7695" s="505"/>
      <c r="L7695" s="505"/>
      <c r="M7695" s="505"/>
    </row>
    <row r="7696" spans="5:13" hidden="1" x14ac:dyDescent="0.25">
      <c r="F7696" s="499">
        <v>442</v>
      </c>
      <c r="G7696" s="492" t="s">
        <v>4150</v>
      </c>
      <c r="J7696" s="556">
        <f t="shared" si="263"/>
        <v>0</v>
      </c>
      <c r="K7696" s="505"/>
      <c r="L7696" s="505"/>
      <c r="M7696" s="505"/>
    </row>
    <row r="7697" spans="5:13" hidden="1" x14ac:dyDescent="0.25">
      <c r="F7697" s="499">
        <v>443</v>
      </c>
      <c r="G7697" s="492" t="s">
        <v>3799</v>
      </c>
      <c r="J7697" s="556">
        <f t="shared" si="263"/>
        <v>0</v>
      </c>
      <c r="K7697" s="505"/>
      <c r="L7697" s="505"/>
      <c r="M7697" s="505"/>
    </row>
    <row r="7698" spans="5:13" hidden="1" x14ac:dyDescent="0.25">
      <c r="F7698" s="499">
        <v>444</v>
      </c>
      <c r="G7698" s="492" t="s">
        <v>3800</v>
      </c>
      <c r="J7698" s="556">
        <f t="shared" si="263"/>
        <v>0</v>
      </c>
      <c r="K7698" s="505"/>
      <c r="L7698" s="505"/>
      <c r="M7698" s="505"/>
    </row>
    <row r="7699" spans="5:13" ht="30" hidden="1" x14ac:dyDescent="0.25">
      <c r="F7699" s="499">
        <v>4511</v>
      </c>
      <c r="G7699" s="778" t="s">
        <v>1690</v>
      </c>
      <c r="J7699" s="556">
        <f t="shared" si="263"/>
        <v>0</v>
      </c>
      <c r="K7699" s="505"/>
      <c r="L7699" s="505"/>
      <c r="M7699" s="505"/>
    </row>
    <row r="7700" spans="5:13" ht="30" hidden="1" x14ac:dyDescent="0.25">
      <c r="F7700" s="499">
        <v>4512</v>
      </c>
      <c r="G7700" s="778" t="s">
        <v>1699</v>
      </c>
      <c r="J7700" s="556">
        <f t="shared" si="263"/>
        <v>0</v>
      </c>
      <c r="K7700" s="505"/>
      <c r="L7700" s="505"/>
      <c r="M7700" s="505"/>
    </row>
    <row r="7701" spans="5:13" hidden="1" x14ac:dyDescent="0.25">
      <c r="F7701" s="499">
        <v>452</v>
      </c>
      <c r="G7701" s="492" t="s">
        <v>4151</v>
      </c>
      <c r="J7701" s="556">
        <f t="shared" si="263"/>
        <v>0</v>
      </c>
      <c r="K7701" s="505"/>
      <c r="L7701" s="505"/>
      <c r="M7701" s="505"/>
    </row>
    <row r="7702" spans="5:13" hidden="1" x14ac:dyDescent="0.25">
      <c r="F7702" s="499">
        <v>453</v>
      </c>
      <c r="G7702" s="492" t="s">
        <v>4152</v>
      </c>
      <c r="J7702" s="556">
        <f t="shared" si="263"/>
        <v>0</v>
      </c>
      <c r="K7702" s="505"/>
      <c r="L7702" s="505"/>
      <c r="M7702" s="505"/>
    </row>
    <row r="7703" spans="5:13" hidden="1" x14ac:dyDescent="0.25">
      <c r="F7703" s="499">
        <v>454</v>
      </c>
      <c r="G7703" s="492" t="s">
        <v>3805</v>
      </c>
      <c r="J7703" s="556">
        <f t="shared" si="263"/>
        <v>0</v>
      </c>
      <c r="K7703" s="505"/>
      <c r="L7703" s="505"/>
      <c r="M7703" s="505"/>
    </row>
    <row r="7704" spans="5:13" hidden="1" x14ac:dyDescent="0.25">
      <c r="F7704" s="499">
        <v>461</v>
      </c>
      <c r="G7704" s="492" t="s">
        <v>4133</v>
      </c>
      <c r="J7704" s="556">
        <f t="shared" si="263"/>
        <v>0</v>
      </c>
      <c r="K7704" s="505"/>
      <c r="L7704" s="505"/>
      <c r="M7704" s="505"/>
    </row>
    <row r="7705" spans="5:13" hidden="1" x14ac:dyDescent="0.25">
      <c r="F7705" s="499">
        <v>462</v>
      </c>
      <c r="G7705" s="492" t="s">
        <v>3808</v>
      </c>
      <c r="J7705" s="556">
        <f t="shared" si="263"/>
        <v>0</v>
      </c>
      <c r="K7705" s="505"/>
      <c r="L7705" s="505"/>
      <c r="M7705" s="505"/>
    </row>
    <row r="7706" spans="5:13" hidden="1" x14ac:dyDescent="0.25">
      <c r="F7706" s="499">
        <v>4631</v>
      </c>
      <c r="G7706" s="492" t="s">
        <v>3809</v>
      </c>
      <c r="J7706" s="556">
        <f t="shared" si="263"/>
        <v>0</v>
      </c>
      <c r="K7706" s="505"/>
      <c r="L7706" s="505"/>
      <c r="M7706" s="505"/>
    </row>
    <row r="7707" spans="5:13" hidden="1" x14ac:dyDescent="0.25">
      <c r="F7707" s="499">
        <v>4632</v>
      </c>
      <c r="G7707" s="492" t="s">
        <v>3810</v>
      </c>
      <c r="J7707" s="556">
        <f t="shared" si="263"/>
        <v>0</v>
      </c>
      <c r="K7707" s="505"/>
      <c r="L7707" s="505"/>
      <c r="M7707" s="505"/>
    </row>
    <row r="7708" spans="5:13" hidden="1" x14ac:dyDescent="0.25">
      <c r="F7708" s="499">
        <v>464</v>
      </c>
      <c r="G7708" s="492" t="s">
        <v>3811</v>
      </c>
      <c r="J7708" s="556">
        <f t="shared" si="263"/>
        <v>0</v>
      </c>
      <c r="K7708" s="505"/>
      <c r="L7708" s="505"/>
      <c r="M7708" s="505"/>
    </row>
    <row r="7709" spans="5:13" x14ac:dyDescent="0.25">
      <c r="E7709" s="679">
        <v>235</v>
      </c>
      <c r="F7709" s="499">
        <v>465</v>
      </c>
      <c r="G7709" s="492" t="s">
        <v>4134</v>
      </c>
      <c r="H7709" s="555">
        <v>106000</v>
      </c>
      <c r="J7709" s="556">
        <f t="shared" si="263"/>
        <v>106000</v>
      </c>
      <c r="K7709" s="505"/>
      <c r="L7709" s="505"/>
      <c r="M7709" s="505"/>
    </row>
    <row r="7710" spans="5:13" hidden="1" x14ac:dyDescent="0.25">
      <c r="F7710" s="499">
        <v>472</v>
      </c>
      <c r="G7710" s="492" t="s">
        <v>3815</v>
      </c>
      <c r="J7710" s="556">
        <f t="shared" si="263"/>
        <v>0</v>
      </c>
      <c r="K7710" s="505"/>
      <c r="L7710" s="505"/>
      <c r="M7710" s="505"/>
    </row>
    <row r="7711" spans="5:13" hidden="1" x14ac:dyDescent="0.25">
      <c r="F7711" s="499">
        <v>481</v>
      </c>
      <c r="G7711" s="492" t="s">
        <v>4153</v>
      </c>
      <c r="J7711" s="556">
        <f t="shared" si="263"/>
        <v>0</v>
      </c>
      <c r="K7711" s="505"/>
      <c r="L7711" s="505"/>
      <c r="M7711" s="505"/>
    </row>
    <row r="7712" spans="5:13" ht="15.75" hidden="1" customHeight="1" x14ac:dyDescent="0.25">
      <c r="E7712" s="679">
        <v>100</v>
      </c>
      <c r="F7712" s="499">
        <v>465</v>
      </c>
      <c r="G7712" s="492" t="s">
        <v>5064</v>
      </c>
      <c r="H7712" s="555">
        <v>0</v>
      </c>
      <c r="J7712" s="556">
        <f t="shared" si="263"/>
        <v>0</v>
      </c>
      <c r="K7712" s="505"/>
      <c r="L7712" s="505"/>
      <c r="M7712" s="505"/>
    </row>
    <row r="7713" spans="5:13" ht="13.5" customHeight="1" x14ac:dyDescent="0.25">
      <c r="E7713" s="679">
        <v>236</v>
      </c>
      <c r="F7713" s="499">
        <v>482</v>
      </c>
      <c r="G7713" s="496" t="s">
        <v>4154</v>
      </c>
      <c r="H7713" s="555">
        <v>5000</v>
      </c>
      <c r="J7713" s="556">
        <f t="shared" si="263"/>
        <v>5000</v>
      </c>
      <c r="K7713" s="505"/>
      <c r="L7713" s="505"/>
      <c r="M7713" s="505"/>
    </row>
    <row r="7714" spans="5:13" ht="30" hidden="1" x14ac:dyDescent="0.25">
      <c r="F7714" s="499">
        <v>484</v>
      </c>
      <c r="G7714" s="492" t="s">
        <v>4156</v>
      </c>
      <c r="J7714" s="556">
        <f t="shared" si="263"/>
        <v>0</v>
      </c>
      <c r="K7714" s="505"/>
      <c r="L7714" s="505"/>
      <c r="M7714" s="505"/>
    </row>
    <row r="7715" spans="5:13" ht="25.5" customHeight="1" x14ac:dyDescent="0.25">
      <c r="E7715" s="679">
        <v>237</v>
      </c>
      <c r="F7715" s="499">
        <v>485</v>
      </c>
      <c r="G7715" s="492" t="s">
        <v>4157</v>
      </c>
      <c r="H7715" s="555">
        <v>500000</v>
      </c>
      <c r="J7715" s="556">
        <f t="shared" si="263"/>
        <v>500000</v>
      </c>
      <c r="K7715" s="505"/>
      <c r="L7715" s="505"/>
      <c r="M7715" s="505"/>
    </row>
    <row r="7716" spans="5:13" ht="30" hidden="1" x14ac:dyDescent="0.25">
      <c r="F7716" s="499">
        <v>489</v>
      </c>
      <c r="G7716" s="492" t="s">
        <v>3823</v>
      </c>
      <c r="J7716" s="556">
        <f t="shared" si="263"/>
        <v>0</v>
      </c>
      <c r="K7716" s="505"/>
      <c r="L7716" s="505"/>
      <c r="M7716" s="505"/>
    </row>
    <row r="7717" spans="5:13" hidden="1" x14ac:dyDescent="0.25">
      <c r="F7717" s="499">
        <v>494</v>
      </c>
      <c r="G7717" s="492" t="s">
        <v>4135</v>
      </c>
      <c r="J7717" s="556">
        <f t="shared" si="263"/>
        <v>0</v>
      </c>
      <c r="K7717" s="505"/>
      <c r="L7717" s="505"/>
      <c r="M7717" s="505"/>
    </row>
    <row r="7718" spans="5:13" ht="30" hidden="1" x14ac:dyDescent="0.25">
      <c r="F7718" s="499">
        <v>495</v>
      </c>
      <c r="G7718" s="492" t="s">
        <v>4136</v>
      </c>
      <c r="J7718" s="556">
        <f t="shared" si="263"/>
        <v>0</v>
      </c>
      <c r="K7718" s="505"/>
      <c r="L7718" s="505"/>
      <c r="M7718" s="505"/>
    </row>
    <row r="7719" spans="5:13" ht="30" hidden="1" x14ac:dyDescent="0.25">
      <c r="F7719" s="499">
        <v>496</v>
      </c>
      <c r="G7719" s="492" t="s">
        <v>4137</v>
      </c>
      <c r="J7719" s="556">
        <f t="shared" si="263"/>
        <v>0</v>
      </c>
      <c r="K7719" s="505"/>
      <c r="L7719" s="505"/>
      <c r="M7719" s="505"/>
    </row>
    <row r="7720" spans="5:13" ht="30" hidden="1" x14ac:dyDescent="0.25">
      <c r="F7720" s="499">
        <v>499</v>
      </c>
      <c r="G7720" s="492" t="s">
        <v>4138</v>
      </c>
      <c r="J7720" s="556">
        <f t="shared" si="263"/>
        <v>0</v>
      </c>
      <c r="K7720" s="505"/>
      <c r="L7720" s="505"/>
      <c r="M7720" s="505"/>
    </row>
    <row r="7721" spans="5:13" hidden="1" x14ac:dyDescent="0.25">
      <c r="F7721" s="499">
        <v>511</v>
      </c>
      <c r="G7721" s="496" t="s">
        <v>4158</v>
      </c>
      <c r="J7721" s="556">
        <f t="shared" si="263"/>
        <v>0</v>
      </c>
      <c r="K7721" s="505"/>
      <c r="L7721" s="505"/>
      <c r="M7721" s="505"/>
    </row>
    <row r="7722" spans="5:13" x14ac:dyDescent="0.25">
      <c r="E7722" s="679">
        <v>238</v>
      </c>
      <c r="F7722" s="499">
        <v>512</v>
      </c>
      <c r="G7722" s="496" t="s">
        <v>4159</v>
      </c>
      <c r="H7722" s="555">
        <v>50000</v>
      </c>
      <c r="J7722" s="556">
        <f t="shared" si="263"/>
        <v>50000</v>
      </c>
      <c r="K7722" s="505"/>
      <c r="L7722" s="505"/>
      <c r="M7722" s="505"/>
    </row>
    <row r="7723" spans="5:13" ht="15.75" thickBot="1" x14ac:dyDescent="0.3">
      <c r="E7723" s="679">
        <v>239</v>
      </c>
      <c r="F7723" s="499">
        <v>513</v>
      </c>
      <c r="G7723" s="496" t="s">
        <v>4160</v>
      </c>
      <c r="H7723" s="555">
        <v>100000</v>
      </c>
      <c r="J7723" s="556">
        <f t="shared" si="263"/>
        <v>100000</v>
      </c>
      <c r="K7723" s="505"/>
      <c r="L7723" s="505"/>
      <c r="M7723" s="505"/>
    </row>
    <row r="7724" spans="5:13" hidden="1" x14ac:dyDescent="0.25">
      <c r="F7724" s="499">
        <v>514</v>
      </c>
      <c r="G7724" s="492" t="s">
        <v>4161</v>
      </c>
      <c r="J7724" s="556">
        <f t="shared" si="263"/>
        <v>0</v>
      </c>
      <c r="K7724" s="505"/>
      <c r="L7724" s="505"/>
      <c r="M7724" s="505"/>
    </row>
    <row r="7725" spans="5:13" hidden="1" x14ac:dyDescent="0.25">
      <c r="F7725" s="499">
        <v>515</v>
      </c>
      <c r="G7725" s="492" t="s">
        <v>3834</v>
      </c>
      <c r="J7725" s="556">
        <f t="shared" si="263"/>
        <v>0</v>
      </c>
      <c r="K7725" s="505"/>
      <c r="L7725" s="505"/>
      <c r="M7725" s="505"/>
    </row>
    <row r="7726" spans="5:13" hidden="1" x14ac:dyDescent="0.25">
      <c r="F7726" s="499">
        <v>521</v>
      </c>
      <c r="G7726" s="492" t="s">
        <v>4162</v>
      </c>
      <c r="J7726" s="556">
        <f t="shared" si="263"/>
        <v>0</v>
      </c>
      <c r="K7726" s="505"/>
      <c r="L7726" s="505"/>
      <c r="M7726" s="505"/>
    </row>
    <row r="7727" spans="5:13" hidden="1" x14ac:dyDescent="0.25">
      <c r="F7727" s="499">
        <v>522</v>
      </c>
      <c r="G7727" s="492" t="s">
        <v>4163</v>
      </c>
      <c r="J7727" s="556">
        <f t="shared" si="263"/>
        <v>0</v>
      </c>
      <c r="K7727" s="505"/>
      <c r="L7727" s="505"/>
      <c r="M7727" s="505"/>
    </row>
    <row r="7728" spans="5:13" hidden="1" x14ac:dyDescent="0.25">
      <c r="F7728" s="499">
        <v>523</v>
      </c>
      <c r="G7728" s="492" t="s">
        <v>3839</v>
      </c>
      <c r="J7728" s="556">
        <f t="shared" si="263"/>
        <v>0</v>
      </c>
      <c r="K7728" s="505"/>
      <c r="L7728" s="505"/>
      <c r="M7728" s="505"/>
    </row>
    <row r="7729" spans="5:13" hidden="1" x14ac:dyDescent="0.25">
      <c r="F7729" s="499">
        <v>531</v>
      </c>
      <c r="G7729" s="488" t="s">
        <v>4139</v>
      </c>
      <c r="J7729" s="556">
        <f t="shared" si="263"/>
        <v>0</v>
      </c>
      <c r="K7729" s="505"/>
      <c r="L7729" s="505"/>
      <c r="M7729" s="505"/>
    </row>
    <row r="7730" spans="5:13" hidden="1" x14ac:dyDescent="0.25">
      <c r="F7730" s="499">
        <v>541</v>
      </c>
      <c r="G7730" s="492" t="s">
        <v>4164</v>
      </c>
      <c r="J7730" s="556">
        <f t="shared" si="263"/>
        <v>0</v>
      </c>
      <c r="K7730" s="505"/>
      <c r="L7730" s="505"/>
      <c r="M7730" s="505"/>
    </row>
    <row r="7731" spans="5:13" hidden="1" x14ac:dyDescent="0.25">
      <c r="F7731" s="499">
        <v>542</v>
      </c>
      <c r="G7731" s="492" t="s">
        <v>4165</v>
      </c>
      <c r="J7731" s="556">
        <f t="shared" si="263"/>
        <v>0</v>
      </c>
      <c r="K7731" s="505"/>
      <c r="L7731" s="505"/>
      <c r="M7731" s="505"/>
    </row>
    <row r="7732" spans="5:13" hidden="1" x14ac:dyDescent="0.25">
      <c r="F7732" s="499">
        <v>543</v>
      </c>
      <c r="G7732" s="492" t="s">
        <v>3844</v>
      </c>
      <c r="J7732" s="556">
        <f t="shared" si="263"/>
        <v>0</v>
      </c>
      <c r="K7732" s="505"/>
      <c r="L7732" s="505"/>
      <c r="M7732" s="505"/>
    </row>
    <row r="7733" spans="5:13" ht="30" hidden="1" x14ac:dyDescent="0.25">
      <c r="F7733" s="499">
        <v>551</v>
      </c>
      <c r="G7733" s="492" t="s">
        <v>4140</v>
      </c>
      <c r="J7733" s="556">
        <f t="shared" si="263"/>
        <v>0</v>
      </c>
      <c r="K7733" s="505"/>
      <c r="L7733" s="505"/>
      <c r="M7733" s="505"/>
    </row>
    <row r="7734" spans="5:13" hidden="1" x14ac:dyDescent="0.25">
      <c r="F7734" s="500">
        <v>611</v>
      </c>
      <c r="G7734" s="498" t="s">
        <v>3850</v>
      </c>
      <c r="J7734" s="556">
        <f t="shared" si="263"/>
        <v>0</v>
      </c>
      <c r="K7734" s="505"/>
      <c r="L7734" s="505"/>
      <c r="M7734" s="505"/>
    </row>
    <row r="7735" spans="5:13" ht="15.75" hidden="1" customHeight="1" thickBot="1" x14ac:dyDescent="0.3">
      <c r="F7735" s="500">
        <v>512</v>
      </c>
      <c r="G7735" s="498" t="s">
        <v>4159</v>
      </c>
      <c r="J7735" s="556">
        <f t="shared" si="263"/>
        <v>0</v>
      </c>
      <c r="K7735" s="505"/>
      <c r="L7735" s="505"/>
      <c r="M7735" s="505"/>
    </row>
    <row r="7736" spans="5:13" ht="12" customHeight="1" x14ac:dyDescent="0.25">
      <c r="E7736" s="489"/>
      <c r="F7736" s="500"/>
      <c r="G7736" s="343" t="s">
        <v>4329</v>
      </c>
      <c r="H7736" s="557"/>
      <c r="I7736" s="583"/>
      <c r="J7736" s="558"/>
      <c r="K7736" s="505"/>
      <c r="L7736" s="505"/>
      <c r="M7736" s="505"/>
    </row>
    <row r="7737" spans="5:13" x14ac:dyDescent="0.25">
      <c r="E7737" s="693"/>
      <c r="F7737" s="597" t="s">
        <v>234</v>
      </c>
      <c r="G7737" s="598" t="s">
        <v>235</v>
      </c>
      <c r="H7737" s="559">
        <f>SUM(H7676:H7735)</f>
        <v>2888000</v>
      </c>
      <c r="I7737" s="560"/>
      <c r="J7737" s="560">
        <f t="shared" ref="J7737:J7752" si="264">SUM(H7737:I7737)</f>
        <v>2888000</v>
      </c>
      <c r="K7737" s="505"/>
      <c r="L7737" s="505"/>
      <c r="M7737" s="505"/>
    </row>
    <row r="7738" spans="5:13" hidden="1" x14ac:dyDescent="0.25">
      <c r="F7738" s="597" t="s">
        <v>236</v>
      </c>
      <c r="G7738" s="598" t="s">
        <v>237</v>
      </c>
      <c r="J7738" s="560">
        <f t="shared" si="264"/>
        <v>0</v>
      </c>
      <c r="K7738" s="505"/>
      <c r="L7738" s="505"/>
      <c r="M7738" s="505"/>
    </row>
    <row r="7739" spans="5:13" hidden="1" x14ac:dyDescent="0.25">
      <c r="F7739" s="597" t="s">
        <v>238</v>
      </c>
      <c r="G7739" s="598" t="s">
        <v>239</v>
      </c>
      <c r="J7739" s="560">
        <f t="shared" si="264"/>
        <v>0</v>
      </c>
      <c r="K7739" s="505"/>
      <c r="L7739" s="505"/>
      <c r="M7739" s="505"/>
    </row>
    <row r="7740" spans="5:13" hidden="1" x14ac:dyDescent="0.25">
      <c r="F7740" s="597" t="s">
        <v>240</v>
      </c>
      <c r="G7740" s="598" t="s">
        <v>241</v>
      </c>
      <c r="J7740" s="560">
        <f t="shared" si="264"/>
        <v>0</v>
      </c>
      <c r="K7740" s="505"/>
      <c r="L7740" s="505"/>
      <c r="M7740" s="505"/>
    </row>
    <row r="7741" spans="5:13" hidden="1" x14ac:dyDescent="0.25">
      <c r="F7741" s="597" t="s">
        <v>242</v>
      </c>
      <c r="G7741" s="598" t="s">
        <v>243</v>
      </c>
      <c r="J7741" s="560">
        <f t="shared" si="264"/>
        <v>0</v>
      </c>
      <c r="K7741" s="505"/>
      <c r="L7741" s="505"/>
      <c r="M7741" s="505"/>
    </row>
    <row r="7742" spans="5:13" hidden="1" x14ac:dyDescent="0.25">
      <c r="F7742" s="597" t="s">
        <v>244</v>
      </c>
      <c r="G7742" s="598" t="s">
        <v>245</v>
      </c>
      <c r="J7742" s="560">
        <f t="shared" si="264"/>
        <v>0</v>
      </c>
      <c r="K7742" s="505"/>
      <c r="L7742" s="505"/>
      <c r="M7742" s="505"/>
    </row>
    <row r="7743" spans="5:13" hidden="1" x14ac:dyDescent="0.25">
      <c r="F7743" s="597" t="s">
        <v>246</v>
      </c>
      <c r="G7743" s="598" t="s">
        <v>4996</v>
      </c>
      <c r="J7743" s="560">
        <f t="shared" si="264"/>
        <v>0</v>
      </c>
      <c r="K7743" s="505"/>
      <c r="L7743" s="505"/>
      <c r="M7743" s="505"/>
    </row>
    <row r="7744" spans="5:13" hidden="1" x14ac:dyDescent="0.25">
      <c r="F7744" s="597" t="s">
        <v>247</v>
      </c>
      <c r="G7744" s="598" t="s">
        <v>4995</v>
      </c>
      <c r="J7744" s="560">
        <f t="shared" si="264"/>
        <v>0</v>
      </c>
      <c r="K7744" s="505"/>
      <c r="L7744" s="505"/>
      <c r="M7744" s="505"/>
    </row>
    <row r="7745" spans="5:13" hidden="1" x14ac:dyDescent="0.25">
      <c r="F7745" s="597" t="s">
        <v>248</v>
      </c>
      <c r="G7745" s="598" t="s">
        <v>57</v>
      </c>
      <c r="J7745" s="560">
        <f t="shared" si="264"/>
        <v>0</v>
      </c>
      <c r="K7745" s="505"/>
      <c r="L7745" s="505"/>
      <c r="M7745" s="505"/>
    </row>
    <row r="7746" spans="5:13" hidden="1" x14ac:dyDescent="0.25">
      <c r="F7746" s="597" t="s">
        <v>249</v>
      </c>
      <c r="G7746" s="598" t="s">
        <v>250</v>
      </c>
      <c r="J7746" s="560">
        <f t="shared" si="264"/>
        <v>0</v>
      </c>
      <c r="K7746" s="505"/>
      <c r="L7746" s="505"/>
      <c r="M7746" s="505"/>
    </row>
    <row r="7747" spans="5:13" hidden="1" x14ac:dyDescent="0.25">
      <c r="F7747" s="597" t="s">
        <v>251</v>
      </c>
      <c r="G7747" s="598" t="s">
        <v>252</v>
      </c>
      <c r="J7747" s="560">
        <f t="shared" si="264"/>
        <v>0</v>
      </c>
      <c r="K7747" s="505"/>
      <c r="L7747" s="505"/>
      <c r="M7747" s="505"/>
    </row>
    <row r="7748" spans="5:13" ht="30" hidden="1" x14ac:dyDescent="0.25">
      <c r="F7748" s="597" t="s">
        <v>253</v>
      </c>
      <c r="G7748" s="598" t="s">
        <v>254</v>
      </c>
      <c r="J7748" s="560">
        <f t="shared" si="264"/>
        <v>0</v>
      </c>
      <c r="K7748" s="505"/>
      <c r="L7748" s="505"/>
      <c r="M7748" s="505"/>
    </row>
    <row r="7749" spans="5:13" hidden="1" x14ac:dyDescent="0.25">
      <c r="F7749" s="597" t="s">
        <v>255</v>
      </c>
      <c r="G7749" s="598" t="s">
        <v>256</v>
      </c>
      <c r="J7749" s="560">
        <f t="shared" si="264"/>
        <v>0</v>
      </c>
      <c r="K7749" s="505"/>
      <c r="L7749" s="505"/>
      <c r="M7749" s="505"/>
    </row>
    <row r="7750" spans="5:13" ht="30" hidden="1" x14ac:dyDescent="0.25">
      <c r="F7750" s="597" t="s">
        <v>257</v>
      </c>
      <c r="G7750" s="598" t="s">
        <v>258</v>
      </c>
      <c r="J7750" s="560">
        <f t="shared" si="264"/>
        <v>0</v>
      </c>
      <c r="K7750" s="505"/>
      <c r="L7750" s="505"/>
      <c r="M7750" s="505"/>
    </row>
    <row r="7751" spans="5:13" hidden="1" x14ac:dyDescent="0.25">
      <c r="F7751" s="597" t="s">
        <v>259</v>
      </c>
      <c r="G7751" s="598" t="s">
        <v>260</v>
      </c>
      <c r="J7751" s="560">
        <f t="shared" si="264"/>
        <v>0</v>
      </c>
      <c r="K7751" s="505"/>
      <c r="L7751" s="505"/>
      <c r="M7751" s="505"/>
    </row>
    <row r="7752" spans="5:13" ht="15.75" customHeight="1" thickBot="1" x14ac:dyDescent="0.3">
      <c r="F7752" s="681" t="s">
        <v>240</v>
      </c>
      <c r="G7752" s="598" t="s">
        <v>241</v>
      </c>
      <c r="H7752" s="559"/>
      <c r="I7752" s="560">
        <f>SUM(I7676:I7713)</f>
        <v>0</v>
      </c>
      <c r="J7752" s="560">
        <f t="shared" si="264"/>
        <v>0</v>
      </c>
      <c r="K7752" s="505"/>
      <c r="L7752" s="505"/>
      <c r="M7752" s="505"/>
    </row>
    <row r="7753" spans="5:13" ht="17.25" customHeight="1" thickBot="1" x14ac:dyDescent="0.3">
      <c r="G7753" s="728" t="s">
        <v>4330</v>
      </c>
      <c r="H7753" s="561">
        <f>SUM(H7737:H7752)</f>
        <v>2888000</v>
      </c>
      <c r="I7753" s="562">
        <f>SUM(I7752)</f>
        <v>0</v>
      </c>
      <c r="J7753" s="562">
        <f>SUM(J7737:J7752)</f>
        <v>2888000</v>
      </c>
      <c r="K7753" s="505"/>
      <c r="L7753" s="505"/>
      <c r="M7753" s="505"/>
    </row>
    <row r="7754" spans="5:13" ht="12.75" customHeight="1" x14ac:dyDescent="0.25">
      <c r="G7754" s="752"/>
      <c r="H7754" s="565"/>
      <c r="I7754" s="566"/>
      <c r="J7754" s="565"/>
      <c r="K7754" s="505"/>
      <c r="L7754" s="505"/>
      <c r="M7754" s="505"/>
    </row>
    <row r="7755" spans="5:13" ht="28.5" collapsed="1" x14ac:dyDescent="0.25">
      <c r="E7755" s="489"/>
      <c r="F7755" s="500"/>
      <c r="G7755" s="270" t="s">
        <v>4230</v>
      </c>
      <c r="H7755" s="563"/>
      <c r="I7755" s="584"/>
      <c r="J7755" s="564"/>
      <c r="K7755" s="505"/>
      <c r="L7755" s="505"/>
      <c r="M7755" s="505"/>
    </row>
    <row r="7756" spans="5:13" x14ac:dyDescent="0.25">
      <c r="E7756" s="693"/>
      <c r="F7756" s="597" t="s">
        <v>234</v>
      </c>
      <c r="G7756" s="598" t="s">
        <v>235</v>
      </c>
      <c r="H7756" s="559">
        <f>SUM(H7676:H7735)</f>
        <v>2888000</v>
      </c>
      <c r="I7756" s="560"/>
      <c r="J7756" s="560">
        <f>SUM(H7756:I7756)</f>
        <v>2888000</v>
      </c>
      <c r="K7756" s="505"/>
      <c r="L7756" s="505"/>
      <c r="M7756" s="505"/>
    </row>
    <row r="7757" spans="5:13" hidden="1" x14ac:dyDescent="0.25">
      <c r="F7757" s="597" t="s">
        <v>236</v>
      </c>
      <c r="G7757" s="598" t="s">
        <v>237</v>
      </c>
      <c r="J7757" s="560">
        <f t="shared" ref="J7757:J7771" si="265">SUM(H7757:I7757)</f>
        <v>0</v>
      </c>
      <c r="K7757" s="505"/>
      <c r="L7757" s="505"/>
      <c r="M7757" s="505"/>
    </row>
    <row r="7758" spans="5:13" hidden="1" x14ac:dyDescent="0.25">
      <c r="F7758" s="597" t="s">
        <v>238</v>
      </c>
      <c r="G7758" s="598" t="s">
        <v>239</v>
      </c>
      <c r="J7758" s="560">
        <f t="shared" si="265"/>
        <v>0</v>
      </c>
      <c r="K7758" s="505"/>
      <c r="L7758" s="505"/>
      <c r="M7758" s="505"/>
    </row>
    <row r="7759" spans="5:13" hidden="1" x14ac:dyDescent="0.25">
      <c r="F7759" s="597" t="s">
        <v>240</v>
      </c>
      <c r="G7759" s="598" t="s">
        <v>241</v>
      </c>
      <c r="J7759" s="560">
        <f t="shared" si="265"/>
        <v>0</v>
      </c>
      <c r="K7759" s="505"/>
      <c r="L7759" s="505"/>
      <c r="M7759" s="505"/>
    </row>
    <row r="7760" spans="5:13" hidden="1" x14ac:dyDescent="0.25">
      <c r="F7760" s="597" t="s">
        <v>242</v>
      </c>
      <c r="G7760" s="598" t="s">
        <v>243</v>
      </c>
      <c r="J7760" s="560">
        <f t="shared" si="265"/>
        <v>0</v>
      </c>
      <c r="K7760" s="505"/>
      <c r="L7760" s="505"/>
      <c r="M7760" s="505"/>
    </row>
    <row r="7761" spans="3:13" hidden="1" x14ac:dyDescent="0.25">
      <c r="F7761" s="597" t="s">
        <v>244</v>
      </c>
      <c r="G7761" s="598" t="s">
        <v>245</v>
      </c>
      <c r="J7761" s="560">
        <f t="shared" si="265"/>
        <v>0</v>
      </c>
      <c r="K7761" s="505"/>
      <c r="L7761" s="505"/>
      <c r="M7761" s="505"/>
    </row>
    <row r="7762" spans="3:13" hidden="1" x14ac:dyDescent="0.25">
      <c r="F7762" s="597" t="s">
        <v>246</v>
      </c>
      <c r="G7762" s="598" t="s">
        <v>4996</v>
      </c>
      <c r="J7762" s="560">
        <f t="shared" si="265"/>
        <v>0</v>
      </c>
      <c r="K7762" s="505"/>
      <c r="L7762" s="505"/>
      <c r="M7762" s="505"/>
    </row>
    <row r="7763" spans="3:13" hidden="1" x14ac:dyDescent="0.25">
      <c r="F7763" s="597" t="s">
        <v>247</v>
      </c>
      <c r="G7763" s="598" t="s">
        <v>4995</v>
      </c>
      <c r="J7763" s="560">
        <f t="shared" si="265"/>
        <v>0</v>
      </c>
      <c r="K7763" s="505"/>
      <c r="L7763" s="505"/>
      <c r="M7763" s="505"/>
    </row>
    <row r="7764" spans="3:13" hidden="1" x14ac:dyDescent="0.25">
      <c r="F7764" s="597" t="s">
        <v>248</v>
      </c>
      <c r="G7764" s="598" t="s">
        <v>57</v>
      </c>
      <c r="J7764" s="560">
        <f t="shared" si="265"/>
        <v>0</v>
      </c>
      <c r="K7764" s="505"/>
      <c r="L7764" s="505"/>
      <c r="M7764" s="505"/>
    </row>
    <row r="7765" spans="3:13" hidden="1" x14ac:dyDescent="0.25">
      <c r="F7765" s="597" t="s">
        <v>249</v>
      </c>
      <c r="G7765" s="598" t="s">
        <v>250</v>
      </c>
      <c r="J7765" s="560">
        <f t="shared" si="265"/>
        <v>0</v>
      </c>
      <c r="K7765" s="505"/>
      <c r="L7765" s="505"/>
      <c r="M7765" s="505"/>
    </row>
    <row r="7766" spans="3:13" hidden="1" x14ac:dyDescent="0.25">
      <c r="F7766" s="597" t="s">
        <v>251</v>
      </c>
      <c r="G7766" s="598" t="s">
        <v>252</v>
      </c>
      <c r="J7766" s="560">
        <f t="shared" si="265"/>
        <v>0</v>
      </c>
      <c r="K7766" s="505"/>
      <c r="L7766" s="505"/>
      <c r="M7766" s="505"/>
    </row>
    <row r="7767" spans="3:13" ht="30" hidden="1" x14ac:dyDescent="0.25">
      <c r="F7767" s="597" t="s">
        <v>253</v>
      </c>
      <c r="G7767" s="598" t="s">
        <v>254</v>
      </c>
      <c r="J7767" s="560">
        <f t="shared" si="265"/>
        <v>0</v>
      </c>
      <c r="K7767" s="505"/>
      <c r="L7767" s="505"/>
      <c r="M7767" s="505"/>
    </row>
    <row r="7768" spans="3:13" hidden="1" x14ac:dyDescent="0.25">
      <c r="F7768" s="597" t="s">
        <v>255</v>
      </c>
      <c r="G7768" s="598" t="s">
        <v>256</v>
      </c>
      <c r="J7768" s="560">
        <f t="shared" si="265"/>
        <v>0</v>
      </c>
      <c r="K7768" s="505"/>
      <c r="L7768" s="505"/>
      <c r="M7768" s="505"/>
    </row>
    <row r="7769" spans="3:13" ht="30" hidden="1" x14ac:dyDescent="0.25">
      <c r="F7769" s="597" t="s">
        <v>257</v>
      </c>
      <c r="G7769" s="598" t="s">
        <v>258</v>
      </c>
      <c r="J7769" s="560">
        <f t="shared" si="265"/>
        <v>0</v>
      </c>
      <c r="K7769" s="505"/>
      <c r="L7769" s="505"/>
      <c r="M7769" s="505"/>
    </row>
    <row r="7770" spans="3:13" hidden="1" x14ac:dyDescent="0.25">
      <c r="F7770" s="597" t="s">
        <v>259</v>
      </c>
      <c r="G7770" s="598" t="s">
        <v>260</v>
      </c>
      <c r="J7770" s="560">
        <f t="shared" si="265"/>
        <v>0</v>
      </c>
      <c r="K7770" s="505"/>
      <c r="L7770" s="505"/>
      <c r="M7770" s="505"/>
    </row>
    <row r="7771" spans="3:13" ht="15" customHeight="1" thickBot="1" x14ac:dyDescent="0.3">
      <c r="F7771" s="681" t="s">
        <v>240</v>
      </c>
      <c r="G7771" s="598" t="s">
        <v>241</v>
      </c>
      <c r="H7771" s="559"/>
      <c r="I7771" s="560">
        <f>SUM(I7752)</f>
        <v>0</v>
      </c>
      <c r="J7771" s="560">
        <f t="shared" si="265"/>
        <v>0</v>
      </c>
      <c r="K7771" s="505"/>
      <c r="L7771" s="505"/>
      <c r="M7771" s="505"/>
    </row>
    <row r="7772" spans="3:13" ht="14.25" customHeight="1" collapsed="1" thickBot="1" x14ac:dyDescent="0.3">
      <c r="G7772" s="268" t="s">
        <v>4332</v>
      </c>
      <c r="H7772" s="561">
        <f>SUM(H7756:H7771)</f>
        <v>2888000</v>
      </c>
      <c r="I7772" s="562">
        <f>SUM(I7771)</f>
        <v>0</v>
      </c>
      <c r="J7772" s="562">
        <f>SUM(J7756:J7771)</f>
        <v>2888000</v>
      </c>
      <c r="K7772" s="505"/>
      <c r="L7772" s="505"/>
      <c r="M7772" s="505"/>
    </row>
    <row r="7773" spans="3:13" ht="12.75" customHeight="1" x14ac:dyDescent="0.25">
      <c r="C7773" s="267" t="s">
        <v>4491</v>
      </c>
      <c r="D7773" s="259"/>
      <c r="G7773" s="493" t="s">
        <v>5342</v>
      </c>
    </row>
    <row r="7774" spans="3:13" ht="12.75" customHeight="1" x14ac:dyDescent="0.25">
      <c r="C7774" s="267"/>
      <c r="D7774" s="331">
        <v>473</v>
      </c>
      <c r="E7774" s="869"/>
      <c r="F7774" s="331"/>
      <c r="G7774" s="351" t="s">
        <v>162</v>
      </c>
    </row>
    <row r="7775" spans="3:13" hidden="1" x14ac:dyDescent="0.25">
      <c r="F7775" s="499">
        <v>411</v>
      </c>
      <c r="G7775" s="492" t="s">
        <v>4131</v>
      </c>
      <c r="J7775" s="556">
        <f t="shared" ref="J7775:J7834" si="266">SUM(H7775:I7775)</f>
        <v>0</v>
      </c>
    </row>
    <row r="7776" spans="3:13" hidden="1" x14ac:dyDescent="0.25">
      <c r="F7776" s="499">
        <v>412</v>
      </c>
      <c r="G7776" s="488" t="s">
        <v>3766</v>
      </c>
      <c r="J7776" s="556">
        <f t="shared" si="266"/>
        <v>0</v>
      </c>
    </row>
    <row r="7777" spans="5:10" hidden="1" x14ac:dyDescent="0.25">
      <c r="F7777" s="499">
        <v>413</v>
      </c>
      <c r="G7777" s="492" t="s">
        <v>4132</v>
      </c>
      <c r="J7777" s="556">
        <f t="shared" si="266"/>
        <v>0</v>
      </c>
    </row>
    <row r="7778" spans="5:10" hidden="1" x14ac:dyDescent="0.25">
      <c r="F7778" s="499">
        <v>414</v>
      </c>
      <c r="G7778" s="492" t="s">
        <v>3769</v>
      </c>
      <c r="J7778" s="556">
        <f t="shared" si="266"/>
        <v>0</v>
      </c>
    </row>
    <row r="7779" spans="5:10" hidden="1" x14ac:dyDescent="0.25">
      <c r="F7779" s="499">
        <v>415</v>
      </c>
      <c r="G7779" s="492" t="s">
        <v>4141</v>
      </c>
      <c r="J7779" s="556">
        <f t="shared" si="266"/>
        <v>0</v>
      </c>
    </row>
    <row r="7780" spans="5:10" hidden="1" x14ac:dyDescent="0.25">
      <c r="F7780" s="499">
        <v>416</v>
      </c>
      <c r="G7780" s="492" t="s">
        <v>4142</v>
      </c>
      <c r="J7780" s="556">
        <f t="shared" si="266"/>
        <v>0</v>
      </c>
    </row>
    <row r="7781" spans="5:10" hidden="1" x14ac:dyDescent="0.25">
      <c r="F7781" s="499">
        <v>417</v>
      </c>
      <c r="G7781" s="492" t="s">
        <v>4143</v>
      </c>
      <c r="J7781" s="556">
        <f t="shared" si="266"/>
        <v>0</v>
      </c>
    </row>
    <row r="7782" spans="5:10" hidden="1" x14ac:dyDescent="0.25">
      <c r="F7782" s="499">
        <v>418</v>
      </c>
      <c r="G7782" s="492" t="s">
        <v>3775</v>
      </c>
      <c r="J7782" s="556">
        <f t="shared" si="266"/>
        <v>0</v>
      </c>
    </row>
    <row r="7783" spans="5:10" ht="30" customHeight="1" x14ac:dyDescent="0.25">
      <c r="E7783" s="679" t="s">
        <v>5384</v>
      </c>
      <c r="F7783" s="499">
        <v>421</v>
      </c>
      <c r="G7783" s="492" t="s">
        <v>3779</v>
      </c>
      <c r="H7783" s="555">
        <v>63000</v>
      </c>
      <c r="I7783" s="556">
        <v>40000</v>
      </c>
      <c r="J7783" s="556">
        <f t="shared" si="266"/>
        <v>103000</v>
      </c>
    </row>
    <row r="7784" spans="5:10" ht="16.5" hidden="1" customHeight="1" x14ac:dyDescent="0.25">
      <c r="F7784" s="499">
        <v>422</v>
      </c>
      <c r="G7784" s="492" t="s">
        <v>3780</v>
      </c>
      <c r="J7784" s="556">
        <f t="shared" si="266"/>
        <v>0</v>
      </c>
    </row>
    <row r="7785" spans="5:10" ht="42.75" customHeight="1" x14ac:dyDescent="0.25">
      <c r="E7785" s="679" t="s">
        <v>5385</v>
      </c>
      <c r="F7785" s="499">
        <v>423</v>
      </c>
      <c r="G7785" s="492" t="s">
        <v>3781</v>
      </c>
      <c r="H7785" s="555">
        <v>440000</v>
      </c>
      <c r="I7785" s="556">
        <v>280000</v>
      </c>
      <c r="J7785" s="556">
        <f t="shared" si="266"/>
        <v>720000</v>
      </c>
    </row>
    <row r="7786" spans="5:10" x14ac:dyDescent="0.25">
      <c r="E7786" s="679">
        <v>245</v>
      </c>
      <c r="F7786" s="499">
        <v>424</v>
      </c>
      <c r="G7786" s="492" t="s">
        <v>3783</v>
      </c>
      <c r="H7786" s="555">
        <v>10000</v>
      </c>
      <c r="J7786" s="556">
        <f t="shared" si="266"/>
        <v>10000</v>
      </c>
    </row>
    <row r="7787" spans="5:10" x14ac:dyDescent="0.25">
      <c r="E7787" s="679">
        <v>246</v>
      </c>
      <c r="F7787" s="499">
        <v>425</v>
      </c>
      <c r="G7787" s="492" t="s">
        <v>4144</v>
      </c>
      <c r="H7787" s="555">
        <v>20000</v>
      </c>
      <c r="J7787" s="556">
        <f t="shared" si="266"/>
        <v>20000</v>
      </c>
    </row>
    <row r="7788" spans="5:10" ht="27" customHeight="1" x14ac:dyDescent="0.25">
      <c r="E7788" s="679" t="s">
        <v>5386</v>
      </c>
      <c r="F7788" s="499">
        <v>426</v>
      </c>
      <c r="G7788" s="492" t="s">
        <v>3787</v>
      </c>
      <c r="H7788" s="555">
        <v>40000</v>
      </c>
      <c r="I7788" s="556">
        <v>30000</v>
      </c>
      <c r="J7788" s="556">
        <f t="shared" si="266"/>
        <v>70000</v>
      </c>
    </row>
    <row r="7789" spans="5:10" hidden="1" x14ac:dyDescent="0.25">
      <c r="F7789" s="499">
        <v>431</v>
      </c>
      <c r="G7789" s="492" t="s">
        <v>4145</v>
      </c>
      <c r="J7789" s="556">
        <f t="shared" si="266"/>
        <v>0</v>
      </c>
    </row>
    <row r="7790" spans="5:10" hidden="1" x14ac:dyDescent="0.25">
      <c r="F7790" s="499">
        <v>432</v>
      </c>
      <c r="G7790" s="492" t="s">
        <v>4146</v>
      </c>
      <c r="J7790" s="556">
        <f t="shared" si="266"/>
        <v>0</v>
      </c>
    </row>
    <row r="7791" spans="5:10" hidden="1" x14ac:dyDescent="0.25">
      <c r="F7791" s="499">
        <v>433</v>
      </c>
      <c r="G7791" s="492" t="s">
        <v>4147</v>
      </c>
      <c r="J7791" s="556">
        <f t="shared" si="266"/>
        <v>0</v>
      </c>
    </row>
    <row r="7792" spans="5:10" hidden="1" x14ac:dyDescent="0.25">
      <c r="F7792" s="499">
        <v>434</v>
      </c>
      <c r="G7792" s="492" t="s">
        <v>4148</v>
      </c>
      <c r="J7792" s="556">
        <f t="shared" si="266"/>
        <v>0</v>
      </c>
    </row>
    <row r="7793" spans="6:10" hidden="1" x14ac:dyDescent="0.25">
      <c r="F7793" s="499">
        <v>435</v>
      </c>
      <c r="G7793" s="492" t="s">
        <v>3794</v>
      </c>
      <c r="J7793" s="556">
        <f t="shared" si="266"/>
        <v>0</v>
      </c>
    </row>
    <row r="7794" spans="6:10" hidden="1" x14ac:dyDescent="0.25">
      <c r="F7794" s="499">
        <v>441</v>
      </c>
      <c r="G7794" s="492" t="s">
        <v>4149</v>
      </c>
      <c r="J7794" s="556">
        <f t="shared" si="266"/>
        <v>0</v>
      </c>
    </row>
    <row r="7795" spans="6:10" hidden="1" x14ac:dyDescent="0.25">
      <c r="F7795" s="499">
        <v>442</v>
      </c>
      <c r="G7795" s="492" t="s">
        <v>4150</v>
      </c>
      <c r="J7795" s="556">
        <f t="shared" si="266"/>
        <v>0</v>
      </c>
    </row>
    <row r="7796" spans="6:10" hidden="1" x14ac:dyDescent="0.25">
      <c r="F7796" s="499">
        <v>443</v>
      </c>
      <c r="G7796" s="492" t="s">
        <v>3799</v>
      </c>
      <c r="J7796" s="556">
        <f t="shared" si="266"/>
        <v>0</v>
      </c>
    </row>
    <row r="7797" spans="6:10" hidden="1" x14ac:dyDescent="0.25">
      <c r="F7797" s="499">
        <v>444</v>
      </c>
      <c r="G7797" s="492" t="s">
        <v>3800</v>
      </c>
      <c r="J7797" s="556">
        <f t="shared" si="266"/>
        <v>0</v>
      </c>
    </row>
    <row r="7798" spans="6:10" ht="30" hidden="1" x14ac:dyDescent="0.25">
      <c r="F7798" s="499">
        <v>4511</v>
      </c>
      <c r="G7798" s="786" t="s">
        <v>1690</v>
      </c>
      <c r="J7798" s="556">
        <f t="shared" si="266"/>
        <v>0</v>
      </c>
    </row>
    <row r="7799" spans="6:10" ht="30" hidden="1" x14ac:dyDescent="0.25">
      <c r="F7799" s="499">
        <v>4512</v>
      </c>
      <c r="G7799" s="786" t="s">
        <v>1699</v>
      </c>
      <c r="J7799" s="556">
        <f t="shared" si="266"/>
        <v>0</v>
      </c>
    </row>
    <row r="7800" spans="6:10" hidden="1" x14ac:dyDescent="0.25">
      <c r="F7800" s="499">
        <v>452</v>
      </c>
      <c r="G7800" s="492" t="s">
        <v>4151</v>
      </c>
      <c r="J7800" s="556">
        <f t="shared" si="266"/>
        <v>0</v>
      </c>
    </row>
    <row r="7801" spans="6:10" hidden="1" x14ac:dyDescent="0.25">
      <c r="F7801" s="499">
        <v>453</v>
      </c>
      <c r="G7801" s="492" t="s">
        <v>4152</v>
      </c>
      <c r="J7801" s="556">
        <f t="shared" si="266"/>
        <v>0</v>
      </c>
    </row>
    <row r="7802" spans="6:10" hidden="1" x14ac:dyDescent="0.25">
      <c r="F7802" s="499">
        <v>454</v>
      </c>
      <c r="G7802" s="492" t="s">
        <v>3805</v>
      </c>
      <c r="J7802" s="556">
        <f t="shared" si="266"/>
        <v>0</v>
      </c>
    </row>
    <row r="7803" spans="6:10" hidden="1" x14ac:dyDescent="0.25">
      <c r="F7803" s="499">
        <v>461</v>
      </c>
      <c r="G7803" s="492" t="s">
        <v>4133</v>
      </c>
      <c r="J7803" s="556">
        <f t="shared" si="266"/>
        <v>0</v>
      </c>
    </row>
    <row r="7804" spans="6:10" hidden="1" x14ac:dyDescent="0.25">
      <c r="F7804" s="499">
        <v>462</v>
      </c>
      <c r="G7804" s="492" t="s">
        <v>3808</v>
      </c>
      <c r="J7804" s="556">
        <f t="shared" si="266"/>
        <v>0</v>
      </c>
    </row>
    <row r="7805" spans="6:10" hidden="1" x14ac:dyDescent="0.25">
      <c r="F7805" s="499">
        <v>4631</v>
      </c>
      <c r="G7805" s="492" t="s">
        <v>3809</v>
      </c>
      <c r="J7805" s="556">
        <f t="shared" si="266"/>
        <v>0</v>
      </c>
    </row>
    <row r="7806" spans="6:10" hidden="1" x14ac:dyDescent="0.25">
      <c r="F7806" s="499">
        <v>4632</v>
      </c>
      <c r="G7806" s="492" t="s">
        <v>3810</v>
      </c>
      <c r="J7806" s="556">
        <f t="shared" si="266"/>
        <v>0</v>
      </c>
    </row>
    <row r="7807" spans="6:10" hidden="1" x14ac:dyDescent="0.25">
      <c r="F7807" s="499">
        <v>464</v>
      </c>
      <c r="G7807" s="492" t="s">
        <v>3811</v>
      </c>
      <c r="J7807" s="556">
        <f t="shared" si="266"/>
        <v>0</v>
      </c>
    </row>
    <row r="7808" spans="6:10" hidden="1" x14ac:dyDescent="0.25">
      <c r="F7808" s="499">
        <v>465</v>
      </c>
      <c r="G7808" s="492" t="s">
        <v>4134</v>
      </c>
      <c r="J7808" s="556">
        <f t="shared" si="266"/>
        <v>0</v>
      </c>
    </row>
    <row r="7809" spans="5:10" hidden="1" x14ac:dyDescent="0.25">
      <c r="F7809" s="499">
        <v>472</v>
      </c>
      <c r="G7809" s="492" t="s">
        <v>3815</v>
      </c>
      <c r="J7809" s="556">
        <f t="shared" si="266"/>
        <v>0</v>
      </c>
    </row>
    <row r="7810" spans="5:10" hidden="1" x14ac:dyDescent="0.25">
      <c r="F7810" s="499">
        <v>481</v>
      </c>
      <c r="G7810" s="492" t="s">
        <v>4153</v>
      </c>
      <c r="J7810" s="556">
        <f t="shared" si="266"/>
        <v>0</v>
      </c>
    </row>
    <row r="7811" spans="5:10" ht="15.75" thickBot="1" x14ac:dyDescent="0.3">
      <c r="E7811" s="679">
        <v>249</v>
      </c>
      <c r="F7811" s="499">
        <v>482</v>
      </c>
      <c r="G7811" s="492" t="s">
        <v>4154</v>
      </c>
      <c r="H7811" s="555">
        <v>2000</v>
      </c>
      <c r="J7811" s="556">
        <f t="shared" si="266"/>
        <v>2000</v>
      </c>
    </row>
    <row r="7812" spans="5:10" hidden="1" x14ac:dyDescent="0.25">
      <c r="F7812" s="499">
        <v>483</v>
      </c>
      <c r="G7812" s="496" t="s">
        <v>4155</v>
      </c>
      <c r="J7812" s="556">
        <f t="shared" si="266"/>
        <v>0</v>
      </c>
    </row>
    <row r="7813" spans="5:10" ht="30" hidden="1" x14ac:dyDescent="0.25">
      <c r="F7813" s="499">
        <v>484</v>
      </c>
      <c r="G7813" s="492" t="s">
        <v>4156</v>
      </c>
      <c r="J7813" s="556">
        <f t="shared" si="266"/>
        <v>0</v>
      </c>
    </row>
    <row r="7814" spans="5:10" ht="30" hidden="1" x14ac:dyDescent="0.25">
      <c r="F7814" s="499">
        <v>485</v>
      </c>
      <c r="G7814" s="492" t="s">
        <v>4157</v>
      </c>
      <c r="J7814" s="556">
        <f t="shared" si="266"/>
        <v>0</v>
      </c>
    </row>
    <row r="7815" spans="5:10" ht="30" hidden="1" x14ac:dyDescent="0.25">
      <c r="F7815" s="499">
        <v>489</v>
      </c>
      <c r="G7815" s="492" t="s">
        <v>3823</v>
      </c>
      <c r="J7815" s="556">
        <f t="shared" si="266"/>
        <v>0</v>
      </c>
    </row>
    <row r="7816" spans="5:10" hidden="1" x14ac:dyDescent="0.25">
      <c r="F7816" s="499">
        <v>494</v>
      </c>
      <c r="G7816" s="492" t="s">
        <v>4135</v>
      </c>
      <c r="J7816" s="556">
        <f t="shared" si="266"/>
        <v>0</v>
      </c>
    </row>
    <row r="7817" spans="5:10" ht="30" hidden="1" x14ac:dyDescent="0.25">
      <c r="F7817" s="499">
        <v>495</v>
      </c>
      <c r="G7817" s="492" t="s">
        <v>4136</v>
      </c>
      <c r="J7817" s="556">
        <f t="shared" si="266"/>
        <v>0</v>
      </c>
    </row>
    <row r="7818" spans="5:10" ht="30" hidden="1" x14ac:dyDescent="0.25">
      <c r="F7818" s="499">
        <v>496</v>
      </c>
      <c r="G7818" s="492" t="s">
        <v>4137</v>
      </c>
      <c r="J7818" s="556">
        <f t="shared" si="266"/>
        <v>0</v>
      </c>
    </row>
    <row r="7819" spans="5:10" ht="30" hidden="1" x14ac:dyDescent="0.25">
      <c r="F7819" s="499">
        <v>499</v>
      </c>
      <c r="G7819" s="492" t="s">
        <v>4138</v>
      </c>
      <c r="J7819" s="556">
        <f t="shared" si="266"/>
        <v>0</v>
      </c>
    </row>
    <row r="7820" spans="5:10" hidden="1" x14ac:dyDescent="0.25">
      <c r="F7820" s="499">
        <v>511</v>
      </c>
      <c r="G7820" s="496" t="s">
        <v>4158</v>
      </c>
      <c r="J7820" s="556">
        <f t="shared" si="266"/>
        <v>0</v>
      </c>
    </row>
    <row r="7821" spans="5:10" hidden="1" x14ac:dyDescent="0.25">
      <c r="F7821" s="499">
        <v>512</v>
      </c>
      <c r="G7821" s="496" t="s">
        <v>4159</v>
      </c>
      <c r="J7821" s="556">
        <f t="shared" si="266"/>
        <v>0</v>
      </c>
    </row>
    <row r="7822" spans="5:10" hidden="1" x14ac:dyDescent="0.25">
      <c r="F7822" s="499">
        <v>513</v>
      </c>
      <c r="G7822" s="496" t="s">
        <v>4160</v>
      </c>
      <c r="J7822" s="556">
        <f t="shared" si="266"/>
        <v>0</v>
      </c>
    </row>
    <row r="7823" spans="5:10" hidden="1" x14ac:dyDescent="0.25">
      <c r="F7823" s="499">
        <v>514</v>
      </c>
      <c r="G7823" s="492" t="s">
        <v>4161</v>
      </c>
      <c r="J7823" s="556">
        <f t="shared" si="266"/>
        <v>0</v>
      </c>
    </row>
    <row r="7824" spans="5:10" hidden="1" x14ac:dyDescent="0.25">
      <c r="F7824" s="499">
        <v>515</v>
      </c>
      <c r="G7824" s="492" t="s">
        <v>3834</v>
      </c>
      <c r="J7824" s="556">
        <f t="shared" si="266"/>
        <v>0</v>
      </c>
    </row>
    <row r="7825" spans="5:10" hidden="1" x14ac:dyDescent="0.25">
      <c r="F7825" s="499">
        <v>521</v>
      </c>
      <c r="G7825" s="492" t="s">
        <v>4162</v>
      </c>
      <c r="J7825" s="556">
        <f t="shared" si="266"/>
        <v>0</v>
      </c>
    </row>
    <row r="7826" spans="5:10" hidden="1" x14ac:dyDescent="0.25">
      <c r="F7826" s="499">
        <v>522</v>
      </c>
      <c r="G7826" s="492" t="s">
        <v>4163</v>
      </c>
      <c r="J7826" s="556">
        <f t="shared" si="266"/>
        <v>0</v>
      </c>
    </row>
    <row r="7827" spans="5:10" hidden="1" x14ac:dyDescent="0.25">
      <c r="F7827" s="499">
        <v>523</v>
      </c>
      <c r="G7827" s="492" t="s">
        <v>3839</v>
      </c>
      <c r="J7827" s="556">
        <f t="shared" si="266"/>
        <v>0</v>
      </c>
    </row>
    <row r="7828" spans="5:10" hidden="1" x14ac:dyDescent="0.25">
      <c r="F7828" s="499">
        <v>531</v>
      </c>
      <c r="G7828" s="488" t="s">
        <v>4139</v>
      </c>
      <c r="J7828" s="556">
        <f t="shared" si="266"/>
        <v>0</v>
      </c>
    </row>
    <row r="7829" spans="5:10" hidden="1" x14ac:dyDescent="0.25">
      <c r="F7829" s="499">
        <v>541</v>
      </c>
      <c r="G7829" s="492" t="s">
        <v>4164</v>
      </c>
      <c r="J7829" s="556">
        <f t="shared" si="266"/>
        <v>0</v>
      </c>
    </row>
    <row r="7830" spans="5:10" hidden="1" x14ac:dyDescent="0.25">
      <c r="F7830" s="499">
        <v>542</v>
      </c>
      <c r="G7830" s="492" t="s">
        <v>4165</v>
      </c>
      <c r="J7830" s="556">
        <f t="shared" si="266"/>
        <v>0</v>
      </c>
    </row>
    <row r="7831" spans="5:10" hidden="1" x14ac:dyDescent="0.25">
      <c r="F7831" s="499">
        <v>543</v>
      </c>
      <c r="G7831" s="492" t="s">
        <v>3844</v>
      </c>
      <c r="J7831" s="556">
        <f t="shared" si="266"/>
        <v>0</v>
      </c>
    </row>
    <row r="7832" spans="5:10" ht="30" hidden="1" x14ac:dyDescent="0.25">
      <c r="F7832" s="499">
        <v>551</v>
      </c>
      <c r="G7832" s="492" t="s">
        <v>4140</v>
      </c>
      <c r="J7832" s="556">
        <f t="shared" si="266"/>
        <v>0</v>
      </c>
    </row>
    <row r="7833" spans="5:10" hidden="1" x14ac:dyDescent="0.25">
      <c r="F7833" s="500">
        <v>611</v>
      </c>
      <c r="G7833" s="498" t="s">
        <v>3850</v>
      </c>
      <c r="J7833" s="556">
        <f t="shared" si="266"/>
        <v>0</v>
      </c>
    </row>
    <row r="7834" spans="5:10" ht="15.75" hidden="1" thickBot="1" x14ac:dyDescent="0.3">
      <c r="F7834" s="500">
        <v>620</v>
      </c>
      <c r="G7834" s="498" t="s">
        <v>88</v>
      </c>
      <c r="J7834" s="556">
        <f t="shared" si="266"/>
        <v>0</v>
      </c>
    </row>
    <row r="7835" spans="5:10" x14ac:dyDescent="0.25">
      <c r="E7835" s="489"/>
      <c r="F7835" s="500"/>
      <c r="G7835" s="343" t="s">
        <v>4329</v>
      </c>
      <c r="H7835" s="557"/>
      <c r="I7835" s="583"/>
      <c r="J7835" s="558"/>
    </row>
    <row r="7836" spans="5:10" x14ac:dyDescent="0.25">
      <c r="E7836" s="693"/>
      <c r="F7836" s="597" t="s">
        <v>234</v>
      </c>
      <c r="G7836" s="598" t="s">
        <v>235</v>
      </c>
      <c r="H7836" s="559">
        <f>SUM(H7775:H7834)</f>
        <v>575000</v>
      </c>
      <c r="I7836" s="560"/>
      <c r="J7836" s="560">
        <f t="shared" ref="J7836:J7851" si="267">SUM(H7836:I7836)</f>
        <v>575000</v>
      </c>
    </row>
    <row r="7837" spans="5:10" hidden="1" x14ac:dyDescent="0.25">
      <c r="F7837" s="597" t="s">
        <v>236</v>
      </c>
      <c r="G7837" s="598" t="s">
        <v>237</v>
      </c>
      <c r="J7837" s="560">
        <f t="shared" si="267"/>
        <v>0</v>
      </c>
    </row>
    <row r="7838" spans="5:10" hidden="1" x14ac:dyDescent="0.25">
      <c r="F7838" s="597" t="s">
        <v>238</v>
      </c>
      <c r="G7838" s="598" t="s">
        <v>239</v>
      </c>
      <c r="J7838" s="560">
        <f t="shared" si="267"/>
        <v>0</v>
      </c>
    </row>
    <row r="7839" spans="5:10" hidden="1" x14ac:dyDescent="0.25">
      <c r="F7839" s="597" t="s">
        <v>240</v>
      </c>
      <c r="G7839" s="598" t="s">
        <v>241</v>
      </c>
      <c r="J7839" s="560">
        <f t="shared" si="267"/>
        <v>0</v>
      </c>
    </row>
    <row r="7840" spans="5:10" hidden="1" x14ac:dyDescent="0.25">
      <c r="F7840" s="597" t="s">
        <v>242</v>
      </c>
      <c r="G7840" s="598" t="s">
        <v>243</v>
      </c>
      <c r="J7840" s="560">
        <f t="shared" si="267"/>
        <v>0</v>
      </c>
    </row>
    <row r="7841" spans="5:10" hidden="1" x14ac:dyDescent="0.25">
      <c r="F7841" s="597" t="s">
        <v>244</v>
      </c>
      <c r="G7841" s="598" t="s">
        <v>245</v>
      </c>
      <c r="J7841" s="560">
        <f t="shared" si="267"/>
        <v>0</v>
      </c>
    </row>
    <row r="7842" spans="5:10" x14ac:dyDescent="0.25">
      <c r="F7842" s="597" t="s">
        <v>246</v>
      </c>
      <c r="G7842" s="598" t="s">
        <v>4996</v>
      </c>
      <c r="I7842" s="556">
        <v>300000</v>
      </c>
      <c r="J7842" s="560">
        <f t="shared" si="267"/>
        <v>300000</v>
      </c>
    </row>
    <row r="7843" spans="5:10" ht="15.75" thickBot="1" x14ac:dyDescent="0.3">
      <c r="F7843" s="597" t="s">
        <v>247</v>
      </c>
      <c r="G7843" s="598" t="s">
        <v>4995</v>
      </c>
      <c r="I7843" s="556">
        <v>50000</v>
      </c>
      <c r="J7843" s="560">
        <f t="shared" si="267"/>
        <v>50000</v>
      </c>
    </row>
    <row r="7844" spans="5:10" hidden="1" x14ac:dyDescent="0.25">
      <c r="F7844" s="597" t="s">
        <v>248</v>
      </c>
      <c r="G7844" s="598" t="s">
        <v>57</v>
      </c>
      <c r="J7844" s="560">
        <f t="shared" si="267"/>
        <v>0</v>
      </c>
    </row>
    <row r="7845" spans="5:10" hidden="1" x14ac:dyDescent="0.25">
      <c r="F7845" s="597" t="s">
        <v>249</v>
      </c>
      <c r="G7845" s="598" t="s">
        <v>250</v>
      </c>
      <c r="J7845" s="560">
        <f t="shared" si="267"/>
        <v>0</v>
      </c>
    </row>
    <row r="7846" spans="5:10" hidden="1" x14ac:dyDescent="0.25">
      <c r="F7846" s="597" t="s">
        <v>251</v>
      </c>
      <c r="G7846" s="598" t="s">
        <v>252</v>
      </c>
      <c r="J7846" s="560">
        <f t="shared" si="267"/>
        <v>0</v>
      </c>
    </row>
    <row r="7847" spans="5:10" ht="30" hidden="1" x14ac:dyDescent="0.25">
      <c r="F7847" s="597" t="s">
        <v>253</v>
      </c>
      <c r="G7847" s="598" t="s">
        <v>254</v>
      </c>
      <c r="J7847" s="560">
        <f t="shared" si="267"/>
        <v>0</v>
      </c>
    </row>
    <row r="7848" spans="5:10" hidden="1" x14ac:dyDescent="0.25">
      <c r="F7848" s="597" t="s">
        <v>255</v>
      </c>
      <c r="G7848" s="598" t="s">
        <v>256</v>
      </c>
      <c r="J7848" s="560">
        <f t="shared" si="267"/>
        <v>0</v>
      </c>
    </row>
    <row r="7849" spans="5:10" ht="30" hidden="1" x14ac:dyDescent="0.25">
      <c r="F7849" s="597" t="s">
        <v>257</v>
      </c>
      <c r="G7849" s="598" t="s">
        <v>258</v>
      </c>
      <c r="J7849" s="560">
        <f t="shared" si="267"/>
        <v>0</v>
      </c>
    </row>
    <row r="7850" spans="5:10" hidden="1" x14ac:dyDescent="0.25">
      <c r="F7850" s="597" t="s">
        <v>259</v>
      </c>
      <c r="G7850" s="598" t="s">
        <v>260</v>
      </c>
      <c r="J7850" s="560">
        <f t="shared" si="267"/>
        <v>0</v>
      </c>
    </row>
    <row r="7851" spans="5:10" ht="15.75" hidden="1" thickBot="1" x14ac:dyDescent="0.3">
      <c r="F7851" s="597" t="s">
        <v>261</v>
      </c>
      <c r="G7851" s="598" t="s">
        <v>262</v>
      </c>
      <c r="H7851" s="559"/>
      <c r="I7851" s="560"/>
      <c r="J7851" s="560">
        <f t="shared" si="267"/>
        <v>0</v>
      </c>
    </row>
    <row r="7852" spans="5:10" ht="12.75" customHeight="1" thickBot="1" x14ac:dyDescent="0.3">
      <c r="G7852" s="268" t="s">
        <v>4330</v>
      </c>
      <c r="H7852" s="561">
        <f>SUM(H7836:H7851)</f>
        <v>575000</v>
      </c>
      <c r="I7852" s="562">
        <f>SUM(I7837:I7851)</f>
        <v>350000</v>
      </c>
      <c r="J7852" s="562">
        <f>SUM(J7836:J7851)</f>
        <v>925000</v>
      </c>
    </row>
    <row r="7853" spans="5:10" x14ac:dyDescent="0.25">
      <c r="E7853" s="489"/>
      <c r="F7853" s="500"/>
      <c r="G7853" s="270" t="s">
        <v>4948</v>
      </c>
      <c r="H7853" s="563"/>
      <c r="I7853" s="584"/>
      <c r="J7853" s="564"/>
    </row>
    <row r="7854" spans="5:10" x14ac:dyDescent="0.25">
      <c r="E7854" s="693"/>
      <c r="F7854" s="597" t="s">
        <v>234</v>
      </c>
      <c r="G7854" s="598" t="s">
        <v>235</v>
      </c>
      <c r="H7854" s="559">
        <f>SUM(H7775:H7834)</f>
        <v>575000</v>
      </c>
      <c r="I7854" s="560"/>
      <c r="J7854" s="560">
        <f t="shared" ref="J7854:J7869" si="268">SUM(H7854:I7854)</f>
        <v>575000</v>
      </c>
    </row>
    <row r="7855" spans="5:10" hidden="1" x14ac:dyDescent="0.25">
      <c r="F7855" s="597" t="s">
        <v>236</v>
      </c>
      <c r="G7855" s="598" t="s">
        <v>237</v>
      </c>
      <c r="J7855" s="560">
        <f t="shared" si="268"/>
        <v>0</v>
      </c>
    </row>
    <row r="7856" spans="5:10" hidden="1" x14ac:dyDescent="0.25">
      <c r="F7856" s="597" t="s">
        <v>238</v>
      </c>
      <c r="G7856" s="598" t="s">
        <v>239</v>
      </c>
      <c r="J7856" s="560">
        <f t="shared" si="268"/>
        <v>0</v>
      </c>
    </row>
    <row r="7857" spans="5:10" hidden="1" x14ac:dyDescent="0.25">
      <c r="F7857" s="597" t="s">
        <v>240</v>
      </c>
      <c r="G7857" s="598" t="s">
        <v>241</v>
      </c>
      <c r="J7857" s="560">
        <f t="shared" si="268"/>
        <v>0</v>
      </c>
    </row>
    <row r="7858" spans="5:10" hidden="1" x14ac:dyDescent="0.25">
      <c r="F7858" s="597" t="s">
        <v>242</v>
      </c>
      <c r="G7858" s="598" t="s">
        <v>243</v>
      </c>
      <c r="J7858" s="560">
        <f t="shared" si="268"/>
        <v>0</v>
      </c>
    </row>
    <row r="7859" spans="5:10" hidden="1" x14ac:dyDescent="0.25">
      <c r="F7859" s="597" t="s">
        <v>244</v>
      </c>
      <c r="G7859" s="598" t="s">
        <v>245</v>
      </c>
      <c r="J7859" s="560">
        <f t="shared" si="268"/>
        <v>0</v>
      </c>
    </row>
    <row r="7860" spans="5:10" x14ac:dyDescent="0.25">
      <c r="F7860" s="597" t="s">
        <v>246</v>
      </c>
      <c r="G7860" s="598" t="s">
        <v>4996</v>
      </c>
      <c r="I7860" s="556">
        <v>300000</v>
      </c>
      <c r="J7860" s="560">
        <f t="shared" si="268"/>
        <v>300000</v>
      </c>
    </row>
    <row r="7861" spans="5:10" ht="15.75" thickBot="1" x14ac:dyDescent="0.3">
      <c r="F7861" s="597" t="s">
        <v>247</v>
      </c>
      <c r="G7861" s="598" t="s">
        <v>4995</v>
      </c>
      <c r="I7861" s="556">
        <v>50000</v>
      </c>
      <c r="J7861" s="560">
        <f t="shared" si="268"/>
        <v>50000</v>
      </c>
    </row>
    <row r="7862" spans="5:10" hidden="1" x14ac:dyDescent="0.25">
      <c r="F7862" s="597" t="s">
        <v>248</v>
      </c>
      <c r="G7862" s="598" t="s">
        <v>57</v>
      </c>
      <c r="J7862" s="560">
        <f t="shared" si="268"/>
        <v>0</v>
      </c>
    </row>
    <row r="7863" spans="5:10" hidden="1" x14ac:dyDescent="0.25">
      <c r="F7863" s="597" t="s">
        <v>249</v>
      </c>
      <c r="G7863" s="598" t="s">
        <v>250</v>
      </c>
      <c r="J7863" s="560">
        <f t="shared" si="268"/>
        <v>0</v>
      </c>
    </row>
    <row r="7864" spans="5:10" hidden="1" x14ac:dyDescent="0.25">
      <c r="F7864" s="597" t="s">
        <v>251</v>
      </c>
      <c r="G7864" s="598" t="s">
        <v>252</v>
      </c>
      <c r="J7864" s="560">
        <f t="shared" si="268"/>
        <v>0</v>
      </c>
    </row>
    <row r="7865" spans="5:10" ht="30" hidden="1" x14ac:dyDescent="0.25">
      <c r="F7865" s="597" t="s">
        <v>253</v>
      </c>
      <c r="G7865" s="598" t="s">
        <v>254</v>
      </c>
      <c r="J7865" s="560">
        <f t="shared" si="268"/>
        <v>0</v>
      </c>
    </row>
    <row r="7866" spans="5:10" hidden="1" x14ac:dyDescent="0.25">
      <c r="F7866" s="597" t="s">
        <v>255</v>
      </c>
      <c r="G7866" s="598" t="s">
        <v>256</v>
      </c>
      <c r="J7866" s="560">
        <f t="shared" si="268"/>
        <v>0</v>
      </c>
    </row>
    <row r="7867" spans="5:10" ht="30" hidden="1" x14ac:dyDescent="0.25">
      <c r="F7867" s="597" t="s">
        <v>257</v>
      </c>
      <c r="G7867" s="598" t="s">
        <v>258</v>
      </c>
      <c r="J7867" s="560">
        <f t="shared" si="268"/>
        <v>0</v>
      </c>
    </row>
    <row r="7868" spans="5:10" hidden="1" x14ac:dyDescent="0.25">
      <c r="F7868" s="597" t="s">
        <v>259</v>
      </c>
      <c r="G7868" s="598" t="s">
        <v>260</v>
      </c>
      <c r="J7868" s="560">
        <f t="shared" si="268"/>
        <v>0</v>
      </c>
    </row>
    <row r="7869" spans="5:10" ht="15.75" hidden="1" thickBot="1" x14ac:dyDescent="0.3">
      <c r="F7869" s="597" t="s">
        <v>261</v>
      </c>
      <c r="G7869" s="598" t="s">
        <v>262</v>
      </c>
      <c r="H7869" s="559"/>
      <c r="I7869" s="560"/>
      <c r="J7869" s="560">
        <f t="shared" si="268"/>
        <v>0</v>
      </c>
    </row>
    <row r="7870" spans="5:10" ht="15" customHeight="1" thickBot="1" x14ac:dyDescent="0.3">
      <c r="G7870" s="268" t="s">
        <v>4914</v>
      </c>
      <c r="H7870" s="561">
        <f>SUM(H7854:H7869)</f>
        <v>575000</v>
      </c>
      <c r="I7870" s="562">
        <f>SUM(I7855:I7869)</f>
        <v>350000</v>
      </c>
      <c r="J7870" s="562">
        <f>SUM(J7854:J7869)</f>
        <v>925000</v>
      </c>
    </row>
    <row r="7871" spans="5:10" ht="12.75" customHeight="1" x14ac:dyDescent="0.25">
      <c r="E7871" s="489"/>
      <c r="F7871" s="500"/>
      <c r="G7871" s="285" t="s">
        <v>4246</v>
      </c>
      <c r="H7871" s="567"/>
      <c r="I7871" s="585"/>
      <c r="J7871" s="568"/>
    </row>
    <row r="7872" spans="5:10" ht="13.5" customHeight="1" x14ac:dyDescent="0.25">
      <c r="E7872" s="693"/>
      <c r="F7872" s="597" t="s">
        <v>234</v>
      </c>
      <c r="G7872" s="598" t="s">
        <v>235</v>
      </c>
      <c r="H7872" s="559">
        <f>SUM(H7854,H7756)</f>
        <v>3463000</v>
      </c>
      <c r="I7872" s="560"/>
      <c r="J7872" s="560">
        <f t="shared" ref="J7872:J7887" si="269">SUM(H7872:I7872)</f>
        <v>3463000</v>
      </c>
    </row>
    <row r="7873" spans="6:10" hidden="1" x14ac:dyDescent="0.25">
      <c r="F7873" s="597" t="s">
        <v>236</v>
      </c>
      <c r="G7873" s="598" t="s">
        <v>237</v>
      </c>
      <c r="J7873" s="560">
        <f t="shared" si="269"/>
        <v>0</v>
      </c>
    </row>
    <row r="7874" spans="6:10" hidden="1" x14ac:dyDescent="0.25">
      <c r="F7874" s="597" t="s">
        <v>238</v>
      </c>
      <c r="G7874" s="598" t="s">
        <v>239</v>
      </c>
      <c r="J7874" s="560">
        <f t="shared" si="269"/>
        <v>0</v>
      </c>
    </row>
    <row r="7875" spans="6:10" hidden="1" x14ac:dyDescent="0.25">
      <c r="F7875" s="597" t="s">
        <v>240</v>
      </c>
      <c r="G7875" s="598" t="s">
        <v>241</v>
      </c>
      <c r="J7875" s="560">
        <f t="shared" si="269"/>
        <v>0</v>
      </c>
    </row>
    <row r="7876" spans="6:10" hidden="1" x14ac:dyDescent="0.25">
      <c r="F7876" s="597" t="s">
        <v>242</v>
      </c>
      <c r="G7876" s="598" t="s">
        <v>243</v>
      </c>
      <c r="J7876" s="560">
        <f t="shared" si="269"/>
        <v>0</v>
      </c>
    </row>
    <row r="7877" spans="6:10" hidden="1" x14ac:dyDescent="0.25">
      <c r="F7877" s="597" t="s">
        <v>244</v>
      </c>
      <c r="G7877" s="598" t="s">
        <v>245</v>
      </c>
      <c r="J7877" s="560">
        <f t="shared" si="269"/>
        <v>0</v>
      </c>
    </row>
    <row r="7878" spans="6:10" x14ac:dyDescent="0.25">
      <c r="F7878" s="597" t="s">
        <v>246</v>
      </c>
      <c r="G7878" s="598" t="s">
        <v>4996</v>
      </c>
      <c r="I7878" s="556">
        <f>SUM(I7860,I7874)</f>
        <v>300000</v>
      </c>
      <c r="J7878" s="560">
        <f t="shared" si="269"/>
        <v>300000</v>
      </c>
    </row>
    <row r="7879" spans="6:10" ht="15.75" thickBot="1" x14ac:dyDescent="0.3">
      <c r="F7879" s="597" t="s">
        <v>247</v>
      </c>
      <c r="G7879" s="598" t="s">
        <v>4995</v>
      </c>
      <c r="I7879" s="556">
        <f>SUM(I7861)</f>
        <v>50000</v>
      </c>
      <c r="J7879" s="560">
        <f t="shared" si="269"/>
        <v>50000</v>
      </c>
    </row>
    <row r="7880" spans="6:10" hidden="1" x14ac:dyDescent="0.25">
      <c r="F7880" s="597" t="s">
        <v>248</v>
      </c>
      <c r="G7880" s="598" t="s">
        <v>57</v>
      </c>
      <c r="J7880" s="560">
        <f t="shared" si="269"/>
        <v>0</v>
      </c>
    </row>
    <row r="7881" spans="6:10" hidden="1" x14ac:dyDescent="0.25">
      <c r="F7881" s="597" t="s">
        <v>249</v>
      </c>
      <c r="G7881" s="598" t="s">
        <v>250</v>
      </c>
      <c r="J7881" s="560">
        <f t="shared" si="269"/>
        <v>0</v>
      </c>
    </row>
    <row r="7882" spans="6:10" hidden="1" x14ac:dyDescent="0.25">
      <c r="F7882" s="597" t="s">
        <v>251</v>
      </c>
      <c r="G7882" s="598" t="s">
        <v>252</v>
      </c>
      <c r="J7882" s="560">
        <f t="shared" si="269"/>
        <v>0</v>
      </c>
    </row>
    <row r="7883" spans="6:10" ht="30" hidden="1" x14ac:dyDescent="0.25">
      <c r="F7883" s="597" t="s">
        <v>253</v>
      </c>
      <c r="G7883" s="598" t="s">
        <v>254</v>
      </c>
      <c r="J7883" s="560">
        <f t="shared" si="269"/>
        <v>0</v>
      </c>
    </row>
    <row r="7884" spans="6:10" hidden="1" x14ac:dyDescent="0.25">
      <c r="F7884" s="597" t="s">
        <v>255</v>
      </c>
      <c r="G7884" s="598" t="s">
        <v>256</v>
      </c>
      <c r="J7884" s="560">
        <f t="shared" si="269"/>
        <v>0</v>
      </c>
    </row>
    <row r="7885" spans="6:10" ht="30" hidden="1" x14ac:dyDescent="0.25">
      <c r="F7885" s="597" t="s">
        <v>257</v>
      </c>
      <c r="G7885" s="598" t="s">
        <v>258</v>
      </c>
      <c r="J7885" s="560">
        <f t="shared" si="269"/>
        <v>0</v>
      </c>
    </row>
    <row r="7886" spans="6:10" hidden="1" x14ac:dyDescent="0.25">
      <c r="F7886" s="597" t="s">
        <v>259</v>
      </c>
      <c r="G7886" s="598" t="s">
        <v>260</v>
      </c>
      <c r="J7886" s="560">
        <f t="shared" si="269"/>
        <v>0</v>
      </c>
    </row>
    <row r="7887" spans="6:10" ht="15" hidden="1" customHeight="1" thickBot="1" x14ac:dyDescent="0.3">
      <c r="F7887" s="681" t="s">
        <v>240</v>
      </c>
      <c r="G7887" s="598" t="s">
        <v>241</v>
      </c>
      <c r="H7887" s="559"/>
      <c r="I7887" s="560">
        <f>SUM(I7255)</f>
        <v>0</v>
      </c>
      <c r="J7887" s="560">
        <f t="shared" si="269"/>
        <v>0</v>
      </c>
    </row>
    <row r="7888" spans="6:10" ht="15" customHeight="1" thickBot="1" x14ac:dyDescent="0.3">
      <c r="G7888" s="268" t="s">
        <v>4247</v>
      </c>
      <c r="H7888" s="561">
        <f>SUM(H7872:H7887)</f>
        <v>3463000</v>
      </c>
      <c r="I7888" s="562">
        <f>SUM(I7872:I7887)</f>
        <v>350000</v>
      </c>
      <c r="J7888" s="562">
        <f>SUM(J7872:J7887)</f>
        <v>3813000</v>
      </c>
    </row>
    <row r="7889" spans="1:25" hidden="1" x14ac:dyDescent="0.25">
      <c r="G7889" s="312"/>
      <c r="H7889" s="565"/>
      <c r="I7889" s="566"/>
      <c r="J7889" s="566"/>
    </row>
    <row r="7890" spans="1:25" s="88" customFormat="1" ht="12.75" customHeight="1" x14ac:dyDescent="0.25">
      <c r="A7890" s="258"/>
      <c r="B7890" s="288"/>
      <c r="C7890" s="334"/>
      <c r="D7890" s="286"/>
      <c r="E7890" s="876"/>
      <c r="F7890" s="500"/>
      <c r="G7890" s="285" t="s">
        <v>4227</v>
      </c>
      <c r="H7890" s="567"/>
      <c r="I7890" s="585"/>
      <c r="J7890" s="568"/>
      <c r="K7890" s="505"/>
      <c r="L7890" s="505"/>
      <c r="M7890" s="505"/>
      <c r="N7890" s="505"/>
      <c r="O7890" s="505"/>
      <c r="P7890" s="505"/>
      <c r="Q7890" s="505"/>
      <c r="R7890" s="505"/>
      <c r="S7890" s="505"/>
      <c r="T7890" s="505"/>
      <c r="U7890" s="505"/>
      <c r="V7890" s="505"/>
      <c r="W7890" s="505"/>
      <c r="X7890" s="505"/>
      <c r="Y7890" s="505"/>
    </row>
    <row r="7891" spans="1:25" s="88" customFormat="1" ht="13.5" customHeight="1" x14ac:dyDescent="0.25">
      <c r="A7891" s="481"/>
      <c r="B7891" s="288"/>
      <c r="C7891" s="334"/>
      <c r="D7891" s="286"/>
      <c r="E7891" s="876"/>
      <c r="F7891" s="597" t="s">
        <v>234</v>
      </c>
      <c r="G7891" s="598" t="s">
        <v>235</v>
      </c>
      <c r="H7891" s="559">
        <f>SUM(H7872)</f>
        <v>3463000</v>
      </c>
      <c r="I7891" s="560"/>
      <c r="J7891" s="560">
        <f t="shared" ref="J7891:J7906" si="270">SUM(H7891:I7891)</f>
        <v>3463000</v>
      </c>
      <c r="K7891" s="505"/>
      <c r="L7891" s="505"/>
      <c r="M7891" s="505"/>
      <c r="N7891" s="505"/>
      <c r="O7891" s="505"/>
      <c r="P7891" s="505"/>
      <c r="Q7891" s="505"/>
      <c r="R7891" s="505"/>
      <c r="S7891" s="505"/>
      <c r="T7891" s="505"/>
      <c r="U7891" s="505"/>
      <c r="V7891" s="505"/>
      <c r="W7891" s="505"/>
      <c r="X7891" s="505"/>
      <c r="Y7891" s="505"/>
    </row>
    <row r="7892" spans="1:25" s="88" customFormat="1" hidden="1" x14ac:dyDescent="0.25">
      <c r="A7892" s="481"/>
      <c r="B7892" s="288"/>
      <c r="C7892" s="334"/>
      <c r="D7892" s="286"/>
      <c r="E7892" s="876"/>
      <c r="F7892" s="597" t="s">
        <v>236</v>
      </c>
      <c r="G7892" s="598" t="s">
        <v>237</v>
      </c>
      <c r="H7892" s="555"/>
      <c r="I7892" s="556"/>
      <c r="J7892" s="560">
        <f t="shared" si="270"/>
        <v>0</v>
      </c>
      <c r="K7892" s="505"/>
      <c r="L7892" s="505"/>
      <c r="M7892" s="505"/>
      <c r="N7892" s="505"/>
      <c r="O7892" s="505"/>
      <c r="P7892" s="505"/>
      <c r="Q7892" s="505"/>
      <c r="R7892" s="505"/>
      <c r="S7892" s="505"/>
      <c r="T7892" s="505"/>
      <c r="U7892" s="505"/>
      <c r="V7892" s="505"/>
      <c r="W7892" s="505"/>
      <c r="X7892" s="505"/>
      <c r="Y7892" s="505"/>
    </row>
    <row r="7893" spans="1:25" s="88" customFormat="1" hidden="1" x14ac:dyDescent="0.25">
      <c r="A7893" s="481"/>
      <c r="B7893" s="288"/>
      <c r="C7893" s="334"/>
      <c r="D7893" s="286"/>
      <c r="E7893" s="876"/>
      <c r="F7893" s="597" t="s">
        <v>238</v>
      </c>
      <c r="G7893" s="598" t="s">
        <v>239</v>
      </c>
      <c r="H7893" s="555"/>
      <c r="I7893" s="556"/>
      <c r="J7893" s="560">
        <f t="shared" si="270"/>
        <v>0</v>
      </c>
      <c r="K7893" s="505"/>
      <c r="L7893" s="505"/>
      <c r="M7893" s="505"/>
      <c r="N7893" s="505"/>
      <c r="O7893" s="505"/>
      <c r="P7893" s="505"/>
      <c r="Q7893" s="505"/>
      <c r="R7893" s="505"/>
      <c r="S7893" s="505"/>
      <c r="T7893" s="505"/>
      <c r="U7893" s="505"/>
      <c r="V7893" s="505"/>
      <c r="W7893" s="505"/>
      <c r="X7893" s="505"/>
      <c r="Y7893" s="505"/>
    </row>
    <row r="7894" spans="1:25" s="88" customFormat="1" hidden="1" x14ac:dyDescent="0.25">
      <c r="A7894" s="481"/>
      <c r="B7894" s="288"/>
      <c r="C7894" s="334"/>
      <c r="D7894" s="286"/>
      <c r="E7894" s="876"/>
      <c r="F7894" s="597" t="s">
        <v>240</v>
      </c>
      <c r="G7894" s="598" t="s">
        <v>241</v>
      </c>
      <c r="H7894" s="555"/>
      <c r="I7894" s="556"/>
      <c r="J7894" s="560">
        <f t="shared" si="270"/>
        <v>0</v>
      </c>
      <c r="K7894" s="505"/>
      <c r="L7894" s="505"/>
      <c r="M7894" s="505"/>
      <c r="N7894" s="505"/>
      <c r="O7894" s="505"/>
      <c r="P7894" s="505"/>
      <c r="Q7894" s="505"/>
      <c r="R7894" s="505"/>
      <c r="S7894" s="505"/>
      <c r="T7894" s="505"/>
      <c r="U7894" s="505"/>
      <c r="V7894" s="505"/>
      <c r="W7894" s="505"/>
      <c r="X7894" s="505"/>
      <c r="Y7894" s="505"/>
    </row>
    <row r="7895" spans="1:25" s="88" customFormat="1" hidden="1" x14ac:dyDescent="0.25">
      <c r="A7895" s="481"/>
      <c r="B7895" s="288"/>
      <c r="C7895" s="334"/>
      <c r="D7895" s="286"/>
      <c r="E7895" s="876"/>
      <c r="F7895" s="597" t="s">
        <v>242</v>
      </c>
      <c r="G7895" s="598" t="s">
        <v>243</v>
      </c>
      <c r="H7895" s="555"/>
      <c r="I7895" s="556"/>
      <c r="J7895" s="560">
        <f t="shared" si="270"/>
        <v>0</v>
      </c>
      <c r="K7895" s="505"/>
      <c r="L7895" s="505"/>
      <c r="M7895" s="505"/>
      <c r="N7895" s="505"/>
      <c r="O7895" s="505"/>
      <c r="P7895" s="505"/>
      <c r="Q7895" s="505"/>
      <c r="R7895" s="505"/>
      <c r="S7895" s="505"/>
      <c r="T7895" s="505"/>
      <c r="U7895" s="505"/>
      <c r="V7895" s="505"/>
      <c r="W7895" s="505"/>
      <c r="X7895" s="505"/>
      <c r="Y7895" s="505"/>
    </row>
    <row r="7896" spans="1:25" s="88" customFormat="1" hidden="1" x14ac:dyDescent="0.25">
      <c r="A7896" s="481"/>
      <c r="B7896" s="288"/>
      <c r="C7896" s="334"/>
      <c r="D7896" s="286"/>
      <c r="E7896" s="876"/>
      <c r="F7896" s="597" t="s">
        <v>244</v>
      </c>
      <c r="G7896" s="598" t="s">
        <v>245</v>
      </c>
      <c r="H7896" s="555"/>
      <c r="I7896" s="556"/>
      <c r="J7896" s="560">
        <f t="shared" si="270"/>
        <v>0</v>
      </c>
      <c r="K7896" s="505"/>
      <c r="L7896" s="505"/>
      <c r="M7896" s="505"/>
      <c r="N7896" s="505"/>
      <c r="O7896" s="505"/>
      <c r="P7896" s="505"/>
      <c r="Q7896" s="505"/>
      <c r="R7896" s="505"/>
      <c r="S7896" s="505"/>
      <c r="T7896" s="505"/>
      <c r="U7896" s="505"/>
      <c r="V7896" s="505"/>
      <c r="W7896" s="505"/>
      <c r="X7896" s="505"/>
      <c r="Y7896" s="505"/>
    </row>
    <row r="7897" spans="1:25" s="88" customFormat="1" x14ac:dyDescent="0.25">
      <c r="A7897" s="481"/>
      <c r="B7897" s="288"/>
      <c r="C7897" s="334"/>
      <c r="D7897" s="286"/>
      <c r="E7897" s="876"/>
      <c r="F7897" s="597" t="s">
        <v>246</v>
      </c>
      <c r="G7897" s="598" t="s">
        <v>4996</v>
      </c>
      <c r="H7897" s="555"/>
      <c r="I7897" s="556">
        <v>300000</v>
      </c>
      <c r="J7897" s="560">
        <f t="shared" si="270"/>
        <v>300000</v>
      </c>
      <c r="K7897" s="505"/>
      <c r="L7897" s="505"/>
      <c r="M7897" s="505"/>
      <c r="N7897" s="505"/>
      <c r="O7897" s="505"/>
      <c r="P7897" s="505"/>
      <c r="Q7897" s="505"/>
      <c r="R7897" s="505"/>
      <c r="S7897" s="505"/>
      <c r="T7897" s="505"/>
      <c r="U7897" s="505"/>
      <c r="V7897" s="505"/>
      <c r="W7897" s="505"/>
      <c r="X7897" s="505"/>
      <c r="Y7897" s="505"/>
    </row>
    <row r="7898" spans="1:25" s="88" customFormat="1" ht="15.75" thickBot="1" x14ac:dyDescent="0.3">
      <c r="A7898" s="481"/>
      <c r="B7898" s="288"/>
      <c r="C7898" s="334"/>
      <c r="D7898" s="286"/>
      <c r="E7898" s="876"/>
      <c r="F7898" s="597" t="s">
        <v>247</v>
      </c>
      <c r="G7898" s="598" t="s">
        <v>4995</v>
      </c>
      <c r="H7898" s="555"/>
      <c r="I7898" s="556">
        <v>50000</v>
      </c>
      <c r="J7898" s="560">
        <f t="shared" si="270"/>
        <v>50000</v>
      </c>
      <c r="K7898" s="505"/>
      <c r="L7898" s="505"/>
      <c r="M7898" s="505"/>
      <c r="N7898" s="505"/>
      <c r="O7898" s="505"/>
      <c r="P7898" s="505"/>
      <c r="Q7898" s="505"/>
      <c r="R7898" s="505"/>
      <c r="S7898" s="505"/>
      <c r="T7898" s="505"/>
      <c r="U7898" s="505"/>
      <c r="V7898" s="505"/>
      <c r="W7898" s="505"/>
      <c r="X7898" s="505"/>
      <c r="Y7898" s="505"/>
    </row>
    <row r="7899" spans="1:25" s="88" customFormat="1" hidden="1" x14ac:dyDescent="0.25">
      <c r="A7899" s="481"/>
      <c r="B7899" s="288"/>
      <c r="C7899" s="334"/>
      <c r="D7899" s="286"/>
      <c r="E7899" s="876"/>
      <c r="F7899" s="597" t="s">
        <v>248</v>
      </c>
      <c r="G7899" s="598" t="s">
        <v>57</v>
      </c>
      <c r="H7899" s="555"/>
      <c r="I7899" s="556"/>
      <c r="J7899" s="560">
        <f t="shared" si="270"/>
        <v>0</v>
      </c>
      <c r="K7899" s="505"/>
      <c r="L7899" s="505"/>
      <c r="M7899" s="505"/>
      <c r="N7899" s="505"/>
      <c r="O7899" s="505"/>
      <c r="P7899" s="505"/>
      <c r="Q7899" s="505"/>
      <c r="R7899" s="505"/>
      <c r="S7899" s="505"/>
      <c r="T7899" s="505"/>
      <c r="U7899" s="505"/>
      <c r="V7899" s="505"/>
      <c r="W7899" s="505"/>
      <c r="X7899" s="505"/>
      <c r="Y7899" s="505"/>
    </row>
    <row r="7900" spans="1:25" s="88" customFormat="1" hidden="1" x14ac:dyDescent="0.25">
      <c r="A7900" s="481"/>
      <c r="B7900" s="288"/>
      <c r="C7900" s="334"/>
      <c r="D7900" s="286"/>
      <c r="E7900" s="876"/>
      <c r="F7900" s="597" t="s">
        <v>249</v>
      </c>
      <c r="G7900" s="598" t="s">
        <v>250</v>
      </c>
      <c r="H7900" s="555"/>
      <c r="I7900" s="556"/>
      <c r="J7900" s="560">
        <f t="shared" si="270"/>
        <v>0</v>
      </c>
      <c r="K7900" s="505"/>
      <c r="L7900" s="505"/>
      <c r="M7900" s="505"/>
      <c r="N7900" s="505"/>
      <c r="O7900" s="505"/>
      <c r="P7900" s="505"/>
      <c r="Q7900" s="505"/>
      <c r="R7900" s="505"/>
      <c r="S7900" s="505"/>
      <c r="T7900" s="505"/>
      <c r="U7900" s="505"/>
      <c r="V7900" s="505"/>
      <c r="W7900" s="505"/>
      <c r="X7900" s="505"/>
      <c r="Y7900" s="505"/>
    </row>
    <row r="7901" spans="1:25" s="88" customFormat="1" hidden="1" x14ac:dyDescent="0.25">
      <c r="A7901" s="481"/>
      <c r="B7901" s="288"/>
      <c r="C7901" s="334"/>
      <c r="D7901" s="286"/>
      <c r="E7901" s="876"/>
      <c r="F7901" s="597" t="s">
        <v>251</v>
      </c>
      <c r="G7901" s="598" t="s">
        <v>252</v>
      </c>
      <c r="H7901" s="555"/>
      <c r="I7901" s="556"/>
      <c r="J7901" s="560">
        <f t="shared" si="270"/>
        <v>0</v>
      </c>
      <c r="K7901" s="505"/>
      <c r="L7901" s="505"/>
      <c r="M7901" s="505"/>
      <c r="N7901" s="505"/>
      <c r="O7901" s="505"/>
      <c r="P7901" s="505"/>
      <c r="Q7901" s="505"/>
      <c r="R7901" s="505"/>
      <c r="S7901" s="505"/>
      <c r="T7901" s="505"/>
      <c r="U7901" s="505"/>
      <c r="V7901" s="505"/>
      <c r="W7901" s="505"/>
      <c r="X7901" s="505"/>
      <c r="Y7901" s="505"/>
    </row>
    <row r="7902" spans="1:25" s="88" customFormat="1" ht="30" hidden="1" x14ac:dyDescent="0.25">
      <c r="A7902" s="481"/>
      <c r="B7902" s="288"/>
      <c r="C7902" s="334"/>
      <c r="D7902" s="286"/>
      <c r="E7902" s="876"/>
      <c r="F7902" s="597" t="s">
        <v>253</v>
      </c>
      <c r="G7902" s="598" t="s">
        <v>254</v>
      </c>
      <c r="H7902" s="555"/>
      <c r="I7902" s="556"/>
      <c r="J7902" s="560">
        <f t="shared" si="270"/>
        <v>0</v>
      </c>
      <c r="K7902" s="505"/>
      <c r="L7902" s="505"/>
      <c r="M7902" s="505"/>
      <c r="N7902" s="505"/>
      <c r="O7902" s="505"/>
      <c r="P7902" s="505"/>
      <c r="Q7902" s="505"/>
      <c r="R7902" s="505"/>
      <c r="S7902" s="505"/>
      <c r="T7902" s="505"/>
      <c r="U7902" s="505"/>
      <c r="V7902" s="505"/>
      <c r="W7902" s="505"/>
      <c r="X7902" s="505"/>
      <c r="Y7902" s="505"/>
    </row>
    <row r="7903" spans="1:25" s="88" customFormat="1" hidden="1" x14ac:dyDescent="0.25">
      <c r="A7903" s="481"/>
      <c r="B7903" s="288"/>
      <c r="C7903" s="334"/>
      <c r="D7903" s="286"/>
      <c r="E7903" s="876"/>
      <c r="F7903" s="597" t="s">
        <v>255</v>
      </c>
      <c r="G7903" s="598" t="s">
        <v>256</v>
      </c>
      <c r="H7903" s="555"/>
      <c r="I7903" s="556"/>
      <c r="J7903" s="560">
        <f t="shared" si="270"/>
        <v>0</v>
      </c>
      <c r="K7903" s="505"/>
      <c r="L7903" s="505"/>
      <c r="M7903" s="505"/>
      <c r="N7903" s="505"/>
      <c r="O7903" s="505"/>
      <c r="P7903" s="505"/>
      <c r="Q7903" s="505"/>
      <c r="R7903" s="505"/>
      <c r="S7903" s="505"/>
      <c r="T7903" s="505"/>
      <c r="U7903" s="505"/>
      <c r="V7903" s="505"/>
      <c r="W7903" s="505"/>
      <c r="X7903" s="505"/>
      <c r="Y7903" s="505"/>
    </row>
    <row r="7904" spans="1:25" s="88" customFormat="1" ht="30" hidden="1" x14ac:dyDescent="0.25">
      <c r="A7904" s="481"/>
      <c r="B7904" s="288"/>
      <c r="C7904" s="334"/>
      <c r="D7904" s="286"/>
      <c r="E7904" s="876"/>
      <c r="F7904" s="597" t="s">
        <v>257</v>
      </c>
      <c r="G7904" s="598" t="s">
        <v>258</v>
      </c>
      <c r="H7904" s="555"/>
      <c r="I7904" s="556"/>
      <c r="J7904" s="560">
        <f t="shared" si="270"/>
        <v>0</v>
      </c>
      <c r="K7904" s="505"/>
      <c r="L7904" s="505"/>
      <c r="M7904" s="505"/>
      <c r="N7904" s="505"/>
      <c r="O7904" s="505"/>
      <c r="P7904" s="505"/>
      <c r="Q7904" s="505"/>
      <c r="R7904" s="505"/>
      <c r="S7904" s="505"/>
      <c r="T7904" s="505"/>
      <c r="U7904" s="505"/>
      <c r="V7904" s="505"/>
      <c r="W7904" s="505"/>
      <c r="X7904" s="505"/>
      <c r="Y7904" s="505"/>
    </row>
    <row r="7905" spans="1:25" s="88" customFormat="1" hidden="1" x14ac:dyDescent="0.25">
      <c r="A7905" s="481"/>
      <c r="B7905" s="288"/>
      <c r="C7905" s="334"/>
      <c r="D7905" s="286"/>
      <c r="E7905" s="876"/>
      <c r="F7905" s="597" t="s">
        <v>259</v>
      </c>
      <c r="G7905" s="598" t="s">
        <v>260</v>
      </c>
      <c r="H7905" s="555"/>
      <c r="I7905" s="556"/>
      <c r="J7905" s="560">
        <f t="shared" si="270"/>
        <v>0</v>
      </c>
      <c r="K7905" s="505"/>
      <c r="L7905" s="505"/>
      <c r="M7905" s="505"/>
      <c r="N7905" s="505"/>
      <c r="O7905" s="505"/>
      <c r="P7905" s="505"/>
      <c r="Q7905" s="505"/>
      <c r="R7905" s="505"/>
      <c r="S7905" s="505"/>
      <c r="T7905" s="505"/>
      <c r="U7905" s="505"/>
      <c r="V7905" s="505"/>
      <c r="W7905" s="505"/>
      <c r="X7905" s="505"/>
      <c r="Y7905" s="505"/>
    </row>
    <row r="7906" spans="1:25" s="88" customFormat="1" ht="15" hidden="1" customHeight="1" thickBot="1" x14ac:dyDescent="0.3">
      <c r="A7906" s="481"/>
      <c r="B7906" s="288"/>
      <c r="C7906" s="334"/>
      <c r="D7906" s="286"/>
      <c r="E7906" s="876"/>
      <c r="F7906" s="681" t="s">
        <v>240</v>
      </c>
      <c r="G7906" s="598" t="s">
        <v>241</v>
      </c>
      <c r="H7906" s="559"/>
      <c r="I7906" s="560">
        <v>0</v>
      </c>
      <c r="J7906" s="560">
        <f t="shared" si="270"/>
        <v>0</v>
      </c>
      <c r="K7906" s="505"/>
      <c r="L7906" s="505"/>
      <c r="M7906" s="505"/>
      <c r="N7906" s="505"/>
      <c r="O7906" s="505"/>
      <c r="P7906" s="505"/>
      <c r="Q7906" s="505"/>
      <c r="R7906" s="505"/>
      <c r="S7906" s="505"/>
      <c r="T7906" s="505"/>
      <c r="U7906" s="505"/>
      <c r="V7906" s="505"/>
      <c r="W7906" s="505"/>
      <c r="X7906" s="505"/>
      <c r="Y7906" s="505"/>
    </row>
    <row r="7907" spans="1:25" s="88" customFormat="1" ht="13.5" customHeight="1" thickBot="1" x14ac:dyDescent="0.3">
      <c r="A7907" s="481"/>
      <c r="B7907" s="288"/>
      <c r="C7907" s="334"/>
      <c r="D7907" s="286"/>
      <c r="E7907" s="876"/>
      <c r="F7907" s="258"/>
      <c r="G7907" s="268" t="s">
        <v>4228</v>
      </c>
      <c r="H7907" s="561">
        <f>SUM(H7891:H7906)</f>
        <v>3463000</v>
      </c>
      <c r="I7907" s="562">
        <f>SUM(I7891:I7906)</f>
        <v>350000</v>
      </c>
      <c r="J7907" s="562">
        <f>SUM(J7891:J7906)</f>
        <v>3813000</v>
      </c>
      <c r="K7907" s="505"/>
      <c r="L7907" s="505"/>
      <c r="M7907" s="505"/>
      <c r="N7907" s="505"/>
      <c r="O7907" s="505"/>
      <c r="P7907" s="505"/>
      <c r="Q7907" s="505"/>
      <c r="R7907" s="505"/>
      <c r="S7907" s="505"/>
      <c r="T7907" s="505"/>
      <c r="U7907" s="505"/>
      <c r="V7907" s="505"/>
      <c r="W7907" s="505"/>
      <c r="X7907" s="505"/>
      <c r="Y7907" s="505"/>
    </row>
    <row r="7908" spans="1:25" s="839" customFormat="1" ht="13.5" customHeight="1" x14ac:dyDescent="0.25">
      <c r="A7908" s="842"/>
      <c r="B7908" s="841">
        <v>5</v>
      </c>
      <c r="C7908" s="852"/>
      <c r="D7908" s="842"/>
      <c r="E7908" s="882"/>
      <c r="F7908" s="842"/>
      <c r="G7908" s="853" t="s">
        <v>5343</v>
      </c>
      <c r="H7908" s="843"/>
      <c r="I7908" s="836"/>
      <c r="J7908" s="836"/>
      <c r="K7908" s="838"/>
      <c r="L7908" s="838"/>
      <c r="M7908" s="838"/>
      <c r="N7908" s="838"/>
      <c r="O7908" s="838"/>
      <c r="P7908" s="838"/>
      <c r="Q7908" s="838"/>
      <c r="R7908" s="838"/>
      <c r="S7908" s="838"/>
      <c r="T7908" s="838"/>
      <c r="U7908" s="838"/>
      <c r="V7908" s="838"/>
      <c r="W7908" s="838"/>
      <c r="X7908" s="838"/>
      <c r="Y7908" s="838"/>
    </row>
    <row r="7909" spans="1:25" s="792" customFormat="1" ht="14.25" customHeight="1" x14ac:dyDescent="0.25">
      <c r="A7909" s="744"/>
      <c r="B7909" s="745"/>
      <c r="C7909" s="793" t="s">
        <v>3578</v>
      </c>
      <c r="D7909" s="745"/>
      <c r="E7909" s="888"/>
      <c r="F7909" s="745"/>
      <c r="G7909" s="794" t="s">
        <v>5164</v>
      </c>
      <c r="H7909" s="746"/>
      <c r="I7909" s="742"/>
      <c r="J7909" s="742"/>
      <c r="K7909" s="785"/>
      <c r="L7909" s="785"/>
      <c r="M7909" s="785"/>
      <c r="N7909" s="785"/>
      <c r="O7909" s="785"/>
      <c r="P7909" s="785"/>
      <c r="Q7909" s="785"/>
      <c r="R7909" s="785"/>
      <c r="S7909" s="785"/>
      <c r="T7909" s="785"/>
      <c r="U7909" s="785"/>
      <c r="V7909" s="785"/>
      <c r="W7909" s="785"/>
      <c r="X7909" s="785"/>
      <c r="Y7909" s="785"/>
    </row>
    <row r="7910" spans="1:25" ht="13.5" customHeight="1" x14ac:dyDescent="0.25">
      <c r="C7910" s="267" t="s">
        <v>4277</v>
      </c>
      <c r="D7910" s="259"/>
      <c r="G7910" s="490" t="s">
        <v>4278</v>
      </c>
    </row>
    <row r="7911" spans="1:25" ht="12.75" customHeight="1" x14ac:dyDescent="0.25">
      <c r="C7911" s="267"/>
      <c r="D7911" s="331">
        <v>911</v>
      </c>
      <c r="E7911" s="869"/>
      <c r="F7911" s="331"/>
      <c r="G7911" s="332" t="s">
        <v>214</v>
      </c>
    </row>
    <row r="7912" spans="1:25" ht="36.75" customHeight="1" x14ac:dyDescent="0.25">
      <c r="E7912" s="679" t="s">
        <v>5387</v>
      </c>
      <c r="F7912" s="499">
        <v>411</v>
      </c>
      <c r="G7912" s="492" t="s">
        <v>4131</v>
      </c>
      <c r="H7912" s="555">
        <v>7980000</v>
      </c>
      <c r="I7912" s="556">
        <v>3840000</v>
      </c>
      <c r="J7912" s="556">
        <f>SUM(H7912:I7912)</f>
        <v>11820000</v>
      </c>
    </row>
    <row r="7913" spans="1:25" ht="29.25" customHeight="1" x14ac:dyDescent="0.25">
      <c r="E7913" s="679" t="s">
        <v>5388</v>
      </c>
      <c r="F7913" s="499">
        <v>412</v>
      </c>
      <c r="G7913" s="488" t="s">
        <v>3766</v>
      </c>
      <c r="H7913" s="555">
        <v>1428000</v>
      </c>
      <c r="I7913" s="556">
        <v>685000</v>
      </c>
      <c r="J7913" s="556">
        <f t="shared" ref="J7913:J7916" si="271">SUM(H7913:I7913)</f>
        <v>2113000</v>
      </c>
    </row>
    <row r="7914" spans="1:25" ht="13.5" customHeight="1" x14ac:dyDescent="0.25">
      <c r="E7914" s="679">
        <v>254</v>
      </c>
      <c r="F7914" s="499">
        <v>413</v>
      </c>
      <c r="G7914" s="492" t="s">
        <v>4132</v>
      </c>
      <c r="H7914" s="555">
        <v>150000</v>
      </c>
      <c r="J7914" s="556">
        <f t="shared" si="271"/>
        <v>150000</v>
      </c>
    </row>
    <row r="7915" spans="1:25" ht="13.5" customHeight="1" x14ac:dyDescent="0.25">
      <c r="E7915" s="679">
        <v>255</v>
      </c>
      <c r="F7915" s="499">
        <v>414</v>
      </c>
      <c r="G7915" s="492" t="s">
        <v>3769</v>
      </c>
      <c r="H7915" s="555">
        <v>100000</v>
      </c>
      <c r="I7915" s="556">
        <v>0</v>
      </c>
      <c r="J7915" s="556">
        <f t="shared" si="271"/>
        <v>100000</v>
      </c>
    </row>
    <row r="7916" spans="1:25" ht="14.25" customHeight="1" x14ac:dyDescent="0.25">
      <c r="E7916" s="679">
        <v>256</v>
      </c>
      <c r="F7916" s="499">
        <v>415</v>
      </c>
      <c r="G7916" s="492" t="s">
        <v>4141</v>
      </c>
      <c r="H7916" s="555">
        <v>1000000</v>
      </c>
      <c r="I7916" s="556">
        <v>0</v>
      </c>
      <c r="J7916" s="556">
        <f t="shared" si="271"/>
        <v>1000000</v>
      </c>
    </row>
    <row r="7917" spans="1:25" x14ac:dyDescent="0.25">
      <c r="E7917" s="679">
        <v>257</v>
      </c>
      <c r="F7917" s="499">
        <v>416</v>
      </c>
      <c r="G7917" s="492" t="s">
        <v>4142</v>
      </c>
      <c r="H7917" s="555">
        <v>300000</v>
      </c>
      <c r="J7917" s="556">
        <f t="shared" ref="J7917:J7971" si="272">SUM(H7917:I7917)</f>
        <v>300000</v>
      </c>
    </row>
    <row r="7918" spans="1:25" hidden="1" x14ac:dyDescent="0.25">
      <c r="F7918" s="499">
        <v>417</v>
      </c>
      <c r="G7918" s="492" t="s">
        <v>4143</v>
      </c>
      <c r="J7918" s="556">
        <f t="shared" si="272"/>
        <v>0</v>
      </c>
    </row>
    <row r="7919" spans="1:25" hidden="1" x14ac:dyDescent="0.25">
      <c r="F7919" s="499">
        <v>418</v>
      </c>
      <c r="G7919" s="492" t="s">
        <v>3775</v>
      </c>
      <c r="J7919" s="556">
        <f t="shared" si="272"/>
        <v>0</v>
      </c>
    </row>
    <row r="7920" spans="1:25" ht="27" customHeight="1" x14ac:dyDescent="0.25">
      <c r="E7920" s="679" t="s">
        <v>5389</v>
      </c>
      <c r="F7920" s="499">
        <v>421</v>
      </c>
      <c r="G7920" s="492" t="s">
        <v>3779</v>
      </c>
      <c r="H7920" s="555">
        <v>2300000</v>
      </c>
      <c r="I7920" s="556">
        <v>20000</v>
      </c>
      <c r="J7920" s="556">
        <f t="shared" si="272"/>
        <v>2320000</v>
      </c>
    </row>
    <row r="7921" spans="5:12" ht="12.75" customHeight="1" x14ac:dyDescent="0.25">
      <c r="E7921" s="679">
        <v>260</v>
      </c>
      <c r="F7921" s="499">
        <v>422</v>
      </c>
      <c r="G7921" s="492" t="s">
        <v>3780</v>
      </c>
      <c r="H7921" s="555">
        <v>600000</v>
      </c>
      <c r="I7921" s="556">
        <v>0</v>
      </c>
      <c r="J7921" s="556">
        <f t="shared" si="272"/>
        <v>600000</v>
      </c>
    </row>
    <row r="7922" spans="5:12" ht="27" customHeight="1" x14ac:dyDescent="0.25">
      <c r="E7922" s="679" t="s">
        <v>5390</v>
      </c>
      <c r="F7922" s="499">
        <v>423</v>
      </c>
      <c r="G7922" s="492" t="s">
        <v>3781</v>
      </c>
      <c r="H7922" s="555">
        <v>1800000</v>
      </c>
      <c r="I7922" s="556">
        <v>600000</v>
      </c>
      <c r="J7922" s="556">
        <f t="shared" si="272"/>
        <v>2400000</v>
      </c>
    </row>
    <row r="7923" spans="5:12" x14ac:dyDescent="0.25">
      <c r="E7923" s="679">
        <v>263</v>
      </c>
      <c r="F7923" s="499">
        <v>424</v>
      </c>
      <c r="G7923" s="492" t="s">
        <v>3783</v>
      </c>
      <c r="H7923" s="555">
        <v>200000</v>
      </c>
      <c r="I7923" s="556">
        <v>0</v>
      </c>
      <c r="J7923" s="556">
        <f t="shared" si="272"/>
        <v>200000</v>
      </c>
      <c r="L7923" s="685"/>
    </row>
    <row r="7924" spans="5:12" ht="28.5" customHeight="1" x14ac:dyDescent="0.25">
      <c r="E7924" s="679" t="s">
        <v>5391</v>
      </c>
      <c r="F7924" s="499">
        <v>425</v>
      </c>
      <c r="G7924" s="735" t="s">
        <v>4144</v>
      </c>
      <c r="H7924" s="555">
        <v>600000</v>
      </c>
      <c r="I7924" s="556">
        <v>86000</v>
      </c>
      <c r="J7924" s="556">
        <f t="shared" si="272"/>
        <v>686000</v>
      </c>
    </row>
    <row r="7925" spans="5:12" ht="48.75" customHeight="1" x14ac:dyDescent="0.25">
      <c r="E7925" s="679" t="s">
        <v>5392</v>
      </c>
      <c r="F7925" s="499">
        <v>426</v>
      </c>
      <c r="G7925" s="492" t="s">
        <v>3787</v>
      </c>
      <c r="H7925" s="555">
        <v>1100000</v>
      </c>
      <c r="I7925" s="556">
        <v>1950000</v>
      </c>
      <c r="J7925" s="556">
        <f t="shared" si="272"/>
        <v>3050000</v>
      </c>
      <c r="L7925" s="685"/>
    </row>
    <row r="7926" spans="5:12" ht="18" hidden="1" customHeight="1" x14ac:dyDescent="0.25">
      <c r="F7926" s="499">
        <v>431</v>
      </c>
      <c r="G7926" s="492" t="s">
        <v>4145</v>
      </c>
      <c r="J7926" s="556">
        <f t="shared" si="272"/>
        <v>0</v>
      </c>
    </row>
    <row r="7927" spans="5:12" hidden="1" x14ac:dyDescent="0.25">
      <c r="F7927" s="499">
        <v>432</v>
      </c>
      <c r="G7927" s="492" t="s">
        <v>4146</v>
      </c>
      <c r="J7927" s="556">
        <f t="shared" si="272"/>
        <v>0</v>
      </c>
    </row>
    <row r="7928" spans="5:12" hidden="1" x14ac:dyDescent="0.25">
      <c r="F7928" s="499">
        <v>433</v>
      </c>
      <c r="G7928" s="492" t="s">
        <v>4147</v>
      </c>
      <c r="J7928" s="556">
        <f t="shared" si="272"/>
        <v>0</v>
      </c>
    </row>
    <row r="7929" spans="5:12" hidden="1" x14ac:dyDescent="0.25">
      <c r="F7929" s="499">
        <v>434</v>
      </c>
      <c r="G7929" s="492" t="s">
        <v>4148</v>
      </c>
      <c r="J7929" s="556">
        <f t="shared" si="272"/>
        <v>0</v>
      </c>
    </row>
    <row r="7930" spans="5:12" hidden="1" x14ac:dyDescent="0.25">
      <c r="F7930" s="499">
        <v>435</v>
      </c>
      <c r="G7930" s="492" t="s">
        <v>3794</v>
      </c>
      <c r="J7930" s="556">
        <f t="shared" si="272"/>
        <v>0</v>
      </c>
    </row>
    <row r="7931" spans="5:12" hidden="1" x14ac:dyDescent="0.25">
      <c r="F7931" s="499">
        <v>441</v>
      </c>
      <c r="G7931" s="492" t="s">
        <v>4149</v>
      </c>
      <c r="J7931" s="556">
        <f t="shared" si="272"/>
        <v>0</v>
      </c>
    </row>
    <row r="7932" spans="5:12" hidden="1" x14ac:dyDescent="0.25">
      <c r="F7932" s="499">
        <v>442</v>
      </c>
      <c r="G7932" s="492" t="s">
        <v>4150</v>
      </c>
      <c r="J7932" s="556">
        <f t="shared" si="272"/>
        <v>0</v>
      </c>
    </row>
    <row r="7933" spans="5:12" hidden="1" x14ac:dyDescent="0.25">
      <c r="F7933" s="499">
        <v>443</v>
      </c>
      <c r="G7933" s="492" t="s">
        <v>3799</v>
      </c>
      <c r="J7933" s="556">
        <f t="shared" si="272"/>
        <v>0</v>
      </c>
    </row>
    <row r="7934" spans="5:12" hidden="1" x14ac:dyDescent="0.25">
      <c r="F7934" s="499">
        <v>444</v>
      </c>
      <c r="G7934" s="492" t="s">
        <v>3800</v>
      </c>
      <c r="J7934" s="556">
        <f t="shared" si="272"/>
        <v>0</v>
      </c>
    </row>
    <row r="7935" spans="5:12" ht="30" hidden="1" x14ac:dyDescent="0.25">
      <c r="F7935" s="499">
        <v>4511</v>
      </c>
      <c r="G7935" s="791" t="s">
        <v>1690</v>
      </c>
      <c r="J7935" s="556">
        <f t="shared" si="272"/>
        <v>0</v>
      </c>
    </row>
    <row r="7936" spans="5:12" ht="19.5" hidden="1" customHeight="1" x14ac:dyDescent="0.25">
      <c r="F7936" s="499">
        <v>4512</v>
      </c>
      <c r="G7936" s="791" t="s">
        <v>1699</v>
      </c>
      <c r="J7936" s="556">
        <f t="shared" si="272"/>
        <v>0</v>
      </c>
    </row>
    <row r="7937" spans="5:13" hidden="1" x14ac:dyDescent="0.25">
      <c r="F7937" s="499">
        <v>452</v>
      </c>
      <c r="G7937" s="492" t="s">
        <v>4151</v>
      </c>
      <c r="J7937" s="556">
        <f t="shared" si="272"/>
        <v>0</v>
      </c>
    </row>
    <row r="7938" spans="5:13" hidden="1" x14ac:dyDescent="0.25">
      <c r="F7938" s="499">
        <v>453</v>
      </c>
      <c r="G7938" s="492" t="s">
        <v>4152</v>
      </c>
      <c r="J7938" s="556">
        <f t="shared" si="272"/>
        <v>0</v>
      </c>
    </row>
    <row r="7939" spans="5:13" hidden="1" x14ac:dyDescent="0.25">
      <c r="F7939" s="499">
        <v>454</v>
      </c>
      <c r="G7939" s="492" t="s">
        <v>3805</v>
      </c>
      <c r="J7939" s="556">
        <f t="shared" si="272"/>
        <v>0</v>
      </c>
    </row>
    <row r="7940" spans="5:13" hidden="1" x14ac:dyDescent="0.25">
      <c r="F7940" s="499">
        <v>461</v>
      </c>
      <c r="G7940" s="492" t="s">
        <v>4133</v>
      </c>
      <c r="J7940" s="556">
        <f t="shared" si="272"/>
        <v>0</v>
      </c>
    </row>
    <row r="7941" spans="5:13" hidden="1" x14ac:dyDescent="0.25">
      <c r="F7941" s="499">
        <v>462</v>
      </c>
      <c r="G7941" s="492" t="s">
        <v>3808</v>
      </c>
      <c r="J7941" s="556">
        <f t="shared" si="272"/>
        <v>0</v>
      </c>
    </row>
    <row r="7942" spans="5:13" hidden="1" x14ac:dyDescent="0.25">
      <c r="F7942" s="499">
        <v>4631</v>
      </c>
      <c r="G7942" s="492" t="s">
        <v>3809</v>
      </c>
      <c r="J7942" s="556">
        <f t="shared" si="272"/>
        <v>0</v>
      </c>
    </row>
    <row r="7943" spans="5:13" hidden="1" x14ac:dyDescent="0.25">
      <c r="F7943" s="499">
        <v>4632</v>
      </c>
      <c r="G7943" s="492" t="s">
        <v>3810</v>
      </c>
      <c r="J7943" s="556">
        <f t="shared" si="272"/>
        <v>0</v>
      </c>
    </row>
    <row r="7944" spans="5:13" hidden="1" x14ac:dyDescent="0.25">
      <c r="F7944" s="499">
        <v>464</v>
      </c>
      <c r="G7944" s="492" t="s">
        <v>3811</v>
      </c>
      <c r="J7944" s="556">
        <f t="shared" si="272"/>
        <v>0</v>
      </c>
    </row>
    <row r="7945" spans="5:13" x14ac:dyDescent="0.25">
      <c r="E7945" s="679">
        <v>269</v>
      </c>
      <c r="F7945" s="499">
        <v>465</v>
      </c>
      <c r="G7945" s="492" t="s">
        <v>4134</v>
      </c>
      <c r="H7945" s="555">
        <v>950000</v>
      </c>
      <c r="J7945" s="556">
        <f t="shared" si="272"/>
        <v>950000</v>
      </c>
    </row>
    <row r="7946" spans="5:13" x14ac:dyDescent="0.25">
      <c r="E7946" s="679">
        <v>270</v>
      </c>
      <c r="F7946" s="499">
        <v>472</v>
      </c>
      <c r="G7946" s="492" t="s">
        <v>3815</v>
      </c>
      <c r="H7946" s="555">
        <v>50000</v>
      </c>
      <c r="I7946" s="556">
        <v>150000</v>
      </c>
      <c r="J7946" s="556">
        <f t="shared" si="272"/>
        <v>200000</v>
      </c>
    </row>
    <row r="7947" spans="5:13" hidden="1" x14ac:dyDescent="0.25">
      <c r="F7947" s="499">
        <v>481</v>
      </c>
      <c r="G7947" s="492" t="s">
        <v>4153</v>
      </c>
      <c r="J7947" s="556">
        <f t="shared" si="272"/>
        <v>0</v>
      </c>
    </row>
    <row r="7948" spans="5:13" x14ac:dyDescent="0.25">
      <c r="E7948" s="679">
        <v>271</v>
      </c>
      <c r="F7948" s="499">
        <v>482</v>
      </c>
      <c r="G7948" s="492" t="s">
        <v>4154</v>
      </c>
      <c r="H7948" s="555">
        <v>100000</v>
      </c>
      <c r="I7948" s="556">
        <v>0</v>
      </c>
      <c r="J7948" s="556">
        <f t="shared" si="272"/>
        <v>100000</v>
      </c>
      <c r="M7948" s="685"/>
    </row>
    <row r="7949" spans="5:13" hidden="1" x14ac:dyDescent="0.25">
      <c r="E7949" s="679">
        <v>124</v>
      </c>
      <c r="F7949" s="499">
        <v>483</v>
      </c>
      <c r="G7949" s="496" t="s">
        <v>4155</v>
      </c>
      <c r="H7949" s="555">
        <v>0</v>
      </c>
      <c r="I7949" s="556">
        <v>0</v>
      </c>
      <c r="J7949" s="556">
        <f t="shared" si="272"/>
        <v>0</v>
      </c>
    </row>
    <row r="7950" spans="5:13" ht="30" hidden="1" x14ac:dyDescent="0.25">
      <c r="F7950" s="499">
        <v>484</v>
      </c>
      <c r="G7950" s="492" t="s">
        <v>4156</v>
      </c>
      <c r="J7950" s="556">
        <f t="shared" si="272"/>
        <v>0</v>
      </c>
    </row>
    <row r="7951" spans="5:13" ht="30" hidden="1" x14ac:dyDescent="0.25">
      <c r="F7951" s="499">
        <v>485</v>
      </c>
      <c r="G7951" s="492" t="s">
        <v>4157</v>
      </c>
      <c r="J7951" s="556">
        <f t="shared" si="272"/>
        <v>0</v>
      </c>
    </row>
    <row r="7952" spans="5:13" ht="30" hidden="1" x14ac:dyDescent="0.25">
      <c r="F7952" s="499">
        <v>489</v>
      </c>
      <c r="G7952" s="492" t="s">
        <v>3823</v>
      </c>
      <c r="J7952" s="556">
        <f t="shared" si="272"/>
        <v>0</v>
      </c>
    </row>
    <row r="7953" spans="5:14" hidden="1" x14ac:dyDescent="0.25">
      <c r="F7953" s="499">
        <v>494</v>
      </c>
      <c r="G7953" s="492" t="s">
        <v>4135</v>
      </c>
      <c r="J7953" s="556">
        <f t="shared" si="272"/>
        <v>0</v>
      </c>
    </row>
    <row r="7954" spans="5:14" ht="30" hidden="1" x14ac:dyDescent="0.25">
      <c r="F7954" s="499">
        <v>495</v>
      </c>
      <c r="G7954" s="492" t="s">
        <v>4136</v>
      </c>
      <c r="J7954" s="556">
        <f t="shared" si="272"/>
        <v>0</v>
      </c>
    </row>
    <row r="7955" spans="5:14" ht="30" hidden="1" x14ac:dyDescent="0.25">
      <c r="F7955" s="499">
        <v>496</v>
      </c>
      <c r="G7955" s="492" t="s">
        <v>4137</v>
      </c>
      <c r="J7955" s="556">
        <f t="shared" si="272"/>
        <v>0</v>
      </c>
    </row>
    <row r="7956" spans="5:14" ht="30" hidden="1" x14ac:dyDescent="0.25">
      <c r="F7956" s="499">
        <v>499</v>
      </c>
      <c r="G7956" s="492" t="s">
        <v>4138</v>
      </c>
      <c r="J7956" s="556">
        <f t="shared" si="272"/>
        <v>0</v>
      </c>
    </row>
    <row r="7957" spans="5:14" ht="14.25" customHeight="1" x14ac:dyDescent="0.25">
      <c r="E7957" s="679">
        <v>272</v>
      </c>
      <c r="F7957" s="499">
        <v>511</v>
      </c>
      <c r="G7957" s="496" t="s">
        <v>4158</v>
      </c>
      <c r="I7957" s="556">
        <v>0</v>
      </c>
      <c r="J7957" s="556">
        <f t="shared" si="272"/>
        <v>0</v>
      </c>
      <c r="N7957" s="685"/>
    </row>
    <row r="7958" spans="5:14" ht="12.75" customHeight="1" x14ac:dyDescent="0.25">
      <c r="E7958" s="679">
        <v>273</v>
      </c>
      <c r="F7958" s="499">
        <v>512</v>
      </c>
      <c r="G7958" s="496" t="s">
        <v>4159</v>
      </c>
      <c r="H7958" s="555">
        <v>300000</v>
      </c>
      <c r="I7958" s="556">
        <v>500000</v>
      </c>
      <c r="J7958" s="556">
        <f t="shared" si="272"/>
        <v>800000</v>
      </c>
    </row>
    <row r="7959" spans="5:14" x14ac:dyDescent="0.25">
      <c r="E7959" s="679">
        <v>274</v>
      </c>
      <c r="F7959" s="499">
        <v>513</v>
      </c>
      <c r="G7959" s="496" t="s">
        <v>4160</v>
      </c>
      <c r="H7959" s="555">
        <v>0</v>
      </c>
      <c r="I7959" s="556">
        <v>200000</v>
      </c>
      <c r="J7959" s="556">
        <f t="shared" si="272"/>
        <v>200000</v>
      </c>
    </row>
    <row r="7960" spans="5:14" hidden="1" x14ac:dyDescent="0.25">
      <c r="F7960" s="499">
        <v>514</v>
      </c>
      <c r="G7960" s="492" t="s">
        <v>4161</v>
      </c>
      <c r="J7960" s="556">
        <f t="shared" si="272"/>
        <v>0</v>
      </c>
    </row>
    <row r="7961" spans="5:14" x14ac:dyDescent="0.25">
      <c r="E7961" s="679">
        <v>275</v>
      </c>
      <c r="F7961" s="499">
        <v>515</v>
      </c>
      <c r="G7961" s="492" t="s">
        <v>3834</v>
      </c>
      <c r="H7961" s="555">
        <v>200000</v>
      </c>
      <c r="J7961" s="556">
        <f t="shared" si="272"/>
        <v>200000</v>
      </c>
    </row>
    <row r="7962" spans="5:14" hidden="1" x14ac:dyDescent="0.25">
      <c r="F7962" s="499">
        <v>521</v>
      </c>
      <c r="G7962" s="492" t="s">
        <v>4162</v>
      </c>
      <c r="J7962" s="556">
        <f t="shared" si="272"/>
        <v>0</v>
      </c>
    </row>
    <row r="7963" spans="5:14" hidden="1" x14ac:dyDescent="0.25">
      <c r="F7963" s="499">
        <v>522</v>
      </c>
      <c r="G7963" s="492" t="s">
        <v>4163</v>
      </c>
      <c r="J7963" s="556">
        <f t="shared" si="272"/>
        <v>0</v>
      </c>
    </row>
    <row r="7964" spans="5:14" hidden="1" x14ac:dyDescent="0.25">
      <c r="F7964" s="499">
        <v>523</v>
      </c>
      <c r="G7964" s="492" t="s">
        <v>3839</v>
      </c>
      <c r="J7964" s="556">
        <f t="shared" si="272"/>
        <v>0</v>
      </c>
    </row>
    <row r="7965" spans="5:14" hidden="1" x14ac:dyDescent="0.25">
      <c r="F7965" s="499">
        <v>531</v>
      </c>
      <c r="G7965" s="488" t="s">
        <v>4139</v>
      </c>
      <c r="J7965" s="556">
        <f t="shared" si="272"/>
        <v>0</v>
      </c>
    </row>
    <row r="7966" spans="5:14" hidden="1" x14ac:dyDescent="0.25">
      <c r="F7966" s="499">
        <v>541</v>
      </c>
      <c r="G7966" s="492" t="s">
        <v>4164</v>
      </c>
      <c r="J7966" s="556">
        <f t="shared" si="272"/>
        <v>0</v>
      </c>
    </row>
    <row r="7967" spans="5:14" hidden="1" x14ac:dyDescent="0.25">
      <c r="F7967" s="499">
        <v>542</v>
      </c>
      <c r="G7967" s="492" t="s">
        <v>4165</v>
      </c>
      <c r="J7967" s="556">
        <f t="shared" si="272"/>
        <v>0</v>
      </c>
    </row>
    <row r="7968" spans="5:14" hidden="1" x14ac:dyDescent="0.25">
      <c r="F7968" s="499">
        <v>543</v>
      </c>
      <c r="G7968" s="492" t="s">
        <v>3844</v>
      </c>
      <c r="J7968" s="556">
        <f t="shared" si="272"/>
        <v>0</v>
      </c>
    </row>
    <row r="7969" spans="5:13" ht="30" hidden="1" x14ac:dyDescent="0.25">
      <c r="F7969" s="499">
        <v>551</v>
      </c>
      <c r="G7969" s="492" t="s">
        <v>4140</v>
      </c>
      <c r="J7969" s="556">
        <f t="shared" si="272"/>
        <v>0</v>
      </c>
    </row>
    <row r="7970" spans="5:13" hidden="1" x14ac:dyDescent="0.25">
      <c r="F7970" s="500">
        <v>611</v>
      </c>
      <c r="G7970" s="498" t="s">
        <v>3850</v>
      </c>
      <c r="J7970" s="556">
        <f t="shared" si="272"/>
        <v>0</v>
      </c>
    </row>
    <row r="7971" spans="5:13" ht="13.5" customHeight="1" x14ac:dyDescent="0.25">
      <c r="E7971" s="679">
        <v>276</v>
      </c>
      <c r="F7971" s="500">
        <v>614</v>
      </c>
      <c r="G7971" s="498" t="s">
        <v>5344</v>
      </c>
      <c r="H7971" s="555">
        <v>155000</v>
      </c>
      <c r="J7971" s="556">
        <f t="shared" si="272"/>
        <v>155000</v>
      </c>
    </row>
    <row r="7972" spans="5:13" ht="0.75" customHeight="1" thickBot="1" x14ac:dyDescent="0.3">
      <c r="F7972" s="500"/>
      <c r="G7972" s="498"/>
      <c r="J7972" s="730"/>
    </row>
    <row r="7973" spans="5:13" x14ac:dyDescent="0.25">
      <c r="E7973" s="489"/>
      <c r="F7973" s="500"/>
      <c r="G7973" s="343" t="s">
        <v>4365</v>
      </c>
      <c r="H7973" s="557"/>
      <c r="I7973" s="583"/>
      <c r="J7973" s="558"/>
      <c r="M7973" s="685"/>
    </row>
    <row r="7974" spans="5:13" x14ac:dyDescent="0.25">
      <c r="E7974" s="693"/>
      <c r="F7974" s="597" t="s">
        <v>234</v>
      </c>
      <c r="G7974" s="598" t="s">
        <v>235</v>
      </c>
      <c r="H7974" s="559">
        <f>SUM(H7912:H7971)</f>
        <v>19313000</v>
      </c>
      <c r="I7974" s="560"/>
      <c r="J7974" s="560">
        <f t="shared" ref="J7974:J7989" si="273">SUM(H7974:I7974)</f>
        <v>19313000</v>
      </c>
    </row>
    <row r="7975" spans="5:13" hidden="1" x14ac:dyDescent="0.25">
      <c r="F7975" s="597" t="s">
        <v>236</v>
      </c>
      <c r="G7975" s="598" t="s">
        <v>237</v>
      </c>
      <c r="J7975" s="560">
        <f t="shared" si="273"/>
        <v>0</v>
      </c>
    </row>
    <row r="7976" spans="5:13" hidden="1" x14ac:dyDescent="0.25">
      <c r="F7976" s="597" t="s">
        <v>238</v>
      </c>
      <c r="G7976" s="598" t="s">
        <v>239</v>
      </c>
      <c r="J7976" s="560">
        <f t="shared" si="273"/>
        <v>0</v>
      </c>
    </row>
    <row r="7977" spans="5:13" x14ac:dyDescent="0.25">
      <c r="F7977" s="597" t="s">
        <v>240</v>
      </c>
      <c r="G7977" s="598" t="s">
        <v>241</v>
      </c>
      <c r="I7977" s="556">
        <v>2820000</v>
      </c>
      <c r="J7977" s="560">
        <f t="shared" si="273"/>
        <v>2820000</v>
      </c>
    </row>
    <row r="7978" spans="5:13" hidden="1" x14ac:dyDescent="0.25">
      <c r="F7978" s="597" t="s">
        <v>242</v>
      </c>
      <c r="G7978" s="598" t="s">
        <v>243</v>
      </c>
      <c r="J7978" s="560">
        <f t="shared" si="273"/>
        <v>0</v>
      </c>
    </row>
    <row r="7979" spans="5:13" hidden="1" x14ac:dyDescent="0.25">
      <c r="F7979" s="597" t="s">
        <v>244</v>
      </c>
      <c r="G7979" s="598" t="s">
        <v>245</v>
      </c>
      <c r="J7979" s="560">
        <f t="shared" si="273"/>
        <v>0</v>
      </c>
    </row>
    <row r="7980" spans="5:13" x14ac:dyDescent="0.25">
      <c r="F7980" s="597" t="s">
        <v>246</v>
      </c>
      <c r="G7980" s="598" t="s">
        <v>4996</v>
      </c>
      <c r="I7980" s="556">
        <v>4525000</v>
      </c>
      <c r="J7980" s="560">
        <f t="shared" si="273"/>
        <v>4525000</v>
      </c>
    </row>
    <row r="7981" spans="5:13" ht="14.25" customHeight="1" x14ac:dyDescent="0.25">
      <c r="F7981" s="597" t="s">
        <v>247</v>
      </c>
      <c r="G7981" s="598" t="s">
        <v>4995</v>
      </c>
      <c r="I7981" s="556">
        <v>50000</v>
      </c>
      <c r="J7981" s="560">
        <f t="shared" si="273"/>
        <v>50000</v>
      </c>
    </row>
    <row r="7982" spans="5:13" ht="14.25" hidden="1" customHeight="1" x14ac:dyDescent="0.25">
      <c r="F7982" s="597" t="s">
        <v>248</v>
      </c>
      <c r="G7982" s="598" t="s">
        <v>57</v>
      </c>
      <c r="J7982" s="560">
        <f t="shared" si="273"/>
        <v>0</v>
      </c>
    </row>
    <row r="7983" spans="5:13" ht="14.25" hidden="1" customHeight="1" x14ac:dyDescent="0.25">
      <c r="F7983" s="597" t="s">
        <v>249</v>
      </c>
      <c r="G7983" s="598" t="s">
        <v>250</v>
      </c>
      <c r="J7983" s="560">
        <f t="shared" si="273"/>
        <v>0</v>
      </c>
    </row>
    <row r="7984" spans="5:13" ht="14.25" hidden="1" customHeight="1" x14ac:dyDescent="0.25">
      <c r="F7984" s="597" t="s">
        <v>251</v>
      </c>
      <c r="G7984" s="598" t="s">
        <v>252</v>
      </c>
      <c r="J7984" s="560">
        <f t="shared" si="273"/>
        <v>0</v>
      </c>
    </row>
    <row r="7985" spans="5:10" ht="14.25" hidden="1" customHeight="1" x14ac:dyDescent="0.25">
      <c r="F7985" s="597" t="s">
        <v>253</v>
      </c>
      <c r="G7985" s="598" t="s">
        <v>254</v>
      </c>
      <c r="J7985" s="560">
        <f t="shared" si="273"/>
        <v>0</v>
      </c>
    </row>
    <row r="7986" spans="5:10" ht="15.75" thickBot="1" x14ac:dyDescent="0.3">
      <c r="F7986" s="597" t="s">
        <v>255</v>
      </c>
      <c r="G7986" s="598" t="s">
        <v>256</v>
      </c>
      <c r="H7986" s="556">
        <v>0</v>
      </c>
      <c r="I7986" s="556">
        <v>636000</v>
      </c>
      <c r="J7986" s="560">
        <f>SUM(H7986:I7986)</f>
        <v>636000</v>
      </c>
    </row>
    <row r="7987" spans="5:10" ht="30" hidden="1" x14ac:dyDescent="0.25">
      <c r="F7987" s="597" t="s">
        <v>257</v>
      </c>
      <c r="G7987" s="598" t="s">
        <v>258</v>
      </c>
      <c r="J7987" s="560">
        <f t="shared" si="273"/>
        <v>0</v>
      </c>
    </row>
    <row r="7988" spans="5:10" hidden="1" x14ac:dyDescent="0.25">
      <c r="F7988" s="597" t="s">
        <v>259</v>
      </c>
      <c r="G7988" s="598" t="s">
        <v>260</v>
      </c>
      <c r="J7988" s="560">
        <f t="shared" si="273"/>
        <v>0</v>
      </c>
    </row>
    <row r="7989" spans="5:10" ht="15.75" hidden="1" thickBot="1" x14ac:dyDescent="0.3">
      <c r="F7989" s="597" t="s">
        <v>261</v>
      </c>
      <c r="G7989" s="598" t="s">
        <v>262</v>
      </c>
      <c r="H7989" s="559"/>
      <c r="I7989" s="560"/>
      <c r="J7989" s="560">
        <f t="shared" si="273"/>
        <v>0</v>
      </c>
    </row>
    <row r="7990" spans="5:10" ht="14.25" customHeight="1" thickBot="1" x14ac:dyDescent="0.3">
      <c r="G7990" s="268" t="s">
        <v>4366</v>
      </c>
      <c r="H7990" s="561">
        <f>SUM(H7974:H7989)</f>
        <v>19313000</v>
      </c>
      <c r="I7990" s="562">
        <f>SUM(I7977:I7989)</f>
        <v>8031000</v>
      </c>
      <c r="J7990" s="562">
        <f>SUM(J7974:J7989)</f>
        <v>27344000</v>
      </c>
    </row>
    <row r="7991" spans="5:10" ht="12.75" customHeight="1" collapsed="1" x14ac:dyDescent="0.25">
      <c r="E7991" s="489"/>
      <c r="F7991" s="500"/>
      <c r="G7991" s="270" t="s">
        <v>4385</v>
      </c>
      <c r="H7991" s="563"/>
      <c r="I7991" s="584"/>
      <c r="J7991" s="564"/>
    </row>
    <row r="7992" spans="5:10" x14ac:dyDescent="0.25">
      <c r="E7992" s="693"/>
      <c r="F7992" s="597" t="s">
        <v>234</v>
      </c>
      <c r="G7992" s="598" t="s">
        <v>235</v>
      </c>
      <c r="H7992" s="559">
        <v>19313000</v>
      </c>
      <c r="I7992" s="560"/>
      <c r="J7992" s="560">
        <f>SUM(H7992:I7992)</f>
        <v>19313000</v>
      </c>
    </row>
    <row r="7993" spans="5:10" hidden="1" x14ac:dyDescent="0.25">
      <c r="F7993" s="597" t="s">
        <v>236</v>
      </c>
      <c r="G7993" s="598" t="s">
        <v>237</v>
      </c>
      <c r="J7993" s="560">
        <f t="shared" ref="J7993:J8007" si="274">SUM(H7993:I7993)</f>
        <v>0</v>
      </c>
    </row>
    <row r="7994" spans="5:10" hidden="1" x14ac:dyDescent="0.25">
      <c r="F7994" s="597" t="s">
        <v>238</v>
      </c>
      <c r="G7994" s="598" t="s">
        <v>239</v>
      </c>
      <c r="J7994" s="560">
        <f t="shared" si="274"/>
        <v>0</v>
      </c>
    </row>
    <row r="7995" spans="5:10" hidden="1" x14ac:dyDescent="0.25">
      <c r="F7995" s="597" t="s">
        <v>240</v>
      </c>
      <c r="G7995" s="598" t="s">
        <v>241</v>
      </c>
      <c r="J7995" s="560">
        <f t="shared" si="274"/>
        <v>0</v>
      </c>
    </row>
    <row r="7996" spans="5:10" hidden="1" x14ac:dyDescent="0.25">
      <c r="F7996" s="597" t="s">
        <v>242</v>
      </c>
      <c r="G7996" s="598" t="s">
        <v>243</v>
      </c>
      <c r="J7996" s="560">
        <f t="shared" si="274"/>
        <v>0</v>
      </c>
    </row>
    <row r="7997" spans="5:10" hidden="1" x14ac:dyDescent="0.25">
      <c r="F7997" s="597" t="s">
        <v>244</v>
      </c>
      <c r="G7997" s="598" t="s">
        <v>245</v>
      </c>
      <c r="J7997" s="560">
        <f t="shared" si="274"/>
        <v>0</v>
      </c>
    </row>
    <row r="7998" spans="5:10" hidden="1" x14ac:dyDescent="0.25">
      <c r="F7998" s="597" t="s">
        <v>246</v>
      </c>
      <c r="G7998" s="598" t="s">
        <v>4996</v>
      </c>
      <c r="J7998" s="560">
        <f t="shared" si="274"/>
        <v>0</v>
      </c>
    </row>
    <row r="7999" spans="5:10" hidden="1" x14ac:dyDescent="0.25">
      <c r="F7999" s="597" t="s">
        <v>247</v>
      </c>
      <c r="G7999" s="598" t="s">
        <v>4995</v>
      </c>
      <c r="J7999" s="560">
        <f t="shared" si="274"/>
        <v>0</v>
      </c>
    </row>
    <row r="8000" spans="5:10" hidden="1" x14ac:dyDescent="0.25">
      <c r="F8000" s="597" t="s">
        <v>248</v>
      </c>
      <c r="G8000" s="598" t="s">
        <v>57</v>
      </c>
      <c r="J8000" s="560">
        <f t="shared" si="274"/>
        <v>0</v>
      </c>
    </row>
    <row r="8001" spans="1:10" hidden="1" x14ac:dyDescent="0.25">
      <c r="F8001" s="597" t="s">
        <v>249</v>
      </c>
      <c r="G8001" s="598" t="s">
        <v>250</v>
      </c>
      <c r="J8001" s="560">
        <f t="shared" si="274"/>
        <v>0</v>
      </c>
    </row>
    <row r="8002" spans="1:10" hidden="1" x14ac:dyDescent="0.25">
      <c r="F8002" s="597" t="s">
        <v>251</v>
      </c>
      <c r="G8002" s="598" t="s">
        <v>252</v>
      </c>
      <c r="J8002" s="560">
        <f t="shared" si="274"/>
        <v>0</v>
      </c>
    </row>
    <row r="8003" spans="1:10" ht="30" hidden="1" x14ac:dyDescent="0.25">
      <c r="F8003" s="597" t="s">
        <v>253</v>
      </c>
      <c r="G8003" s="598" t="s">
        <v>254</v>
      </c>
      <c r="J8003" s="560">
        <f t="shared" si="274"/>
        <v>0</v>
      </c>
    </row>
    <row r="8004" spans="1:10" hidden="1" x14ac:dyDescent="0.25">
      <c r="F8004" s="597" t="s">
        <v>255</v>
      </c>
      <c r="G8004" s="598" t="s">
        <v>256</v>
      </c>
      <c r="J8004" s="560">
        <f t="shared" si="274"/>
        <v>0</v>
      </c>
    </row>
    <row r="8005" spans="1:10" ht="30" hidden="1" x14ac:dyDescent="0.25">
      <c r="F8005" s="597" t="s">
        <v>257</v>
      </c>
      <c r="G8005" s="598" t="s">
        <v>258</v>
      </c>
      <c r="J8005" s="560">
        <f t="shared" si="274"/>
        <v>0</v>
      </c>
    </row>
    <row r="8006" spans="1:10" ht="13.5" customHeight="1" x14ac:dyDescent="0.25">
      <c r="F8006" s="597" t="s">
        <v>240</v>
      </c>
      <c r="G8006" s="598" t="s">
        <v>241</v>
      </c>
      <c r="I8006" s="556">
        <f>SUM(I7977)</f>
        <v>2820000</v>
      </c>
      <c r="J8006" s="560">
        <f t="shared" si="274"/>
        <v>2820000</v>
      </c>
    </row>
    <row r="8007" spans="1:10" ht="15.75" customHeight="1" x14ac:dyDescent="0.25">
      <c r="F8007" s="597" t="s">
        <v>246</v>
      </c>
      <c r="G8007" s="598" t="s">
        <v>4996</v>
      </c>
      <c r="H8007" s="559"/>
      <c r="I8007" s="560">
        <f>SUM(I7980)</f>
        <v>4525000</v>
      </c>
      <c r="J8007" s="560">
        <f t="shared" si="274"/>
        <v>4525000</v>
      </c>
    </row>
    <row r="8008" spans="1:10" ht="15.75" customHeight="1" x14ac:dyDescent="0.25">
      <c r="F8008" s="681" t="s">
        <v>247</v>
      </c>
      <c r="G8008" s="598" t="s">
        <v>4995</v>
      </c>
      <c r="H8008" s="559"/>
      <c r="I8008" s="560">
        <v>50000</v>
      </c>
      <c r="J8008" s="560">
        <f>SUM(H8008:I8008)</f>
        <v>50000</v>
      </c>
    </row>
    <row r="8009" spans="1:10" ht="15.75" customHeight="1" thickBot="1" x14ac:dyDescent="0.3">
      <c r="F8009" s="597">
        <v>13</v>
      </c>
      <c r="G8009" s="598" t="s">
        <v>256</v>
      </c>
      <c r="H8009" s="560">
        <v>0</v>
      </c>
      <c r="I8009" s="556">
        <v>636000</v>
      </c>
      <c r="J8009" s="560">
        <f>SUM(H8009:I8009)</f>
        <v>636000</v>
      </c>
    </row>
    <row r="8010" spans="1:10" ht="13.5" customHeight="1" collapsed="1" thickBot="1" x14ac:dyDescent="0.3">
      <c r="G8010" s="268" t="s">
        <v>4386</v>
      </c>
      <c r="H8010" s="561">
        <f>SUM(H7992:H8009)</f>
        <v>19313000</v>
      </c>
      <c r="I8010" s="562">
        <f>SUM(I7993:I8009)</f>
        <v>8031000</v>
      </c>
      <c r="J8010" s="562">
        <f>SUM(J7992:J8009)</f>
        <v>27344000</v>
      </c>
    </row>
    <row r="8011" spans="1:10" ht="0.75" customHeight="1" x14ac:dyDescent="0.25">
      <c r="B8011" s="295"/>
      <c r="C8011" s="487"/>
      <c r="D8011" s="295"/>
      <c r="E8011" s="889"/>
      <c r="F8011" s="295"/>
      <c r="G8011" s="497"/>
      <c r="H8011" s="580"/>
      <c r="I8011" s="571"/>
      <c r="J8011" s="571"/>
    </row>
    <row r="8012" spans="1:10" ht="28.5" hidden="1" x14ac:dyDescent="0.25">
      <c r="A8012" s="295"/>
      <c r="C8012" s="267" t="s">
        <v>4593</v>
      </c>
      <c r="D8012" s="259"/>
      <c r="G8012" s="493" t="s">
        <v>5065</v>
      </c>
    </row>
    <row r="8013" spans="1:10" hidden="1" x14ac:dyDescent="0.25">
      <c r="C8013" s="267"/>
      <c r="D8013" s="331">
        <v>911</v>
      </c>
      <c r="E8013" s="869"/>
      <c r="F8013" s="331"/>
      <c r="G8013" s="332" t="s">
        <v>4279</v>
      </c>
    </row>
    <row r="8014" spans="1:10" hidden="1" x14ac:dyDescent="0.25">
      <c r="F8014" s="499">
        <v>411</v>
      </c>
      <c r="G8014" s="492" t="s">
        <v>4131</v>
      </c>
      <c r="J8014" s="556">
        <f>SUM(H8014:I8014)</f>
        <v>0</v>
      </c>
    </row>
    <row r="8015" spans="1:10" hidden="1" x14ac:dyDescent="0.25">
      <c r="F8015" s="499">
        <v>412</v>
      </c>
      <c r="G8015" s="488" t="s">
        <v>3766</v>
      </c>
      <c r="J8015" s="556">
        <f t="shared" ref="J8015:J8072" si="275">SUM(H8015:I8015)</f>
        <v>0</v>
      </c>
    </row>
    <row r="8016" spans="1:10" hidden="1" x14ac:dyDescent="0.25">
      <c r="F8016" s="499">
        <v>413</v>
      </c>
      <c r="G8016" s="492" t="s">
        <v>4132</v>
      </c>
      <c r="J8016" s="556">
        <f t="shared" si="275"/>
        <v>0</v>
      </c>
    </row>
    <row r="8017" spans="6:10" hidden="1" x14ac:dyDescent="0.25">
      <c r="F8017" s="499">
        <v>414</v>
      </c>
      <c r="G8017" s="492" t="s">
        <v>3769</v>
      </c>
      <c r="J8017" s="556">
        <f t="shared" si="275"/>
        <v>0</v>
      </c>
    </row>
    <row r="8018" spans="6:10" hidden="1" x14ac:dyDescent="0.25">
      <c r="F8018" s="499">
        <v>415</v>
      </c>
      <c r="G8018" s="492" t="s">
        <v>4141</v>
      </c>
      <c r="J8018" s="556">
        <f t="shared" si="275"/>
        <v>0</v>
      </c>
    </row>
    <row r="8019" spans="6:10" hidden="1" x14ac:dyDescent="0.25">
      <c r="F8019" s="499">
        <v>416</v>
      </c>
      <c r="G8019" s="492" t="s">
        <v>4142</v>
      </c>
      <c r="J8019" s="556">
        <f t="shared" si="275"/>
        <v>0</v>
      </c>
    </row>
    <row r="8020" spans="6:10" hidden="1" x14ac:dyDescent="0.25">
      <c r="F8020" s="499">
        <v>417</v>
      </c>
      <c r="G8020" s="492" t="s">
        <v>4143</v>
      </c>
      <c r="J8020" s="556">
        <f t="shared" si="275"/>
        <v>0</v>
      </c>
    </row>
    <row r="8021" spans="6:10" hidden="1" x14ac:dyDescent="0.25">
      <c r="F8021" s="499">
        <v>418</v>
      </c>
      <c r="G8021" s="492" t="s">
        <v>3775</v>
      </c>
      <c r="J8021" s="556">
        <f t="shared" si="275"/>
        <v>0</v>
      </c>
    </row>
    <row r="8022" spans="6:10" hidden="1" x14ac:dyDescent="0.25">
      <c r="F8022" s="499">
        <v>421</v>
      </c>
      <c r="G8022" s="492" t="s">
        <v>3779</v>
      </c>
      <c r="J8022" s="556">
        <f t="shared" si="275"/>
        <v>0</v>
      </c>
    </row>
    <row r="8023" spans="6:10" hidden="1" x14ac:dyDescent="0.25">
      <c r="F8023" s="499">
        <v>422</v>
      </c>
      <c r="G8023" s="492" t="s">
        <v>3780</v>
      </c>
      <c r="J8023" s="556">
        <f t="shared" si="275"/>
        <v>0</v>
      </c>
    </row>
    <row r="8024" spans="6:10" hidden="1" x14ac:dyDescent="0.25">
      <c r="F8024" s="499">
        <v>423</v>
      </c>
      <c r="G8024" s="492" t="s">
        <v>3781</v>
      </c>
      <c r="J8024" s="556">
        <f t="shared" si="275"/>
        <v>0</v>
      </c>
    </row>
    <row r="8025" spans="6:10" hidden="1" x14ac:dyDescent="0.25">
      <c r="F8025" s="499">
        <v>424</v>
      </c>
      <c r="G8025" s="492" t="s">
        <v>3783</v>
      </c>
      <c r="J8025" s="556">
        <f t="shared" si="275"/>
        <v>0</v>
      </c>
    </row>
    <row r="8026" spans="6:10" hidden="1" x14ac:dyDescent="0.25">
      <c r="F8026" s="499">
        <v>425</v>
      </c>
      <c r="G8026" s="492" t="s">
        <v>4144</v>
      </c>
      <c r="J8026" s="556">
        <f t="shared" si="275"/>
        <v>0</v>
      </c>
    </row>
    <row r="8027" spans="6:10" hidden="1" x14ac:dyDescent="0.25">
      <c r="F8027" s="499">
        <v>426</v>
      </c>
      <c r="G8027" s="492" t="s">
        <v>3787</v>
      </c>
      <c r="J8027" s="556">
        <f t="shared" si="275"/>
        <v>0</v>
      </c>
    </row>
    <row r="8028" spans="6:10" hidden="1" x14ac:dyDescent="0.25">
      <c r="F8028" s="499">
        <v>431</v>
      </c>
      <c r="G8028" s="492" t="s">
        <v>4145</v>
      </c>
      <c r="J8028" s="556">
        <f t="shared" si="275"/>
        <v>0</v>
      </c>
    </row>
    <row r="8029" spans="6:10" hidden="1" x14ac:dyDescent="0.25">
      <c r="F8029" s="499">
        <v>432</v>
      </c>
      <c r="G8029" s="492" t="s">
        <v>4146</v>
      </c>
      <c r="J8029" s="556">
        <f t="shared" si="275"/>
        <v>0</v>
      </c>
    </row>
    <row r="8030" spans="6:10" hidden="1" x14ac:dyDescent="0.25">
      <c r="F8030" s="499">
        <v>433</v>
      </c>
      <c r="G8030" s="492" t="s">
        <v>4147</v>
      </c>
      <c r="J8030" s="556">
        <f t="shared" si="275"/>
        <v>0</v>
      </c>
    </row>
    <row r="8031" spans="6:10" hidden="1" x14ac:dyDescent="0.25">
      <c r="F8031" s="499">
        <v>434</v>
      </c>
      <c r="G8031" s="492" t="s">
        <v>4148</v>
      </c>
      <c r="J8031" s="556">
        <f t="shared" si="275"/>
        <v>0</v>
      </c>
    </row>
    <row r="8032" spans="6:10" hidden="1" x14ac:dyDescent="0.25">
      <c r="F8032" s="499">
        <v>435</v>
      </c>
      <c r="G8032" s="492" t="s">
        <v>3794</v>
      </c>
      <c r="J8032" s="556">
        <f t="shared" si="275"/>
        <v>0</v>
      </c>
    </row>
    <row r="8033" spans="6:10" hidden="1" x14ac:dyDescent="0.25">
      <c r="F8033" s="499">
        <v>441</v>
      </c>
      <c r="G8033" s="492" t="s">
        <v>4149</v>
      </c>
      <c r="J8033" s="556">
        <f t="shared" si="275"/>
        <v>0</v>
      </c>
    </row>
    <row r="8034" spans="6:10" hidden="1" x14ac:dyDescent="0.25">
      <c r="F8034" s="499">
        <v>442</v>
      </c>
      <c r="G8034" s="492" t="s">
        <v>4150</v>
      </c>
      <c r="J8034" s="556">
        <f t="shared" si="275"/>
        <v>0</v>
      </c>
    </row>
    <row r="8035" spans="6:10" hidden="1" x14ac:dyDescent="0.25">
      <c r="F8035" s="499">
        <v>443</v>
      </c>
      <c r="G8035" s="492" t="s">
        <v>3799</v>
      </c>
      <c r="J8035" s="556">
        <f t="shared" si="275"/>
        <v>0</v>
      </c>
    </row>
    <row r="8036" spans="6:10" hidden="1" x14ac:dyDescent="0.25">
      <c r="F8036" s="499">
        <v>444</v>
      </c>
      <c r="G8036" s="492" t="s">
        <v>3800</v>
      </c>
      <c r="J8036" s="556">
        <f t="shared" si="275"/>
        <v>0</v>
      </c>
    </row>
    <row r="8037" spans="6:10" ht="30" hidden="1" x14ac:dyDescent="0.25">
      <c r="F8037" s="499">
        <v>4511</v>
      </c>
      <c r="G8037" s="791" t="s">
        <v>1690</v>
      </c>
      <c r="J8037" s="556">
        <f t="shared" si="275"/>
        <v>0</v>
      </c>
    </row>
    <row r="8038" spans="6:10" ht="30" hidden="1" x14ac:dyDescent="0.25">
      <c r="F8038" s="499">
        <v>4512</v>
      </c>
      <c r="G8038" s="791" t="s">
        <v>1699</v>
      </c>
      <c r="J8038" s="556">
        <f t="shared" si="275"/>
        <v>0</v>
      </c>
    </row>
    <row r="8039" spans="6:10" hidden="1" x14ac:dyDescent="0.25">
      <c r="F8039" s="499">
        <v>452</v>
      </c>
      <c r="G8039" s="492" t="s">
        <v>4151</v>
      </c>
      <c r="J8039" s="556">
        <f t="shared" si="275"/>
        <v>0</v>
      </c>
    </row>
    <row r="8040" spans="6:10" hidden="1" x14ac:dyDescent="0.25">
      <c r="F8040" s="499">
        <v>453</v>
      </c>
      <c r="G8040" s="492" t="s">
        <v>4152</v>
      </c>
      <c r="J8040" s="556">
        <f t="shared" si="275"/>
        <v>0</v>
      </c>
    </row>
    <row r="8041" spans="6:10" hidden="1" x14ac:dyDescent="0.25">
      <c r="F8041" s="499">
        <v>454</v>
      </c>
      <c r="G8041" s="492" t="s">
        <v>3805</v>
      </c>
      <c r="J8041" s="556">
        <f t="shared" si="275"/>
        <v>0</v>
      </c>
    </row>
    <row r="8042" spans="6:10" hidden="1" x14ac:dyDescent="0.25">
      <c r="F8042" s="499">
        <v>461</v>
      </c>
      <c r="G8042" s="492" t="s">
        <v>4133</v>
      </c>
      <c r="J8042" s="556">
        <f t="shared" si="275"/>
        <v>0</v>
      </c>
    </row>
    <row r="8043" spans="6:10" hidden="1" x14ac:dyDescent="0.25">
      <c r="F8043" s="499">
        <v>462</v>
      </c>
      <c r="G8043" s="492" t="s">
        <v>3808</v>
      </c>
      <c r="J8043" s="556">
        <f t="shared" si="275"/>
        <v>0</v>
      </c>
    </row>
    <row r="8044" spans="6:10" hidden="1" x14ac:dyDescent="0.25">
      <c r="F8044" s="499">
        <v>4631</v>
      </c>
      <c r="G8044" s="492" t="s">
        <v>3809</v>
      </c>
      <c r="J8044" s="556">
        <f t="shared" si="275"/>
        <v>0</v>
      </c>
    </row>
    <row r="8045" spans="6:10" hidden="1" x14ac:dyDescent="0.25">
      <c r="F8045" s="499">
        <v>4632</v>
      </c>
      <c r="G8045" s="492" t="s">
        <v>3810</v>
      </c>
      <c r="J8045" s="556">
        <f t="shared" si="275"/>
        <v>0</v>
      </c>
    </row>
    <row r="8046" spans="6:10" hidden="1" x14ac:dyDescent="0.25">
      <c r="F8046" s="499">
        <v>464</v>
      </c>
      <c r="G8046" s="492" t="s">
        <v>3811</v>
      </c>
      <c r="J8046" s="556">
        <f t="shared" si="275"/>
        <v>0</v>
      </c>
    </row>
    <row r="8047" spans="6:10" hidden="1" x14ac:dyDescent="0.25">
      <c r="F8047" s="499">
        <v>465</v>
      </c>
      <c r="G8047" s="492" t="s">
        <v>4134</v>
      </c>
      <c r="J8047" s="556">
        <f t="shared" si="275"/>
        <v>0</v>
      </c>
    </row>
    <row r="8048" spans="6:10" hidden="1" x14ac:dyDescent="0.25">
      <c r="F8048" s="499">
        <v>472</v>
      </c>
      <c r="G8048" s="492" t="s">
        <v>3815</v>
      </c>
      <c r="J8048" s="556">
        <f t="shared" si="275"/>
        <v>0</v>
      </c>
    </row>
    <row r="8049" spans="5:14" hidden="1" x14ac:dyDescent="0.25">
      <c r="F8049" s="499">
        <v>481</v>
      </c>
      <c r="G8049" s="492" t="s">
        <v>4153</v>
      </c>
      <c r="J8049" s="556">
        <f t="shared" si="275"/>
        <v>0</v>
      </c>
    </row>
    <row r="8050" spans="5:14" hidden="1" x14ac:dyDescent="0.25">
      <c r="F8050" s="499">
        <v>482</v>
      </c>
      <c r="G8050" s="492" t="s">
        <v>4154</v>
      </c>
      <c r="J8050" s="556">
        <f t="shared" si="275"/>
        <v>0</v>
      </c>
    </row>
    <row r="8051" spans="5:14" hidden="1" x14ac:dyDescent="0.25">
      <c r="F8051" s="499">
        <v>483</v>
      </c>
      <c r="G8051" s="496" t="s">
        <v>4155</v>
      </c>
      <c r="J8051" s="556">
        <f t="shared" si="275"/>
        <v>0</v>
      </c>
    </row>
    <row r="8052" spans="5:14" ht="30" hidden="1" x14ac:dyDescent="0.25">
      <c r="F8052" s="499">
        <v>484</v>
      </c>
      <c r="G8052" s="492" t="s">
        <v>4156</v>
      </c>
      <c r="J8052" s="556">
        <f t="shared" si="275"/>
        <v>0</v>
      </c>
    </row>
    <row r="8053" spans="5:14" ht="30" hidden="1" x14ac:dyDescent="0.25">
      <c r="F8053" s="499">
        <v>485</v>
      </c>
      <c r="G8053" s="492" t="s">
        <v>4157</v>
      </c>
      <c r="J8053" s="556">
        <f t="shared" si="275"/>
        <v>0</v>
      </c>
    </row>
    <row r="8054" spans="5:14" ht="30" hidden="1" x14ac:dyDescent="0.25">
      <c r="F8054" s="499">
        <v>489</v>
      </c>
      <c r="G8054" s="492" t="s">
        <v>3823</v>
      </c>
      <c r="J8054" s="556">
        <f t="shared" si="275"/>
        <v>0</v>
      </c>
    </row>
    <row r="8055" spans="5:14" hidden="1" x14ac:dyDescent="0.25">
      <c r="F8055" s="499">
        <v>494</v>
      </c>
      <c r="G8055" s="492" t="s">
        <v>4135</v>
      </c>
      <c r="J8055" s="556">
        <f t="shared" si="275"/>
        <v>0</v>
      </c>
    </row>
    <row r="8056" spans="5:14" ht="30" hidden="1" x14ac:dyDescent="0.25">
      <c r="F8056" s="499">
        <v>495</v>
      </c>
      <c r="G8056" s="492" t="s">
        <v>4136</v>
      </c>
      <c r="J8056" s="556">
        <f t="shared" si="275"/>
        <v>0</v>
      </c>
    </row>
    <row r="8057" spans="5:14" ht="30" hidden="1" x14ac:dyDescent="0.25">
      <c r="F8057" s="499">
        <v>496</v>
      </c>
      <c r="G8057" s="492" t="s">
        <v>4137</v>
      </c>
      <c r="J8057" s="556">
        <f t="shared" si="275"/>
        <v>0</v>
      </c>
    </row>
    <row r="8058" spans="5:14" ht="30" hidden="1" x14ac:dyDescent="0.25">
      <c r="F8058" s="499">
        <v>499</v>
      </c>
      <c r="G8058" s="492" t="s">
        <v>4138</v>
      </c>
      <c r="J8058" s="556">
        <f t="shared" si="275"/>
        <v>0</v>
      </c>
    </row>
    <row r="8059" spans="5:14" hidden="1" x14ac:dyDescent="0.25">
      <c r="E8059" s="679">
        <v>120</v>
      </c>
      <c r="F8059" s="499">
        <v>511</v>
      </c>
      <c r="G8059" s="496" t="s">
        <v>4158</v>
      </c>
      <c r="J8059" s="556">
        <f t="shared" si="275"/>
        <v>0</v>
      </c>
      <c r="N8059" s="685"/>
    </row>
    <row r="8060" spans="5:14" hidden="1" x14ac:dyDescent="0.25">
      <c r="F8060" s="499">
        <v>512</v>
      </c>
      <c r="G8060" s="496" t="s">
        <v>4159</v>
      </c>
      <c r="J8060" s="556">
        <f t="shared" si="275"/>
        <v>0</v>
      </c>
    </row>
    <row r="8061" spans="5:14" hidden="1" x14ac:dyDescent="0.25">
      <c r="F8061" s="499">
        <v>513</v>
      </c>
      <c r="G8061" s="496" t="s">
        <v>4160</v>
      </c>
      <c r="J8061" s="556">
        <f t="shared" si="275"/>
        <v>0</v>
      </c>
    </row>
    <row r="8062" spans="5:14" hidden="1" x14ac:dyDescent="0.25">
      <c r="F8062" s="499">
        <v>514</v>
      </c>
      <c r="G8062" s="492" t="s">
        <v>4161</v>
      </c>
      <c r="J8062" s="556">
        <f t="shared" si="275"/>
        <v>0</v>
      </c>
    </row>
    <row r="8063" spans="5:14" hidden="1" x14ac:dyDescent="0.25">
      <c r="F8063" s="499">
        <v>515</v>
      </c>
      <c r="G8063" s="492" t="s">
        <v>3834</v>
      </c>
      <c r="J8063" s="556">
        <f t="shared" si="275"/>
        <v>0</v>
      </c>
    </row>
    <row r="8064" spans="5:14" hidden="1" x14ac:dyDescent="0.25">
      <c r="F8064" s="499">
        <v>521</v>
      </c>
      <c r="G8064" s="492" t="s">
        <v>4162</v>
      </c>
      <c r="J8064" s="556">
        <f t="shared" si="275"/>
        <v>0</v>
      </c>
    </row>
    <row r="8065" spans="5:10" hidden="1" x14ac:dyDescent="0.25">
      <c r="F8065" s="499">
        <v>522</v>
      </c>
      <c r="G8065" s="492" t="s">
        <v>4163</v>
      </c>
      <c r="J8065" s="556">
        <f t="shared" si="275"/>
        <v>0</v>
      </c>
    </row>
    <row r="8066" spans="5:10" hidden="1" x14ac:dyDescent="0.25">
      <c r="F8066" s="499">
        <v>523</v>
      </c>
      <c r="G8066" s="492" t="s">
        <v>3839</v>
      </c>
      <c r="J8066" s="556">
        <f t="shared" si="275"/>
        <v>0</v>
      </c>
    </row>
    <row r="8067" spans="5:10" hidden="1" x14ac:dyDescent="0.25">
      <c r="F8067" s="499">
        <v>531</v>
      </c>
      <c r="G8067" s="488" t="s">
        <v>4139</v>
      </c>
      <c r="J8067" s="556">
        <f t="shared" si="275"/>
        <v>0</v>
      </c>
    </row>
    <row r="8068" spans="5:10" hidden="1" x14ac:dyDescent="0.25">
      <c r="F8068" s="499">
        <v>541</v>
      </c>
      <c r="G8068" s="492" t="s">
        <v>4164</v>
      </c>
      <c r="J8068" s="556">
        <f t="shared" si="275"/>
        <v>0</v>
      </c>
    </row>
    <row r="8069" spans="5:10" hidden="1" x14ac:dyDescent="0.25">
      <c r="F8069" s="499">
        <v>542</v>
      </c>
      <c r="G8069" s="492" t="s">
        <v>4165</v>
      </c>
      <c r="J8069" s="556">
        <f t="shared" si="275"/>
        <v>0</v>
      </c>
    </row>
    <row r="8070" spans="5:10" hidden="1" x14ac:dyDescent="0.25">
      <c r="F8070" s="499">
        <v>543</v>
      </c>
      <c r="G8070" s="492" t="s">
        <v>3844</v>
      </c>
      <c r="J8070" s="556">
        <f t="shared" si="275"/>
        <v>0</v>
      </c>
    </row>
    <row r="8071" spans="5:10" ht="30" hidden="1" x14ac:dyDescent="0.25">
      <c r="F8071" s="499">
        <v>551</v>
      </c>
      <c r="G8071" s="492" t="s">
        <v>4140</v>
      </c>
      <c r="J8071" s="556">
        <f t="shared" si="275"/>
        <v>0</v>
      </c>
    </row>
    <row r="8072" spans="5:10" hidden="1" x14ac:dyDescent="0.25">
      <c r="F8072" s="500">
        <v>611</v>
      </c>
      <c r="G8072" s="498" t="s">
        <v>3850</v>
      </c>
      <c r="J8072" s="556">
        <f t="shared" si="275"/>
        <v>0</v>
      </c>
    </row>
    <row r="8073" spans="5:10" ht="15.75" hidden="1" thickBot="1" x14ac:dyDescent="0.3">
      <c r="F8073" s="500">
        <v>620</v>
      </c>
      <c r="G8073" s="498" t="s">
        <v>88</v>
      </c>
      <c r="J8073" s="556">
        <f>SUM(H8073:I8073)</f>
        <v>0</v>
      </c>
    </row>
    <row r="8074" spans="5:10" hidden="1" x14ac:dyDescent="0.25">
      <c r="E8074" s="489"/>
      <c r="F8074" s="500"/>
      <c r="G8074" s="342" t="s">
        <v>4365</v>
      </c>
      <c r="H8074" s="557"/>
      <c r="I8074" s="583"/>
      <c r="J8074" s="558"/>
    </row>
    <row r="8075" spans="5:10" hidden="1" x14ac:dyDescent="0.25">
      <c r="E8075" s="693"/>
      <c r="F8075" s="597" t="s">
        <v>234</v>
      </c>
      <c r="G8075" s="598" t="s">
        <v>235</v>
      </c>
      <c r="H8075" s="559">
        <f>SUM(H8014:H8073)</f>
        <v>0</v>
      </c>
      <c r="I8075" s="560"/>
      <c r="J8075" s="560">
        <f>SUM(H8075:I8075)</f>
        <v>0</v>
      </c>
    </row>
    <row r="8076" spans="5:10" hidden="1" x14ac:dyDescent="0.25">
      <c r="F8076" s="597" t="s">
        <v>236</v>
      </c>
      <c r="G8076" s="598" t="s">
        <v>237</v>
      </c>
      <c r="J8076" s="560">
        <f t="shared" ref="J8076:J8090" si="276">SUM(H8076:I8076)</f>
        <v>0</v>
      </c>
    </row>
    <row r="8077" spans="5:10" hidden="1" x14ac:dyDescent="0.25">
      <c r="F8077" s="597" t="s">
        <v>238</v>
      </c>
      <c r="G8077" s="598" t="s">
        <v>239</v>
      </c>
      <c r="J8077" s="560">
        <f t="shared" si="276"/>
        <v>0</v>
      </c>
    </row>
    <row r="8078" spans="5:10" hidden="1" x14ac:dyDescent="0.25">
      <c r="F8078" s="597" t="s">
        <v>240</v>
      </c>
      <c r="G8078" s="598" t="s">
        <v>241</v>
      </c>
      <c r="J8078" s="560">
        <f t="shared" si="276"/>
        <v>0</v>
      </c>
    </row>
    <row r="8079" spans="5:10" hidden="1" x14ac:dyDescent="0.25">
      <c r="F8079" s="597" t="s">
        <v>242</v>
      </c>
      <c r="G8079" s="598" t="s">
        <v>243</v>
      </c>
      <c r="J8079" s="560">
        <f t="shared" si="276"/>
        <v>0</v>
      </c>
    </row>
    <row r="8080" spans="5:10" hidden="1" x14ac:dyDescent="0.25">
      <c r="F8080" s="597" t="s">
        <v>244</v>
      </c>
      <c r="G8080" s="598" t="s">
        <v>245</v>
      </c>
      <c r="J8080" s="560">
        <f t="shared" si="276"/>
        <v>0</v>
      </c>
    </row>
    <row r="8081" spans="5:10" hidden="1" x14ac:dyDescent="0.25">
      <c r="F8081" s="597" t="s">
        <v>246</v>
      </c>
      <c r="G8081" s="598" t="s">
        <v>4996</v>
      </c>
      <c r="J8081" s="560">
        <f t="shared" si="276"/>
        <v>0</v>
      </c>
    </row>
    <row r="8082" spans="5:10" hidden="1" x14ac:dyDescent="0.25">
      <c r="F8082" s="597" t="s">
        <v>247</v>
      </c>
      <c r="G8082" s="598" t="s">
        <v>4995</v>
      </c>
      <c r="J8082" s="560">
        <f t="shared" si="276"/>
        <v>0</v>
      </c>
    </row>
    <row r="8083" spans="5:10" hidden="1" x14ac:dyDescent="0.25">
      <c r="F8083" s="597" t="s">
        <v>248</v>
      </c>
      <c r="G8083" s="598" t="s">
        <v>57</v>
      </c>
      <c r="J8083" s="560">
        <f t="shared" si="276"/>
        <v>0</v>
      </c>
    </row>
    <row r="8084" spans="5:10" hidden="1" x14ac:dyDescent="0.25">
      <c r="F8084" s="597" t="s">
        <v>249</v>
      </c>
      <c r="G8084" s="598" t="s">
        <v>250</v>
      </c>
      <c r="J8084" s="560">
        <f t="shared" si="276"/>
        <v>0</v>
      </c>
    </row>
    <row r="8085" spans="5:10" hidden="1" x14ac:dyDescent="0.25">
      <c r="F8085" s="597" t="s">
        <v>251</v>
      </c>
      <c r="G8085" s="598" t="s">
        <v>252</v>
      </c>
      <c r="J8085" s="560">
        <f t="shared" si="276"/>
        <v>0</v>
      </c>
    </row>
    <row r="8086" spans="5:10" ht="30" hidden="1" x14ac:dyDescent="0.25">
      <c r="F8086" s="597" t="s">
        <v>253</v>
      </c>
      <c r="G8086" s="598" t="s">
        <v>254</v>
      </c>
      <c r="J8086" s="560">
        <f t="shared" si="276"/>
        <v>0</v>
      </c>
    </row>
    <row r="8087" spans="5:10" hidden="1" x14ac:dyDescent="0.25">
      <c r="F8087" s="597" t="s">
        <v>255</v>
      </c>
      <c r="G8087" s="598" t="s">
        <v>256</v>
      </c>
      <c r="J8087" s="560">
        <f t="shared" si="276"/>
        <v>0</v>
      </c>
    </row>
    <row r="8088" spans="5:10" ht="30" hidden="1" x14ac:dyDescent="0.25">
      <c r="F8088" s="597" t="s">
        <v>257</v>
      </c>
      <c r="G8088" s="598" t="s">
        <v>258</v>
      </c>
      <c r="J8088" s="560">
        <f t="shared" si="276"/>
        <v>0</v>
      </c>
    </row>
    <row r="8089" spans="5:10" hidden="1" x14ac:dyDescent="0.25">
      <c r="F8089" s="597" t="s">
        <v>259</v>
      </c>
      <c r="G8089" s="598" t="s">
        <v>260</v>
      </c>
      <c r="J8089" s="560">
        <f t="shared" si="276"/>
        <v>0</v>
      </c>
    </row>
    <row r="8090" spans="5:10" ht="18" hidden="1" customHeight="1" thickBot="1" x14ac:dyDescent="0.3">
      <c r="F8090" s="681" t="s">
        <v>246</v>
      </c>
      <c r="G8090" s="598" t="s">
        <v>4996</v>
      </c>
      <c r="H8090" s="559"/>
      <c r="I8090" s="560">
        <f>SUM(I8059)</f>
        <v>0</v>
      </c>
      <c r="J8090" s="560">
        <f t="shared" si="276"/>
        <v>0</v>
      </c>
    </row>
    <row r="8091" spans="5:10" ht="15.75" hidden="1" thickBot="1" x14ac:dyDescent="0.3">
      <c r="G8091" s="268" t="s">
        <v>4366</v>
      </c>
      <c r="H8091" s="561">
        <f>SUM(H8075:H8090)</f>
        <v>0</v>
      </c>
      <c r="I8091" s="562">
        <f>SUM(I8090)</f>
        <v>0</v>
      </c>
      <c r="J8091" s="562">
        <f>SUM(J8075:J8090)</f>
        <v>0</v>
      </c>
    </row>
    <row r="8092" spans="5:10" hidden="1" collapsed="1" x14ac:dyDescent="0.25">
      <c r="E8092" s="489"/>
      <c r="F8092" s="500"/>
      <c r="G8092" s="270" t="s">
        <v>4937</v>
      </c>
      <c r="H8092" s="563"/>
      <c r="I8092" s="584"/>
      <c r="J8092" s="564"/>
    </row>
    <row r="8093" spans="5:10" hidden="1" x14ac:dyDescent="0.25">
      <c r="E8093" s="693"/>
      <c r="F8093" s="597" t="s">
        <v>234</v>
      </c>
      <c r="G8093" s="598" t="s">
        <v>235</v>
      </c>
      <c r="H8093" s="559">
        <f>SUM(H8014:H8073)</f>
        <v>0</v>
      </c>
      <c r="I8093" s="560"/>
      <c r="J8093" s="560">
        <f>SUM(H8093:I8093)</f>
        <v>0</v>
      </c>
    </row>
    <row r="8094" spans="5:10" hidden="1" x14ac:dyDescent="0.25">
      <c r="F8094" s="597" t="s">
        <v>236</v>
      </c>
      <c r="G8094" s="598" t="s">
        <v>237</v>
      </c>
      <c r="J8094" s="560">
        <f t="shared" ref="J8094:J8108" si="277">SUM(H8094:I8094)</f>
        <v>0</v>
      </c>
    </row>
    <row r="8095" spans="5:10" hidden="1" x14ac:dyDescent="0.25">
      <c r="F8095" s="597" t="s">
        <v>238</v>
      </c>
      <c r="G8095" s="598" t="s">
        <v>239</v>
      </c>
      <c r="J8095" s="560">
        <f t="shared" si="277"/>
        <v>0</v>
      </c>
    </row>
    <row r="8096" spans="5:10" hidden="1" x14ac:dyDescent="0.25">
      <c r="F8096" s="597" t="s">
        <v>240</v>
      </c>
      <c r="G8096" s="598" t="s">
        <v>241</v>
      </c>
      <c r="J8096" s="560">
        <f t="shared" si="277"/>
        <v>0</v>
      </c>
    </row>
    <row r="8097" spans="3:10" hidden="1" x14ac:dyDescent="0.25">
      <c r="F8097" s="597" t="s">
        <v>242</v>
      </c>
      <c r="G8097" s="598" t="s">
        <v>243</v>
      </c>
      <c r="J8097" s="560">
        <f t="shared" si="277"/>
        <v>0</v>
      </c>
    </row>
    <row r="8098" spans="3:10" hidden="1" x14ac:dyDescent="0.25">
      <c r="F8098" s="597" t="s">
        <v>244</v>
      </c>
      <c r="G8098" s="598" t="s">
        <v>245</v>
      </c>
      <c r="J8098" s="560">
        <f t="shared" si="277"/>
        <v>0</v>
      </c>
    </row>
    <row r="8099" spans="3:10" hidden="1" x14ac:dyDescent="0.25">
      <c r="F8099" s="597" t="s">
        <v>246</v>
      </c>
      <c r="G8099" s="598" t="s">
        <v>4996</v>
      </c>
      <c r="J8099" s="560">
        <f t="shared" si="277"/>
        <v>0</v>
      </c>
    </row>
    <row r="8100" spans="3:10" hidden="1" x14ac:dyDescent="0.25">
      <c r="F8100" s="597" t="s">
        <v>247</v>
      </c>
      <c r="G8100" s="598" t="s">
        <v>4995</v>
      </c>
      <c r="J8100" s="560">
        <f t="shared" si="277"/>
        <v>0</v>
      </c>
    </row>
    <row r="8101" spans="3:10" hidden="1" x14ac:dyDescent="0.25">
      <c r="F8101" s="597" t="s">
        <v>248</v>
      </c>
      <c r="G8101" s="598" t="s">
        <v>57</v>
      </c>
      <c r="J8101" s="560">
        <f t="shared" si="277"/>
        <v>0</v>
      </c>
    </row>
    <row r="8102" spans="3:10" hidden="1" x14ac:dyDescent="0.25">
      <c r="F8102" s="597" t="s">
        <v>249</v>
      </c>
      <c r="G8102" s="598" t="s">
        <v>250</v>
      </c>
      <c r="J8102" s="560">
        <f t="shared" si="277"/>
        <v>0</v>
      </c>
    </row>
    <row r="8103" spans="3:10" hidden="1" x14ac:dyDescent="0.25">
      <c r="F8103" s="597" t="s">
        <v>251</v>
      </c>
      <c r="G8103" s="598" t="s">
        <v>252</v>
      </c>
      <c r="J8103" s="560">
        <f t="shared" si="277"/>
        <v>0</v>
      </c>
    </row>
    <row r="8104" spans="3:10" ht="30" hidden="1" x14ac:dyDescent="0.25">
      <c r="F8104" s="597" t="s">
        <v>253</v>
      </c>
      <c r="G8104" s="598" t="s">
        <v>254</v>
      </c>
      <c r="J8104" s="560">
        <f t="shared" si="277"/>
        <v>0</v>
      </c>
    </row>
    <row r="8105" spans="3:10" hidden="1" x14ac:dyDescent="0.25">
      <c r="F8105" s="597" t="s">
        <v>255</v>
      </c>
      <c r="G8105" s="598" t="s">
        <v>256</v>
      </c>
      <c r="J8105" s="560">
        <f t="shared" si="277"/>
        <v>0</v>
      </c>
    </row>
    <row r="8106" spans="3:10" ht="30" hidden="1" x14ac:dyDescent="0.25">
      <c r="F8106" s="597" t="s">
        <v>257</v>
      </c>
      <c r="G8106" s="598" t="s">
        <v>258</v>
      </c>
      <c r="J8106" s="560">
        <f t="shared" si="277"/>
        <v>0</v>
      </c>
    </row>
    <row r="8107" spans="3:10" hidden="1" x14ac:dyDescent="0.25">
      <c r="F8107" s="597" t="s">
        <v>259</v>
      </c>
      <c r="G8107" s="598" t="s">
        <v>260</v>
      </c>
      <c r="J8107" s="560">
        <f t="shared" si="277"/>
        <v>0</v>
      </c>
    </row>
    <row r="8108" spans="3:10" ht="16.5" hidden="1" customHeight="1" thickBot="1" x14ac:dyDescent="0.3">
      <c r="F8108" s="681" t="s">
        <v>246</v>
      </c>
      <c r="G8108" s="598" t="s">
        <v>4996</v>
      </c>
      <c r="H8108" s="559"/>
      <c r="I8108" s="560">
        <f>SUM(I8091)</f>
        <v>0</v>
      </c>
      <c r="J8108" s="560">
        <f t="shared" si="277"/>
        <v>0</v>
      </c>
    </row>
    <row r="8109" spans="3:10" ht="15.75" hidden="1" thickBot="1" x14ac:dyDescent="0.3">
      <c r="G8109" s="268" t="s">
        <v>4938</v>
      </c>
      <c r="H8109" s="561">
        <f>SUM(H8093:H8108)</f>
        <v>0</v>
      </c>
      <c r="I8109" s="562">
        <f>SUM(I8108)</f>
        <v>0</v>
      </c>
      <c r="J8109" s="562">
        <f>SUM(J8093:J8108)</f>
        <v>0</v>
      </c>
    </row>
    <row r="8110" spans="3:10" hidden="1" x14ac:dyDescent="0.25">
      <c r="G8110" s="312"/>
      <c r="H8110" s="565"/>
      <c r="I8110" s="566"/>
      <c r="J8110" s="566"/>
    </row>
    <row r="8111" spans="3:10" hidden="1" x14ac:dyDescent="0.25">
      <c r="C8111" s="267" t="s">
        <v>4594</v>
      </c>
      <c r="D8111" s="259"/>
      <c r="G8111" s="493" t="s">
        <v>5046</v>
      </c>
    </row>
    <row r="8112" spans="3:10" hidden="1" x14ac:dyDescent="0.25">
      <c r="C8112" s="267"/>
      <c r="D8112" s="331">
        <v>911</v>
      </c>
      <c r="E8112" s="869"/>
      <c r="F8112" s="331"/>
      <c r="G8112" s="332" t="s">
        <v>4279</v>
      </c>
    </row>
    <row r="8113" spans="3:10" ht="15.75" hidden="1" thickBot="1" x14ac:dyDescent="0.3">
      <c r="F8113" s="499">
        <v>511</v>
      </c>
      <c r="G8113" s="496" t="s">
        <v>4158</v>
      </c>
      <c r="J8113" s="683">
        <f t="shared" ref="J8113:J8119" si="278">SUM(H8113:I8113)</f>
        <v>0</v>
      </c>
    </row>
    <row r="8114" spans="3:10" hidden="1" x14ac:dyDescent="0.25">
      <c r="G8114" s="342" t="s">
        <v>4365</v>
      </c>
      <c r="H8114" s="557"/>
      <c r="I8114" s="583"/>
      <c r="J8114" s="556">
        <f t="shared" si="278"/>
        <v>0</v>
      </c>
    </row>
    <row r="8115" spans="3:10" ht="15.75" hidden="1" thickBot="1" x14ac:dyDescent="0.3">
      <c r="F8115" s="681" t="s">
        <v>246</v>
      </c>
      <c r="G8115" s="598" t="s">
        <v>4996</v>
      </c>
      <c r="H8115" s="559">
        <f>SUM(H8113)</f>
        <v>0</v>
      </c>
      <c r="I8115" s="560">
        <f>SUM(I8113)</f>
        <v>0</v>
      </c>
      <c r="J8115" s="556">
        <f t="shared" si="278"/>
        <v>0</v>
      </c>
    </row>
    <row r="8116" spans="3:10" ht="15.75" hidden="1" thickBot="1" x14ac:dyDescent="0.3">
      <c r="G8116" s="268" t="s">
        <v>4366</v>
      </c>
      <c r="H8116" s="561">
        <f>SUM(H8115)</f>
        <v>0</v>
      </c>
      <c r="I8116" s="562">
        <f>SUM(I8115)</f>
        <v>0</v>
      </c>
      <c r="J8116" s="684">
        <f t="shared" si="278"/>
        <v>0</v>
      </c>
    </row>
    <row r="8117" spans="3:10" hidden="1" x14ac:dyDescent="0.25">
      <c r="G8117" s="270" t="s">
        <v>5043</v>
      </c>
      <c r="H8117" s="563"/>
      <c r="I8117" s="584"/>
      <c r="J8117" s="556">
        <f t="shared" si="278"/>
        <v>0</v>
      </c>
    </row>
    <row r="8118" spans="3:10" ht="15.75" hidden="1" thickBot="1" x14ac:dyDescent="0.3">
      <c r="F8118" s="681" t="s">
        <v>246</v>
      </c>
      <c r="G8118" s="598" t="s">
        <v>4996</v>
      </c>
      <c r="H8118" s="559">
        <f>SUM(H8116)</f>
        <v>0</v>
      </c>
      <c r="I8118" s="560">
        <f>SUM(I8116)</f>
        <v>0</v>
      </c>
      <c r="J8118" s="556">
        <f t="shared" si="278"/>
        <v>0</v>
      </c>
    </row>
    <row r="8119" spans="3:10" ht="15.75" hidden="1" thickBot="1" x14ac:dyDescent="0.3">
      <c r="G8119" s="268" t="s">
        <v>5044</v>
      </c>
      <c r="H8119" s="561">
        <f>SUM(H8118)</f>
        <v>0</v>
      </c>
      <c r="I8119" s="562">
        <f>SUM(I8118)</f>
        <v>0</v>
      </c>
      <c r="J8119" s="684">
        <f t="shared" si="278"/>
        <v>0</v>
      </c>
    </row>
    <row r="8120" spans="3:10" hidden="1" x14ac:dyDescent="0.25">
      <c r="G8120" s="312"/>
      <c r="H8120" s="565"/>
      <c r="I8120" s="566"/>
      <c r="J8120" s="566"/>
    </row>
    <row r="8121" spans="3:10" hidden="1" x14ac:dyDescent="0.25">
      <c r="C8121" s="267" t="s">
        <v>4595</v>
      </c>
      <c r="D8121" s="259"/>
      <c r="G8121" s="493" t="s">
        <v>5047</v>
      </c>
    </row>
    <row r="8122" spans="3:10" hidden="1" x14ac:dyDescent="0.25">
      <c r="C8122" s="267"/>
      <c r="D8122" s="331">
        <v>911</v>
      </c>
      <c r="E8122" s="869"/>
      <c r="F8122" s="331"/>
      <c r="G8122" s="332" t="s">
        <v>4279</v>
      </c>
    </row>
    <row r="8123" spans="3:10" ht="15.75" hidden="1" thickBot="1" x14ac:dyDescent="0.3">
      <c r="F8123" s="499">
        <v>511</v>
      </c>
      <c r="G8123" s="496" t="s">
        <v>4158</v>
      </c>
      <c r="H8123" s="555">
        <v>0</v>
      </c>
      <c r="J8123" s="556">
        <f t="shared" ref="J8123" si="279">SUM(H8123:I8123)</f>
        <v>0</v>
      </c>
    </row>
    <row r="8124" spans="3:10" hidden="1" x14ac:dyDescent="0.25">
      <c r="G8124" s="342" t="s">
        <v>4365</v>
      </c>
      <c r="H8124" s="557"/>
      <c r="I8124" s="583"/>
      <c r="J8124" s="558"/>
    </row>
    <row r="8125" spans="3:10" ht="15.75" hidden="1" thickBot="1" x14ac:dyDescent="0.3">
      <c r="F8125" s="681" t="s">
        <v>244</v>
      </c>
      <c r="G8125" s="598" t="s">
        <v>245</v>
      </c>
      <c r="H8125" s="559"/>
      <c r="I8125" s="560">
        <f>SUM(I8123)</f>
        <v>0</v>
      </c>
      <c r="J8125" s="560">
        <f>SUM(H8125:I8125)</f>
        <v>0</v>
      </c>
    </row>
    <row r="8126" spans="3:10" ht="15.75" hidden="1" thickBot="1" x14ac:dyDescent="0.3">
      <c r="G8126" s="268" t="s">
        <v>4366</v>
      </c>
      <c r="H8126" s="561"/>
      <c r="I8126" s="562">
        <f>SUM(I8125)</f>
        <v>0</v>
      </c>
      <c r="J8126" s="682">
        <f t="shared" ref="J8126:J8129" si="280">SUM(H8126:I8126)</f>
        <v>0</v>
      </c>
    </row>
    <row r="8127" spans="3:10" hidden="1" x14ac:dyDescent="0.25">
      <c r="G8127" s="270" t="s">
        <v>5045</v>
      </c>
      <c r="H8127" s="563"/>
      <c r="I8127" s="584"/>
      <c r="J8127" s="560">
        <f t="shared" si="280"/>
        <v>0</v>
      </c>
    </row>
    <row r="8128" spans="3:10" ht="15.75" hidden="1" thickBot="1" x14ac:dyDescent="0.3">
      <c r="F8128" s="681" t="s">
        <v>246</v>
      </c>
      <c r="G8128" s="598" t="s">
        <v>4996</v>
      </c>
      <c r="H8128" s="559"/>
      <c r="I8128" s="560">
        <f>SUM(I8126)</f>
        <v>0</v>
      </c>
      <c r="J8128" s="560">
        <f t="shared" si="280"/>
        <v>0</v>
      </c>
    </row>
    <row r="8129" spans="1:10" ht="15.75" hidden="1" thickBot="1" x14ac:dyDescent="0.3">
      <c r="G8129" s="268" t="s">
        <v>5044</v>
      </c>
      <c r="H8129" s="561"/>
      <c r="I8129" s="562">
        <f>SUM(I8128)</f>
        <v>0</v>
      </c>
      <c r="J8129" s="682">
        <f t="shared" si="280"/>
        <v>0</v>
      </c>
    </row>
    <row r="8130" spans="1:10" hidden="1" x14ac:dyDescent="0.25">
      <c r="G8130" s="312"/>
      <c r="H8130" s="565"/>
      <c r="I8130" s="566"/>
      <c r="J8130" s="566"/>
    </row>
    <row r="8131" spans="1:10" ht="12.75" customHeight="1" x14ac:dyDescent="0.25">
      <c r="A8131" s="295"/>
      <c r="E8131" s="489"/>
      <c r="F8131" s="500"/>
      <c r="G8131" s="285" t="s">
        <v>4270</v>
      </c>
      <c r="H8131" s="567"/>
      <c r="I8131" s="585"/>
      <c r="J8131" s="568"/>
    </row>
    <row r="8132" spans="1:10" x14ac:dyDescent="0.25">
      <c r="E8132" s="693"/>
      <c r="F8132" s="597" t="s">
        <v>234</v>
      </c>
      <c r="G8132" s="598" t="s">
        <v>235</v>
      </c>
      <c r="H8132" s="559">
        <f>SUM(H8093,H7992)</f>
        <v>19313000</v>
      </c>
      <c r="I8132" s="560"/>
      <c r="J8132" s="560">
        <f t="shared" ref="J8132:J8148" si="281">SUM(H8132:I8132)</f>
        <v>19313000</v>
      </c>
    </row>
    <row r="8133" spans="1:10" hidden="1" x14ac:dyDescent="0.25">
      <c r="F8133" s="597" t="s">
        <v>236</v>
      </c>
      <c r="G8133" s="598" t="s">
        <v>237</v>
      </c>
      <c r="J8133" s="560">
        <f t="shared" si="281"/>
        <v>0</v>
      </c>
    </row>
    <row r="8134" spans="1:10" hidden="1" x14ac:dyDescent="0.25">
      <c r="F8134" s="597" t="s">
        <v>238</v>
      </c>
      <c r="G8134" s="598" t="s">
        <v>239</v>
      </c>
      <c r="J8134" s="560">
        <f t="shared" si="281"/>
        <v>0</v>
      </c>
    </row>
    <row r="8135" spans="1:10" x14ac:dyDescent="0.25">
      <c r="F8135" s="597" t="s">
        <v>240</v>
      </c>
      <c r="G8135" s="598" t="s">
        <v>241</v>
      </c>
      <c r="I8135" s="556">
        <f>SUM(I7977)</f>
        <v>2820000</v>
      </c>
      <c r="J8135" s="560">
        <f t="shared" si="281"/>
        <v>2820000</v>
      </c>
    </row>
    <row r="8136" spans="1:10" hidden="1" x14ac:dyDescent="0.25">
      <c r="F8136" s="597" t="s">
        <v>242</v>
      </c>
      <c r="G8136" s="598" t="s">
        <v>243</v>
      </c>
      <c r="J8136" s="560">
        <f t="shared" si="281"/>
        <v>0</v>
      </c>
    </row>
    <row r="8137" spans="1:10" ht="17.25" hidden="1" customHeight="1" x14ac:dyDescent="0.25">
      <c r="F8137" s="597" t="s">
        <v>244</v>
      </c>
      <c r="G8137" s="598" t="s">
        <v>245</v>
      </c>
      <c r="J8137" s="560">
        <f t="shared" si="281"/>
        <v>0</v>
      </c>
    </row>
    <row r="8138" spans="1:10" x14ac:dyDescent="0.25">
      <c r="F8138" s="597" t="s">
        <v>246</v>
      </c>
      <c r="G8138" s="598" t="s">
        <v>4996</v>
      </c>
      <c r="I8138" s="556">
        <f>SUM(I8108,I7980)</f>
        <v>4525000</v>
      </c>
      <c r="J8138" s="560">
        <f t="shared" si="281"/>
        <v>4525000</v>
      </c>
    </row>
    <row r="8139" spans="1:10" hidden="1" x14ac:dyDescent="0.25">
      <c r="F8139" s="597" t="s">
        <v>247</v>
      </c>
      <c r="G8139" s="598" t="s">
        <v>4995</v>
      </c>
      <c r="J8139" s="560">
        <f t="shared" si="281"/>
        <v>0</v>
      </c>
    </row>
    <row r="8140" spans="1:10" hidden="1" x14ac:dyDescent="0.25">
      <c r="F8140" s="597" t="s">
        <v>248</v>
      </c>
      <c r="G8140" s="598" t="s">
        <v>57</v>
      </c>
      <c r="J8140" s="560">
        <f t="shared" si="281"/>
        <v>0</v>
      </c>
    </row>
    <row r="8141" spans="1:10" hidden="1" x14ac:dyDescent="0.25">
      <c r="F8141" s="597" t="s">
        <v>249</v>
      </c>
      <c r="G8141" s="598" t="s">
        <v>250</v>
      </c>
      <c r="J8141" s="560">
        <f t="shared" si="281"/>
        <v>0</v>
      </c>
    </row>
    <row r="8142" spans="1:10" hidden="1" x14ac:dyDescent="0.25">
      <c r="F8142" s="597" t="s">
        <v>251</v>
      </c>
      <c r="G8142" s="598" t="s">
        <v>252</v>
      </c>
      <c r="J8142" s="560">
        <f t="shared" si="281"/>
        <v>0</v>
      </c>
    </row>
    <row r="8143" spans="1:10" ht="30" hidden="1" x14ac:dyDescent="0.25">
      <c r="F8143" s="597" t="s">
        <v>253</v>
      </c>
      <c r="G8143" s="598" t="s">
        <v>254</v>
      </c>
      <c r="J8143" s="560">
        <f t="shared" si="281"/>
        <v>0</v>
      </c>
    </row>
    <row r="8144" spans="1:10" x14ac:dyDescent="0.25">
      <c r="F8144" s="681" t="s">
        <v>247</v>
      </c>
      <c r="G8144" s="598" t="s">
        <v>4995</v>
      </c>
      <c r="I8144" s="556">
        <v>50000</v>
      </c>
      <c r="J8144" s="560">
        <f>SUM(H8144:I8144)</f>
        <v>50000</v>
      </c>
    </row>
    <row r="8145" spans="5:10" ht="15.75" thickBot="1" x14ac:dyDescent="0.3">
      <c r="F8145" s="597" t="s">
        <v>255</v>
      </c>
      <c r="G8145" s="598" t="s">
        <v>256</v>
      </c>
      <c r="H8145" s="556">
        <v>0</v>
      </c>
      <c r="I8145" s="556">
        <v>636000</v>
      </c>
      <c r="J8145" s="560">
        <f>SUM(H8145:I8145)</f>
        <v>636000</v>
      </c>
    </row>
    <row r="8146" spans="5:10" ht="30" hidden="1" x14ac:dyDescent="0.25">
      <c r="F8146" s="597" t="s">
        <v>257</v>
      </c>
      <c r="G8146" s="598" t="s">
        <v>258</v>
      </c>
      <c r="J8146" s="560">
        <f t="shared" si="281"/>
        <v>0</v>
      </c>
    </row>
    <row r="8147" spans="5:10" hidden="1" x14ac:dyDescent="0.25">
      <c r="F8147" s="597" t="s">
        <v>259</v>
      </c>
      <c r="G8147" s="598" t="s">
        <v>260</v>
      </c>
      <c r="J8147" s="560">
        <f t="shared" si="281"/>
        <v>0</v>
      </c>
    </row>
    <row r="8148" spans="5:10" ht="15.75" hidden="1" thickBot="1" x14ac:dyDescent="0.3">
      <c r="F8148" s="597" t="s">
        <v>261</v>
      </c>
      <c r="G8148" s="598" t="s">
        <v>262</v>
      </c>
      <c r="H8148" s="559"/>
      <c r="I8148" s="560"/>
      <c r="J8148" s="560">
        <f t="shared" si="281"/>
        <v>0</v>
      </c>
    </row>
    <row r="8149" spans="5:10" ht="14.25" customHeight="1" thickBot="1" x14ac:dyDescent="0.3">
      <c r="G8149" s="268" t="s">
        <v>4271</v>
      </c>
      <c r="H8149" s="561">
        <f>SUM(H8132:H8148)</f>
        <v>19313000</v>
      </c>
      <c r="I8149" s="562">
        <f>SUM(I8132:I8148)</f>
        <v>8031000</v>
      </c>
      <c r="J8149" s="562">
        <f>SUM(J8132:J8148)</f>
        <v>27344000</v>
      </c>
    </row>
    <row r="8150" spans="5:10" ht="12.75" customHeight="1" x14ac:dyDescent="0.25">
      <c r="E8150" s="489"/>
      <c r="F8150" s="500"/>
      <c r="G8150" s="285" t="s">
        <v>5346</v>
      </c>
      <c r="H8150" s="567"/>
      <c r="I8150" s="585"/>
      <c r="J8150" s="568"/>
    </row>
    <row r="8151" spans="5:10" x14ac:dyDescent="0.25">
      <c r="E8151" s="693"/>
      <c r="F8151" s="597" t="s">
        <v>234</v>
      </c>
      <c r="G8151" s="598" t="s">
        <v>235</v>
      </c>
      <c r="H8151" s="559">
        <f>SUM(H8132)</f>
        <v>19313000</v>
      </c>
      <c r="I8151" s="560"/>
      <c r="J8151" s="560">
        <f t="shared" ref="J8151:J8166" si="282">SUM(H8151:I8151)</f>
        <v>19313000</v>
      </c>
    </row>
    <row r="8152" spans="5:10" hidden="1" x14ac:dyDescent="0.25">
      <c r="F8152" s="597" t="s">
        <v>236</v>
      </c>
      <c r="G8152" s="598" t="s">
        <v>237</v>
      </c>
      <c r="J8152" s="560">
        <f t="shared" si="282"/>
        <v>0</v>
      </c>
    </row>
    <row r="8153" spans="5:10" ht="13.5" hidden="1" customHeight="1" x14ac:dyDescent="0.25">
      <c r="F8153" s="597" t="s">
        <v>238</v>
      </c>
      <c r="G8153" s="598" t="s">
        <v>239</v>
      </c>
      <c r="J8153" s="560">
        <f t="shared" si="282"/>
        <v>0</v>
      </c>
    </row>
    <row r="8154" spans="5:10" x14ac:dyDescent="0.25">
      <c r="F8154" s="597" t="s">
        <v>240</v>
      </c>
      <c r="G8154" s="598" t="s">
        <v>241</v>
      </c>
      <c r="I8154" s="556">
        <f>SUM(I8135)</f>
        <v>2820000</v>
      </c>
      <c r="J8154" s="560">
        <f t="shared" si="282"/>
        <v>2820000</v>
      </c>
    </row>
    <row r="8155" spans="5:10" hidden="1" x14ac:dyDescent="0.25">
      <c r="F8155" s="597" t="s">
        <v>242</v>
      </c>
      <c r="G8155" s="598" t="s">
        <v>243</v>
      </c>
      <c r="J8155" s="560">
        <f t="shared" si="282"/>
        <v>0</v>
      </c>
    </row>
    <row r="8156" spans="5:10" ht="14.25" hidden="1" customHeight="1" x14ac:dyDescent="0.25">
      <c r="F8156" s="597" t="s">
        <v>244</v>
      </c>
      <c r="G8156" s="598" t="s">
        <v>245</v>
      </c>
      <c r="J8156" s="560">
        <f t="shared" si="282"/>
        <v>0</v>
      </c>
    </row>
    <row r="8157" spans="5:10" ht="14.25" customHeight="1" x14ac:dyDescent="0.25">
      <c r="F8157" s="597" t="s">
        <v>246</v>
      </c>
      <c r="G8157" s="598" t="s">
        <v>4996</v>
      </c>
      <c r="I8157" s="556">
        <f>SUM(I8138)</f>
        <v>4525000</v>
      </c>
      <c r="J8157" s="560">
        <f t="shared" si="282"/>
        <v>4525000</v>
      </c>
    </row>
    <row r="8158" spans="5:10" x14ac:dyDescent="0.25">
      <c r="F8158" s="597" t="s">
        <v>247</v>
      </c>
      <c r="G8158" s="598" t="s">
        <v>4995</v>
      </c>
      <c r="I8158" s="556">
        <v>50000</v>
      </c>
      <c r="J8158" s="560">
        <f t="shared" si="282"/>
        <v>50000</v>
      </c>
    </row>
    <row r="8159" spans="5:10" hidden="1" x14ac:dyDescent="0.25">
      <c r="F8159" s="597" t="s">
        <v>248</v>
      </c>
      <c r="G8159" s="598" t="s">
        <v>57</v>
      </c>
      <c r="J8159" s="560">
        <f t="shared" si="282"/>
        <v>0</v>
      </c>
    </row>
    <row r="8160" spans="5:10" hidden="1" x14ac:dyDescent="0.25">
      <c r="F8160" s="597" t="s">
        <v>249</v>
      </c>
      <c r="G8160" s="598" t="s">
        <v>250</v>
      </c>
      <c r="J8160" s="560">
        <f t="shared" si="282"/>
        <v>0</v>
      </c>
    </row>
    <row r="8161" spans="1:25" hidden="1" x14ac:dyDescent="0.25">
      <c r="F8161" s="597" t="s">
        <v>251</v>
      </c>
      <c r="G8161" s="598" t="s">
        <v>252</v>
      </c>
      <c r="J8161" s="560">
        <f t="shared" si="282"/>
        <v>0</v>
      </c>
    </row>
    <row r="8162" spans="1:25" ht="30" hidden="1" x14ac:dyDescent="0.25">
      <c r="F8162" s="597" t="s">
        <v>253</v>
      </c>
      <c r="G8162" s="598" t="s">
        <v>254</v>
      </c>
      <c r="J8162" s="560">
        <f t="shared" si="282"/>
        <v>0</v>
      </c>
    </row>
    <row r="8163" spans="1:25" ht="15.75" thickBot="1" x14ac:dyDescent="0.3">
      <c r="F8163" s="597" t="s">
        <v>255</v>
      </c>
      <c r="G8163" s="598" t="s">
        <v>256</v>
      </c>
      <c r="H8163" s="556">
        <f>SUM(H8145)</f>
        <v>0</v>
      </c>
      <c r="I8163" s="556">
        <v>636000</v>
      </c>
      <c r="J8163" s="560">
        <f>SUM(H8163:I8163)</f>
        <v>636000</v>
      </c>
    </row>
    <row r="8164" spans="1:25" ht="30" hidden="1" x14ac:dyDescent="0.25">
      <c r="F8164" s="597" t="s">
        <v>257</v>
      </c>
      <c r="G8164" s="598" t="s">
        <v>258</v>
      </c>
      <c r="J8164" s="560">
        <f t="shared" si="282"/>
        <v>0</v>
      </c>
    </row>
    <row r="8165" spans="1:25" hidden="1" x14ac:dyDescent="0.25">
      <c r="F8165" s="597" t="s">
        <v>259</v>
      </c>
      <c r="G8165" s="598" t="s">
        <v>260</v>
      </c>
      <c r="J8165" s="560">
        <f t="shared" si="282"/>
        <v>0</v>
      </c>
    </row>
    <row r="8166" spans="1:25" ht="15.75" hidden="1" thickBot="1" x14ac:dyDescent="0.3">
      <c r="F8166" s="597" t="s">
        <v>261</v>
      </c>
      <c r="G8166" s="598" t="s">
        <v>262</v>
      </c>
      <c r="H8166" s="559"/>
      <c r="I8166" s="560"/>
      <c r="J8166" s="560">
        <f t="shared" si="282"/>
        <v>0</v>
      </c>
    </row>
    <row r="8167" spans="1:25" s="88" customFormat="1" ht="15" customHeight="1" thickBot="1" x14ac:dyDescent="0.3">
      <c r="A8167" s="295"/>
      <c r="B8167" s="295"/>
      <c r="C8167" s="487"/>
      <c r="D8167" s="295"/>
      <c r="E8167" s="889"/>
      <c r="F8167" s="295"/>
      <c r="G8167" s="802" t="s">
        <v>5347</v>
      </c>
      <c r="H8167" s="803">
        <f>SUM(H8151:H8166)</f>
        <v>19313000</v>
      </c>
      <c r="I8167" s="804">
        <f>SUM(I8154:I8166)</f>
        <v>8031000</v>
      </c>
      <c r="J8167" s="804">
        <f>SUM(J8151:J8166)</f>
        <v>27344000</v>
      </c>
      <c r="K8167" s="505"/>
      <c r="L8167" s="505"/>
      <c r="M8167" s="505"/>
      <c r="N8167" s="505"/>
      <c r="O8167" s="505"/>
      <c r="P8167" s="505"/>
      <c r="Q8167" s="505"/>
      <c r="R8167" s="505"/>
      <c r="S8167" s="505"/>
      <c r="T8167" s="505"/>
      <c r="U8167" s="505"/>
      <c r="V8167" s="505"/>
      <c r="W8167" s="505"/>
      <c r="X8167" s="505"/>
      <c r="Y8167" s="505"/>
    </row>
    <row r="8168" spans="1:25" s="839" customFormat="1" ht="14.25" customHeight="1" x14ac:dyDescent="0.25">
      <c r="A8168" s="842"/>
      <c r="B8168" s="841">
        <v>6</v>
      </c>
      <c r="C8168" s="852"/>
      <c r="D8168" s="842"/>
      <c r="E8168" s="882"/>
      <c r="F8168" s="842"/>
      <c r="G8168" s="853" t="s">
        <v>5345</v>
      </c>
      <c r="H8168" s="843"/>
      <c r="I8168" s="836"/>
      <c r="J8168" s="836"/>
      <c r="K8168" s="838"/>
      <c r="L8168" s="838"/>
      <c r="M8168" s="838"/>
      <c r="N8168" s="838"/>
      <c r="O8168" s="838"/>
      <c r="P8168" s="838"/>
      <c r="Q8168" s="838"/>
      <c r="R8168" s="838"/>
      <c r="S8168" s="838"/>
      <c r="T8168" s="838"/>
      <c r="U8168" s="838"/>
      <c r="V8168" s="838"/>
      <c r="W8168" s="838"/>
      <c r="X8168" s="838"/>
      <c r="Y8168" s="838"/>
    </row>
    <row r="8169" spans="1:25" s="88" customFormat="1" ht="12" customHeight="1" x14ac:dyDescent="0.25">
      <c r="A8169" s="795"/>
      <c r="B8169" s="295"/>
      <c r="C8169" s="796" t="s">
        <v>3599</v>
      </c>
      <c r="D8169" s="295"/>
      <c r="E8169" s="889"/>
      <c r="F8169" s="295"/>
      <c r="G8169" s="490" t="s">
        <v>4130</v>
      </c>
      <c r="H8169" s="580"/>
      <c r="I8169" s="571"/>
      <c r="J8169" s="571"/>
      <c r="K8169" s="505"/>
      <c r="L8169" s="505"/>
      <c r="M8169" s="505"/>
      <c r="N8169" s="505"/>
      <c r="O8169" s="505"/>
      <c r="P8169" s="505"/>
      <c r="Q8169" s="505"/>
      <c r="R8169" s="505"/>
      <c r="S8169" s="505"/>
      <c r="T8169" s="505"/>
      <c r="U8169" s="505"/>
      <c r="V8169" s="505"/>
      <c r="W8169" s="505"/>
      <c r="X8169" s="505"/>
      <c r="Y8169" s="505"/>
    </row>
    <row r="8170" spans="1:25" s="88" customFormat="1" x14ac:dyDescent="0.25">
      <c r="A8170" s="295"/>
      <c r="B8170" s="295"/>
      <c r="C8170" s="827" t="s">
        <v>4100</v>
      </c>
      <c r="D8170" s="505"/>
      <c r="E8170" s="890"/>
      <c r="F8170" s="283"/>
      <c r="G8170" s="828" t="s">
        <v>5137</v>
      </c>
      <c r="H8170" s="580"/>
      <c r="I8170" s="571"/>
      <c r="J8170" s="571"/>
      <c r="K8170" s="505"/>
      <c r="L8170" s="505"/>
      <c r="M8170" s="505"/>
      <c r="N8170" s="505"/>
      <c r="O8170" s="505"/>
      <c r="P8170" s="505"/>
      <c r="Q8170" s="505"/>
      <c r="R8170" s="505"/>
      <c r="S8170" s="505"/>
      <c r="T8170" s="505"/>
      <c r="U8170" s="505"/>
      <c r="V8170" s="505"/>
      <c r="W8170" s="505"/>
      <c r="X8170" s="505"/>
      <c r="Y8170" s="505"/>
    </row>
    <row r="8171" spans="1:25" s="88" customFormat="1" ht="12" customHeight="1" x14ac:dyDescent="0.25">
      <c r="A8171" s="295"/>
      <c r="B8171" s="295"/>
      <c r="C8171" s="796"/>
      <c r="D8171" s="816">
        <v>160</v>
      </c>
      <c r="E8171" s="891"/>
      <c r="F8171" s="816"/>
      <c r="G8171" s="333" t="s">
        <v>3899</v>
      </c>
      <c r="H8171" s="580"/>
      <c r="I8171" s="571"/>
      <c r="J8171" s="571"/>
      <c r="K8171" s="505"/>
      <c r="L8171" s="505"/>
      <c r="M8171" s="505"/>
      <c r="N8171" s="505"/>
      <c r="O8171" s="505"/>
      <c r="P8171" s="505"/>
      <c r="Q8171" s="505"/>
      <c r="R8171" s="505"/>
      <c r="S8171" s="505"/>
      <c r="T8171" s="505"/>
      <c r="U8171" s="505"/>
      <c r="V8171" s="505"/>
      <c r="W8171" s="505"/>
      <c r="X8171" s="505"/>
      <c r="Y8171" s="505"/>
    </row>
    <row r="8172" spans="1:25" hidden="1" x14ac:dyDescent="0.25">
      <c r="F8172" s="315">
        <v>411</v>
      </c>
      <c r="G8172" s="319" t="s">
        <v>4131</v>
      </c>
      <c r="J8172" s="556">
        <f>SUM(H8172:I8172)</f>
        <v>0</v>
      </c>
    </row>
    <row r="8173" spans="1:25" hidden="1" x14ac:dyDescent="0.25">
      <c r="F8173" s="315">
        <v>412</v>
      </c>
      <c r="G8173" s="317" t="s">
        <v>3766</v>
      </c>
      <c r="J8173" s="556">
        <f t="shared" ref="J8173:J8231" si="283">SUM(H8173:I8173)</f>
        <v>0</v>
      </c>
    </row>
    <row r="8174" spans="1:25" hidden="1" x14ac:dyDescent="0.25">
      <c r="F8174" s="315">
        <v>413</v>
      </c>
      <c r="G8174" s="319" t="s">
        <v>4132</v>
      </c>
      <c r="J8174" s="556">
        <f t="shared" si="283"/>
        <v>0</v>
      </c>
    </row>
    <row r="8175" spans="1:25" hidden="1" x14ac:dyDescent="0.25">
      <c r="F8175" s="315">
        <v>414</v>
      </c>
      <c r="G8175" s="319" t="s">
        <v>3769</v>
      </c>
      <c r="J8175" s="556">
        <f t="shared" si="283"/>
        <v>0</v>
      </c>
    </row>
    <row r="8176" spans="1:25" hidden="1" x14ac:dyDescent="0.25">
      <c r="F8176" s="315">
        <v>415</v>
      </c>
      <c r="G8176" s="319" t="s">
        <v>4141</v>
      </c>
      <c r="J8176" s="556">
        <f t="shared" si="283"/>
        <v>0</v>
      </c>
    </row>
    <row r="8177" spans="5:10" hidden="1" x14ac:dyDescent="0.25">
      <c r="F8177" s="315">
        <v>416</v>
      </c>
      <c r="G8177" s="319" t="s">
        <v>4142</v>
      </c>
      <c r="J8177" s="556">
        <f t="shared" si="283"/>
        <v>0</v>
      </c>
    </row>
    <row r="8178" spans="5:10" hidden="1" x14ac:dyDescent="0.25">
      <c r="F8178" s="315">
        <v>417</v>
      </c>
      <c r="G8178" s="319" t="s">
        <v>4143</v>
      </c>
      <c r="J8178" s="556">
        <f t="shared" si="283"/>
        <v>0</v>
      </c>
    </row>
    <row r="8179" spans="5:10" hidden="1" x14ac:dyDescent="0.25">
      <c r="F8179" s="315">
        <v>418</v>
      </c>
      <c r="G8179" s="319" t="s">
        <v>3775</v>
      </c>
      <c r="J8179" s="556">
        <f t="shared" si="283"/>
        <v>0</v>
      </c>
    </row>
    <row r="8180" spans="5:10" ht="24.75" customHeight="1" x14ac:dyDescent="0.25">
      <c r="E8180" s="679" t="s">
        <v>5393</v>
      </c>
      <c r="F8180" s="315">
        <v>421</v>
      </c>
      <c r="G8180" s="319" t="s">
        <v>3779</v>
      </c>
      <c r="H8180" s="555">
        <v>1500000</v>
      </c>
      <c r="I8180" s="556">
        <v>0</v>
      </c>
      <c r="J8180" s="556">
        <f t="shared" si="283"/>
        <v>1500000</v>
      </c>
    </row>
    <row r="8181" spans="5:10" x14ac:dyDescent="0.25">
      <c r="E8181" s="679">
        <v>279</v>
      </c>
      <c r="F8181" s="315">
        <v>422</v>
      </c>
      <c r="G8181" s="319" t="s">
        <v>3780</v>
      </c>
      <c r="H8181" s="555">
        <v>50000</v>
      </c>
      <c r="J8181" s="556">
        <f t="shared" si="283"/>
        <v>50000</v>
      </c>
    </row>
    <row r="8182" spans="5:10" ht="39" customHeight="1" x14ac:dyDescent="0.25">
      <c r="E8182" s="679" t="s">
        <v>5394</v>
      </c>
      <c r="F8182" s="315">
        <v>423</v>
      </c>
      <c r="G8182" s="319" t="s">
        <v>3781</v>
      </c>
      <c r="H8182" s="555">
        <v>1300000</v>
      </c>
      <c r="I8182" s="556">
        <v>0</v>
      </c>
      <c r="J8182" s="556">
        <f t="shared" si="283"/>
        <v>1300000</v>
      </c>
    </row>
    <row r="8183" spans="5:10" x14ac:dyDescent="0.25">
      <c r="E8183" s="258">
        <v>282</v>
      </c>
      <c r="F8183" s="315">
        <v>424</v>
      </c>
      <c r="G8183" s="319" t="s">
        <v>3783</v>
      </c>
      <c r="H8183" s="555">
        <v>200000</v>
      </c>
      <c r="J8183" s="556">
        <f t="shared" si="283"/>
        <v>200000</v>
      </c>
    </row>
    <row r="8184" spans="5:10" ht="39" customHeight="1" x14ac:dyDescent="0.25">
      <c r="E8184" s="679" t="s">
        <v>5395</v>
      </c>
      <c r="F8184" s="315">
        <v>425</v>
      </c>
      <c r="G8184" s="319" t="s">
        <v>4144</v>
      </c>
      <c r="H8184" s="555">
        <v>3200000</v>
      </c>
      <c r="I8184" s="556">
        <v>0</v>
      </c>
      <c r="J8184" s="556">
        <f t="shared" si="283"/>
        <v>3200000</v>
      </c>
    </row>
    <row r="8185" spans="5:10" x14ac:dyDescent="0.25">
      <c r="E8185" s="679">
        <v>285</v>
      </c>
      <c r="F8185" s="315">
        <v>426</v>
      </c>
      <c r="G8185" s="319" t="s">
        <v>3787</v>
      </c>
      <c r="H8185" s="555">
        <v>100000</v>
      </c>
      <c r="J8185" s="556">
        <f t="shared" si="283"/>
        <v>100000</v>
      </c>
    </row>
    <row r="8186" spans="5:10" hidden="1" x14ac:dyDescent="0.25">
      <c r="F8186" s="315">
        <v>431</v>
      </c>
      <c r="G8186" s="319" t="s">
        <v>4145</v>
      </c>
      <c r="J8186" s="556">
        <f t="shared" si="283"/>
        <v>0</v>
      </c>
    </row>
    <row r="8187" spans="5:10" hidden="1" x14ac:dyDescent="0.25">
      <c r="F8187" s="315">
        <v>432</v>
      </c>
      <c r="G8187" s="319" t="s">
        <v>4146</v>
      </c>
      <c r="J8187" s="556">
        <f t="shared" si="283"/>
        <v>0</v>
      </c>
    </row>
    <row r="8188" spans="5:10" hidden="1" x14ac:dyDescent="0.25">
      <c r="F8188" s="315">
        <v>433</v>
      </c>
      <c r="G8188" s="319" t="s">
        <v>4147</v>
      </c>
      <c r="J8188" s="556">
        <f t="shared" si="283"/>
        <v>0</v>
      </c>
    </row>
    <row r="8189" spans="5:10" hidden="1" x14ac:dyDescent="0.25">
      <c r="F8189" s="315">
        <v>434</v>
      </c>
      <c r="G8189" s="319" t="s">
        <v>4148</v>
      </c>
      <c r="J8189" s="556">
        <f t="shared" si="283"/>
        <v>0</v>
      </c>
    </row>
    <row r="8190" spans="5:10" hidden="1" x14ac:dyDescent="0.25">
      <c r="F8190" s="315">
        <v>435</v>
      </c>
      <c r="G8190" s="319" t="s">
        <v>3794</v>
      </c>
      <c r="J8190" s="556">
        <f t="shared" si="283"/>
        <v>0</v>
      </c>
    </row>
    <row r="8191" spans="5:10" hidden="1" x14ac:dyDescent="0.25">
      <c r="F8191" s="315">
        <v>441</v>
      </c>
      <c r="G8191" s="319" t="s">
        <v>4149</v>
      </c>
      <c r="J8191" s="556">
        <f t="shared" si="283"/>
        <v>0</v>
      </c>
    </row>
    <row r="8192" spans="5:10" hidden="1" x14ac:dyDescent="0.25">
      <c r="F8192" s="315">
        <v>442</v>
      </c>
      <c r="G8192" s="319" t="s">
        <v>4150</v>
      </c>
      <c r="J8192" s="556">
        <f t="shared" si="283"/>
        <v>0</v>
      </c>
    </row>
    <row r="8193" spans="5:10" hidden="1" x14ac:dyDescent="0.25">
      <c r="F8193" s="315">
        <v>443</v>
      </c>
      <c r="G8193" s="319" t="s">
        <v>3799</v>
      </c>
      <c r="J8193" s="556">
        <f t="shared" si="283"/>
        <v>0</v>
      </c>
    </row>
    <row r="8194" spans="5:10" hidden="1" x14ac:dyDescent="0.25">
      <c r="F8194" s="315">
        <v>444</v>
      </c>
      <c r="G8194" s="319" t="s">
        <v>3800</v>
      </c>
      <c r="J8194" s="556">
        <f t="shared" si="283"/>
        <v>0</v>
      </c>
    </row>
    <row r="8195" spans="5:10" ht="30" hidden="1" x14ac:dyDescent="0.25">
      <c r="F8195" s="315">
        <v>4511</v>
      </c>
      <c r="G8195" s="263" t="s">
        <v>1690</v>
      </c>
      <c r="J8195" s="556">
        <f t="shared" si="283"/>
        <v>0</v>
      </c>
    </row>
    <row r="8196" spans="5:10" ht="30" hidden="1" x14ac:dyDescent="0.25">
      <c r="F8196" s="315">
        <v>4512</v>
      </c>
      <c r="G8196" s="263" t="s">
        <v>1699</v>
      </c>
      <c r="J8196" s="556">
        <f t="shared" si="283"/>
        <v>0</v>
      </c>
    </row>
    <row r="8197" spans="5:10" hidden="1" x14ac:dyDescent="0.25">
      <c r="F8197" s="315">
        <v>452</v>
      </c>
      <c r="G8197" s="319" t="s">
        <v>4151</v>
      </c>
      <c r="J8197" s="556">
        <f t="shared" si="283"/>
        <v>0</v>
      </c>
    </row>
    <row r="8198" spans="5:10" hidden="1" x14ac:dyDescent="0.25">
      <c r="F8198" s="315">
        <v>453</v>
      </c>
      <c r="G8198" s="319" t="s">
        <v>4152</v>
      </c>
      <c r="J8198" s="556">
        <f t="shared" si="283"/>
        <v>0</v>
      </c>
    </row>
    <row r="8199" spans="5:10" hidden="1" x14ac:dyDescent="0.25">
      <c r="F8199" s="315">
        <v>454</v>
      </c>
      <c r="G8199" s="319" t="s">
        <v>3805</v>
      </c>
      <c r="J8199" s="556">
        <f t="shared" si="283"/>
        <v>0</v>
      </c>
    </row>
    <row r="8200" spans="5:10" hidden="1" x14ac:dyDescent="0.25">
      <c r="F8200" s="315">
        <v>461</v>
      </c>
      <c r="G8200" s="319" t="s">
        <v>4133</v>
      </c>
      <c r="J8200" s="556">
        <f t="shared" si="283"/>
        <v>0</v>
      </c>
    </row>
    <row r="8201" spans="5:10" hidden="1" x14ac:dyDescent="0.25">
      <c r="F8201" s="315">
        <v>462</v>
      </c>
      <c r="G8201" s="319" t="s">
        <v>3808</v>
      </c>
      <c r="J8201" s="556">
        <f t="shared" si="283"/>
        <v>0</v>
      </c>
    </row>
    <row r="8202" spans="5:10" hidden="1" x14ac:dyDescent="0.25">
      <c r="F8202" s="315">
        <v>4631</v>
      </c>
      <c r="G8202" s="319" t="s">
        <v>3809</v>
      </c>
      <c r="J8202" s="556">
        <f t="shared" si="283"/>
        <v>0</v>
      </c>
    </row>
    <row r="8203" spans="5:10" hidden="1" x14ac:dyDescent="0.25">
      <c r="F8203" s="315">
        <v>4632</v>
      </c>
      <c r="G8203" s="319" t="s">
        <v>3810</v>
      </c>
      <c r="J8203" s="556">
        <f t="shared" si="283"/>
        <v>0</v>
      </c>
    </row>
    <row r="8204" spans="5:10" hidden="1" x14ac:dyDescent="0.25">
      <c r="F8204" s="315">
        <v>464</v>
      </c>
      <c r="G8204" s="319" t="s">
        <v>3811</v>
      </c>
      <c r="J8204" s="556">
        <f t="shared" si="283"/>
        <v>0</v>
      </c>
    </row>
    <row r="8205" spans="5:10" hidden="1" x14ac:dyDescent="0.25">
      <c r="F8205" s="315">
        <v>465</v>
      </c>
      <c r="G8205" s="319" t="s">
        <v>4134</v>
      </c>
      <c r="J8205" s="556">
        <f t="shared" si="283"/>
        <v>0</v>
      </c>
    </row>
    <row r="8206" spans="5:10" hidden="1" x14ac:dyDescent="0.25">
      <c r="F8206" s="315">
        <v>472</v>
      </c>
      <c r="G8206" s="319" t="s">
        <v>3815</v>
      </c>
      <c r="J8206" s="556">
        <f t="shared" si="283"/>
        <v>0</v>
      </c>
    </row>
    <row r="8207" spans="5:10" hidden="1" x14ac:dyDescent="0.25">
      <c r="F8207" s="315">
        <v>481</v>
      </c>
      <c r="G8207" s="319" t="s">
        <v>4153</v>
      </c>
      <c r="J8207" s="556">
        <f t="shared" si="283"/>
        <v>0</v>
      </c>
    </row>
    <row r="8208" spans="5:10" x14ac:dyDescent="0.25">
      <c r="E8208" s="679">
        <v>286</v>
      </c>
      <c r="F8208" s="315">
        <v>482</v>
      </c>
      <c r="G8208" s="319" t="s">
        <v>4154</v>
      </c>
      <c r="H8208" s="555">
        <v>50000</v>
      </c>
      <c r="J8208" s="556">
        <f t="shared" si="283"/>
        <v>50000</v>
      </c>
    </row>
    <row r="8209" spans="5:10" hidden="1" x14ac:dyDescent="0.25">
      <c r="F8209" s="315">
        <v>483</v>
      </c>
      <c r="G8209" s="322" t="s">
        <v>4155</v>
      </c>
      <c r="J8209" s="556">
        <f t="shared" si="283"/>
        <v>0</v>
      </c>
    </row>
    <row r="8210" spans="5:10" ht="30" hidden="1" x14ac:dyDescent="0.25">
      <c r="F8210" s="315">
        <v>484</v>
      </c>
      <c r="G8210" s="319" t="s">
        <v>4156</v>
      </c>
      <c r="J8210" s="556">
        <f t="shared" si="283"/>
        <v>0</v>
      </c>
    </row>
    <row r="8211" spans="5:10" ht="30" hidden="1" x14ac:dyDescent="0.25">
      <c r="F8211" s="315">
        <v>485</v>
      </c>
      <c r="G8211" s="319" t="s">
        <v>4157</v>
      </c>
      <c r="J8211" s="556">
        <f t="shared" si="283"/>
        <v>0</v>
      </c>
    </row>
    <row r="8212" spans="5:10" ht="30" hidden="1" x14ac:dyDescent="0.25">
      <c r="F8212" s="315">
        <v>489</v>
      </c>
      <c r="G8212" s="319" t="s">
        <v>3823</v>
      </c>
      <c r="J8212" s="556">
        <f t="shared" si="283"/>
        <v>0</v>
      </c>
    </row>
    <row r="8213" spans="5:10" hidden="1" x14ac:dyDescent="0.25">
      <c r="F8213" s="315">
        <v>494</v>
      </c>
      <c r="G8213" s="319" t="s">
        <v>4135</v>
      </c>
      <c r="J8213" s="556">
        <f t="shared" si="283"/>
        <v>0</v>
      </c>
    </row>
    <row r="8214" spans="5:10" ht="30" hidden="1" x14ac:dyDescent="0.25">
      <c r="F8214" s="315">
        <v>495</v>
      </c>
      <c r="G8214" s="319" t="s">
        <v>4136</v>
      </c>
      <c r="J8214" s="556">
        <f t="shared" si="283"/>
        <v>0</v>
      </c>
    </row>
    <row r="8215" spans="5:10" ht="30" hidden="1" x14ac:dyDescent="0.25">
      <c r="F8215" s="315">
        <v>496</v>
      </c>
      <c r="G8215" s="319" t="s">
        <v>4137</v>
      </c>
      <c r="J8215" s="556">
        <f t="shared" si="283"/>
        <v>0</v>
      </c>
    </row>
    <row r="8216" spans="5:10" ht="30" hidden="1" x14ac:dyDescent="0.25">
      <c r="F8216" s="315">
        <v>499</v>
      </c>
      <c r="G8216" s="319" t="s">
        <v>4138</v>
      </c>
      <c r="J8216" s="556">
        <f t="shared" si="283"/>
        <v>0</v>
      </c>
    </row>
    <row r="8217" spans="5:10" ht="31.5" customHeight="1" x14ac:dyDescent="0.25">
      <c r="E8217" s="679" t="s">
        <v>5396</v>
      </c>
      <c r="F8217" s="499">
        <v>511</v>
      </c>
      <c r="G8217" s="492" t="s">
        <v>5322</v>
      </c>
      <c r="H8217" s="555">
        <v>0</v>
      </c>
      <c r="I8217" s="556">
        <v>0</v>
      </c>
      <c r="J8217" s="556">
        <f>SUM(H8217:I8217)</f>
        <v>0</v>
      </c>
    </row>
    <row r="8218" spans="5:10" x14ac:dyDescent="0.25">
      <c r="E8218" s="679">
        <v>289</v>
      </c>
      <c r="F8218" s="315">
        <v>512</v>
      </c>
      <c r="G8218" s="322" t="s">
        <v>4159</v>
      </c>
      <c r="H8218" s="555">
        <v>500000</v>
      </c>
      <c r="J8218" s="556">
        <f t="shared" si="283"/>
        <v>500000</v>
      </c>
    </row>
    <row r="8219" spans="5:10" ht="15.75" thickBot="1" x14ac:dyDescent="0.3">
      <c r="E8219" s="679">
        <v>290</v>
      </c>
      <c r="F8219" s="315">
        <v>513</v>
      </c>
      <c r="G8219" s="322" t="s">
        <v>4160</v>
      </c>
      <c r="H8219" s="555">
        <v>100000</v>
      </c>
      <c r="J8219" s="556">
        <f t="shared" si="283"/>
        <v>100000</v>
      </c>
    </row>
    <row r="8220" spans="5:10" hidden="1" x14ac:dyDescent="0.25">
      <c r="F8220" s="315">
        <v>514</v>
      </c>
      <c r="G8220" s="319" t="s">
        <v>4161</v>
      </c>
      <c r="J8220" s="556">
        <f t="shared" si="283"/>
        <v>0</v>
      </c>
    </row>
    <row r="8221" spans="5:10" hidden="1" x14ac:dyDescent="0.25">
      <c r="F8221" s="315">
        <v>515</v>
      </c>
      <c r="G8221" s="319" t="s">
        <v>3834</v>
      </c>
      <c r="J8221" s="556">
        <f t="shared" si="283"/>
        <v>0</v>
      </c>
    </row>
    <row r="8222" spans="5:10" hidden="1" x14ac:dyDescent="0.25">
      <c r="F8222" s="315">
        <v>521</v>
      </c>
      <c r="G8222" s="319" t="s">
        <v>4162</v>
      </c>
      <c r="J8222" s="556">
        <f t="shared" si="283"/>
        <v>0</v>
      </c>
    </row>
    <row r="8223" spans="5:10" hidden="1" x14ac:dyDescent="0.25">
      <c r="F8223" s="315">
        <v>522</v>
      </c>
      <c r="G8223" s="319" t="s">
        <v>4163</v>
      </c>
      <c r="J8223" s="556">
        <f t="shared" si="283"/>
        <v>0</v>
      </c>
    </row>
    <row r="8224" spans="5:10" hidden="1" x14ac:dyDescent="0.25">
      <c r="F8224" s="315">
        <v>523</v>
      </c>
      <c r="G8224" s="319" t="s">
        <v>3839</v>
      </c>
      <c r="J8224" s="556">
        <f t="shared" si="283"/>
        <v>0</v>
      </c>
    </row>
    <row r="8225" spans="5:10" hidden="1" x14ac:dyDescent="0.25">
      <c r="F8225" s="315">
        <v>531</v>
      </c>
      <c r="G8225" s="317" t="s">
        <v>4139</v>
      </c>
      <c r="J8225" s="556">
        <f t="shared" si="283"/>
        <v>0</v>
      </c>
    </row>
    <row r="8226" spans="5:10" hidden="1" x14ac:dyDescent="0.25">
      <c r="F8226" s="315">
        <v>541</v>
      </c>
      <c r="G8226" s="319" t="s">
        <v>4164</v>
      </c>
      <c r="J8226" s="556">
        <f t="shared" si="283"/>
        <v>0</v>
      </c>
    </row>
    <row r="8227" spans="5:10" hidden="1" x14ac:dyDescent="0.25">
      <c r="F8227" s="315">
        <v>542</v>
      </c>
      <c r="G8227" s="319" t="s">
        <v>4165</v>
      </c>
      <c r="J8227" s="556">
        <f t="shared" si="283"/>
        <v>0</v>
      </c>
    </row>
    <row r="8228" spans="5:10" hidden="1" x14ac:dyDescent="0.25">
      <c r="F8228" s="315">
        <v>543</v>
      </c>
      <c r="G8228" s="319" t="s">
        <v>3844</v>
      </c>
      <c r="J8228" s="556">
        <f t="shared" si="283"/>
        <v>0</v>
      </c>
    </row>
    <row r="8229" spans="5:10" ht="30" hidden="1" x14ac:dyDescent="0.25">
      <c r="F8229" s="315">
        <v>551</v>
      </c>
      <c r="G8229" s="319" t="s">
        <v>4140</v>
      </c>
      <c r="J8229" s="556">
        <f t="shared" si="283"/>
        <v>0</v>
      </c>
    </row>
    <row r="8230" spans="5:10" hidden="1" x14ac:dyDescent="0.25">
      <c r="F8230" s="316">
        <v>611</v>
      </c>
      <c r="G8230" s="323" t="s">
        <v>3850</v>
      </c>
      <c r="J8230" s="556">
        <f t="shared" si="283"/>
        <v>0</v>
      </c>
    </row>
    <row r="8231" spans="5:10" ht="15.75" hidden="1" thickBot="1" x14ac:dyDescent="0.3">
      <c r="F8231" s="316">
        <v>620</v>
      </c>
      <c r="G8231" s="323" t="s">
        <v>88</v>
      </c>
      <c r="J8231" s="556">
        <f t="shared" si="283"/>
        <v>0</v>
      </c>
    </row>
    <row r="8232" spans="5:10" x14ac:dyDescent="0.25">
      <c r="E8232" s="489"/>
      <c r="F8232" s="324"/>
      <c r="G8232" s="343" t="s">
        <v>4324</v>
      </c>
      <c r="H8232" s="557"/>
      <c r="I8232" s="583"/>
      <c r="J8232" s="558"/>
    </row>
    <row r="8233" spans="5:10" x14ac:dyDescent="0.25">
      <c r="E8233" s="693"/>
      <c r="F8233" s="284" t="s">
        <v>234</v>
      </c>
      <c r="G8233" s="287" t="s">
        <v>235</v>
      </c>
      <c r="H8233" s="559">
        <v>5000000</v>
      </c>
      <c r="I8233" s="560"/>
      <c r="J8233" s="560">
        <f t="shared" ref="J8233:J8248" si="284">SUM(H8233:I8233)</f>
        <v>5000000</v>
      </c>
    </row>
    <row r="8234" spans="5:10" hidden="1" x14ac:dyDescent="0.25">
      <c r="F8234" s="284" t="s">
        <v>236</v>
      </c>
      <c r="G8234" s="287" t="s">
        <v>237</v>
      </c>
      <c r="J8234" s="560">
        <f t="shared" si="284"/>
        <v>0</v>
      </c>
    </row>
    <row r="8235" spans="5:10" hidden="1" x14ac:dyDescent="0.25">
      <c r="F8235" s="284" t="s">
        <v>238</v>
      </c>
      <c r="G8235" s="287" t="s">
        <v>239</v>
      </c>
      <c r="J8235" s="560">
        <f t="shared" si="284"/>
        <v>0</v>
      </c>
    </row>
    <row r="8236" spans="5:10" hidden="1" x14ac:dyDescent="0.25">
      <c r="F8236" s="284" t="s">
        <v>240</v>
      </c>
      <c r="G8236" s="287" t="s">
        <v>241</v>
      </c>
      <c r="J8236" s="560">
        <f t="shared" si="284"/>
        <v>0</v>
      </c>
    </row>
    <row r="8237" spans="5:10" hidden="1" x14ac:dyDescent="0.25">
      <c r="F8237" s="284" t="s">
        <v>242</v>
      </c>
      <c r="G8237" s="287" t="s">
        <v>243</v>
      </c>
      <c r="J8237" s="560">
        <f t="shared" si="284"/>
        <v>0</v>
      </c>
    </row>
    <row r="8238" spans="5:10" hidden="1" x14ac:dyDescent="0.25">
      <c r="F8238" s="284" t="s">
        <v>244</v>
      </c>
      <c r="G8238" s="287" t="s">
        <v>245</v>
      </c>
      <c r="J8238" s="560">
        <f t="shared" si="284"/>
        <v>0</v>
      </c>
    </row>
    <row r="8239" spans="5:10" hidden="1" x14ac:dyDescent="0.25">
      <c r="F8239" s="284" t="s">
        <v>246</v>
      </c>
      <c r="G8239" s="598" t="s">
        <v>4996</v>
      </c>
      <c r="J8239" s="560">
        <f t="shared" si="284"/>
        <v>0</v>
      </c>
    </row>
    <row r="8240" spans="5:10" x14ac:dyDescent="0.25">
      <c r="F8240" s="284" t="s">
        <v>247</v>
      </c>
      <c r="G8240" s="598" t="s">
        <v>4995</v>
      </c>
      <c r="I8240" s="556">
        <v>0</v>
      </c>
      <c r="J8240" s="560">
        <f t="shared" si="284"/>
        <v>0</v>
      </c>
    </row>
    <row r="8241" spans="5:10" hidden="1" x14ac:dyDescent="0.25">
      <c r="F8241" s="284" t="s">
        <v>248</v>
      </c>
      <c r="G8241" s="287" t="s">
        <v>57</v>
      </c>
      <c r="J8241" s="560">
        <f t="shared" si="284"/>
        <v>0</v>
      </c>
    </row>
    <row r="8242" spans="5:10" hidden="1" x14ac:dyDescent="0.25">
      <c r="F8242" s="284" t="s">
        <v>249</v>
      </c>
      <c r="G8242" s="287" t="s">
        <v>250</v>
      </c>
      <c r="J8242" s="560">
        <f t="shared" si="284"/>
        <v>0</v>
      </c>
    </row>
    <row r="8243" spans="5:10" hidden="1" x14ac:dyDescent="0.25">
      <c r="F8243" s="284" t="s">
        <v>251</v>
      </c>
      <c r="G8243" s="287" t="s">
        <v>252</v>
      </c>
      <c r="J8243" s="560">
        <f t="shared" si="284"/>
        <v>0</v>
      </c>
    </row>
    <row r="8244" spans="5:10" ht="30" hidden="1" x14ac:dyDescent="0.25">
      <c r="F8244" s="284" t="s">
        <v>253</v>
      </c>
      <c r="G8244" s="287" t="s">
        <v>254</v>
      </c>
      <c r="J8244" s="560">
        <f t="shared" si="284"/>
        <v>0</v>
      </c>
    </row>
    <row r="8245" spans="5:10" ht="15.75" thickBot="1" x14ac:dyDescent="0.3">
      <c r="F8245" s="284" t="s">
        <v>255</v>
      </c>
      <c r="G8245" s="287" t="s">
        <v>256</v>
      </c>
      <c r="H8245" s="556">
        <v>2000000</v>
      </c>
      <c r="J8245" s="560">
        <f>SUM(H8245:H8245)</f>
        <v>2000000</v>
      </c>
    </row>
    <row r="8246" spans="5:10" ht="30" hidden="1" x14ac:dyDescent="0.25">
      <c r="F8246" s="284" t="s">
        <v>257</v>
      </c>
      <c r="G8246" s="287" t="s">
        <v>258</v>
      </c>
      <c r="J8246" s="560">
        <f t="shared" si="284"/>
        <v>0</v>
      </c>
    </row>
    <row r="8247" spans="5:10" hidden="1" x14ac:dyDescent="0.25">
      <c r="F8247" s="284" t="s">
        <v>259</v>
      </c>
      <c r="G8247" s="287" t="s">
        <v>260</v>
      </c>
      <c r="J8247" s="560">
        <f t="shared" si="284"/>
        <v>0</v>
      </c>
    </row>
    <row r="8248" spans="5:10" ht="15.75" hidden="1" thickBot="1" x14ac:dyDescent="0.3">
      <c r="F8248" s="284" t="s">
        <v>261</v>
      </c>
      <c r="G8248" s="287" t="s">
        <v>262</v>
      </c>
      <c r="H8248" s="559"/>
      <c r="I8248" s="560"/>
      <c r="J8248" s="560">
        <f t="shared" si="284"/>
        <v>0</v>
      </c>
    </row>
    <row r="8249" spans="5:10" ht="17.25" customHeight="1" thickBot="1" x14ac:dyDescent="0.3">
      <c r="G8249" s="268" t="s">
        <v>4325</v>
      </c>
      <c r="H8249" s="561">
        <f>SUM(H8233:H8248)</f>
        <v>7000000</v>
      </c>
      <c r="I8249" s="562">
        <f>SUM(I8234:I8248)</f>
        <v>0</v>
      </c>
      <c r="J8249" s="562">
        <f>SUM(J8233:J8248)</f>
        <v>7000000</v>
      </c>
    </row>
    <row r="8250" spans="5:10" ht="28.5" collapsed="1" x14ac:dyDescent="0.25">
      <c r="E8250" s="489"/>
      <c r="F8250" s="316"/>
      <c r="G8250" s="270" t="s">
        <v>4226</v>
      </c>
      <c r="H8250" s="563"/>
      <c r="I8250" s="584"/>
      <c r="J8250" s="564"/>
    </row>
    <row r="8251" spans="5:10" ht="16.5" customHeight="1" x14ac:dyDescent="0.25">
      <c r="E8251" s="693"/>
      <c r="F8251" s="284" t="s">
        <v>234</v>
      </c>
      <c r="G8251" s="287" t="s">
        <v>235</v>
      </c>
      <c r="H8251" s="559">
        <v>5000000</v>
      </c>
      <c r="I8251" s="560"/>
      <c r="J8251" s="560">
        <f>SUM(H8251:I8251)</f>
        <v>5000000</v>
      </c>
    </row>
    <row r="8252" spans="5:10" hidden="1" x14ac:dyDescent="0.25">
      <c r="F8252" s="284" t="s">
        <v>236</v>
      </c>
      <c r="G8252" s="287" t="s">
        <v>237</v>
      </c>
      <c r="J8252" s="560">
        <f t="shared" ref="J8252:J8266" si="285">SUM(H8252:I8252)</f>
        <v>0</v>
      </c>
    </row>
    <row r="8253" spans="5:10" hidden="1" x14ac:dyDescent="0.25">
      <c r="F8253" s="284" t="s">
        <v>238</v>
      </c>
      <c r="G8253" s="287" t="s">
        <v>239</v>
      </c>
      <c r="J8253" s="560">
        <f t="shared" si="285"/>
        <v>0</v>
      </c>
    </row>
    <row r="8254" spans="5:10" hidden="1" x14ac:dyDescent="0.25">
      <c r="F8254" s="284" t="s">
        <v>240</v>
      </c>
      <c r="G8254" s="287" t="s">
        <v>241</v>
      </c>
      <c r="J8254" s="560">
        <f t="shared" si="285"/>
        <v>0</v>
      </c>
    </row>
    <row r="8255" spans="5:10" hidden="1" x14ac:dyDescent="0.25">
      <c r="F8255" s="284" t="s">
        <v>242</v>
      </c>
      <c r="G8255" s="287" t="s">
        <v>243</v>
      </c>
      <c r="J8255" s="560">
        <f t="shared" si="285"/>
        <v>0</v>
      </c>
    </row>
    <row r="8256" spans="5:10" hidden="1" x14ac:dyDescent="0.25">
      <c r="F8256" s="284" t="s">
        <v>244</v>
      </c>
      <c r="G8256" s="287" t="s">
        <v>245</v>
      </c>
      <c r="J8256" s="560">
        <f t="shared" si="285"/>
        <v>0</v>
      </c>
    </row>
    <row r="8257" spans="5:10" hidden="1" x14ac:dyDescent="0.25">
      <c r="F8257" s="284" t="s">
        <v>246</v>
      </c>
      <c r="G8257" s="598" t="s">
        <v>4996</v>
      </c>
      <c r="J8257" s="560">
        <f t="shared" si="285"/>
        <v>0</v>
      </c>
    </row>
    <row r="8258" spans="5:10" x14ac:dyDescent="0.25">
      <c r="F8258" s="284" t="s">
        <v>247</v>
      </c>
      <c r="G8258" s="598" t="s">
        <v>4995</v>
      </c>
      <c r="I8258" s="556">
        <v>0</v>
      </c>
      <c r="J8258" s="560">
        <f t="shared" si="285"/>
        <v>0</v>
      </c>
    </row>
    <row r="8259" spans="5:10" hidden="1" x14ac:dyDescent="0.25">
      <c r="F8259" s="284" t="s">
        <v>248</v>
      </c>
      <c r="G8259" s="287" t="s">
        <v>57</v>
      </c>
      <c r="J8259" s="560">
        <f t="shared" si="285"/>
        <v>0</v>
      </c>
    </row>
    <row r="8260" spans="5:10" hidden="1" x14ac:dyDescent="0.25">
      <c r="F8260" s="284" t="s">
        <v>249</v>
      </c>
      <c r="G8260" s="287" t="s">
        <v>250</v>
      </c>
      <c r="J8260" s="560">
        <f t="shared" si="285"/>
        <v>0</v>
      </c>
    </row>
    <row r="8261" spans="5:10" hidden="1" x14ac:dyDescent="0.25">
      <c r="F8261" s="284" t="s">
        <v>251</v>
      </c>
      <c r="G8261" s="287" t="s">
        <v>252</v>
      </c>
      <c r="J8261" s="560">
        <f t="shared" si="285"/>
        <v>0</v>
      </c>
    </row>
    <row r="8262" spans="5:10" ht="30" hidden="1" x14ac:dyDescent="0.25">
      <c r="F8262" s="284" t="s">
        <v>253</v>
      </c>
      <c r="G8262" s="287" t="s">
        <v>254</v>
      </c>
      <c r="J8262" s="560">
        <f t="shared" si="285"/>
        <v>0</v>
      </c>
    </row>
    <row r="8263" spans="5:10" ht="15.75" thickBot="1" x14ac:dyDescent="0.3">
      <c r="F8263" s="284" t="s">
        <v>255</v>
      </c>
      <c r="G8263" s="287" t="s">
        <v>256</v>
      </c>
      <c r="H8263" s="556">
        <v>2000000</v>
      </c>
      <c r="J8263" s="560">
        <f>SUM(H8263:H8263)</f>
        <v>2000000</v>
      </c>
    </row>
    <row r="8264" spans="5:10" ht="30" hidden="1" x14ac:dyDescent="0.25">
      <c r="F8264" s="284" t="s">
        <v>257</v>
      </c>
      <c r="G8264" s="287" t="s">
        <v>258</v>
      </c>
      <c r="J8264" s="560">
        <f t="shared" si="285"/>
        <v>0</v>
      </c>
    </row>
    <row r="8265" spans="5:10" hidden="1" x14ac:dyDescent="0.25">
      <c r="F8265" s="284" t="s">
        <v>259</v>
      </c>
      <c r="G8265" s="287" t="s">
        <v>260</v>
      </c>
      <c r="J8265" s="560">
        <f t="shared" si="285"/>
        <v>0</v>
      </c>
    </row>
    <row r="8266" spans="5:10" ht="15.75" hidden="1" thickBot="1" x14ac:dyDescent="0.3">
      <c r="F8266" s="284" t="s">
        <v>261</v>
      </c>
      <c r="G8266" s="287" t="s">
        <v>262</v>
      </c>
      <c r="H8266" s="559"/>
      <c r="I8266" s="560"/>
      <c r="J8266" s="560">
        <f t="shared" si="285"/>
        <v>0</v>
      </c>
    </row>
    <row r="8267" spans="5:10" ht="15" customHeight="1" collapsed="1" thickBot="1" x14ac:dyDescent="0.3">
      <c r="G8267" s="268" t="s">
        <v>4326</v>
      </c>
      <c r="H8267" s="561">
        <f>SUM(H8251:H8266)</f>
        <v>7000000</v>
      </c>
      <c r="I8267" s="562">
        <f>SUM(I8252:I8266)</f>
        <v>0</v>
      </c>
      <c r="J8267" s="562">
        <f>SUM(J8251:J8266)</f>
        <v>7000000</v>
      </c>
    </row>
    <row r="8268" spans="5:10" ht="0.75" customHeight="1" x14ac:dyDescent="0.25"/>
    <row r="8269" spans="5:10" ht="0.75" customHeight="1" x14ac:dyDescent="0.25"/>
    <row r="8270" spans="5:10" ht="13.5" customHeight="1" x14ac:dyDescent="0.25">
      <c r="E8270" s="489"/>
      <c r="F8270" s="324"/>
      <c r="G8270" s="285" t="s">
        <v>4167</v>
      </c>
      <c r="H8270" s="567"/>
      <c r="I8270" s="585"/>
      <c r="J8270" s="750"/>
    </row>
    <row r="8271" spans="5:10" ht="15" customHeight="1" x14ac:dyDescent="0.25">
      <c r="E8271" s="693"/>
      <c r="F8271" s="284" t="s">
        <v>234</v>
      </c>
      <c r="G8271" s="287" t="s">
        <v>235</v>
      </c>
      <c r="H8271" s="559">
        <f>SUM(H8251)</f>
        <v>5000000</v>
      </c>
      <c r="I8271" s="560"/>
      <c r="J8271" s="560">
        <f>SUM(H8271:I8271)</f>
        <v>5000000</v>
      </c>
    </row>
    <row r="8272" spans="5:10" hidden="1" x14ac:dyDescent="0.25">
      <c r="F8272" s="284" t="s">
        <v>236</v>
      </c>
      <c r="G8272" s="287" t="s">
        <v>237</v>
      </c>
      <c r="J8272" s="560">
        <f t="shared" ref="J8272:J8286" si="286">SUM(H8272:I8272)</f>
        <v>0</v>
      </c>
    </row>
    <row r="8273" spans="6:10" hidden="1" x14ac:dyDescent="0.25">
      <c r="F8273" s="284" t="s">
        <v>238</v>
      </c>
      <c r="G8273" s="287" t="s">
        <v>239</v>
      </c>
      <c r="J8273" s="560">
        <f t="shared" si="286"/>
        <v>0</v>
      </c>
    </row>
    <row r="8274" spans="6:10" hidden="1" x14ac:dyDescent="0.25">
      <c r="F8274" s="284" t="s">
        <v>240</v>
      </c>
      <c r="G8274" s="287" t="s">
        <v>241</v>
      </c>
      <c r="J8274" s="560">
        <f t="shared" si="286"/>
        <v>0</v>
      </c>
    </row>
    <row r="8275" spans="6:10" hidden="1" x14ac:dyDescent="0.25">
      <c r="F8275" s="284" t="s">
        <v>242</v>
      </c>
      <c r="G8275" s="287" t="s">
        <v>243</v>
      </c>
      <c r="J8275" s="560">
        <f t="shared" si="286"/>
        <v>0</v>
      </c>
    </row>
    <row r="8276" spans="6:10" hidden="1" x14ac:dyDescent="0.25">
      <c r="F8276" s="284" t="s">
        <v>244</v>
      </c>
      <c r="G8276" s="287" t="s">
        <v>245</v>
      </c>
      <c r="J8276" s="560">
        <f t="shared" si="286"/>
        <v>0</v>
      </c>
    </row>
    <row r="8277" spans="6:10" hidden="1" x14ac:dyDescent="0.25">
      <c r="F8277" s="284" t="s">
        <v>246</v>
      </c>
      <c r="G8277" s="598" t="s">
        <v>4996</v>
      </c>
      <c r="J8277" s="560">
        <f t="shared" si="286"/>
        <v>0</v>
      </c>
    </row>
    <row r="8278" spans="6:10" x14ac:dyDescent="0.25">
      <c r="F8278" s="284" t="s">
        <v>247</v>
      </c>
      <c r="G8278" s="598" t="s">
        <v>4995</v>
      </c>
      <c r="I8278" s="556">
        <v>0</v>
      </c>
      <c r="J8278" s="560">
        <f t="shared" si="286"/>
        <v>0</v>
      </c>
    </row>
    <row r="8279" spans="6:10" hidden="1" x14ac:dyDescent="0.25">
      <c r="F8279" s="284" t="s">
        <v>248</v>
      </c>
      <c r="G8279" s="287" t="s">
        <v>57</v>
      </c>
      <c r="J8279" s="560">
        <f t="shared" si="286"/>
        <v>0</v>
      </c>
    </row>
    <row r="8280" spans="6:10" hidden="1" x14ac:dyDescent="0.25">
      <c r="F8280" s="284" t="s">
        <v>249</v>
      </c>
      <c r="G8280" s="287" t="s">
        <v>250</v>
      </c>
      <c r="J8280" s="560">
        <f t="shared" si="286"/>
        <v>0</v>
      </c>
    </row>
    <row r="8281" spans="6:10" hidden="1" x14ac:dyDescent="0.25">
      <c r="F8281" s="284" t="s">
        <v>251</v>
      </c>
      <c r="G8281" s="287" t="s">
        <v>252</v>
      </c>
      <c r="J8281" s="560">
        <f t="shared" si="286"/>
        <v>0</v>
      </c>
    </row>
    <row r="8282" spans="6:10" ht="30" hidden="1" x14ac:dyDescent="0.25">
      <c r="F8282" s="284" t="s">
        <v>253</v>
      </c>
      <c r="G8282" s="287" t="s">
        <v>254</v>
      </c>
      <c r="J8282" s="560">
        <f t="shared" si="286"/>
        <v>0</v>
      </c>
    </row>
    <row r="8283" spans="6:10" ht="15.75" thickBot="1" x14ac:dyDescent="0.3">
      <c r="F8283" s="284" t="s">
        <v>255</v>
      </c>
      <c r="G8283" s="287" t="s">
        <v>256</v>
      </c>
      <c r="H8283" s="556">
        <v>2000000</v>
      </c>
      <c r="J8283" s="560">
        <f>SUM(H8283:H8283)</f>
        <v>2000000</v>
      </c>
    </row>
    <row r="8284" spans="6:10" ht="30" hidden="1" x14ac:dyDescent="0.25">
      <c r="F8284" s="284" t="s">
        <v>257</v>
      </c>
      <c r="G8284" s="287" t="s">
        <v>258</v>
      </c>
      <c r="J8284" s="560">
        <f t="shared" si="286"/>
        <v>0</v>
      </c>
    </row>
    <row r="8285" spans="6:10" hidden="1" x14ac:dyDescent="0.25">
      <c r="F8285" s="284" t="s">
        <v>259</v>
      </c>
      <c r="G8285" s="287" t="s">
        <v>260</v>
      </c>
      <c r="J8285" s="560">
        <f t="shared" si="286"/>
        <v>0</v>
      </c>
    </row>
    <row r="8286" spans="6:10" ht="15.75" hidden="1" thickBot="1" x14ac:dyDescent="0.3">
      <c r="F8286" s="284" t="s">
        <v>261</v>
      </c>
      <c r="G8286" s="287" t="s">
        <v>262</v>
      </c>
      <c r="H8286" s="559"/>
      <c r="I8286" s="560"/>
      <c r="J8286" s="560">
        <f t="shared" si="286"/>
        <v>0</v>
      </c>
    </row>
    <row r="8287" spans="6:10" ht="13.5" customHeight="1" thickBot="1" x14ac:dyDescent="0.3">
      <c r="G8287" s="268" t="s">
        <v>4168</v>
      </c>
      <c r="H8287" s="561">
        <f>SUM(H8271:H8286)</f>
        <v>7000000</v>
      </c>
      <c r="I8287" s="562">
        <f>SUM(I8272:I8286)</f>
        <v>0</v>
      </c>
      <c r="J8287" s="562">
        <f>SUM(J8271:J8286)</f>
        <v>7000000</v>
      </c>
    </row>
    <row r="8288" spans="6:10" hidden="1" x14ac:dyDescent="0.25"/>
    <row r="8289" spans="1:25" s="88" customFormat="1" x14ac:dyDescent="0.25">
      <c r="A8289" s="258"/>
      <c r="B8289" s="288"/>
      <c r="C8289" s="334"/>
      <c r="D8289" s="286"/>
      <c r="E8289" s="876"/>
      <c r="F8289" s="316"/>
      <c r="G8289" s="285" t="s">
        <v>4256</v>
      </c>
      <c r="H8289" s="567"/>
      <c r="I8289" s="585"/>
      <c r="J8289" s="568"/>
      <c r="K8289" s="505"/>
      <c r="L8289" s="505"/>
      <c r="M8289" s="505"/>
      <c r="N8289" s="505"/>
      <c r="O8289" s="505"/>
      <c r="P8289" s="505"/>
      <c r="Q8289" s="505"/>
      <c r="R8289" s="505"/>
      <c r="S8289" s="505"/>
      <c r="T8289" s="505"/>
      <c r="U8289" s="505"/>
      <c r="V8289" s="505"/>
      <c r="W8289" s="505"/>
      <c r="X8289" s="505"/>
      <c r="Y8289" s="505"/>
    </row>
    <row r="8290" spans="1:25" s="88" customFormat="1" ht="12.75" customHeight="1" x14ac:dyDescent="0.25">
      <c r="A8290" s="314"/>
      <c r="B8290" s="288"/>
      <c r="C8290" s="334"/>
      <c r="D8290" s="286"/>
      <c r="E8290" s="876"/>
      <c r="F8290" s="284" t="s">
        <v>234</v>
      </c>
      <c r="G8290" s="287" t="s">
        <v>235</v>
      </c>
      <c r="H8290" s="559">
        <f>SUM(H8251)</f>
        <v>5000000</v>
      </c>
      <c r="I8290" s="560"/>
      <c r="J8290" s="560">
        <f>SUM(H8290:I8290)</f>
        <v>5000000</v>
      </c>
      <c r="K8290" s="505"/>
      <c r="L8290" s="505"/>
      <c r="M8290" s="505"/>
      <c r="N8290" s="505"/>
      <c r="O8290" s="505"/>
      <c r="P8290" s="505"/>
      <c r="Q8290" s="505"/>
      <c r="R8290" s="505"/>
      <c r="S8290" s="505"/>
      <c r="T8290" s="505"/>
      <c r="U8290" s="505"/>
      <c r="V8290" s="505"/>
      <c r="W8290" s="505"/>
      <c r="X8290" s="505"/>
      <c r="Y8290" s="505"/>
    </row>
    <row r="8291" spans="1:25" s="88" customFormat="1" hidden="1" x14ac:dyDescent="0.25">
      <c r="A8291" s="314"/>
      <c r="B8291" s="288"/>
      <c r="C8291" s="334"/>
      <c r="D8291" s="286"/>
      <c r="E8291" s="876"/>
      <c r="F8291" s="284" t="s">
        <v>236</v>
      </c>
      <c r="G8291" s="287" t="s">
        <v>237</v>
      </c>
      <c r="H8291" s="555"/>
      <c r="I8291" s="556"/>
      <c r="J8291" s="560">
        <f t="shared" ref="J8291:J8305" si="287">SUM(H8291:I8291)</f>
        <v>0</v>
      </c>
      <c r="K8291" s="505"/>
      <c r="L8291" s="505"/>
      <c r="M8291" s="505"/>
      <c r="N8291" s="505"/>
      <c r="O8291" s="505"/>
      <c r="P8291" s="505"/>
      <c r="Q8291" s="505"/>
      <c r="R8291" s="505"/>
      <c r="S8291" s="505"/>
      <c r="T8291" s="505"/>
      <c r="U8291" s="505"/>
      <c r="V8291" s="505"/>
      <c r="W8291" s="505"/>
      <c r="X8291" s="505"/>
      <c r="Y8291" s="505"/>
    </row>
    <row r="8292" spans="1:25" s="88" customFormat="1" hidden="1" x14ac:dyDescent="0.25">
      <c r="A8292" s="314"/>
      <c r="B8292" s="288"/>
      <c r="C8292" s="334"/>
      <c r="D8292" s="286"/>
      <c r="E8292" s="876"/>
      <c r="F8292" s="284" t="s">
        <v>238</v>
      </c>
      <c r="G8292" s="287" t="s">
        <v>239</v>
      </c>
      <c r="H8292" s="555"/>
      <c r="I8292" s="556"/>
      <c r="J8292" s="560">
        <f t="shared" si="287"/>
        <v>0</v>
      </c>
      <c r="K8292" s="505"/>
      <c r="L8292" s="505"/>
      <c r="M8292" s="505"/>
      <c r="N8292" s="505"/>
      <c r="O8292" s="505"/>
      <c r="P8292" s="505"/>
      <c r="Q8292" s="505"/>
      <c r="R8292" s="505"/>
      <c r="S8292" s="505"/>
      <c r="T8292" s="505"/>
      <c r="U8292" s="505"/>
      <c r="V8292" s="505"/>
      <c r="W8292" s="505"/>
      <c r="X8292" s="505"/>
      <c r="Y8292" s="505"/>
    </row>
    <row r="8293" spans="1:25" s="88" customFormat="1" hidden="1" x14ac:dyDescent="0.25">
      <c r="A8293" s="314"/>
      <c r="B8293" s="288"/>
      <c r="C8293" s="334"/>
      <c r="D8293" s="286"/>
      <c r="E8293" s="876"/>
      <c r="F8293" s="284" t="s">
        <v>240</v>
      </c>
      <c r="G8293" s="287" t="s">
        <v>241</v>
      </c>
      <c r="H8293" s="555"/>
      <c r="I8293" s="556"/>
      <c r="J8293" s="560">
        <f t="shared" si="287"/>
        <v>0</v>
      </c>
      <c r="K8293" s="505"/>
      <c r="L8293" s="505"/>
      <c r="M8293" s="505"/>
      <c r="N8293" s="505"/>
      <c r="O8293" s="505"/>
      <c r="P8293" s="505"/>
      <c r="Q8293" s="505"/>
      <c r="R8293" s="505"/>
      <c r="S8293" s="505"/>
      <c r="T8293" s="505"/>
      <c r="U8293" s="505"/>
      <c r="V8293" s="505"/>
      <c r="W8293" s="505"/>
      <c r="X8293" s="505"/>
      <c r="Y8293" s="505"/>
    </row>
    <row r="8294" spans="1:25" s="88" customFormat="1" hidden="1" x14ac:dyDescent="0.25">
      <c r="A8294" s="314"/>
      <c r="B8294" s="288"/>
      <c r="C8294" s="334"/>
      <c r="D8294" s="286"/>
      <c r="E8294" s="876"/>
      <c r="F8294" s="284" t="s">
        <v>242</v>
      </c>
      <c r="G8294" s="287" t="s">
        <v>243</v>
      </c>
      <c r="H8294" s="555"/>
      <c r="I8294" s="556"/>
      <c r="J8294" s="560">
        <f t="shared" si="287"/>
        <v>0</v>
      </c>
      <c r="K8294" s="505"/>
      <c r="L8294" s="505"/>
      <c r="M8294" s="505"/>
      <c r="N8294" s="505"/>
      <c r="O8294" s="505"/>
      <c r="P8294" s="505"/>
      <c r="Q8294" s="505"/>
      <c r="R8294" s="505"/>
      <c r="S8294" s="505"/>
      <c r="T8294" s="505"/>
      <c r="U8294" s="505"/>
      <c r="V8294" s="505"/>
      <c r="W8294" s="505"/>
      <c r="X8294" s="505"/>
      <c r="Y8294" s="505"/>
    </row>
    <row r="8295" spans="1:25" s="88" customFormat="1" hidden="1" x14ac:dyDescent="0.25">
      <c r="A8295" s="314"/>
      <c r="B8295" s="288"/>
      <c r="C8295" s="334"/>
      <c r="D8295" s="286"/>
      <c r="E8295" s="876"/>
      <c r="F8295" s="284" t="s">
        <v>244</v>
      </c>
      <c r="G8295" s="287" t="s">
        <v>245</v>
      </c>
      <c r="H8295" s="555"/>
      <c r="I8295" s="556"/>
      <c r="J8295" s="560">
        <f t="shared" si="287"/>
        <v>0</v>
      </c>
      <c r="K8295" s="505"/>
      <c r="L8295" s="505"/>
      <c r="M8295" s="505"/>
      <c r="N8295" s="505"/>
      <c r="O8295" s="505"/>
      <c r="P8295" s="505"/>
      <c r="Q8295" s="505"/>
      <c r="R8295" s="505"/>
      <c r="S8295" s="505"/>
      <c r="T8295" s="505"/>
      <c r="U8295" s="505"/>
      <c r="V8295" s="505"/>
      <c r="W8295" s="505"/>
      <c r="X8295" s="505"/>
      <c r="Y8295" s="505"/>
    </row>
    <row r="8296" spans="1:25" s="88" customFormat="1" hidden="1" x14ac:dyDescent="0.25">
      <c r="A8296" s="314"/>
      <c r="B8296" s="288"/>
      <c r="C8296" s="334"/>
      <c r="D8296" s="286"/>
      <c r="E8296" s="876"/>
      <c r="F8296" s="284" t="s">
        <v>246</v>
      </c>
      <c r="G8296" s="598" t="s">
        <v>4996</v>
      </c>
      <c r="H8296" s="555"/>
      <c r="I8296" s="556"/>
      <c r="J8296" s="560">
        <f t="shared" si="287"/>
        <v>0</v>
      </c>
      <c r="K8296" s="505"/>
      <c r="L8296" s="505"/>
      <c r="M8296" s="505"/>
      <c r="N8296" s="505"/>
      <c r="O8296" s="505"/>
      <c r="P8296" s="505"/>
      <c r="Q8296" s="505"/>
      <c r="R8296" s="505"/>
      <c r="S8296" s="505"/>
      <c r="T8296" s="505"/>
      <c r="U8296" s="505"/>
      <c r="V8296" s="505"/>
      <c r="W8296" s="505"/>
      <c r="X8296" s="505"/>
      <c r="Y8296" s="505"/>
    </row>
    <row r="8297" spans="1:25" s="88" customFormat="1" x14ac:dyDescent="0.25">
      <c r="A8297" s="314"/>
      <c r="B8297" s="288"/>
      <c r="C8297" s="334"/>
      <c r="D8297" s="286"/>
      <c r="E8297" s="876"/>
      <c r="F8297" s="284" t="s">
        <v>247</v>
      </c>
      <c r="G8297" s="598" t="s">
        <v>4995</v>
      </c>
      <c r="H8297" s="555"/>
      <c r="I8297" s="556">
        <v>0</v>
      </c>
      <c r="J8297" s="560">
        <f t="shared" si="287"/>
        <v>0</v>
      </c>
      <c r="K8297" s="505"/>
      <c r="L8297" s="505"/>
      <c r="M8297" s="505"/>
      <c r="N8297" s="505"/>
      <c r="O8297" s="505"/>
      <c r="P8297" s="505"/>
      <c r="Q8297" s="505"/>
      <c r="R8297" s="505"/>
      <c r="S8297" s="505"/>
      <c r="T8297" s="505"/>
      <c r="U8297" s="505"/>
      <c r="V8297" s="505"/>
      <c r="W8297" s="505"/>
      <c r="X8297" s="505"/>
      <c r="Y8297" s="505"/>
    </row>
    <row r="8298" spans="1:25" s="88" customFormat="1" hidden="1" x14ac:dyDescent="0.25">
      <c r="A8298" s="314"/>
      <c r="B8298" s="288"/>
      <c r="C8298" s="334"/>
      <c r="D8298" s="286"/>
      <c r="E8298" s="876"/>
      <c r="F8298" s="284" t="s">
        <v>248</v>
      </c>
      <c r="G8298" s="287" t="s">
        <v>57</v>
      </c>
      <c r="H8298" s="555"/>
      <c r="I8298" s="556"/>
      <c r="J8298" s="560">
        <f t="shared" si="287"/>
        <v>0</v>
      </c>
      <c r="K8298" s="505"/>
      <c r="L8298" s="505"/>
      <c r="M8298" s="505"/>
      <c r="N8298" s="505"/>
      <c r="O8298" s="505"/>
      <c r="P8298" s="505"/>
      <c r="Q8298" s="505"/>
      <c r="R8298" s="505"/>
      <c r="S8298" s="505"/>
      <c r="T8298" s="505"/>
      <c r="U8298" s="505"/>
      <c r="V8298" s="505"/>
      <c r="W8298" s="505"/>
      <c r="X8298" s="505"/>
      <c r="Y8298" s="505"/>
    </row>
    <row r="8299" spans="1:25" s="88" customFormat="1" hidden="1" x14ac:dyDescent="0.25">
      <c r="A8299" s="314"/>
      <c r="B8299" s="288"/>
      <c r="C8299" s="334"/>
      <c r="D8299" s="286"/>
      <c r="E8299" s="876"/>
      <c r="F8299" s="284" t="s">
        <v>249</v>
      </c>
      <c r="G8299" s="287" t="s">
        <v>250</v>
      </c>
      <c r="H8299" s="555"/>
      <c r="I8299" s="556"/>
      <c r="J8299" s="560">
        <f t="shared" si="287"/>
        <v>0</v>
      </c>
      <c r="K8299" s="505"/>
      <c r="L8299" s="505"/>
      <c r="M8299" s="505"/>
      <c r="N8299" s="505"/>
      <c r="O8299" s="505"/>
      <c r="P8299" s="505"/>
      <c r="Q8299" s="505"/>
      <c r="R8299" s="505"/>
      <c r="S8299" s="505"/>
      <c r="T8299" s="505"/>
      <c r="U8299" s="505"/>
      <c r="V8299" s="505"/>
      <c r="W8299" s="505"/>
      <c r="X8299" s="505"/>
      <c r="Y8299" s="505"/>
    </row>
    <row r="8300" spans="1:25" s="88" customFormat="1" hidden="1" x14ac:dyDescent="0.25">
      <c r="A8300" s="314"/>
      <c r="B8300" s="288"/>
      <c r="C8300" s="334"/>
      <c r="D8300" s="286"/>
      <c r="E8300" s="876"/>
      <c r="F8300" s="284" t="s">
        <v>251</v>
      </c>
      <c r="G8300" s="287" t="s">
        <v>252</v>
      </c>
      <c r="H8300" s="555"/>
      <c r="I8300" s="556"/>
      <c r="J8300" s="560">
        <f t="shared" si="287"/>
        <v>0</v>
      </c>
      <c r="K8300" s="505"/>
      <c r="L8300" s="505"/>
      <c r="M8300" s="505"/>
      <c r="N8300" s="505"/>
      <c r="O8300" s="505"/>
      <c r="P8300" s="505"/>
      <c r="Q8300" s="505"/>
      <c r="R8300" s="505"/>
      <c r="S8300" s="505"/>
      <c r="T8300" s="505"/>
      <c r="U8300" s="505"/>
      <c r="V8300" s="505"/>
      <c r="W8300" s="505"/>
      <c r="X8300" s="505"/>
      <c r="Y8300" s="505"/>
    </row>
    <row r="8301" spans="1:25" s="88" customFormat="1" ht="30" hidden="1" x14ac:dyDescent="0.25">
      <c r="A8301" s="314"/>
      <c r="B8301" s="288"/>
      <c r="C8301" s="334"/>
      <c r="D8301" s="286"/>
      <c r="E8301" s="876"/>
      <c r="F8301" s="284" t="s">
        <v>253</v>
      </c>
      <c r="G8301" s="287" t="s">
        <v>254</v>
      </c>
      <c r="H8301" s="555"/>
      <c r="I8301" s="556"/>
      <c r="J8301" s="560">
        <f t="shared" si="287"/>
        <v>0</v>
      </c>
      <c r="K8301" s="505"/>
      <c r="L8301" s="505"/>
      <c r="M8301" s="505"/>
      <c r="N8301" s="505"/>
      <c r="O8301" s="505"/>
      <c r="P8301" s="505"/>
      <c r="Q8301" s="505"/>
      <c r="R8301" s="505"/>
      <c r="S8301" s="505"/>
      <c r="T8301" s="505"/>
      <c r="U8301" s="505"/>
      <c r="V8301" s="505"/>
      <c r="W8301" s="505"/>
      <c r="X8301" s="505"/>
      <c r="Y8301" s="505"/>
    </row>
    <row r="8302" spans="1:25" s="88" customFormat="1" ht="15.75" thickBot="1" x14ac:dyDescent="0.3">
      <c r="A8302" s="314"/>
      <c r="B8302" s="288"/>
      <c r="C8302" s="334"/>
      <c r="D8302" s="286"/>
      <c r="E8302" s="876"/>
      <c r="F8302" s="284" t="s">
        <v>255</v>
      </c>
      <c r="G8302" s="287" t="s">
        <v>256</v>
      </c>
      <c r="H8302" s="556">
        <v>2000000</v>
      </c>
      <c r="J8302" s="560">
        <f>SUM(H8302:H8302)</f>
        <v>2000000</v>
      </c>
      <c r="K8302" s="505"/>
      <c r="L8302" s="505"/>
      <c r="M8302" s="505"/>
      <c r="N8302" s="505"/>
      <c r="O8302" s="505"/>
      <c r="P8302" s="505"/>
      <c r="Q8302" s="505"/>
      <c r="R8302" s="505"/>
      <c r="S8302" s="505"/>
      <c r="T8302" s="505"/>
      <c r="U8302" s="505"/>
      <c r="V8302" s="505"/>
      <c r="W8302" s="505"/>
      <c r="X8302" s="505"/>
      <c r="Y8302" s="505"/>
    </row>
    <row r="8303" spans="1:25" s="88" customFormat="1" ht="30" hidden="1" x14ac:dyDescent="0.25">
      <c r="A8303" s="314"/>
      <c r="B8303" s="288"/>
      <c r="C8303" s="334"/>
      <c r="D8303" s="286"/>
      <c r="E8303" s="876"/>
      <c r="F8303" s="284" t="s">
        <v>257</v>
      </c>
      <c r="G8303" s="287" t="s">
        <v>258</v>
      </c>
      <c r="H8303" s="555"/>
      <c r="I8303" s="556"/>
      <c r="J8303" s="560">
        <f t="shared" si="287"/>
        <v>0</v>
      </c>
      <c r="K8303" s="505"/>
      <c r="L8303" s="505"/>
      <c r="M8303" s="505"/>
      <c r="N8303" s="505"/>
      <c r="O8303" s="505"/>
      <c r="P8303" s="505"/>
      <c r="Q8303" s="505"/>
      <c r="R8303" s="505"/>
      <c r="S8303" s="505"/>
      <c r="T8303" s="505"/>
      <c r="U8303" s="505"/>
      <c r="V8303" s="505"/>
      <c r="W8303" s="505"/>
      <c r="X8303" s="505"/>
      <c r="Y8303" s="505"/>
    </row>
    <row r="8304" spans="1:25" s="88" customFormat="1" hidden="1" x14ac:dyDescent="0.25">
      <c r="A8304" s="314"/>
      <c r="B8304" s="288"/>
      <c r="C8304" s="334"/>
      <c r="D8304" s="286"/>
      <c r="E8304" s="876"/>
      <c r="F8304" s="284" t="s">
        <v>259</v>
      </c>
      <c r="G8304" s="287" t="s">
        <v>260</v>
      </c>
      <c r="H8304" s="555"/>
      <c r="I8304" s="556"/>
      <c r="J8304" s="560">
        <f t="shared" si="287"/>
        <v>0</v>
      </c>
      <c r="K8304" s="505"/>
      <c r="L8304" s="505"/>
      <c r="M8304" s="505"/>
      <c r="N8304" s="505"/>
      <c r="O8304" s="505"/>
      <c r="P8304" s="505"/>
      <c r="Q8304" s="505"/>
      <c r="R8304" s="505"/>
      <c r="S8304" s="505"/>
      <c r="T8304" s="505"/>
      <c r="U8304" s="505"/>
      <c r="V8304" s="505"/>
      <c r="W8304" s="505"/>
      <c r="X8304" s="505"/>
      <c r="Y8304" s="505"/>
    </row>
    <row r="8305" spans="1:25" s="88" customFormat="1" ht="15.75" hidden="1" thickBot="1" x14ac:dyDescent="0.3">
      <c r="A8305" s="314"/>
      <c r="B8305" s="288"/>
      <c r="C8305" s="334"/>
      <c r="D8305" s="286"/>
      <c r="E8305" s="876"/>
      <c r="F8305" s="284" t="s">
        <v>261</v>
      </c>
      <c r="G8305" s="287" t="s">
        <v>262</v>
      </c>
      <c r="H8305" s="559"/>
      <c r="I8305" s="560"/>
      <c r="J8305" s="560">
        <f t="shared" si="287"/>
        <v>0</v>
      </c>
      <c r="K8305" s="505"/>
      <c r="L8305" s="505"/>
      <c r="M8305" s="505"/>
      <c r="N8305" s="505"/>
      <c r="O8305" s="505"/>
      <c r="P8305" s="505"/>
      <c r="Q8305" s="505"/>
      <c r="R8305" s="505"/>
      <c r="S8305" s="505"/>
      <c r="T8305" s="505"/>
      <c r="U8305" s="505"/>
      <c r="V8305" s="505"/>
      <c r="W8305" s="505"/>
      <c r="X8305" s="505"/>
      <c r="Y8305" s="505"/>
    </row>
    <row r="8306" spans="1:25" s="88" customFormat="1" ht="12.75" customHeight="1" thickBot="1" x14ac:dyDescent="0.3">
      <c r="A8306" s="314"/>
      <c r="B8306" s="288"/>
      <c r="C8306" s="334"/>
      <c r="D8306" s="286"/>
      <c r="E8306" s="876"/>
      <c r="F8306" s="258"/>
      <c r="G8306" s="728" t="s">
        <v>4355</v>
      </c>
      <c r="H8306" s="561">
        <f>SUM(H8290:H8305)</f>
        <v>7000000</v>
      </c>
      <c r="I8306" s="562">
        <f>SUM(I8291:I8305)</f>
        <v>0</v>
      </c>
      <c r="J8306" s="562">
        <f>SUM(J8290:J8305)</f>
        <v>7000000</v>
      </c>
      <c r="K8306" s="505"/>
      <c r="L8306" s="505"/>
      <c r="M8306" s="505"/>
      <c r="N8306" s="505"/>
      <c r="O8306" s="505"/>
      <c r="P8306" s="505"/>
      <c r="Q8306" s="505"/>
      <c r="R8306" s="505"/>
      <c r="S8306" s="505"/>
      <c r="T8306" s="505"/>
      <c r="U8306" s="505"/>
      <c r="V8306" s="505"/>
      <c r="W8306" s="505"/>
      <c r="X8306" s="505"/>
      <c r="Y8306" s="505"/>
    </row>
    <row r="8307" spans="1:25" ht="1.5" hidden="1" customHeight="1" x14ac:dyDescent="0.25">
      <c r="A8307" s="314"/>
    </row>
    <row r="8308" spans="1:25" hidden="1" x14ac:dyDescent="0.25"/>
    <row r="8309" spans="1:25" hidden="1" x14ac:dyDescent="0.25">
      <c r="B8309" s="280">
        <v>4</v>
      </c>
      <c r="C8309" s="260"/>
      <c r="D8309" s="256"/>
      <c r="E8309" s="868"/>
      <c r="F8309" s="256"/>
      <c r="G8309" s="310" t="s">
        <v>4222</v>
      </c>
      <c r="H8309" s="553"/>
      <c r="I8309" s="554"/>
      <c r="J8309" s="554"/>
    </row>
    <row r="8310" spans="1:25" hidden="1" x14ac:dyDescent="0.25">
      <c r="A8310" s="280">
        <v>4</v>
      </c>
      <c r="C8310" s="267" t="s">
        <v>3599</v>
      </c>
      <c r="G8310" s="318" t="s">
        <v>4130</v>
      </c>
    </row>
    <row r="8311" spans="1:25" hidden="1" x14ac:dyDescent="0.25">
      <c r="C8311" s="339" t="s">
        <v>4108</v>
      </c>
      <c r="D8311" s="311"/>
      <c r="E8311" s="887"/>
      <c r="F8311" s="262"/>
      <c r="G8311" s="313" t="s">
        <v>3661</v>
      </c>
    </row>
    <row r="8312" spans="1:25" hidden="1" x14ac:dyDescent="0.25">
      <c r="D8312" s="331">
        <v>150</v>
      </c>
      <c r="E8312" s="869"/>
      <c r="F8312" s="331"/>
      <c r="G8312" s="351" t="s">
        <v>4241</v>
      </c>
    </row>
    <row r="8313" spans="1:25" hidden="1" x14ac:dyDescent="0.25">
      <c r="F8313" s="315">
        <v>411</v>
      </c>
      <c r="G8313" s="319" t="s">
        <v>4131</v>
      </c>
      <c r="J8313" s="556">
        <f>SUM(H8313:I8313)</f>
        <v>0</v>
      </c>
    </row>
    <row r="8314" spans="1:25" hidden="1" x14ac:dyDescent="0.25">
      <c r="F8314" s="315">
        <v>412</v>
      </c>
      <c r="G8314" s="317" t="s">
        <v>3766</v>
      </c>
      <c r="J8314" s="556">
        <f t="shared" ref="J8314:J8372" si="288">SUM(H8314:I8314)</f>
        <v>0</v>
      </c>
    </row>
    <row r="8315" spans="1:25" hidden="1" x14ac:dyDescent="0.25">
      <c r="F8315" s="315">
        <v>413</v>
      </c>
      <c r="G8315" s="319" t="s">
        <v>4132</v>
      </c>
      <c r="J8315" s="556">
        <f t="shared" si="288"/>
        <v>0</v>
      </c>
    </row>
    <row r="8316" spans="1:25" hidden="1" x14ac:dyDescent="0.25">
      <c r="F8316" s="315">
        <v>414</v>
      </c>
      <c r="G8316" s="319" t="s">
        <v>3769</v>
      </c>
      <c r="J8316" s="556">
        <f t="shared" si="288"/>
        <v>0</v>
      </c>
    </row>
    <row r="8317" spans="1:25" hidden="1" x14ac:dyDescent="0.25">
      <c r="F8317" s="315">
        <v>415</v>
      </c>
      <c r="G8317" s="319" t="s">
        <v>4141</v>
      </c>
      <c r="J8317" s="556">
        <f t="shared" si="288"/>
        <v>0</v>
      </c>
    </row>
    <row r="8318" spans="1:25" hidden="1" x14ac:dyDescent="0.25">
      <c r="F8318" s="315">
        <v>416</v>
      </c>
      <c r="G8318" s="319" t="s">
        <v>4142</v>
      </c>
      <c r="J8318" s="556">
        <f t="shared" si="288"/>
        <v>0</v>
      </c>
    </row>
    <row r="8319" spans="1:25" hidden="1" x14ac:dyDescent="0.25">
      <c r="F8319" s="315">
        <v>417</v>
      </c>
      <c r="G8319" s="319" t="s">
        <v>4143</v>
      </c>
      <c r="J8319" s="556">
        <f t="shared" si="288"/>
        <v>0</v>
      </c>
    </row>
    <row r="8320" spans="1:25" hidden="1" x14ac:dyDescent="0.25">
      <c r="F8320" s="315">
        <v>418</v>
      </c>
      <c r="G8320" s="319" t="s">
        <v>3775</v>
      </c>
      <c r="J8320" s="556">
        <f t="shared" si="288"/>
        <v>0</v>
      </c>
    </row>
    <row r="8321" spans="6:10" hidden="1" x14ac:dyDescent="0.25">
      <c r="F8321" s="315">
        <v>421</v>
      </c>
      <c r="G8321" s="319" t="s">
        <v>3779</v>
      </c>
      <c r="J8321" s="556">
        <f t="shared" si="288"/>
        <v>0</v>
      </c>
    </row>
    <row r="8322" spans="6:10" hidden="1" x14ac:dyDescent="0.25">
      <c r="F8322" s="315">
        <v>422</v>
      </c>
      <c r="G8322" s="319" t="s">
        <v>3780</v>
      </c>
      <c r="J8322" s="556">
        <f t="shared" si="288"/>
        <v>0</v>
      </c>
    </row>
    <row r="8323" spans="6:10" hidden="1" x14ac:dyDescent="0.25">
      <c r="F8323" s="315">
        <v>423</v>
      </c>
      <c r="G8323" s="319" t="s">
        <v>3781</v>
      </c>
      <c r="J8323" s="556">
        <f t="shared" si="288"/>
        <v>0</v>
      </c>
    </row>
    <row r="8324" spans="6:10" hidden="1" x14ac:dyDescent="0.25">
      <c r="F8324" s="315">
        <v>424</v>
      </c>
      <c r="G8324" s="319" t="s">
        <v>3783</v>
      </c>
      <c r="J8324" s="556">
        <f t="shared" si="288"/>
        <v>0</v>
      </c>
    </row>
    <row r="8325" spans="6:10" hidden="1" x14ac:dyDescent="0.25">
      <c r="F8325" s="315">
        <v>425</v>
      </c>
      <c r="G8325" s="319" t="s">
        <v>4144</v>
      </c>
      <c r="J8325" s="556">
        <f t="shared" si="288"/>
        <v>0</v>
      </c>
    </row>
    <row r="8326" spans="6:10" hidden="1" x14ac:dyDescent="0.25">
      <c r="F8326" s="315">
        <v>426</v>
      </c>
      <c r="G8326" s="319" t="s">
        <v>3787</v>
      </c>
      <c r="J8326" s="556">
        <f t="shared" si="288"/>
        <v>0</v>
      </c>
    </row>
    <row r="8327" spans="6:10" hidden="1" x14ac:dyDescent="0.25">
      <c r="F8327" s="315">
        <v>431</v>
      </c>
      <c r="G8327" s="319" t="s">
        <v>4145</v>
      </c>
      <c r="J8327" s="556">
        <f t="shared" si="288"/>
        <v>0</v>
      </c>
    </row>
    <row r="8328" spans="6:10" hidden="1" x14ac:dyDescent="0.25">
      <c r="F8328" s="315">
        <v>432</v>
      </c>
      <c r="G8328" s="319" t="s">
        <v>4146</v>
      </c>
      <c r="J8328" s="556">
        <f t="shared" si="288"/>
        <v>0</v>
      </c>
    </row>
    <row r="8329" spans="6:10" hidden="1" x14ac:dyDescent="0.25">
      <c r="F8329" s="315">
        <v>433</v>
      </c>
      <c r="G8329" s="319" t="s">
        <v>4147</v>
      </c>
      <c r="J8329" s="556">
        <f t="shared" si="288"/>
        <v>0</v>
      </c>
    </row>
    <row r="8330" spans="6:10" hidden="1" x14ac:dyDescent="0.25">
      <c r="F8330" s="315">
        <v>434</v>
      </c>
      <c r="G8330" s="319" t="s">
        <v>4148</v>
      </c>
      <c r="J8330" s="556">
        <f t="shared" si="288"/>
        <v>0</v>
      </c>
    </row>
    <row r="8331" spans="6:10" hidden="1" x14ac:dyDescent="0.25">
      <c r="F8331" s="315">
        <v>435</v>
      </c>
      <c r="G8331" s="319" t="s">
        <v>3794</v>
      </c>
      <c r="J8331" s="556">
        <f t="shared" si="288"/>
        <v>0</v>
      </c>
    </row>
    <row r="8332" spans="6:10" hidden="1" x14ac:dyDescent="0.25">
      <c r="F8332" s="315">
        <v>441</v>
      </c>
      <c r="G8332" s="319" t="s">
        <v>4149</v>
      </c>
      <c r="J8332" s="556">
        <f t="shared" si="288"/>
        <v>0</v>
      </c>
    </row>
    <row r="8333" spans="6:10" hidden="1" x14ac:dyDescent="0.25">
      <c r="F8333" s="315">
        <v>442</v>
      </c>
      <c r="G8333" s="319" t="s">
        <v>4150</v>
      </c>
      <c r="J8333" s="556">
        <f t="shared" si="288"/>
        <v>0</v>
      </c>
    </row>
    <row r="8334" spans="6:10" hidden="1" x14ac:dyDescent="0.25">
      <c r="F8334" s="315">
        <v>443</v>
      </c>
      <c r="G8334" s="319" t="s">
        <v>3799</v>
      </c>
      <c r="J8334" s="556">
        <f t="shared" si="288"/>
        <v>0</v>
      </c>
    </row>
    <row r="8335" spans="6:10" hidden="1" x14ac:dyDescent="0.25">
      <c r="F8335" s="315">
        <v>444</v>
      </c>
      <c r="G8335" s="319" t="s">
        <v>3800</v>
      </c>
      <c r="J8335" s="556">
        <f t="shared" si="288"/>
        <v>0</v>
      </c>
    </row>
    <row r="8336" spans="6:10" ht="30" hidden="1" x14ac:dyDescent="0.25">
      <c r="F8336" s="315">
        <v>4511</v>
      </c>
      <c r="G8336" s="263" t="s">
        <v>1690</v>
      </c>
      <c r="J8336" s="556">
        <f t="shared" si="288"/>
        <v>0</v>
      </c>
    </row>
    <row r="8337" spans="6:10" ht="30" hidden="1" x14ac:dyDescent="0.25">
      <c r="F8337" s="315">
        <v>4512</v>
      </c>
      <c r="G8337" s="263" t="s">
        <v>1699</v>
      </c>
      <c r="J8337" s="556">
        <f t="shared" si="288"/>
        <v>0</v>
      </c>
    </row>
    <row r="8338" spans="6:10" hidden="1" x14ac:dyDescent="0.25">
      <c r="F8338" s="315">
        <v>452</v>
      </c>
      <c r="G8338" s="319" t="s">
        <v>4151</v>
      </c>
      <c r="J8338" s="556">
        <f t="shared" si="288"/>
        <v>0</v>
      </c>
    </row>
    <row r="8339" spans="6:10" hidden="1" x14ac:dyDescent="0.25">
      <c r="F8339" s="315">
        <v>453</v>
      </c>
      <c r="G8339" s="319" t="s">
        <v>4152</v>
      </c>
      <c r="J8339" s="556">
        <f t="shared" si="288"/>
        <v>0</v>
      </c>
    </row>
    <row r="8340" spans="6:10" hidden="1" x14ac:dyDescent="0.25">
      <c r="F8340" s="315">
        <v>454</v>
      </c>
      <c r="G8340" s="319" t="s">
        <v>3805</v>
      </c>
      <c r="J8340" s="556">
        <f t="shared" si="288"/>
        <v>0</v>
      </c>
    </row>
    <row r="8341" spans="6:10" hidden="1" x14ac:dyDescent="0.25">
      <c r="F8341" s="315">
        <v>461</v>
      </c>
      <c r="G8341" s="319" t="s">
        <v>4133</v>
      </c>
      <c r="J8341" s="556">
        <f t="shared" si="288"/>
        <v>0</v>
      </c>
    </row>
    <row r="8342" spans="6:10" hidden="1" x14ac:dyDescent="0.25">
      <c r="F8342" s="315">
        <v>462</v>
      </c>
      <c r="G8342" s="319" t="s">
        <v>3808</v>
      </c>
      <c r="J8342" s="556">
        <f t="shared" si="288"/>
        <v>0</v>
      </c>
    </row>
    <row r="8343" spans="6:10" hidden="1" x14ac:dyDescent="0.25">
      <c r="F8343" s="315">
        <v>4631</v>
      </c>
      <c r="G8343" s="319" t="s">
        <v>3809</v>
      </c>
      <c r="J8343" s="556">
        <f t="shared" si="288"/>
        <v>0</v>
      </c>
    </row>
    <row r="8344" spans="6:10" hidden="1" x14ac:dyDescent="0.25">
      <c r="F8344" s="315">
        <v>4632</v>
      </c>
      <c r="G8344" s="319" t="s">
        <v>3810</v>
      </c>
      <c r="J8344" s="556">
        <f t="shared" si="288"/>
        <v>0</v>
      </c>
    </row>
    <row r="8345" spans="6:10" hidden="1" x14ac:dyDescent="0.25">
      <c r="F8345" s="315">
        <v>464</v>
      </c>
      <c r="G8345" s="319" t="s">
        <v>3811</v>
      </c>
      <c r="J8345" s="556">
        <f t="shared" si="288"/>
        <v>0</v>
      </c>
    </row>
    <row r="8346" spans="6:10" hidden="1" x14ac:dyDescent="0.25">
      <c r="F8346" s="315">
        <v>465</v>
      </c>
      <c r="G8346" s="319" t="s">
        <v>4134</v>
      </c>
      <c r="J8346" s="556">
        <f t="shared" si="288"/>
        <v>0</v>
      </c>
    </row>
    <row r="8347" spans="6:10" hidden="1" x14ac:dyDescent="0.25">
      <c r="F8347" s="315">
        <v>472</v>
      </c>
      <c r="G8347" s="319" t="s">
        <v>3815</v>
      </c>
      <c r="J8347" s="556">
        <f t="shared" si="288"/>
        <v>0</v>
      </c>
    </row>
    <row r="8348" spans="6:10" hidden="1" x14ac:dyDescent="0.25">
      <c r="F8348" s="315">
        <v>481</v>
      </c>
      <c r="G8348" s="319" t="s">
        <v>4153</v>
      </c>
      <c r="J8348" s="556">
        <f t="shared" si="288"/>
        <v>0</v>
      </c>
    </row>
    <row r="8349" spans="6:10" hidden="1" x14ac:dyDescent="0.25">
      <c r="F8349" s="315">
        <v>482</v>
      </c>
      <c r="G8349" s="319" t="s">
        <v>4154</v>
      </c>
      <c r="J8349" s="556">
        <f t="shared" si="288"/>
        <v>0</v>
      </c>
    </row>
    <row r="8350" spans="6:10" hidden="1" x14ac:dyDescent="0.25">
      <c r="F8350" s="315">
        <v>483</v>
      </c>
      <c r="G8350" s="322" t="s">
        <v>4155</v>
      </c>
      <c r="J8350" s="556">
        <f t="shared" si="288"/>
        <v>0</v>
      </c>
    </row>
    <row r="8351" spans="6:10" ht="30" hidden="1" x14ac:dyDescent="0.25">
      <c r="F8351" s="315">
        <v>484</v>
      </c>
      <c r="G8351" s="319" t="s">
        <v>4156</v>
      </c>
      <c r="J8351" s="556">
        <f t="shared" si="288"/>
        <v>0</v>
      </c>
    </row>
    <row r="8352" spans="6:10" ht="30" hidden="1" x14ac:dyDescent="0.25">
      <c r="F8352" s="315">
        <v>485</v>
      </c>
      <c r="G8352" s="319" t="s">
        <v>4157</v>
      </c>
      <c r="J8352" s="556">
        <f t="shared" si="288"/>
        <v>0</v>
      </c>
    </row>
    <row r="8353" spans="6:10" ht="30" hidden="1" x14ac:dyDescent="0.25">
      <c r="F8353" s="315">
        <v>489</v>
      </c>
      <c r="G8353" s="319" t="s">
        <v>3823</v>
      </c>
      <c r="J8353" s="556">
        <f t="shared" si="288"/>
        <v>0</v>
      </c>
    </row>
    <row r="8354" spans="6:10" hidden="1" x14ac:dyDescent="0.25">
      <c r="F8354" s="315">
        <v>494</v>
      </c>
      <c r="G8354" s="319" t="s">
        <v>4135</v>
      </c>
      <c r="J8354" s="556">
        <f t="shared" si="288"/>
        <v>0</v>
      </c>
    </row>
    <row r="8355" spans="6:10" ht="30" hidden="1" x14ac:dyDescent="0.25">
      <c r="F8355" s="315">
        <v>495</v>
      </c>
      <c r="G8355" s="319" t="s">
        <v>4136</v>
      </c>
      <c r="J8355" s="556">
        <f t="shared" si="288"/>
        <v>0</v>
      </c>
    </row>
    <row r="8356" spans="6:10" ht="30" hidden="1" x14ac:dyDescent="0.25">
      <c r="F8356" s="315">
        <v>496</v>
      </c>
      <c r="G8356" s="319" t="s">
        <v>4137</v>
      </c>
      <c r="J8356" s="556">
        <f t="shared" si="288"/>
        <v>0</v>
      </c>
    </row>
    <row r="8357" spans="6:10" ht="30" hidden="1" x14ac:dyDescent="0.25">
      <c r="F8357" s="315">
        <v>499</v>
      </c>
      <c r="G8357" s="319" t="s">
        <v>4138</v>
      </c>
      <c r="J8357" s="556">
        <f t="shared" si="288"/>
        <v>0</v>
      </c>
    </row>
    <row r="8358" spans="6:10" hidden="1" x14ac:dyDescent="0.25">
      <c r="F8358" s="315">
        <v>511</v>
      </c>
      <c r="G8358" s="322" t="s">
        <v>4158</v>
      </c>
      <c r="J8358" s="556">
        <f t="shared" si="288"/>
        <v>0</v>
      </c>
    </row>
    <row r="8359" spans="6:10" hidden="1" x14ac:dyDescent="0.25">
      <c r="F8359" s="315">
        <v>512</v>
      </c>
      <c r="G8359" s="322" t="s">
        <v>4159</v>
      </c>
      <c r="J8359" s="556">
        <f t="shared" si="288"/>
        <v>0</v>
      </c>
    </row>
    <row r="8360" spans="6:10" hidden="1" x14ac:dyDescent="0.25">
      <c r="F8360" s="315">
        <v>513</v>
      </c>
      <c r="G8360" s="322" t="s">
        <v>4160</v>
      </c>
      <c r="J8360" s="556">
        <f t="shared" si="288"/>
        <v>0</v>
      </c>
    </row>
    <row r="8361" spans="6:10" hidden="1" x14ac:dyDescent="0.25">
      <c r="F8361" s="315">
        <v>514</v>
      </c>
      <c r="G8361" s="319" t="s">
        <v>4161</v>
      </c>
      <c r="J8361" s="556">
        <f t="shared" si="288"/>
        <v>0</v>
      </c>
    </row>
    <row r="8362" spans="6:10" hidden="1" x14ac:dyDescent="0.25">
      <c r="F8362" s="315">
        <v>515</v>
      </c>
      <c r="G8362" s="319" t="s">
        <v>3834</v>
      </c>
      <c r="J8362" s="556">
        <f t="shared" si="288"/>
        <v>0</v>
      </c>
    </row>
    <row r="8363" spans="6:10" hidden="1" x14ac:dyDescent="0.25">
      <c r="F8363" s="315">
        <v>521</v>
      </c>
      <c r="G8363" s="319" t="s">
        <v>4162</v>
      </c>
      <c r="J8363" s="556">
        <f t="shared" si="288"/>
        <v>0</v>
      </c>
    </row>
    <row r="8364" spans="6:10" hidden="1" x14ac:dyDescent="0.25">
      <c r="F8364" s="315">
        <v>522</v>
      </c>
      <c r="G8364" s="319" t="s">
        <v>4163</v>
      </c>
      <c r="J8364" s="556">
        <f t="shared" si="288"/>
        <v>0</v>
      </c>
    </row>
    <row r="8365" spans="6:10" hidden="1" x14ac:dyDescent="0.25">
      <c r="F8365" s="315">
        <v>523</v>
      </c>
      <c r="G8365" s="319" t="s">
        <v>3839</v>
      </c>
      <c r="J8365" s="556">
        <f t="shared" si="288"/>
        <v>0</v>
      </c>
    </row>
    <row r="8366" spans="6:10" hidden="1" x14ac:dyDescent="0.25">
      <c r="F8366" s="315">
        <v>531</v>
      </c>
      <c r="G8366" s="317" t="s">
        <v>4139</v>
      </c>
      <c r="J8366" s="556">
        <f t="shared" si="288"/>
        <v>0</v>
      </c>
    </row>
    <row r="8367" spans="6:10" hidden="1" x14ac:dyDescent="0.25">
      <c r="F8367" s="315">
        <v>541</v>
      </c>
      <c r="G8367" s="319" t="s">
        <v>4164</v>
      </c>
      <c r="J8367" s="556">
        <f t="shared" si="288"/>
        <v>0</v>
      </c>
    </row>
    <row r="8368" spans="6:10" hidden="1" x14ac:dyDescent="0.25">
      <c r="F8368" s="315">
        <v>542</v>
      </c>
      <c r="G8368" s="319" t="s">
        <v>4165</v>
      </c>
      <c r="J8368" s="556">
        <f t="shared" si="288"/>
        <v>0</v>
      </c>
    </row>
    <row r="8369" spans="5:10" hidden="1" x14ac:dyDescent="0.25">
      <c r="F8369" s="315">
        <v>543</v>
      </c>
      <c r="G8369" s="319" t="s">
        <v>3844</v>
      </c>
      <c r="J8369" s="556">
        <f t="shared" si="288"/>
        <v>0</v>
      </c>
    </row>
    <row r="8370" spans="5:10" ht="30" hidden="1" x14ac:dyDescent="0.25">
      <c r="F8370" s="315">
        <v>551</v>
      </c>
      <c r="G8370" s="319" t="s">
        <v>4140</v>
      </c>
      <c r="J8370" s="556">
        <f t="shared" si="288"/>
        <v>0</v>
      </c>
    </row>
    <row r="8371" spans="5:10" hidden="1" x14ac:dyDescent="0.25">
      <c r="F8371" s="316">
        <v>611</v>
      </c>
      <c r="G8371" s="323" t="s">
        <v>3850</v>
      </c>
      <c r="J8371" s="556">
        <f t="shared" si="288"/>
        <v>0</v>
      </c>
    </row>
    <row r="8372" spans="5:10" hidden="1" x14ac:dyDescent="0.25">
      <c r="F8372" s="316">
        <v>620</v>
      </c>
      <c r="G8372" s="323" t="s">
        <v>88</v>
      </c>
      <c r="J8372" s="556">
        <f t="shared" si="288"/>
        <v>0</v>
      </c>
    </row>
    <row r="8373" spans="5:10" hidden="1" x14ac:dyDescent="0.25">
      <c r="E8373" s="489"/>
      <c r="F8373" s="324"/>
      <c r="G8373" s="343" t="s">
        <v>4327</v>
      </c>
      <c r="H8373" s="557"/>
      <c r="I8373" s="583"/>
      <c r="J8373" s="558"/>
    </row>
    <row r="8374" spans="5:10" hidden="1" x14ac:dyDescent="0.25">
      <c r="E8374" s="693"/>
      <c r="F8374" s="284" t="s">
        <v>234</v>
      </c>
      <c r="G8374" s="287" t="s">
        <v>235</v>
      </c>
      <c r="H8374" s="559">
        <f>SUM(H8313:H8372)</f>
        <v>0</v>
      </c>
      <c r="I8374" s="560"/>
      <c r="J8374" s="560">
        <f t="shared" ref="J8374:J8389" si="289">SUM(H8374:I8374)</f>
        <v>0</v>
      </c>
    </row>
    <row r="8375" spans="5:10" hidden="1" x14ac:dyDescent="0.25">
      <c r="F8375" s="284" t="s">
        <v>236</v>
      </c>
      <c r="G8375" s="287" t="s">
        <v>237</v>
      </c>
      <c r="J8375" s="560">
        <f t="shared" si="289"/>
        <v>0</v>
      </c>
    </row>
    <row r="8376" spans="5:10" hidden="1" x14ac:dyDescent="0.25">
      <c r="F8376" s="284" t="s">
        <v>238</v>
      </c>
      <c r="G8376" s="287" t="s">
        <v>239</v>
      </c>
      <c r="J8376" s="560">
        <f t="shared" si="289"/>
        <v>0</v>
      </c>
    </row>
    <row r="8377" spans="5:10" hidden="1" x14ac:dyDescent="0.25">
      <c r="F8377" s="284" t="s">
        <v>240</v>
      </c>
      <c r="G8377" s="287" t="s">
        <v>241</v>
      </c>
      <c r="J8377" s="560">
        <f t="shared" si="289"/>
        <v>0</v>
      </c>
    </row>
    <row r="8378" spans="5:10" hidden="1" x14ac:dyDescent="0.25">
      <c r="F8378" s="284" t="s">
        <v>242</v>
      </c>
      <c r="G8378" s="287" t="s">
        <v>243</v>
      </c>
      <c r="J8378" s="560">
        <f t="shared" si="289"/>
        <v>0</v>
      </c>
    </row>
    <row r="8379" spans="5:10" hidden="1" x14ac:dyDescent="0.25">
      <c r="F8379" s="284" t="s">
        <v>244</v>
      </c>
      <c r="G8379" s="287" t="s">
        <v>245</v>
      </c>
      <c r="J8379" s="560">
        <f t="shared" si="289"/>
        <v>0</v>
      </c>
    </row>
    <row r="8380" spans="5:10" hidden="1" x14ac:dyDescent="0.25">
      <c r="F8380" s="284" t="s">
        <v>246</v>
      </c>
      <c r="G8380" s="598" t="s">
        <v>4996</v>
      </c>
      <c r="J8380" s="560">
        <f t="shared" si="289"/>
        <v>0</v>
      </c>
    </row>
    <row r="8381" spans="5:10" hidden="1" x14ac:dyDescent="0.25">
      <c r="F8381" s="284" t="s">
        <v>247</v>
      </c>
      <c r="G8381" s="598" t="s">
        <v>4995</v>
      </c>
      <c r="J8381" s="560">
        <f t="shared" si="289"/>
        <v>0</v>
      </c>
    </row>
    <row r="8382" spans="5:10" hidden="1" x14ac:dyDescent="0.25">
      <c r="F8382" s="284" t="s">
        <v>248</v>
      </c>
      <c r="G8382" s="287" t="s">
        <v>57</v>
      </c>
      <c r="J8382" s="560">
        <f t="shared" si="289"/>
        <v>0</v>
      </c>
    </row>
    <row r="8383" spans="5:10" hidden="1" x14ac:dyDescent="0.25">
      <c r="F8383" s="284" t="s">
        <v>249</v>
      </c>
      <c r="G8383" s="287" t="s">
        <v>250</v>
      </c>
      <c r="J8383" s="560">
        <f t="shared" si="289"/>
        <v>0</v>
      </c>
    </row>
    <row r="8384" spans="5:10" hidden="1" x14ac:dyDescent="0.25">
      <c r="F8384" s="284" t="s">
        <v>251</v>
      </c>
      <c r="G8384" s="287" t="s">
        <v>252</v>
      </c>
      <c r="J8384" s="560">
        <f t="shared" si="289"/>
        <v>0</v>
      </c>
    </row>
    <row r="8385" spans="5:10" ht="30" hidden="1" x14ac:dyDescent="0.25">
      <c r="F8385" s="284" t="s">
        <v>253</v>
      </c>
      <c r="G8385" s="287" t="s">
        <v>254</v>
      </c>
      <c r="J8385" s="560">
        <f t="shared" si="289"/>
        <v>0</v>
      </c>
    </row>
    <row r="8386" spans="5:10" hidden="1" x14ac:dyDescent="0.25">
      <c r="F8386" s="284" t="s">
        <v>255</v>
      </c>
      <c r="G8386" s="287" t="s">
        <v>256</v>
      </c>
      <c r="J8386" s="560">
        <f t="shared" si="289"/>
        <v>0</v>
      </c>
    </row>
    <row r="8387" spans="5:10" ht="30" hidden="1" x14ac:dyDescent="0.25">
      <c r="F8387" s="284" t="s">
        <v>257</v>
      </c>
      <c r="G8387" s="287" t="s">
        <v>258</v>
      </c>
      <c r="J8387" s="560">
        <f t="shared" si="289"/>
        <v>0</v>
      </c>
    </row>
    <row r="8388" spans="5:10" hidden="1" x14ac:dyDescent="0.25">
      <c r="F8388" s="284" t="s">
        <v>259</v>
      </c>
      <c r="G8388" s="287" t="s">
        <v>260</v>
      </c>
      <c r="J8388" s="560">
        <f t="shared" si="289"/>
        <v>0</v>
      </c>
    </row>
    <row r="8389" spans="5:10" hidden="1" x14ac:dyDescent="0.25">
      <c r="F8389" s="284" t="s">
        <v>261</v>
      </c>
      <c r="G8389" s="287" t="s">
        <v>262</v>
      </c>
      <c r="H8389" s="559"/>
      <c r="I8389" s="560"/>
      <c r="J8389" s="560">
        <f t="shared" si="289"/>
        <v>0</v>
      </c>
    </row>
    <row r="8390" spans="5:10" ht="15.75" hidden="1" thickBot="1" x14ac:dyDescent="0.3">
      <c r="G8390" s="268" t="s">
        <v>4328</v>
      </c>
      <c r="H8390" s="561">
        <f>SUM(H8374:H8389)</f>
        <v>0</v>
      </c>
      <c r="I8390" s="562">
        <f>SUM(I8375:I8389)</f>
        <v>0</v>
      </c>
      <c r="J8390" s="562">
        <f>SUM(J8374:J8389)</f>
        <v>0</v>
      </c>
    </row>
    <row r="8391" spans="5:10" ht="28.5" hidden="1" collapsed="1" x14ac:dyDescent="0.25">
      <c r="E8391" s="489"/>
      <c r="F8391" s="316"/>
      <c r="G8391" s="270" t="s">
        <v>4224</v>
      </c>
      <c r="H8391" s="563"/>
      <c r="I8391" s="584"/>
      <c r="J8391" s="564"/>
    </row>
    <row r="8392" spans="5:10" hidden="1" x14ac:dyDescent="0.25">
      <c r="E8392" s="693"/>
      <c r="F8392" s="284" t="s">
        <v>234</v>
      </c>
      <c r="G8392" s="287" t="s">
        <v>235</v>
      </c>
      <c r="H8392" s="559">
        <f>SUM(H8313:H8372)</f>
        <v>0</v>
      </c>
      <c r="I8392" s="560"/>
      <c r="J8392" s="560">
        <f>SUM(H8392:I8392)</f>
        <v>0</v>
      </c>
    </row>
    <row r="8393" spans="5:10" hidden="1" x14ac:dyDescent="0.25">
      <c r="F8393" s="284" t="s">
        <v>236</v>
      </c>
      <c r="G8393" s="287" t="s">
        <v>237</v>
      </c>
      <c r="J8393" s="560">
        <f t="shared" ref="J8393:J8407" si="290">SUM(H8393:I8393)</f>
        <v>0</v>
      </c>
    </row>
    <row r="8394" spans="5:10" hidden="1" x14ac:dyDescent="0.25">
      <c r="F8394" s="284" t="s">
        <v>238</v>
      </c>
      <c r="G8394" s="287" t="s">
        <v>239</v>
      </c>
      <c r="J8394" s="560">
        <f t="shared" si="290"/>
        <v>0</v>
      </c>
    </row>
    <row r="8395" spans="5:10" hidden="1" x14ac:dyDescent="0.25">
      <c r="F8395" s="284" t="s">
        <v>240</v>
      </c>
      <c r="G8395" s="287" t="s">
        <v>241</v>
      </c>
      <c r="J8395" s="560">
        <f t="shared" si="290"/>
        <v>0</v>
      </c>
    </row>
    <row r="8396" spans="5:10" hidden="1" x14ac:dyDescent="0.25">
      <c r="F8396" s="284" t="s">
        <v>242</v>
      </c>
      <c r="G8396" s="287" t="s">
        <v>243</v>
      </c>
      <c r="J8396" s="560">
        <f t="shared" si="290"/>
        <v>0</v>
      </c>
    </row>
    <row r="8397" spans="5:10" hidden="1" x14ac:dyDescent="0.25">
      <c r="F8397" s="284" t="s">
        <v>244</v>
      </c>
      <c r="G8397" s="287" t="s">
        <v>245</v>
      </c>
      <c r="J8397" s="560">
        <f t="shared" si="290"/>
        <v>0</v>
      </c>
    </row>
    <row r="8398" spans="5:10" hidden="1" x14ac:dyDescent="0.25">
      <c r="F8398" s="284" t="s">
        <v>246</v>
      </c>
      <c r="G8398" s="598" t="s">
        <v>4996</v>
      </c>
      <c r="J8398" s="560">
        <f t="shared" si="290"/>
        <v>0</v>
      </c>
    </row>
    <row r="8399" spans="5:10" hidden="1" x14ac:dyDescent="0.25">
      <c r="F8399" s="284" t="s">
        <v>247</v>
      </c>
      <c r="G8399" s="598" t="s">
        <v>4995</v>
      </c>
      <c r="J8399" s="560">
        <f t="shared" si="290"/>
        <v>0</v>
      </c>
    </row>
    <row r="8400" spans="5:10" hidden="1" x14ac:dyDescent="0.25">
      <c r="F8400" s="284" t="s">
        <v>248</v>
      </c>
      <c r="G8400" s="287" t="s">
        <v>57</v>
      </c>
      <c r="J8400" s="560">
        <f t="shared" si="290"/>
        <v>0</v>
      </c>
    </row>
    <row r="8401" spans="3:10" hidden="1" x14ac:dyDescent="0.25">
      <c r="F8401" s="284" t="s">
        <v>249</v>
      </c>
      <c r="G8401" s="287" t="s">
        <v>250</v>
      </c>
      <c r="J8401" s="560">
        <f t="shared" si="290"/>
        <v>0</v>
      </c>
    </row>
    <row r="8402" spans="3:10" hidden="1" x14ac:dyDescent="0.25">
      <c r="F8402" s="284" t="s">
        <v>251</v>
      </c>
      <c r="G8402" s="287" t="s">
        <v>252</v>
      </c>
      <c r="J8402" s="560">
        <f t="shared" si="290"/>
        <v>0</v>
      </c>
    </row>
    <row r="8403" spans="3:10" ht="30" hidden="1" x14ac:dyDescent="0.25">
      <c r="F8403" s="284" t="s">
        <v>253</v>
      </c>
      <c r="G8403" s="287" t="s">
        <v>254</v>
      </c>
      <c r="J8403" s="560">
        <f t="shared" si="290"/>
        <v>0</v>
      </c>
    </row>
    <row r="8404" spans="3:10" hidden="1" x14ac:dyDescent="0.25">
      <c r="F8404" s="284" t="s">
        <v>255</v>
      </c>
      <c r="G8404" s="287" t="s">
        <v>256</v>
      </c>
      <c r="J8404" s="560">
        <f t="shared" si="290"/>
        <v>0</v>
      </c>
    </row>
    <row r="8405" spans="3:10" ht="30" hidden="1" x14ac:dyDescent="0.25">
      <c r="F8405" s="284" t="s">
        <v>257</v>
      </c>
      <c r="G8405" s="287" t="s">
        <v>258</v>
      </c>
      <c r="J8405" s="560">
        <f t="shared" si="290"/>
        <v>0</v>
      </c>
    </row>
    <row r="8406" spans="3:10" hidden="1" x14ac:dyDescent="0.25">
      <c r="F8406" s="284" t="s">
        <v>259</v>
      </c>
      <c r="G8406" s="287" t="s">
        <v>260</v>
      </c>
      <c r="J8406" s="560">
        <f t="shared" si="290"/>
        <v>0</v>
      </c>
    </row>
    <row r="8407" spans="3:10" hidden="1" x14ac:dyDescent="0.25">
      <c r="F8407" s="284" t="s">
        <v>261</v>
      </c>
      <c r="G8407" s="287" t="s">
        <v>262</v>
      </c>
      <c r="H8407" s="559"/>
      <c r="I8407" s="560"/>
      <c r="J8407" s="560">
        <f t="shared" si="290"/>
        <v>0</v>
      </c>
    </row>
    <row r="8408" spans="3:10" ht="15.75" hidden="1" collapsed="1" thickBot="1" x14ac:dyDescent="0.3">
      <c r="G8408" s="268" t="s">
        <v>4225</v>
      </c>
      <c r="H8408" s="561">
        <f>SUM(H8392:H8407)</f>
        <v>0</v>
      </c>
      <c r="I8408" s="562">
        <f>SUM(I8393:I8407)</f>
        <v>0</v>
      </c>
      <c r="J8408" s="562">
        <f>SUM(J8392:J8407)</f>
        <v>0</v>
      </c>
    </row>
    <row r="8409" spans="3:10" hidden="1" x14ac:dyDescent="0.25"/>
    <row r="8410" spans="3:10" hidden="1" x14ac:dyDescent="0.25"/>
    <row r="8411" spans="3:10" hidden="1" x14ac:dyDescent="0.25">
      <c r="C8411" s="267" t="s">
        <v>4845</v>
      </c>
      <c r="D8411" s="259"/>
      <c r="G8411" s="320"/>
    </row>
    <row r="8412" spans="3:10" hidden="1" x14ac:dyDescent="0.25">
      <c r="C8412" s="267"/>
      <c r="D8412" s="331">
        <v>150</v>
      </c>
      <c r="E8412" s="869"/>
      <c r="F8412" s="331"/>
      <c r="G8412" s="351" t="s">
        <v>4241</v>
      </c>
    </row>
    <row r="8413" spans="3:10" hidden="1" x14ac:dyDescent="0.25">
      <c r="F8413" s="315">
        <v>411</v>
      </c>
      <c r="G8413" s="319" t="s">
        <v>4131</v>
      </c>
      <c r="J8413" s="556">
        <f>SUM(H8413:I8413)</f>
        <v>0</v>
      </c>
    </row>
    <row r="8414" spans="3:10" hidden="1" x14ac:dyDescent="0.25">
      <c r="F8414" s="315">
        <v>412</v>
      </c>
      <c r="G8414" s="317" t="s">
        <v>3766</v>
      </c>
      <c r="J8414" s="556">
        <f t="shared" ref="J8414:J8472" si="291">SUM(H8414:I8414)</f>
        <v>0</v>
      </c>
    </row>
    <row r="8415" spans="3:10" hidden="1" x14ac:dyDescent="0.25">
      <c r="F8415" s="315">
        <v>413</v>
      </c>
      <c r="G8415" s="319" t="s">
        <v>4132</v>
      </c>
      <c r="J8415" s="556">
        <f t="shared" si="291"/>
        <v>0</v>
      </c>
    </row>
    <row r="8416" spans="3:10" hidden="1" x14ac:dyDescent="0.25">
      <c r="F8416" s="315">
        <v>414</v>
      </c>
      <c r="G8416" s="319" t="s">
        <v>3769</v>
      </c>
      <c r="J8416" s="556">
        <f t="shared" si="291"/>
        <v>0</v>
      </c>
    </row>
    <row r="8417" spans="6:10" hidden="1" x14ac:dyDescent="0.25">
      <c r="F8417" s="315">
        <v>415</v>
      </c>
      <c r="G8417" s="319" t="s">
        <v>4141</v>
      </c>
      <c r="J8417" s="556">
        <f t="shared" si="291"/>
        <v>0</v>
      </c>
    </row>
    <row r="8418" spans="6:10" hidden="1" x14ac:dyDescent="0.25">
      <c r="F8418" s="315">
        <v>416</v>
      </c>
      <c r="G8418" s="319" t="s">
        <v>4142</v>
      </c>
      <c r="J8418" s="556">
        <f t="shared" si="291"/>
        <v>0</v>
      </c>
    </row>
    <row r="8419" spans="6:10" hidden="1" x14ac:dyDescent="0.25">
      <c r="F8419" s="315">
        <v>417</v>
      </c>
      <c r="G8419" s="319" t="s">
        <v>4143</v>
      </c>
      <c r="J8419" s="556">
        <f t="shared" si="291"/>
        <v>0</v>
      </c>
    </row>
    <row r="8420" spans="6:10" hidden="1" x14ac:dyDescent="0.25">
      <c r="F8420" s="315">
        <v>418</v>
      </c>
      <c r="G8420" s="319" t="s">
        <v>3775</v>
      </c>
      <c r="J8420" s="556">
        <f t="shared" si="291"/>
        <v>0</v>
      </c>
    </row>
    <row r="8421" spans="6:10" hidden="1" x14ac:dyDescent="0.25">
      <c r="F8421" s="315">
        <v>421</v>
      </c>
      <c r="G8421" s="319" t="s">
        <v>3779</v>
      </c>
      <c r="J8421" s="556">
        <f t="shared" si="291"/>
        <v>0</v>
      </c>
    </row>
    <row r="8422" spans="6:10" hidden="1" x14ac:dyDescent="0.25">
      <c r="F8422" s="315">
        <v>422</v>
      </c>
      <c r="G8422" s="319" t="s">
        <v>3780</v>
      </c>
      <c r="J8422" s="556">
        <f t="shared" si="291"/>
        <v>0</v>
      </c>
    </row>
    <row r="8423" spans="6:10" hidden="1" x14ac:dyDescent="0.25">
      <c r="F8423" s="315">
        <v>423</v>
      </c>
      <c r="G8423" s="319" t="s">
        <v>3781</v>
      </c>
      <c r="J8423" s="556">
        <f t="shared" si="291"/>
        <v>0</v>
      </c>
    </row>
    <row r="8424" spans="6:10" hidden="1" x14ac:dyDescent="0.25">
      <c r="F8424" s="315">
        <v>424</v>
      </c>
      <c r="G8424" s="319" t="s">
        <v>3783</v>
      </c>
      <c r="J8424" s="556">
        <f t="shared" si="291"/>
        <v>0</v>
      </c>
    </row>
    <row r="8425" spans="6:10" hidden="1" x14ac:dyDescent="0.25">
      <c r="F8425" s="315">
        <v>425</v>
      </c>
      <c r="G8425" s="319" t="s">
        <v>4144</v>
      </c>
      <c r="J8425" s="556">
        <f t="shared" si="291"/>
        <v>0</v>
      </c>
    </row>
    <row r="8426" spans="6:10" hidden="1" x14ac:dyDescent="0.25">
      <c r="F8426" s="315">
        <v>426</v>
      </c>
      <c r="G8426" s="319" t="s">
        <v>3787</v>
      </c>
      <c r="J8426" s="556">
        <f t="shared" si="291"/>
        <v>0</v>
      </c>
    </row>
    <row r="8427" spans="6:10" hidden="1" x14ac:dyDescent="0.25">
      <c r="F8427" s="315">
        <v>431</v>
      </c>
      <c r="G8427" s="319" t="s">
        <v>4145</v>
      </c>
      <c r="J8427" s="556">
        <f t="shared" si="291"/>
        <v>0</v>
      </c>
    </row>
    <row r="8428" spans="6:10" hidden="1" x14ac:dyDescent="0.25">
      <c r="F8428" s="315">
        <v>432</v>
      </c>
      <c r="G8428" s="319" t="s">
        <v>4146</v>
      </c>
      <c r="J8428" s="556">
        <f t="shared" si="291"/>
        <v>0</v>
      </c>
    </row>
    <row r="8429" spans="6:10" hidden="1" x14ac:dyDescent="0.25">
      <c r="F8429" s="315">
        <v>433</v>
      </c>
      <c r="G8429" s="319" t="s">
        <v>4147</v>
      </c>
      <c r="J8429" s="556">
        <f t="shared" si="291"/>
        <v>0</v>
      </c>
    </row>
    <row r="8430" spans="6:10" hidden="1" x14ac:dyDescent="0.25">
      <c r="F8430" s="315">
        <v>434</v>
      </c>
      <c r="G8430" s="319" t="s">
        <v>4148</v>
      </c>
      <c r="J8430" s="556">
        <f t="shared" si="291"/>
        <v>0</v>
      </c>
    </row>
    <row r="8431" spans="6:10" hidden="1" x14ac:dyDescent="0.25">
      <c r="F8431" s="315">
        <v>435</v>
      </c>
      <c r="G8431" s="319" t="s">
        <v>3794</v>
      </c>
      <c r="J8431" s="556">
        <f t="shared" si="291"/>
        <v>0</v>
      </c>
    </row>
    <row r="8432" spans="6:10" hidden="1" x14ac:dyDescent="0.25">
      <c r="F8432" s="315">
        <v>441</v>
      </c>
      <c r="G8432" s="319" t="s">
        <v>4149</v>
      </c>
      <c r="J8432" s="556">
        <f t="shared" si="291"/>
        <v>0</v>
      </c>
    </row>
    <row r="8433" spans="6:10" hidden="1" x14ac:dyDescent="0.25">
      <c r="F8433" s="315">
        <v>442</v>
      </c>
      <c r="G8433" s="319" t="s">
        <v>4150</v>
      </c>
      <c r="J8433" s="556">
        <f t="shared" si="291"/>
        <v>0</v>
      </c>
    </row>
    <row r="8434" spans="6:10" hidden="1" x14ac:dyDescent="0.25">
      <c r="F8434" s="315">
        <v>443</v>
      </c>
      <c r="G8434" s="319" t="s">
        <v>3799</v>
      </c>
      <c r="J8434" s="556">
        <f t="shared" si="291"/>
        <v>0</v>
      </c>
    </row>
    <row r="8435" spans="6:10" hidden="1" x14ac:dyDescent="0.25">
      <c r="F8435" s="315">
        <v>444</v>
      </c>
      <c r="G8435" s="319" t="s">
        <v>3800</v>
      </c>
      <c r="J8435" s="556">
        <f t="shared" si="291"/>
        <v>0</v>
      </c>
    </row>
    <row r="8436" spans="6:10" ht="30" hidden="1" x14ac:dyDescent="0.25">
      <c r="F8436" s="315">
        <v>4511</v>
      </c>
      <c r="G8436" s="263" t="s">
        <v>1690</v>
      </c>
      <c r="J8436" s="556">
        <f t="shared" si="291"/>
        <v>0</v>
      </c>
    </row>
    <row r="8437" spans="6:10" ht="30" hidden="1" x14ac:dyDescent="0.25">
      <c r="F8437" s="315">
        <v>4512</v>
      </c>
      <c r="G8437" s="263" t="s">
        <v>1699</v>
      </c>
      <c r="J8437" s="556">
        <f t="shared" si="291"/>
        <v>0</v>
      </c>
    </row>
    <row r="8438" spans="6:10" hidden="1" x14ac:dyDescent="0.25">
      <c r="F8438" s="315">
        <v>452</v>
      </c>
      <c r="G8438" s="319" t="s">
        <v>4151</v>
      </c>
      <c r="J8438" s="556">
        <f t="shared" si="291"/>
        <v>0</v>
      </c>
    </row>
    <row r="8439" spans="6:10" hidden="1" x14ac:dyDescent="0.25">
      <c r="F8439" s="315">
        <v>453</v>
      </c>
      <c r="G8439" s="319" t="s">
        <v>4152</v>
      </c>
      <c r="J8439" s="556">
        <f t="shared" si="291"/>
        <v>0</v>
      </c>
    </row>
    <row r="8440" spans="6:10" hidden="1" x14ac:dyDescent="0.25">
      <c r="F8440" s="315">
        <v>454</v>
      </c>
      <c r="G8440" s="319" t="s">
        <v>3805</v>
      </c>
      <c r="J8440" s="556">
        <f t="shared" si="291"/>
        <v>0</v>
      </c>
    </row>
    <row r="8441" spans="6:10" hidden="1" x14ac:dyDescent="0.25">
      <c r="F8441" s="315">
        <v>461</v>
      </c>
      <c r="G8441" s="319" t="s">
        <v>4133</v>
      </c>
      <c r="J8441" s="556">
        <f t="shared" si="291"/>
        <v>0</v>
      </c>
    </row>
    <row r="8442" spans="6:10" hidden="1" x14ac:dyDescent="0.25">
      <c r="F8442" s="315">
        <v>462</v>
      </c>
      <c r="G8442" s="319" t="s">
        <v>3808</v>
      </c>
      <c r="J8442" s="556">
        <f t="shared" si="291"/>
        <v>0</v>
      </c>
    </row>
    <row r="8443" spans="6:10" hidden="1" x14ac:dyDescent="0.25">
      <c r="F8443" s="315">
        <v>4631</v>
      </c>
      <c r="G8443" s="319" t="s">
        <v>3809</v>
      </c>
      <c r="J8443" s="556">
        <f t="shared" si="291"/>
        <v>0</v>
      </c>
    </row>
    <row r="8444" spans="6:10" hidden="1" x14ac:dyDescent="0.25">
      <c r="F8444" s="315">
        <v>4632</v>
      </c>
      <c r="G8444" s="319" t="s">
        <v>3810</v>
      </c>
      <c r="J8444" s="556">
        <f t="shared" si="291"/>
        <v>0</v>
      </c>
    </row>
    <row r="8445" spans="6:10" hidden="1" x14ac:dyDescent="0.25">
      <c r="F8445" s="315">
        <v>464</v>
      </c>
      <c r="G8445" s="319" t="s">
        <v>3811</v>
      </c>
      <c r="J8445" s="556">
        <f t="shared" si="291"/>
        <v>0</v>
      </c>
    </row>
    <row r="8446" spans="6:10" hidden="1" x14ac:dyDescent="0.25">
      <c r="F8446" s="315">
        <v>465</v>
      </c>
      <c r="G8446" s="319" t="s">
        <v>4134</v>
      </c>
      <c r="J8446" s="556">
        <f t="shared" si="291"/>
        <v>0</v>
      </c>
    </row>
    <row r="8447" spans="6:10" hidden="1" x14ac:dyDescent="0.25">
      <c r="F8447" s="315">
        <v>472</v>
      </c>
      <c r="G8447" s="319" t="s">
        <v>3815</v>
      </c>
      <c r="J8447" s="556">
        <f t="shared" si="291"/>
        <v>0</v>
      </c>
    </row>
    <row r="8448" spans="6:10" hidden="1" x14ac:dyDescent="0.25">
      <c r="F8448" s="315">
        <v>481</v>
      </c>
      <c r="G8448" s="319" t="s">
        <v>4153</v>
      </c>
      <c r="J8448" s="556">
        <f t="shared" si="291"/>
        <v>0</v>
      </c>
    </row>
    <row r="8449" spans="6:10" hidden="1" x14ac:dyDescent="0.25">
      <c r="F8449" s="315">
        <v>482</v>
      </c>
      <c r="G8449" s="319" t="s">
        <v>4154</v>
      </c>
      <c r="J8449" s="556">
        <f t="shared" si="291"/>
        <v>0</v>
      </c>
    </row>
    <row r="8450" spans="6:10" hidden="1" x14ac:dyDescent="0.25">
      <c r="F8450" s="315">
        <v>483</v>
      </c>
      <c r="G8450" s="322" t="s">
        <v>4155</v>
      </c>
      <c r="J8450" s="556">
        <f t="shared" si="291"/>
        <v>0</v>
      </c>
    </row>
    <row r="8451" spans="6:10" ht="30" hidden="1" x14ac:dyDescent="0.25">
      <c r="F8451" s="315">
        <v>484</v>
      </c>
      <c r="G8451" s="319" t="s">
        <v>4156</v>
      </c>
      <c r="J8451" s="556">
        <f t="shared" si="291"/>
        <v>0</v>
      </c>
    </row>
    <row r="8452" spans="6:10" ht="30" hidden="1" x14ac:dyDescent="0.25">
      <c r="F8452" s="315">
        <v>485</v>
      </c>
      <c r="G8452" s="319" t="s">
        <v>4157</v>
      </c>
      <c r="J8452" s="556">
        <f t="shared" si="291"/>
        <v>0</v>
      </c>
    </row>
    <row r="8453" spans="6:10" ht="30" hidden="1" x14ac:dyDescent="0.25">
      <c r="F8453" s="315">
        <v>489</v>
      </c>
      <c r="G8453" s="319" t="s">
        <v>3823</v>
      </c>
      <c r="J8453" s="556">
        <f t="shared" si="291"/>
        <v>0</v>
      </c>
    </row>
    <row r="8454" spans="6:10" hidden="1" x14ac:dyDescent="0.25">
      <c r="F8454" s="315">
        <v>494</v>
      </c>
      <c r="G8454" s="319" t="s">
        <v>4135</v>
      </c>
      <c r="J8454" s="556">
        <f t="shared" si="291"/>
        <v>0</v>
      </c>
    </row>
    <row r="8455" spans="6:10" ht="30" hidden="1" x14ac:dyDescent="0.25">
      <c r="F8455" s="315">
        <v>495</v>
      </c>
      <c r="G8455" s="319" t="s">
        <v>4136</v>
      </c>
      <c r="J8455" s="556">
        <f t="shared" si="291"/>
        <v>0</v>
      </c>
    </row>
    <row r="8456" spans="6:10" ht="30" hidden="1" x14ac:dyDescent="0.25">
      <c r="F8456" s="315">
        <v>496</v>
      </c>
      <c r="G8456" s="319" t="s">
        <v>4137</v>
      </c>
      <c r="J8456" s="556">
        <f t="shared" si="291"/>
        <v>0</v>
      </c>
    </row>
    <row r="8457" spans="6:10" ht="30" hidden="1" x14ac:dyDescent="0.25">
      <c r="F8457" s="315">
        <v>499</v>
      </c>
      <c r="G8457" s="319" t="s">
        <v>4138</v>
      </c>
      <c r="J8457" s="556">
        <f t="shared" si="291"/>
        <v>0</v>
      </c>
    </row>
    <row r="8458" spans="6:10" hidden="1" x14ac:dyDescent="0.25">
      <c r="F8458" s="315">
        <v>511</v>
      </c>
      <c r="G8458" s="322" t="s">
        <v>4158</v>
      </c>
      <c r="J8458" s="556">
        <f t="shared" si="291"/>
        <v>0</v>
      </c>
    </row>
    <row r="8459" spans="6:10" hidden="1" x14ac:dyDescent="0.25">
      <c r="F8459" s="315">
        <v>512</v>
      </c>
      <c r="G8459" s="322" t="s">
        <v>4159</v>
      </c>
      <c r="J8459" s="556">
        <f t="shared" si="291"/>
        <v>0</v>
      </c>
    </row>
    <row r="8460" spans="6:10" hidden="1" x14ac:dyDescent="0.25">
      <c r="F8460" s="315">
        <v>513</v>
      </c>
      <c r="G8460" s="322" t="s">
        <v>4160</v>
      </c>
      <c r="J8460" s="556">
        <f t="shared" si="291"/>
        <v>0</v>
      </c>
    </row>
    <row r="8461" spans="6:10" hidden="1" x14ac:dyDescent="0.25">
      <c r="F8461" s="315">
        <v>514</v>
      </c>
      <c r="G8461" s="319" t="s">
        <v>4161</v>
      </c>
      <c r="J8461" s="556">
        <f t="shared" si="291"/>
        <v>0</v>
      </c>
    </row>
    <row r="8462" spans="6:10" hidden="1" x14ac:dyDescent="0.25">
      <c r="F8462" s="315">
        <v>515</v>
      </c>
      <c r="G8462" s="319" t="s">
        <v>3834</v>
      </c>
      <c r="J8462" s="556">
        <f t="shared" si="291"/>
        <v>0</v>
      </c>
    </row>
    <row r="8463" spans="6:10" hidden="1" x14ac:dyDescent="0.25">
      <c r="F8463" s="315">
        <v>521</v>
      </c>
      <c r="G8463" s="319" t="s">
        <v>4162</v>
      </c>
      <c r="J8463" s="556">
        <f t="shared" si="291"/>
        <v>0</v>
      </c>
    </row>
    <row r="8464" spans="6:10" hidden="1" x14ac:dyDescent="0.25">
      <c r="F8464" s="315">
        <v>522</v>
      </c>
      <c r="G8464" s="319" t="s">
        <v>4163</v>
      </c>
      <c r="J8464" s="556">
        <f t="shared" si="291"/>
        <v>0</v>
      </c>
    </row>
    <row r="8465" spans="5:10" hidden="1" x14ac:dyDescent="0.25">
      <c r="F8465" s="315">
        <v>523</v>
      </c>
      <c r="G8465" s="319" t="s">
        <v>3839</v>
      </c>
      <c r="J8465" s="556">
        <f t="shared" si="291"/>
        <v>0</v>
      </c>
    </row>
    <row r="8466" spans="5:10" hidden="1" x14ac:dyDescent="0.25">
      <c r="F8466" s="315">
        <v>531</v>
      </c>
      <c r="G8466" s="317" t="s">
        <v>4139</v>
      </c>
      <c r="J8466" s="556">
        <f t="shared" si="291"/>
        <v>0</v>
      </c>
    </row>
    <row r="8467" spans="5:10" hidden="1" x14ac:dyDescent="0.25">
      <c r="F8467" s="315">
        <v>541</v>
      </c>
      <c r="G8467" s="319" t="s">
        <v>4164</v>
      </c>
      <c r="J8467" s="556">
        <f t="shared" si="291"/>
        <v>0</v>
      </c>
    </row>
    <row r="8468" spans="5:10" hidden="1" x14ac:dyDescent="0.25">
      <c r="F8468" s="315">
        <v>542</v>
      </c>
      <c r="G8468" s="319" t="s">
        <v>4165</v>
      </c>
      <c r="J8468" s="556">
        <f t="shared" si="291"/>
        <v>0</v>
      </c>
    </row>
    <row r="8469" spans="5:10" hidden="1" x14ac:dyDescent="0.25">
      <c r="F8469" s="315">
        <v>543</v>
      </c>
      <c r="G8469" s="319" t="s">
        <v>3844</v>
      </c>
      <c r="J8469" s="556">
        <f t="shared" si="291"/>
        <v>0</v>
      </c>
    </row>
    <row r="8470" spans="5:10" ht="30" hidden="1" x14ac:dyDescent="0.25">
      <c r="F8470" s="315">
        <v>551</v>
      </c>
      <c r="G8470" s="319" t="s">
        <v>4140</v>
      </c>
      <c r="J8470" s="556">
        <f t="shared" si="291"/>
        <v>0</v>
      </c>
    </row>
    <row r="8471" spans="5:10" hidden="1" x14ac:dyDescent="0.25">
      <c r="F8471" s="316">
        <v>611</v>
      </c>
      <c r="G8471" s="323" t="s">
        <v>3850</v>
      </c>
      <c r="J8471" s="556">
        <f t="shared" si="291"/>
        <v>0</v>
      </c>
    </row>
    <row r="8472" spans="5:10" hidden="1" x14ac:dyDescent="0.25">
      <c r="F8472" s="316">
        <v>620</v>
      </c>
      <c r="G8472" s="323" t="s">
        <v>88</v>
      </c>
      <c r="J8472" s="556">
        <f t="shared" si="291"/>
        <v>0</v>
      </c>
    </row>
    <row r="8473" spans="5:10" hidden="1" x14ac:dyDescent="0.25">
      <c r="E8473" s="489"/>
      <c r="F8473" s="324"/>
      <c r="G8473" s="343" t="s">
        <v>4327</v>
      </c>
      <c r="H8473" s="557"/>
      <c r="I8473" s="583"/>
      <c r="J8473" s="558"/>
    </row>
    <row r="8474" spans="5:10" hidden="1" x14ac:dyDescent="0.25">
      <c r="E8474" s="693"/>
      <c r="F8474" s="284" t="s">
        <v>234</v>
      </c>
      <c r="G8474" s="287" t="s">
        <v>235</v>
      </c>
      <c r="H8474" s="559">
        <f>SUM(H8413:H8472)</f>
        <v>0</v>
      </c>
      <c r="I8474" s="560"/>
      <c r="J8474" s="560">
        <f t="shared" ref="J8474:J8489" si="292">SUM(H8474:I8474)</f>
        <v>0</v>
      </c>
    </row>
    <row r="8475" spans="5:10" hidden="1" x14ac:dyDescent="0.25">
      <c r="F8475" s="284" t="s">
        <v>236</v>
      </c>
      <c r="G8475" s="287" t="s">
        <v>237</v>
      </c>
      <c r="J8475" s="560">
        <f t="shared" si="292"/>
        <v>0</v>
      </c>
    </row>
    <row r="8476" spans="5:10" hidden="1" x14ac:dyDescent="0.25">
      <c r="F8476" s="284" t="s">
        <v>238</v>
      </c>
      <c r="G8476" s="287" t="s">
        <v>239</v>
      </c>
      <c r="J8476" s="560">
        <f t="shared" si="292"/>
        <v>0</v>
      </c>
    </row>
    <row r="8477" spans="5:10" hidden="1" x14ac:dyDescent="0.25">
      <c r="F8477" s="284" t="s">
        <v>240</v>
      </c>
      <c r="G8477" s="287" t="s">
        <v>241</v>
      </c>
      <c r="J8477" s="560">
        <f t="shared" si="292"/>
        <v>0</v>
      </c>
    </row>
    <row r="8478" spans="5:10" hidden="1" x14ac:dyDescent="0.25">
      <c r="F8478" s="284" t="s">
        <v>242</v>
      </c>
      <c r="G8478" s="287" t="s">
        <v>243</v>
      </c>
      <c r="J8478" s="560">
        <f t="shared" si="292"/>
        <v>0</v>
      </c>
    </row>
    <row r="8479" spans="5:10" hidden="1" x14ac:dyDescent="0.25">
      <c r="F8479" s="284" t="s">
        <v>244</v>
      </c>
      <c r="G8479" s="287" t="s">
        <v>245</v>
      </c>
      <c r="J8479" s="560">
        <f t="shared" si="292"/>
        <v>0</v>
      </c>
    </row>
    <row r="8480" spans="5:10" hidden="1" x14ac:dyDescent="0.25">
      <c r="F8480" s="284" t="s">
        <v>246</v>
      </c>
      <c r="G8480" s="598" t="s">
        <v>4996</v>
      </c>
      <c r="J8480" s="560">
        <f t="shared" si="292"/>
        <v>0</v>
      </c>
    </row>
    <row r="8481" spans="5:10" hidden="1" x14ac:dyDescent="0.25">
      <c r="F8481" s="284" t="s">
        <v>247</v>
      </c>
      <c r="G8481" s="598" t="s">
        <v>4995</v>
      </c>
      <c r="J8481" s="560">
        <f t="shared" si="292"/>
        <v>0</v>
      </c>
    </row>
    <row r="8482" spans="5:10" hidden="1" x14ac:dyDescent="0.25">
      <c r="F8482" s="284" t="s">
        <v>248</v>
      </c>
      <c r="G8482" s="287" t="s">
        <v>57</v>
      </c>
      <c r="J8482" s="560">
        <f t="shared" si="292"/>
        <v>0</v>
      </c>
    </row>
    <row r="8483" spans="5:10" hidden="1" x14ac:dyDescent="0.25">
      <c r="F8483" s="284" t="s">
        <v>249</v>
      </c>
      <c r="G8483" s="287" t="s">
        <v>250</v>
      </c>
      <c r="J8483" s="560">
        <f t="shared" si="292"/>
        <v>0</v>
      </c>
    </row>
    <row r="8484" spans="5:10" hidden="1" x14ac:dyDescent="0.25">
      <c r="F8484" s="284" t="s">
        <v>251</v>
      </c>
      <c r="G8484" s="287" t="s">
        <v>252</v>
      </c>
      <c r="J8484" s="560">
        <f t="shared" si="292"/>
        <v>0</v>
      </c>
    </row>
    <row r="8485" spans="5:10" ht="30" hidden="1" x14ac:dyDescent="0.25">
      <c r="F8485" s="284" t="s">
        <v>253</v>
      </c>
      <c r="G8485" s="287" t="s">
        <v>254</v>
      </c>
      <c r="J8485" s="560">
        <f t="shared" si="292"/>
        <v>0</v>
      </c>
    </row>
    <row r="8486" spans="5:10" hidden="1" x14ac:dyDescent="0.25">
      <c r="F8486" s="284" t="s">
        <v>255</v>
      </c>
      <c r="G8486" s="287" t="s">
        <v>256</v>
      </c>
      <c r="J8486" s="560">
        <f t="shared" si="292"/>
        <v>0</v>
      </c>
    </row>
    <row r="8487" spans="5:10" ht="30" hidden="1" x14ac:dyDescent="0.25">
      <c r="F8487" s="284" t="s">
        <v>257</v>
      </c>
      <c r="G8487" s="287" t="s">
        <v>258</v>
      </c>
      <c r="J8487" s="560">
        <f t="shared" si="292"/>
        <v>0</v>
      </c>
    </row>
    <row r="8488" spans="5:10" hidden="1" x14ac:dyDescent="0.25">
      <c r="F8488" s="284" t="s">
        <v>259</v>
      </c>
      <c r="G8488" s="287" t="s">
        <v>260</v>
      </c>
      <c r="J8488" s="560">
        <f t="shared" si="292"/>
        <v>0</v>
      </c>
    </row>
    <row r="8489" spans="5:10" hidden="1" x14ac:dyDescent="0.25">
      <c r="F8489" s="284" t="s">
        <v>261</v>
      </c>
      <c r="G8489" s="287" t="s">
        <v>262</v>
      </c>
      <c r="H8489" s="559"/>
      <c r="I8489" s="560"/>
      <c r="J8489" s="560">
        <f t="shared" si="292"/>
        <v>0</v>
      </c>
    </row>
    <row r="8490" spans="5:10" ht="15.75" hidden="1" thickBot="1" x14ac:dyDescent="0.3">
      <c r="G8490" s="268" t="s">
        <v>4328</v>
      </c>
      <c r="H8490" s="561">
        <f>SUM(H8474:H8489)</f>
        <v>0</v>
      </c>
      <c r="I8490" s="562">
        <f>SUM(I8475:I8489)</f>
        <v>0</v>
      </c>
      <c r="J8490" s="562">
        <f>SUM(J8474:J8489)</f>
        <v>0</v>
      </c>
    </row>
    <row r="8491" spans="5:10" hidden="1" x14ac:dyDescent="0.25">
      <c r="E8491" s="489"/>
      <c r="F8491" s="316"/>
      <c r="G8491" s="270" t="s">
        <v>4946</v>
      </c>
      <c r="H8491" s="563"/>
      <c r="I8491" s="584"/>
      <c r="J8491" s="564"/>
    </row>
    <row r="8492" spans="5:10" hidden="1" x14ac:dyDescent="0.25">
      <c r="E8492" s="693"/>
      <c r="F8492" s="284" t="s">
        <v>234</v>
      </c>
      <c r="G8492" s="287" t="s">
        <v>235</v>
      </c>
      <c r="H8492" s="559">
        <f>SUM(H8413:H8472)</f>
        <v>0</v>
      </c>
      <c r="I8492" s="560"/>
      <c r="J8492" s="560">
        <f>SUM(H8492:I8492)</f>
        <v>0</v>
      </c>
    </row>
    <row r="8493" spans="5:10" hidden="1" x14ac:dyDescent="0.25">
      <c r="F8493" s="284" t="s">
        <v>236</v>
      </c>
      <c r="G8493" s="287" t="s">
        <v>237</v>
      </c>
      <c r="J8493" s="560">
        <f t="shared" ref="J8493:J8507" si="293">SUM(H8493:I8493)</f>
        <v>0</v>
      </c>
    </row>
    <row r="8494" spans="5:10" hidden="1" x14ac:dyDescent="0.25">
      <c r="F8494" s="284" t="s">
        <v>238</v>
      </c>
      <c r="G8494" s="287" t="s">
        <v>239</v>
      </c>
      <c r="J8494" s="560">
        <f t="shared" si="293"/>
        <v>0</v>
      </c>
    </row>
    <row r="8495" spans="5:10" hidden="1" x14ac:dyDescent="0.25">
      <c r="F8495" s="284" t="s">
        <v>240</v>
      </c>
      <c r="G8495" s="287" t="s">
        <v>241</v>
      </c>
      <c r="J8495" s="560">
        <f t="shared" si="293"/>
        <v>0</v>
      </c>
    </row>
    <row r="8496" spans="5:10" hidden="1" x14ac:dyDescent="0.25">
      <c r="F8496" s="284" t="s">
        <v>242</v>
      </c>
      <c r="G8496" s="287" t="s">
        <v>243</v>
      </c>
      <c r="J8496" s="560">
        <f t="shared" si="293"/>
        <v>0</v>
      </c>
    </row>
    <row r="8497" spans="5:10" hidden="1" x14ac:dyDescent="0.25">
      <c r="F8497" s="284" t="s">
        <v>244</v>
      </c>
      <c r="G8497" s="287" t="s">
        <v>245</v>
      </c>
      <c r="J8497" s="560">
        <f t="shared" si="293"/>
        <v>0</v>
      </c>
    </row>
    <row r="8498" spans="5:10" hidden="1" x14ac:dyDescent="0.25">
      <c r="F8498" s="284" t="s">
        <v>246</v>
      </c>
      <c r="G8498" s="598" t="s">
        <v>4996</v>
      </c>
      <c r="J8498" s="560">
        <f t="shared" si="293"/>
        <v>0</v>
      </c>
    </row>
    <row r="8499" spans="5:10" hidden="1" x14ac:dyDescent="0.25">
      <c r="F8499" s="284" t="s">
        <v>247</v>
      </c>
      <c r="G8499" s="598" t="s">
        <v>4995</v>
      </c>
      <c r="J8499" s="560">
        <f t="shared" si="293"/>
        <v>0</v>
      </c>
    </row>
    <row r="8500" spans="5:10" hidden="1" x14ac:dyDescent="0.25">
      <c r="F8500" s="284" t="s">
        <v>248</v>
      </c>
      <c r="G8500" s="287" t="s">
        <v>57</v>
      </c>
      <c r="J8500" s="560">
        <f t="shared" si="293"/>
        <v>0</v>
      </c>
    </row>
    <row r="8501" spans="5:10" hidden="1" x14ac:dyDescent="0.25">
      <c r="F8501" s="284" t="s">
        <v>249</v>
      </c>
      <c r="G8501" s="287" t="s">
        <v>250</v>
      </c>
      <c r="J8501" s="560">
        <f t="shared" si="293"/>
        <v>0</v>
      </c>
    </row>
    <row r="8502" spans="5:10" hidden="1" x14ac:dyDescent="0.25">
      <c r="F8502" s="284" t="s">
        <v>251</v>
      </c>
      <c r="G8502" s="287" t="s">
        <v>252</v>
      </c>
      <c r="J8502" s="560">
        <f t="shared" si="293"/>
        <v>0</v>
      </c>
    </row>
    <row r="8503" spans="5:10" ht="30" hidden="1" x14ac:dyDescent="0.25">
      <c r="F8503" s="284" t="s">
        <v>253</v>
      </c>
      <c r="G8503" s="287" t="s">
        <v>254</v>
      </c>
      <c r="J8503" s="560">
        <f t="shared" si="293"/>
        <v>0</v>
      </c>
    </row>
    <row r="8504" spans="5:10" hidden="1" x14ac:dyDescent="0.25">
      <c r="F8504" s="284" t="s">
        <v>255</v>
      </c>
      <c r="G8504" s="287" t="s">
        <v>256</v>
      </c>
      <c r="J8504" s="560">
        <f t="shared" si="293"/>
        <v>0</v>
      </c>
    </row>
    <row r="8505" spans="5:10" ht="30" hidden="1" x14ac:dyDescent="0.25">
      <c r="F8505" s="284" t="s">
        <v>257</v>
      </c>
      <c r="G8505" s="287" t="s">
        <v>258</v>
      </c>
      <c r="J8505" s="560">
        <f t="shared" si="293"/>
        <v>0</v>
      </c>
    </row>
    <row r="8506" spans="5:10" hidden="1" x14ac:dyDescent="0.25">
      <c r="F8506" s="284" t="s">
        <v>259</v>
      </c>
      <c r="G8506" s="287" t="s">
        <v>260</v>
      </c>
      <c r="J8506" s="560">
        <f t="shared" si="293"/>
        <v>0</v>
      </c>
    </row>
    <row r="8507" spans="5:10" hidden="1" x14ac:dyDescent="0.25">
      <c r="F8507" s="284" t="s">
        <v>261</v>
      </c>
      <c r="G8507" s="287" t="s">
        <v>262</v>
      </c>
      <c r="H8507" s="559"/>
      <c r="I8507" s="560"/>
      <c r="J8507" s="560">
        <f t="shared" si="293"/>
        <v>0</v>
      </c>
    </row>
    <row r="8508" spans="5:10" ht="15.75" hidden="1" thickBot="1" x14ac:dyDescent="0.3">
      <c r="G8508" s="268" t="s">
        <v>4947</v>
      </c>
      <c r="H8508" s="561">
        <f>SUM(H8492:H8507)</f>
        <v>0</v>
      </c>
      <c r="I8508" s="562">
        <f>SUM(I8493:I8507)</f>
        <v>0</v>
      </c>
      <c r="J8508" s="562">
        <f>SUM(J8492:J8507)</f>
        <v>0</v>
      </c>
    </row>
    <row r="8509" spans="5:10" hidden="1" x14ac:dyDescent="0.25"/>
    <row r="8510" spans="5:10" hidden="1" x14ac:dyDescent="0.25">
      <c r="E8510" s="489"/>
      <c r="F8510" s="324"/>
      <c r="G8510" s="285" t="s">
        <v>4167</v>
      </c>
      <c r="H8510" s="567"/>
      <c r="I8510" s="585"/>
      <c r="J8510" s="568"/>
    </row>
    <row r="8511" spans="5:10" hidden="1" x14ac:dyDescent="0.25">
      <c r="E8511" s="693"/>
      <c r="F8511" s="284" t="s">
        <v>234</v>
      </c>
      <c r="G8511" s="287" t="s">
        <v>235</v>
      </c>
      <c r="H8511" s="559">
        <f>SUM(H8392,H8492)</f>
        <v>0</v>
      </c>
      <c r="I8511" s="560"/>
      <c r="J8511" s="560">
        <f>SUM(H8511:I8511)</f>
        <v>0</v>
      </c>
    </row>
    <row r="8512" spans="5:10" hidden="1" x14ac:dyDescent="0.25">
      <c r="F8512" s="284" t="s">
        <v>236</v>
      </c>
      <c r="G8512" s="287" t="s">
        <v>237</v>
      </c>
      <c r="J8512" s="560">
        <f t="shared" ref="J8512:J8526" si="294">SUM(H8512:I8512)</f>
        <v>0</v>
      </c>
    </row>
    <row r="8513" spans="6:10" hidden="1" x14ac:dyDescent="0.25">
      <c r="F8513" s="284" t="s">
        <v>238</v>
      </c>
      <c r="G8513" s="287" t="s">
        <v>239</v>
      </c>
      <c r="J8513" s="560">
        <f t="shared" si="294"/>
        <v>0</v>
      </c>
    </row>
    <row r="8514" spans="6:10" hidden="1" x14ac:dyDescent="0.25">
      <c r="F8514" s="284" t="s">
        <v>240</v>
      </c>
      <c r="G8514" s="287" t="s">
        <v>241</v>
      </c>
      <c r="J8514" s="560">
        <f t="shared" si="294"/>
        <v>0</v>
      </c>
    </row>
    <row r="8515" spans="6:10" hidden="1" x14ac:dyDescent="0.25">
      <c r="F8515" s="284" t="s">
        <v>242</v>
      </c>
      <c r="G8515" s="287" t="s">
        <v>243</v>
      </c>
      <c r="J8515" s="560">
        <f t="shared" si="294"/>
        <v>0</v>
      </c>
    </row>
    <row r="8516" spans="6:10" hidden="1" x14ac:dyDescent="0.25">
      <c r="F8516" s="284" t="s">
        <v>244</v>
      </c>
      <c r="G8516" s="287" t="s">
        <v>245</v>
      </c>
      <c r="J8516" s="560">
        <f t="shared" si="294"/>
        <v>0</v>
      </c>
    </row>
    <row r="8517" spans="6:10" hidden="1" x14ac:dyDescent="0.25">
      <c r="F8517" s="284" t="s">
        <v>246</v>
      </c>
      <c r="G8517" s="598" t="s">
        <v>4996</v>
      </c>
      <c r="J8517" s="560">
        <f t="shared" si="294"/>
        <v>0</v>
      </c>
    </row>
    <row r="8518" spans="6:10" hidden="1" x14ac:dyDescent="0.25">
      <c r="F8518" s="284" t="s">
        <v>247</v>
      </c>
      <c r="G8518" s="598" t="s">
        <v>4995</v>
      </c>
      <c r="J8518" s="560">
        <f t="shared" si="294"/>
        <v>0</v>
      </c>
    </row>
    <row r="8519" spans="6:10" hidden="1" x14ac:dyDescent="0.25">
      <c r="F8519" s="284" t="s">
        <v>248</v>
      </c>
      <c r="G8519" s="287" t="s">
        <v>57</v>
      </c>
      <c r="J8519" s="560">
        <f t="shared" si="294"/>
        <v>0</v>
      </c>
    </row>
    <row r="8520" spans="6:10" hidden="1" x14ac:dyDescent="0.25">
      <c r="F8520" s="284" t="s">
        <v>249</v>
      </c>
      <c r="G8520" s="287" t="s">
        <v>250</v>
      </c>
      <c r="J8520" s="560">
        <f t="shared" si="294"/>
        <v>0</v>
      </c>
    </row>
    <row r="8521" spans="6:10" hidden="1" x14ac:dyDescent="0.25">
      <c r="F8521" s="284" t="s">
        <v>251</v>
      </c>
      <c r="G8521" s="287" t="s">
        <v>252</v>
      </c>
      <c r="J8521" s="560">
        <f t="shared" si="294"/>
        <v>0</v>
      </c>
    </row>
    <row r="8522" spans="6:10" ht="30" hidden="1" x14ac:dyDescent="0.25">
      <c r="F8522" s="284" t="s">
        <v>253</v>
      </c>
      <c r="G8522" s="287" t="s">
        <v>254</v>
      </c>
      <c r="J8522" s="560">
        <f t="shared" si="294"/>
        <v>0</v>
      </c>
    </row>
    <row r="8523" spans="6:10" hidden="1" x14ac:dyDescent="0.25">
      <c r="F8523" s="284" t="s">
        <v>255</v>
      </c>
      <c r="G8523" s="287" t="s">
        <v>256</v>
      </c>
      <c r="J8523" s="560">
        <f t="shared" si="294"/>
        <v>0</v>
      </c>
    </row>
    <row r="8524" spans="6:10" ht="30" hidden="1" x14ac:dyDescent="0.25">
      <c r="F8524" s="284" t="s">
        <v>257</v>
      </c>
      <c r="G8524" s="287" t="s">
        <v>258</v>
      </c>
      <c r="J8524" s="560">
        <f t="shared" si="294"/>
        <v>0</v>
      </c>
    </row>
    <row r="8525" spans="6:10" hidden="1" x14ac:dyDescent="0.25">
      <c r="F8525" s="284" t="s">
        <v>259</v>
      </c>
      <c r="G8525" s="287" t="s">
        <v>260</v>
      </c>
      <c r="J8525" s="560">
        <f t="shared" si="294"/>
        <v>0</v>
      </c>
    </row>
    <row r="8526" spans="6:10" hidden="1" x14ac:dyDescent="0.25">
      <c r="F8526" s="284" t="s">
        <v>261</v>
      </c>
      <c r="G8526" s="287" t="s">
        <v>262</v>
      </c>
      <c r="H8526" s="559"/>
      <c r="I8526" s="560"/>
      <c r="J8526" s="560">
        <f t="shared" si="294"/>
        <v>0</v>
      </c>
    </row>
    <row r="8527" spans="6:10" ht="15.75" hidden="1" thickBot="1" x14ac:dyDescent="0.3">
      <c r="G8527" s="268" t="s">
        <v>4168</v>
      </c>
      <c r="H8527" s="561">
        <f>SUM(H8511:H8526)</f>
        <v>0</v>
      </c>
      <c r="I8527" s="562">
        <f>SUM(I8512:I8526)</f>
        <v>0</v>
      </c>
      <c r="J8527" s="562">
        <f>SUM(J8511:J8526)</f>
        <v>0</v>
      </c>
    </row>
    <row r="8528" spans="6:10" hidden="1" x14ac:dyDescent="0.25">
      <c r="G8528" s="312"/>
      <c r="H8528" s="565"/>
      <c r="I8528" s="566"/>
      <c r="J8528" s="566"/>
    </row>
    <row r="8529" spans="1:25" s="88" customFormat="1" hidden="1" x14ac:dyDescent="0.25">
      <c r="A8529" s="258"/>
      <c r="B8529" s="288"/>
      <c r="C8529" s="334"/>
      <c r="D8529" s="286"/>
      <c r="E8529" s="876"/>
      <c r="F8529" s="316"/>
      <c r="G8529" s="285" t="s">
        <v>4227</v>
      </c>
      <c r="H8529" s="567"/>
      <c r="I8529" s="585"/>
      <c r="J8529" s="568"/>
      <c r="K8529" s="505"/>
      <c r="L8529" s="505"/>
      <c r="M8529" s="505"/>
      <c r="N8529" s="505"/>
      <c r="O8529" s="505"/>
      <c r="P8529" s="505"/>
      <c r="Q8529" s="505"/>
      <c r="R8529" s="505"/>
      <c r="S8529" s="505"/>
      <c r="T8529" s="505"/>
      <c r="U8529" s="505"/>
      <c r="V8529" s="505"/>
      <c r="W8529" s="505"/>
      <c r="X8529" s="505"/>
      <c r="Y8529" s="505"/>
    </row>
    <row r="8530" spans="1:25" s="88" customFormat="1" hidden="1" x14ac:dyDescent="0.25">
      <c r="A8530" s="314"/>
      <c r="B8530" s="288"/>
      <c r="C8530" s="334"/>
      <c r="D8530" s="286"/>
      <c r="E8530" s="876"/>
      <c r="F8530" s="284" t="s">
        <v>234</v>
      </c>
      <c r="G8530" s="287" t="s">
        <v>235</v>
      </c>
      <c r="H8530" s="559">
        <f>SUM(H8511)</f>
        <v>0</v>
      </c>
      <c r="I8530" s="560"/>
      <c r="J8530" s="560">
        <f>SUM(H8530:I8530)</f>
        <v>0</v>
      </c>
      <c r="K8530" s="505"/>
      <c r="L8530" s="505"/>
      <c r="M8530" s="505"/>
      <c r="N8530" s="505"/>
      <c r="O8530" s="505"/>
      <c r="P8530" s="505"/>
      <c r="Q8530" s="505"/>
      <c r="R8530" s="505"/>
      <c r="S8530" s="505"/>
      <c r="T8530" s="505"/>
      <c r="U8530" s="505"/>
      <c r="V8530" s="505"/>
      <c r="W8530" s="505"/>
      <c r="X8530" s="505"/>
      <c r="Y8530" s="505"/>
    </row>
    <row r="8531" spans="1:25" s="88" customFormat="1" hidden="1" x14ac:dyDescent="0.25">
      <c r="A8531" s="314"/>
      <c r="B8531" s="288"/>
      <c r="C8531" s="334"/>
      <c r="D8531" s="286"/>
      <c r="E8531" s="876"/>
      <c r="F8531" s="284" t="s">
        <v>236</v>
      </c>
      <c r="G8531" s="287" t="s">
        <v>237</v>
      </c>
      <c r="H8531" s="555"/>
      <c r="I8531" s="556"/>
      <c r="J8531" s="560">
        <f t="shared" ref="J8531:J8545" si="295">SUM(H8531:I8531)</f>
        <v>0</v>
      </c>
      <c r="K8531" s="505"/>
      <c r="L8531" s="505"/>
      <c r="M8531" s="505"/>
      <c r="N8531" s="505"/>
      <c r="O8531" s="505"/>
      <c r="P8531" s="505"/>
      <c r="Q8531" s="505"/>
      <c r="R8531" s="505"/>
      <c r="S8531" s="505"/>
      <c r="T8531" s="505"/>
      <c r="U8531" s="505"/>
      <c r="V8531" s="505"/>
      <c r="W8531" s="505"/>
      <c r="X8531" s="505"/>
      <c r="Y8531" s="505"/>
    </row>
    <row r="8532" spans="1:25" s="88" customFormat="1" hidden="1" x14ac:dyDescent="0.25">
      <c r="A8532" s="314"/>
      <c r="B8532" s="288"/>
      <c r="C8532" s="334"/>
      <c r="D8532" s="286"/>
      <c r="E8532" s="876"/>
      <c r="F8532" s="284" t="s">
        <v>238</v>
      </c>
      <c r="G8532" s="287" t="s">
        <v>239</v>
      </c>
      <c r="H8532" s="555"/>
      <c r="I8532" s="556"/>
      <c r="J8532" s="560">
        <f t="shared" si="295"/>
        <v>0</v>
      </c>
      <c r="K8532" s="505"/>
      <c r="L8532" s="505"/>
      <c r="M8532" s="505"/>
      <c r="N8532" s="505"/>
      <c r="O8532" s="505"/>
      <c r="P8532" s="505"/>
      <c r="Q8532" s="505"/>
      <c r="R8532" s="505"/>
      <c r="S8532" s="505"/>
      <c r="T8532" s="505"/>
      <c r="U8532" s="505"/>
      <c r="V8532" s="505"/>
      <c r="W8532" s="505"/>
      <c r="X8532" s="505"/>
      <c r="Y8532" s="505"/>
    </row>
    <row r="8533" spans="1:25" s="88" customFormat="1" hidden="1" x14ac:dyDescent="0.25">
      <c r="A8533" s="314"/>
      <c r="B8533" s="288"/>
      <c r="C8533" s="334"/>
      <c r="D8533" s="286"/>
      <c r="E8533" s="876"/>
      <c r="F8533" s="284" t="s">
        <v>240</v>
      </c>
      <c r="G8533" s="287" t="s">
        <v>241</v>
      </c>
      <c r="H8533" s="555"/>
      <c r="I8533" s="556"/>
      <c r="J8533" s="560">
        <f t="shared" si="295"/>
        <v>0</v>
      </c>
      <c r="K8533" s="505"/>
      <c r="L8533" s="505"/>
      <c r="M8533" s="505"/>
      <c r="N8533" s="505"/>
      <c r="O8533" s="505"/>
      <c r="P8533" s="505"/>
      <c r="Q8533" s="505"/>
      <c r="R8533" s="505"/>
      <c r="S8533" s="505"/>
      <c r="T8533" s="505"/>
      <c r="U8533" s="505"/>
      <c r="V8533" s="505"/>
      <c r="W8533" s="505"/>
      <c r="X8533" s="505"/>
      <c r="Y8533" s="505"/>
    </row>
    <row r="8534" spans="1:25" s="88" customFormat="1" hidden="1" x14ac:dyDescent="0.25">
      <c r="A8534" s="314"/>
      <c r="B8534" s="288"/>
      <c r="C8534" s="334"/>
      <c r="D8534" s="286"/>
      <c r="E8534" s="876"/>
      <c r="F8534" s="284" t="s">
        <v>242</v>
      </c>
      <c r="G8534" s="287" t="s">
        <v>243</v>
      </c>
      <c r="H8534" s="555"/>
      <c r="I8534" s="556"/>
      <c r="J8534" s="560">
        <f t="shared" si="295"/>
        <v>0</v>
      </c>
      <c r="K8534" s="505"/>
      <c r="L8534" s="505"/>
      <c r="M8534" s="505"/>
      <c r="N8534" s="505"/>
      <c r="O8534" s="505"/>
      <c r="P8534" s="505"/>
      <c r="Q8534" s="505"/>
      <c r="R8534" s="505"/>
      <c r="S8534" s="505"/>
      <c r="T8534" s="505"/>
      <c r="U8534" s="505"/>
      <c r="V8534" s="505"/>
      <c r="W8534" s="505"/>
      <c r="X8534" s="505"/>
      <c r="Y8534" s="505"/>
    </row>
    <row r="8535" spans="1:25" s="88" customFormat="1" hidden="1" x14ac:dyDescent="0.25">
      <c r="A8535" s="314"/>
      <c r="B8535" s="288"/>
      <c r="C8535" s="334"/>
      <c r="D8535" s="286"/>
      <c r="E8535" s="876"/>
      <c r="F8535" s="284" t="s">
        <v>244</v>
      </c>
      <c r="G8535" s="287" t="s">
        <v>245</v>
      </c>
      <c r="H8535" s="555"/>
      <c r="I8535" s="556"/>
      <c r="J8535" s="560">
        <f t="shared" si="295"/>
        <v>0</v>
      </c>
      <c r="K8535" s="505"/>
      <c r="L8535" s="505"/>
      <c r="M8535" s="505"/>
      <c r="N8535" s="505"/>
      <c r="O8535" s="505"/>
      <c r="P8535" s="505"/>
      <c r="Q8535" s="505"/>
      <c r="R8535" s="505"/>
      <c r="S8535" s="505"/>
      <c r="T8535" s="505"/>
      <c r="U8535" s="505"/>
      <c r="V8535" s="505"/>
      <c r="W8535" s="505"/>
      <c r="X8535" s="505"/>
      <c r="Y8535" s="505"/>
    </row>
    <row r="8536" spans="1:25" s="88" customFormat="1" hidden="1" x14ac:dyDescent="0.25">
      <c r="A8536" s="314"/>
      <c r="B8536" s="288"/>
      <c r="C8536" s="334"/>
      <c r="D8536" s="286"/>
      <c r="E8536" s="876"/>
      <c r="F8536" s="284" t="s">
        <v>246</v>
      </c>
      <c r="G8536" s="598" t="s">
        <v>4996</v>
      </c>
      <c r="H8536" s="555"/>
      <c r="I8536" s="556"/>
      <c r="J8536" s="560">
        <f t="shared" si="295"/>
        <v>0</v>
      </c>
      <c r="K8536" s="505"/>
      <c r="L8536" s="505"/>
      <c r="M8536" s="505"/>
      <c r="N8536" s="505"/>
      <c r="O8536" s="505"/>
      <c r="P8536" s="505"/>
      <c r="Q8536" s="505"/>
      <c r="R8536" s="505"/>
      <c r="S8536" s="505"/>
      <c r="T8536" s="505"/>
      <c r="U8536" s="505"/>
      <c r="V8536" s="505"/>
      <c r="W8536" s="505"/>
      <c r="X8536" s="505"/>
      <c r="Y8536" s="505"/>
    </row>
    <row r="8537" spans="1:25" s="88" customFormat="1" hidden="1" x14ac:dyDescent="0.25">
      <c r="A8537" s="314"/>
      <c r="B8537" s="288"/>
      <c r="C8537" s="334"/>
      <c r="D8537" s="286"/>
      <c r="E8537" s="876"/>
      <c r="F8537" s="284" t="s">
        <v>247</v>
      </c>
      <c r="G8537" s="598" t="s">
        <v>4995</v>
      </c>
      <c r="H8537" s="555"/>
      <c r="I8537" s="556"/>
      <c r="J8537" s="560">
        <f t="shared" si="295"/>
        <v>0</v>
      </c>
      <c r="K8537" s="505"/>
      <c r="L8537" s="505"/>
      <c r="M8537" s="505"/>
      <c r="N8537" s="505"/>
      <c r="O8537" s="505"/>
      <c r="P8537" s="505"/>
      <c r="Q8537" s="505"/>
      <c r="R8537" s="505"/>
      <c r="S8537" s="505"/>
      <c r="T8537" s="505"/>
      <c r="U8537" s="505"/>
      <c r="V8537" s="505"/>
      <c r="W8537" s="505"/>
      <c r="X8537" s="505"/>
      <c r="Y8537" s="505"/>
    </row>
    <row r="8538" spans="1:25" s="88" customFormat="1" hidden="1" x14ac:dyDescent="0.25">
      <c r="A8538" s="314"/>
      <c r="B8538" s="288"/>
      <c r="C8538" s="334"/>
      <c r="D8538" s="286"/>
      <c r="E8538" s="876"/>
      <c r="F8538" s="284" t="s">
        <v>248</v>
      </c>
      <c r="G8538" s="287" t="s">
        <v>57</v>
      </c>
      <c r="H8538" s="555"/>
      <c r="I8538" s="556"/>
      <c r="J8538" s="560">
        <f t="shared" si="295"/>
        <v>0</v>
      </c>
      <c r="K8538" s="505"/>
      <c r="L8538" s="505"/>
      <c r="M8538" s="505"/>
      <c r="N8538" s="505"/>
      <c r="O8538" s="505"/>
      <c r="P8538" s="505"/>
      <c r="Q8538" s="505"/>
      <c r="R8538" s="505"/>
      <c r="S8538" s="505"/>
      <c r="T8538" s="505"/>
      <c r="U8538" s="505"/>
      <c r="V8538" s="505"/>
      <c r="W8538" s="505"/>
      <c r="X8538" s="505"/>
      <c r="Y8538" s="505"/>
    </row>
    <row r="8539" spans="1:25" s="88" customFormat="1" hidden="1" x14ac:dyDescent="0.25">
      <c r="A8539" s="314"/>
      <c r="B8539" s="288"/>
      <c r="C8539" s="334"/>
      <c r="D8539" s="286"/>
      <c r="E8539" s="876"/>
      <c r="F8539" s="284" t="s">
        <v>249</v>
      </c>
      <c r="G8539" s="287" t="s">
        <v>250</v>
      </c>
      <c r="H8539" s="555"/>
      <c r="I8539" s="556"/>
      <c r="J8539" s="560">
        <f t="shared" si="295"/>
        <v>0</v>
      </c>
      <c r="K8539" s="505"/>
      <c r="L8539" s="505"/>
      <c r="M8539" s="505"/>
      <c r="N8539" s="505"/>
      <c r="O8539" s="505"/>
      <c r="P8539" s="505"/>
      <c r="Q8539" s="505"/>
      <c r="R8539" s="505"/>
      <c r="S8539" s="505"/>
      <c r="T8539" s="505"/>
      <c r="U8539" s="505"/>
      <c r="V8539" s="505"/>
      <c r="W8539" s="505"/>
      <c r="X8539" s="505"/>
      <c r="Y8539" s="505"/>
    </row>
    <row r="8540" spans="1:25" s="88" customFormat="1" hidden="1" x14ac:dyDescent="0.25">
      <c r="A8540" s="314"/>
      <c r="B8540" s="288"/>
      <c r="C8540" s="334"/>
      <c r="D8540" s="286"/>
      <c r="E8540" s="876"/>
      <c r="F8540" s="284" t="s">
        <v>251</v>
      </c>
      <c r="G8540" s="287" t="s">
        <v>252</v>
      </c>
      <c r="H8540" s="555"/>
      <c r="I8540" s="556"/>
      <c r="J8540" s="560">
        <f t="shared" si="295"/>
        <v>0</v>
      </c>
      <c r="K8540" s="505"/>
      <c r="L8540" s="505"/>
      <c r="M8540" s="505"/>
      <c r="N8540" s="505"/>
      <c r="O8540" s="505"/>
      <c r="P8540" s="505"/>
      <c r="Q8540" s="505"/>
      <c r="R8540" s="505"/>
      <c r="S8540" s="505"/>
      <c r="T8540" s="505"/>
      <c r="U8540" s="505"/>
      <c r="V8540" s="505"/>
      <c r="W8540" s="505"/>
      <c r="X8540" s="505"/>
      <c r="Y8540" s="505"/>
    </row>
    <row r="8541" spans="1:25" s="88" customFormat="1" ht="30" hidden="1" x14ac:dyDescent="0.25">
      <c r="A8541" s="314"/>
      <c r="B8541" s="288"/>
      <c r="C8541" s="334"/>
      <c r="D8541" s="286"/>
      <c r="E8541" s="876"/>
      <c r="F8541" s="284" t="s">
        <v>253</v>
      </c>
      <c r="G8541" s="287" t="s">
        <v>254</v>
      </c>
      <c r="H8541" s="555"/>
      <c r="I8541" s="556"/>
      <c r="J8541" s="560">
        <f t="shared" si="295"/>
        <v>0</v>
      </c>
      <c r="K8541" s="505"/>
      <c r="L8541" s="505"/>
      <c r="M8541" s="505"/>
      <c r="N8541" s="505"/>
      <c r="O8541" s="505"/>
      <c r="P8541" s="505"/>
      <c r="Q8541" s="505"/>
      <c r="R8541" s="505"/>
      <c r="S8541" s="505"/>
      <c r="T8541" s="505"/>
      <c r="U8541" s="505"/>
      <c r="V8541" s="505"/>
      <c r="W8541" s="505"/>
      <c r="X8541" s="505"/>
      <c r="Y8541" s="505"/>
    </row>
    <row r="8542" spans="1:25" s="88" customFormat="1" hidden="1" x14ac:dyDescent="0.25">
      <c r="A8542" s="314"/>
      <c r="B8542" s="288"/>
      <c r="C8542" s="334"/>
      <c r="D8542" s="286"/>
      <c r="E8542" s="876"/>
      <c r="F8542" s="284" t="s">
        <v>255</v>
      </c>
      <c r="G8542" s="287" t="s">
        <v>256</v>
      </c>
      <c r="H8542" s="555"/>
      <c r="I8542" s="556"/>
      <c r="J8542" s="560">
        <f t="shared" si="295"/>
        <v>0</v>
      </c>
      <c r="K8542" s="505"/>
      <c r="L8542" s="505"/>
      <c r="M8542" s="505"/>
      <c r="N8542" s="505"/>
      <c r="O8542" s="505"/>
      <c r="P8542" s="505"/>
      <c r="Q8542" s="505"/>
      <c r="R8542" s="505"/>
      <c r="S8542" s="505"/>
      <c r="T8542" s="505"/>
      <c r="U8542" s="505"/>
      <c r="V8542" s="505"/>
      <c r="W8542" s="505"/>
      <c r="X8542" s="505"/>
      <c r="Y8542" s="505"/>
    </row>
    <row r="8543" spans="1:25" s="88" customFormat="1" ht="30" hidden="1" x14ac:dyDescent="0.25">
      <c r="A8543" s="314"/>
      <c r="B8543" s="288"/>
      <c r="C8543" s="334"/>
      <c r="D8543" s="286"/>
      <c r="E8543" s="876"/>
      <c r="F8543" s="284" t="s">
        <v>257</v>
      </c>
      <c r="G8543" s="287" t="s">
        <v>258</v>
      </c>
      <c r="H8543" s="555"/>
      <c r="I8543" s="556"/>
      <c r="J8543" s="560">
        <f t="shared" si="295"/>
        <v>0</v>
      </c>
      <c r="K8543" s="505"/>
      <c r="L8543" s="505"/>
      <c r="M8543" s="505"/>
      <c r="N8543" s="505"/>
      <c r="O8543" s="505"/>
      <c r="P8543" s="505"/>
      <c r="Q8543" s="505"/>
      <c r="R8543" s="505"/>
      <c r="S8543" s="505"/>
      <c r="T8543" s="505"/>
      <c r="U8543" s="505"/>
      <c r="V8543" s="505"/>
      <c r="W8543" s="505"/>
      <c r="X8543" s="505"/>
      <c r="Y8543" s="505"/>
    </row>
    <row r="8544" spans="1:25" s="88" customFormat="1" hidden="1" x14ac:dyDescent="0.25">
      <c r="A8544" s="314"/>
      <c r="B8544" s="288"/>
      <c r="C8544" s="334"/>
      <c r="D8544" s="286"/>
      <c r="E8544" s="876"/>
      <c r="F8544" s="284" t="s">
        <v>259</v>
      </c>
      <c r="G8544" s="287" t="s">
        <v>260</v>
      </c>
      <c r="H8544" s="555"/>
      <c r="I8544" s="556"/>
      <c r="J8544" s="560">
        <f t="shared" si="295"/>
        <v>0</v>
      </c>
      <c r="K8544" s="505"/>
      <c r="L8544" s="505"/>
      <c r="M8544" s="505"/>
      <c r="N8544" s="505"/>
      <c r="O8544" s="505"/>
      <c r="P8544" s="505"/>
      <c r="Q8544" s="505"/>
      <c r="R8544" s="505"/>
      <c r="S8544" s="505"/>
      <c r="T8544" s="505"/>
      <c r="U8544" s="505"/>
      <c r="V8544" s="505"/>
      <c r="W8544" s="505"/>
      <c r="X8544" s="505"/>
      <c r="Y8544" s="505"/>
    </row>
    <row r="8545" spans="1:25" s="88" customFormat="1" hidden="1" x14ac:dyDescent="0.25">
      <c r="A8545" s="314"/>
      <c r="B8545" s="288"/>
      <c r="C8545" s="334"/>
      <c r="D8545" s="286"/>
      <c r="E8545" s="876"/>
      <c r="F8545" s="284" t="s">
        <v>261</v>
      </c>
      <c r="G8545" s="287" t="s">
        <v>262</v>
      </c>
      <c r="H8545" s="559"/>
      <c r="I8545" s="560"/>
      <c r="J8545" s="560">
        <f t="shared" si="295"/>
        <v>0</v>
      </c>
      <c r="K8545" s="505"/>
      <c r="L8545" s="505"/>
      <c r="M8545" s="505"/>
      <c r="N8545" s="505"/>
      <c r="O8545" s="505"/>
      <c r="P8545" s="505"/>
      <c r="Q8545" s="505"/>
      <c r="R8545" s="505"/>
      <c r="S8545" s="505"/>
      <c r="T8545" s="505"/>
      <c r="U8545" s="505"/>
      <c r="V8545" s="505"/>
      <c r="W8545" s="505"/>
      <c r="X8545" s="505"/>
      <c r="Y8545" s="505"/>
    </row>
    <row r="8546" spans="1:25" s="88" customFormat="1" ht="15.75" hidden="1" thickBot="1" x14ac:dyDescent="0.3">
      <c r="A8546" s="314"/>
      <c r="B8546" s="288"/>
      <c r="C8546" s="334"/>
      <c r="D8546" s="286"/>
      <c r="E8546" s="876"/>
      <c r="F8546" s="258"/>
      <c r="G8546" s="268" t="s">
        <v>4228</v>
      </c>
      <c r="H8546" s="561">
        <f>SUM(H8530:H8545)</f>
        <v>0</v>
      </c>
      <c r="I8546" s="562">
        <f>SUM(I8531:I8545)</f>
        <v>0</v>
      </c>
      <c r="J8546" s="562">
        <f>SUM(J8530:J8545)</f>
        <v>0</v>
      </c>
      <c r="K8546" s="505"/>
      <c r="L8546" s="505"/>
      <c r="M8546" s="505"/>
      <c r="N8546" s="505"/>
      <c r="O8546" s="505"/>
      <c r="P8546" s="505"/>
      <c r="Q8546" s="505"/>
      <c r="R8546" s="505"/>
      <c r="S8546" s="505"/>
      <c r="T8546" s="505"/>
      <c r="U8546" s="505"/>
      <c r="V8546" s="505"/>
      <c r="W8546" s="505"/>
      <c r="X8546" s="505"/>
      <c r="Y8546" s="505"/>
    </row>
    <row r="8547" spans="1:25" ht="18.75" hidden="1" customHeight="1" x14ac:dyDescent="0.25">
      <c r="A8547" s="314"/>
      <c r="J8547" s="730"/>
    </row>
    <row r="8548" spans="1:25" s="88" customFormat="1" hidden="1" x14ac:dyDescent="0.25">
      <c r="A8548" s="258"/>
      <c r="B8548" s="737"/>
      <c r="C8548" s="738"/>
      <c r="D8548" s="736"/>
      <c r="E8548" s="892"/>
      <c r="F8548" s="739"/>
      <c r="G8548" s="740"/>
      <c r="H8548" s="741"/>
      <c r="I8548" s="742"/>
      <c r="J8548" s="743"/>
      <c r="K8548" s="505"/>
      <c r="L8548" s="505"/>
      <c r="M8548" s="505"/>
      <c r="N8548" s="297"/>
      <c r="O8548" s="505"/>
      <c r="P8548" s="505"/>
      <c r="Q8548" s="505"/>
      <c r="R8548" s="505"/>
      <c r="S8548" s="505"/>
      <c r="T8548" s="505"/>
      <c r="U8548" s="505"/>
      <c r="V8548" s="505"/>
      <c r="W8548" s="505"/>
      <c r="X8548" s="505"/>
      <c r="Y8548" s="505"/>
    </row>
    <row r="8549" spans="1:25" s="88" customFormat="1" hidden="1" x14ac:dyDescent="0.25">
      <c r="A8549" s="736"/>
      <c r="E8549" s="877"/>
      <c r="K8549" s="505"/>
      <c r="L8549" s="505"/>
      <c r="M8549" s="505"/>
      <c r="N8549" s="505"/>
      <c r="O8549" s="505"/>
      <c r="P8549" s="505"/>
      <c r="Q8549" s="505"/>
      <c r="R8549" s="505"/>
      <c r="S8549" s="505"/>
      <c r="T8549" s="505"/>
      <c r="U8549" s="505"/>
      <c r="V8549" s="505"/>
      <c r="W8549" s="505"/>
      <c r="X8549" s="505"/>
      <c r="Y8549" s="505"/>
    </row>
    <row r="8550" spans="1:25" hidden="1" x14ac:dyDescent="0.25">
      <c r="A8550" s="88"/>
      <c r="C8550" s="267" t="s">
        <v>4075</v>
      </c>
      <c r="D8550" s="259"/>
      <c r="G8550" s="291" t="s">
        <v>4061</v>
      </c>
    </row>
    <row r="8551" spans="1:25" s="88" customFormat="1" hidden="1" x14ac:dyDescent="0.25">
      <c r="A8551" s="258"/>
      <c r="B8551" s="288"/>
      <c r="C8551" s="294"/>
      <c r="D8551" s="344">
        <v>421</v>
      </c>
      <c r="E8551" s="871"/>
      <c r="F8551" s="345"/>
      <c r="G8551" s="346" t="s">
        <v>138</v>
      </c>
      <c r="H8551" s="572"/>
      <c r="I8551" s="573"/>
      <c r="J8551" s="573"/>
      <c r="K8551" s="505"/>
      <c r="L8551" s="505"/>
      <c r="M8551" s="505"/>
      <c r="N8551" s="505"/>
      <c r="O8551" s="505"/>
      <c r="P8551" s="505"/>
      <c r="Q8551" s="505"/>
      <c r="R8551" s="505"/>
      <c r="S8551" s="505"/>
      <c r="T8551" s="505"/>
      <c r="U8551" s="505"/>
      <c r="V8551" s="505"/>
      <c r="W8551" s="505"/>
      <c r="X8551" s="505"/>
      <c r="Y8551" s="505"/>
    </row>
    <row r="8552" spans="1:25" hidden="1" x14ac:dyDescent="0.25">
      <c r="A8552" s="290"/>
      <c r="F8552" s="292">
        <v>411</v>
      </c>
      <c r="G8552" s="319" t="s">
        <v>4131</v>
      </c>
      <c r="J8552" s="556">
        <f>SUM(H8552:I8552)</f>
        <v>0</v>
      </c>
      <c r="L8552" s="507"/>
      <c r="M8552" s="507"/>
      <c r="N8552" s="300"/>
    </row>
    <row r="8553" spans="1:25" hidden="1" x14ac:dyDescent="0.25">
      <c r="F8553" s="292">
        <v>412</v>
      </c>
      <c r="G8553" s="317" t="s">
        <v>3766</v>
      </c>
      <c r="J8553" s="556">
        <f t="shared" ref="J8553:J8611" si="296">SUM(H8553:I8553)</f>
        <v>0</v>
      </c>
    </row>
    <row r="8554" spans="1:25" hidden="1" x14ac:dyDescent="0.25">
      <c r="F8554" s="292">
        <v>413</v>
      </c>
      <c r="G8554" s="319" t="s">
        <v>4132</v>
      </c>
      <c r="J8554" s="556">
        <f t="shared" si="296"/>
        <v>0</v>
      </c>
    </row>
    <row r="8555" spans="1:25" hidden="1" x14ac:dyDescent="0.25">
      <c r="F8555" s="292">
        <v>414</v>
      </c>
      <c r="G8555" s="319" t="s">
        <v>3769</v>
      </c>
      <c r="J8555" s="556">
        <f t="shared" si="296"/>
        <v>0</v>
      </c>
    </row>
    <row r="8556" spans="1:25" hidden="1" x14ac:dyDescent="0.25">
      <c r="F8556" s="292">
        <v>415</v>
      </c>
      <c r="G8556" s="319" t="s">
        <v>4141</v>
      </c>
      <c r="J8556" s="556">
        <f t="shared" si="296"/>
        <v>0</v>
      </c>
    </row>
    <row r="8557" spans="1:25" hidden="1" x14ac:dyDescent="0.25">
      <c r="F8557" s="292">
        <v>416</v>
      </c>
      <c r="G8557" s="319" t="s">
        <v>4142</v>
      </c>
      <c r="J8557" s="556">
        <f t="shared" si="296"/>
        <v>0</v>
      </c>
    </row>
    <row r="8558" spans="1:25" hidden="1" x14ac:dyDescent="0.25">
      <c r="F8558" s="292">
        <v>417</v>
      </c>
      <c r="G8558" s="319" t="s">
        <v>4143</v>
      </c>
      <c r="J8558" s="556">
        <f t="shared" si="296"/>
        <v>0</v>
      </c>
    </row>
    <row r="8559" spans="1:25" hidden="1" x14ac:dyDescent="0.25">
      <c r="F8559" s="292">
        <v>418</v>
      </c>
      <c r="G8559" s="319" t="s">
        <v>3775</v>
      </c>
      <c r="J8559" s="556">
        <f t="shared" si="296"/>
        <v>0</v>
      </c>
    </row>
    <row r="8560" spans="1:25" hidden="1" x14ac:dyDescent="0.25">
      <c r="F8560" s="292">
        <v>421</v>
      </c>
      <c r="G8560" s="319" t="s">
        <v>3779</v>
      </c>
      <c r="J8560" s="556">
        <f t="shared" si="296"/>
        <v>0</v>
      </c>
    </row>
    <row r="8561" spans="6:10" hidden="1" x14ac:dyDescent="0.25">
      <c r="F8561" s="292">
        <v>422</v>
      </c>
      <c r="G8561" s="319" t="s">
        <v>3780</v>
      </c>
      <c r="J8561" s="556">
        <f t="shared" si="296"/>
        <v>0</v>
      </c>
    </row>
    <row r="8562" spans="6:10" hidden="1" x14ac:dyDescent="0.25">
      <c r="F8562" s="292">
        <v>423</v>
      </c>
      <c r="G8562" s="319" t="s">
        <v>3781</v>
      </c>
      <c r="J8562" s="556">
        <f t="shared" si="296"/>
        <v>0</v>
      </c>
    </row>
    <row r="8563" spans="6:10" hidden="1" x14ac:dyDescent="0.25">
      <c r="F8563" s="292">
        <v>424</v>
      </c>
      <c r="G8563" s="319" t="s">
        <v>3783</v>
      </c>
      <c r="J8563" s="556">
        <f t="shared" si="296"/>
        <v>0</v>
      </c>
    </row>
    <row r="8564" spans="6:10" hidden="1" x14ac:dyDescent="0.25">
      <c r="F8564" s="292">
        <v>425</v>
      </c>
      <c r="G8564" s="319" t="s">
        <v>4144</v>
      </c>
      <c r="J8564" s="556">
        <f t="shared" si="296"/>
        <v>0</v>
      </c>
    </row>
    <row r="8565" spans="6:10" hidden="1" x14ac:dyDescent="0.25">
      <c r="F8565" s="292">
        <v>426</v>
      </c>
      <c r="G8565" s="319" t="s">
        <v>3787</v>
      </c>
      <c r="J8565" s="556">
        <f t="shared" si="296"/>
        <v>0</v>
      </c>
    </row>
    <row r="8566" spans="6:10" hidden="1" x14ac:dyDescent="0.25">
      <c r="F8566" s="292">
        <v>431</v>
      </c>
      <c r="G8566" s="319" t="s">
        <v>4145</v>
      </c>
      <c r="J8566" s="556">
        <f t="shared" si="296"/>
        <v>0</v>
      </c>
    </row>
    <row r="8567" spans="6:10" hidden="1" x14ac:dyDescent="0.25">
      <c r="F8567" s="292">
        <v>432</v>
      </c>
      <c r="G8567" s="319" t="s">
        <v>4146</v>
      </c>
      <c r="J8567" s="556">
        <f t="shared" si="296"/>
        <v>0</v>
      </c>
    </row>
    <row r="8568" spans="6:10" hidden="1" x14ac:dyDescent="0.25">
      <c r="F8568" s="292">
        <v>433</v>
      </c>
      <c r="G8568" s="319" t="s">
        <v>4147</v>
      </c>
      <c r="J8568" s="556">
        <f t="shared" si="296"/>
        <v>0</v>
      </c>
    </row>
    <row r="8569" spans="6:10" hidden="1" x14ac:dyDescent="0.25">
      <c r="F8569" s="292">
        <v>434</v>
      </c>
      <c r="G8569" s="319" t="s">
        <v>4148</v>
      </c>
      <c r="J8569" s="556">
        <f t="shared" si="296"/>
        <v>0</v>
      </c>
    </row>
    <row r="8570" spans="6:10" hidden="1" x14ac:dyDescent="0.25">
      <c r="F8570" s="292">
        <v>435</v>
      </c>
      <c r="G8570" s="319" t="s">
        <v>3794</v>
      </c>
      <c r="J8570" s="556">
        <f t="shared" si="296"/>
        <v>0</v>
      </c>
    </row>
    <row r="8571" spans="6:10" hidden="1" x14ac:dyDescent="0.25">
      <c r="F8571" s="292">
        <v>441</v>
      </c>
      <c r="G8571" s="319" t="s">
        <v>4149</v>
      </c>
      <c r="J8571" s="556">
        <f t="shared" si="296"/>
        <v>0</v>
      </c>
    </row>
    <row r="8572" spans="6:10" hidden="1" x14ac:dyDescent="0.25">
      <c r="F8572" s="292">
        <v>442</v>
      </c>
      <c r="G8572" s="319" t="s">
        <v>4150</v>
      </c>
      <c r="J8572" s="556">
        <f t="shared" si="296"/>
        <v>0</v>
      </c>
    </row>
    <row r="8573" spans="6:10" hidden="1" x14ac:dyDescent="0.25">
      <c r="F8573" s="292">
        <v>443</v>
      </c>
      <c r="G8573" s="319" t="s">
        <v>3799</v>
      </c>
      <c r="J8573" s="556">
        <f t="shared" si="296"/>
        <v>0</v>
      </c>
    </row>
    <row r="8574" spans="6:10" hidden="1" x14ac:dyDescent="0.25">
      <c r="F8574" s="292">
        <v>444</v>
      </c>
      <c r="G8574" s="319" t="s">
        <v>3800</v>
      </c>
      <c r="J8574" s="556">
        <f t="shared" si="296"/>
        <v>0</v>
      </c>
    </row>
    <row r="8575" spans="6:10" ht="30" hidden="1" x14ac:dyDescent="0.25">
      <c r="F8575" s="292">
        <v>4511</v>
      </c>
      <c r="G8575" s="263" t="s">
        <v>1690</v>
      </c>
      <c r="J8575" s="556">
        <f t="shared" si="296"/>
        <v>0</v>
      </c>
    </row>
    <row r="8576" spans="6:10" ht="30" hidden="1" x14ac:dyDescent="0.25">
      <c r="F8576" s="292">
        <v>4512</v>
      </c>
      <c r="G8576" s="263" t="s">
        <v>1699</v>
      </c>
      <c r="J8576" s="556">
        <f t="shared" si="296"/>
        <v>0</v>
      </c>
    </row>
    <row r="8577" spans="6:10" hidden="1" x14ac:dyDescent="0.25">
      <c r="F8577" s="292">
        <v>452</v>
      </c>
      <c r="G8577" s="319" t="s">
        <v>4151</v>
      </c>
      <c r="J8577" s="556">
        <f t="shared" si="296"/>
        <v>0</v>
      </c>
    </row>
    <row r="8578" spans="6:10" hidden="1" x14ac:dyDescent="0.25">
      <c r="F8578" s="292">
        <v>453</v>
      </c>
      <c r="G8578" s="319" t="s">
        <v>4152</v>
      </c>
      <c r="J8578" s="556">
        <f t="shared" si="296"/>
        <v>0</v>
      </c>
    </row>
    <row r="8579" spans="6:10" hidden="1" x14ac:dyDescent="0.25">
      <c r="F8579" s="292">
        <v>454</v>
      </c>
      <c r="G8579" s="319" t="s">
        <v>3805</v>
      </c>
      <c r="J8579" s="556">
        <f t="shared" si="296"/>
        <v>0</v>
      </c>
    </row>
    <row r="8580" spans="6:10" hidden="1" x14ac:dyDescent="0.25">
      <c r="F8580" s="292">
        <v>461</v>
      </c>
      <c r="G8580" s="319" t="s">
        <v>4133</v>
      </c>
      <c r="J8580" s="556">
        <f t="shared" si="296"/>
        <v>0</v>
      </c>
    </row>
    <row r="8581" spans="6:10" hidden="1" x14ac:dyDescent="0.25">
      <c r="F8581" s="292">
        <v>462</v>
      </c>
      <c r="G8581" s="319" t="s">
        <v>3808</v>
      </c>
      <c r="J8581" s="556">
        <f t="shared" si="296"/>
        <v>0</v>
      </c>
    </row>
    <row r="8582" spans="6:10" hidden="1" x14ac:dyDescent="0.25">
      <c r="F8582" s="292">
        <v>4631</v>
      </c>
      <c r="G8582" s="319" t="s">
        <v>3809</v>
      </c>
      <c r="J8582" s="556">
        <f t="shared" si="296"/>
        <v>0</v>
      </c>
    </row>
    <row r="8583" spans="6:10" hidden="1" x14ac:dyDescent="0.25">
      <c r="F8583" s="292">
        <v>4632</v>
      </c>
      <c r="G8583" s="319" t="s">
        <v>3810</v>
      </c>
      <c r="J8583" s="556">
        <f t="shared" si="296"/>
        <v>0</v>
      </c>
    </row>
    <row r="8584" spans="6:10" hidden="1" x14ac:dyDescent="0.25">
      <c r="F8584" s="292">
        <v>464</v>
      </c>
      <c r="G8584" s="319" t="s">
        <v>3811</v>
      </c>
      <c r="J8584" s="556">
        <f t="shared" si="296"/>
        <v>0</v>
      </c>
    </row>
    <row r="8585" spans="6:10" hidden="1" x14ac:dyDescent="0.25">
      <c r="F8585" s="292">
        <v>465</v>
      </c>
      <c r="G8585" s="319" t="s">
        <v>4134</v>
      </c>
      <c r="J8585" s="556">
        <f t="shared" si="296"/>
        <v>0</v>
      </c>
    </row>
    <row r="8586" spans="6:10" hidden="1" x14ac:dyDescent="0.25">
      <c r="F8586" s="292">
        <v>472</v>
      </c>
      <c r="G8586" s="319" t="s">
        <v>3815</v>
      </c>
      <c r="J8586" s="556">
        <f t="shared" si="296"/>
        <v>0</v>
      </c>
    </row>
    <row r="8587" spans="6:10" hidden="1" x14ac:dyDescent="0.25">
      <c r="F8587" s="292">
        <v>481</v>
      </c>
      <c r="G8587" s="319" t="s">
        <v>4153</v>
      </c>
      <c r="J8587" s="556">
        <f t="shared" si="296"/>
        <v>0</v>
      </c>
    </row>
    <row r="8588" spans="6:10" hidden="1" x14ac:dyDescent="0.25">
      <c r="F8588" s="292">
        <v>482</v>
      </c>
      <c r="G8588" s="319" t="s">
        <v>4154</v>
      </c>
      <c r="J8588" s="556">
        <f t="shared" si="296"/>
        <v>0</v>
      </c>
    </row>
    <row r="8589" spans="6:10" hidden="1" x14ac:dyDescent="0.25">
      <c r="F8589" s="292">
        <v>483</v>
      </c>
      <c r="G8589" s="322" t="s">
        <v>4155</v>
      </c>
      <c r="J8589" s="556">
        <f t="shared" si="296"/>
        <v>0</v>
      </c>
    </row>
    <row r="8590" spans="6:10" ht="30" hidden="1" x14ac:dyDescent="0.25">
      <c r="F8590" s="292">
        <v>484</v>
      </c>
      <c r="G8590" s="319" t="s">
        <v>4156</v>
      </c>
      <c r="J8590" s="556">
        <f t="shared" si="296"/>
        <v>0</v>
      </c>
    </row>
    <row r="8591" spans="6:10" ht="30" hidden="1" x14ac:dyDescent="0.25">
      <c r="F8591" s="292">
        <v>485</v>
      </c>
      <c r="G8591" s="319" t="s">
        <v>4157</v>
      </c>
      <c r="J8591" s="556">
        <f t="shared" si="296"/>
        <v>0</v>
      </c>
    </row>
    <row r="8592" spans="6:10" ht="30" hidden="1" x14ac:dyDescent="0.25">
      <c r="F8592" s="292">
        <v>489</v>
      </c>
      <c r="G8592" s="319" t="s">
        <v>3823</v>
      </c>
      <c r="J8592" s="556">
        <f t="shared" si="296"/>
        <v>0</v>
      </c>
    </row>
    <row r="8593" spans="6:10" hidden="1" x14ac:dyDescent="0.25">
      <c r="F8593" s="292">
        <v>494</v>
      </c>
      <c r="G8593" s="319" t="s">
        <v>4135</v>
      </c>
      <c r="J8593" s="556">
        <f t="shared" si="296"/>
        <v>0</v>
      </c>
    </row>
    <row r="8594" spans="6:10" ht="30" hidden="1" x14ac:dyDescent="0.25">
      <c r="F8594" s="292">
        <v>495</v>
      </c>
      <c r="G8594" s="319" t="s">
        <v>4136</v>
      </c>
      <c r="J8594" s="556">
        <f t="shared" si="296"/>
        <v>0</v>
      </c>
    </row>
    <row r="8595" spans="6:10" ht="30" hidden="1" x14ac:dyDescent="0.25">
      <c r="F8595" s="292">
        <v>496</v>
      </c>
      <c r="G8595" s="319" t="s">
        <v>4137</v>
      </c>
      <c r="J8595" s="556">
        <f t="shared" si="296"/>
        <v>0</v>
      </c>
    </row>
    <row r="8596" spans="6:10" ht="30" hidden="1" x14ac:dyDescent="0.25">
      <c r="F8596" s="292">
        <v>499</v>
      </c>
      <c r="G8596" s="319" t="s">
        <v>4138</v>
      </c>
      <c r="J8596" s="556">
        <f t="shared" si="296"/>
        <v>0</v>
      </c>
    </row>
    <row r="8597" spans="6:10" hidden="1" x14ac:dyDescent="0.25">
      <c r="F8597" s="292">
        <v>511</v>
      </c>
      <c r="G8597" s="322" t="s">
        <v>4158</v>
      </c>
      <c r="J8597" s="556">
        <f t="shared" si="296"/>
        <v>0</v>
      </c>
    </row>
    <row r="8598" spans="6:10" hidden="1" x14ac:dyDescent="0.25">
      <c r="F8598" s="292">
        <v>512</v>
      </c>
      <c r="G8598" s="322" t="s">
        <v>4159</v>
      </c>
      <c r="J8598" s="556">
        <f t="shared" si="296"/>
        <v>0</v>
      </c>
    </row>
    <row r="8599" spans="6:10" hidden="1" x14ac:dyDescent="0.25">
      <c r="F8599" s="292">
        <v>513</v>
      </c>
      <c r="G8599" s="322" t="s">
        <v>4160</v>
      </c>
      <c r="J8599" s="556">
        <f t="shared" si="296"/>
        <v>0</v>
      </c>
    </row>
    <row r="8600" spans="6:10" hidden="1" x14ac:dyDescent="0.25">
      <c r="F8600" s="292">
        <v>514</v>
      </c>
      <c r="G8600" s="319" t="s">
        <v>4161</v>
      </c>
      <c r="J8600" s="556">
        <f t="shared" si="296"/>
        <v>0</v>
      </c>
    </row>
    <row r="8601" spans="6:10" hidden="1" x14ac:dyDescent="0.25">
      <c r="F8601" s="292">
        <v>515</v>
      </c>
      <c r="G8601" s="319" t="s">
        <v>3834</v>
      </c>
      <c r="J8601" s="556">
        <f t="shared" si="296"/>
        <v>0</v>
      </c>
    </row>
    <row r="8602" spans="6:10" hidden="1" x14ac:dyDescent="0.25">
      <c r="F8602" s="292">
        <v>521</v>
      </c>
      <c r="G8602" s="319" t="s">
        <v>4162</v>
      </c>
      <c r="J8602" s="556">
        <f t="shared" si="296"/>
        <v>0</v>
      </c>
    </row>
    <row r="8603" spans="6:10" hidden="1" x14ac:dyDescent="0.25">
      <c r="F8603" s="292">
        <v>522</v>
      </c>
      <c r="G8603" s="319" t="s">
        <v>4163</v>
      </c>
      <c r="J8603" s="556">
        <f t="shared" si="296"/>
        <v>0</v>
      </c>
    </row>
    <row r="8604" spans="6:10" hidden="1" x14ac:dyDescent="0.25">
      <c r="F8604" s="292">
        <v>523</v>
      </c>
      <c r="G8604" s="319" t="s">
        <v>3839</v>
      </c>
      <c r="J8604" s="556">
        <f t="shared" si="296"/>
        <v>0</v>
      </c>
    </row>
    <row r="8605" spans="6:10" hidden="1" x14ac:dyDescent="0.25">
      <c r="F8605" s="292">
        <v>531</v>
      </c>
      <c r="G8605" s="317" t="s">
        <v>4139</v>
      </c>
      <c r="J8605" s="556">
        <f t="shared" si="296"/>
        <v>0</v>
      </c>
    </row>
    <row r="8606" spans="6:10" hidden="1" x14ac:dyDescent="0.25">
      <c r="F8606" s="292">
        <v>541</v>
      </c>
      <c r="G8606" s="319" t="s">
        <v>4164</v>
      </c>
      <c r="J8606" s="556">
        <f t="shared" si="296"/>
        <v>0</v>
      </c>
    </row>
    <row r="8607" spans="6:10" hidden="1" x14ac:dyDescent="0.25">
      <c r="F8607" s="292">
        <v>542</v>
      </c>
      <c r="G8607" s="319" t="s">
        <v>4165</v>
      </c>
      <c r="J8607" s="556">
        <f t="shared" si="296"/>
        <v>0</v>
      </c>
    </row>
    <row r="8608" spans="6:10" hidden="1" x14ac:dyDescent="0.25">
      <c r="F8608" s="292">
        <v>543</v>
      </c>
      <c r="G8608" s="319" t="s">
        <v>3844</v>
      </c>
      <c r="J8608" s="556">
        <f t="shared" si="296"/>
        <v>0</v>
      </c>
    </row>
    <row r="8609" spans="5:10" ht="30" hidden="1" x14ac:dyDescent="0.25">
      <c r="F8609" s="292">
        <v>551</v>
      </c>
      <c r="G8609" s="319" t="s">
        <v>4140</v>
      </c>
      <c r="J8609" s="556">
        <f t="shared" si="296"/>
        <v>0</v>
      </c>
    </row>
    <row r="8610" spans="5:10" hidden="1" x14ac:dyDescent="0.25">
      <c r="F8610" s="293">
        <v>611</v>
      </c>
      <c r="G8610" s="323" t="s">
        <v>3850</v>
      </c>
      <c r="J8610" s="556">
        <f t="shared" si="296"/>
        <v>0</v>
      </c>
    </row>
    <row r="8611" spans="5:10" hidden="1" x14ac:dyDescent="0.25">
      <c r="F8611" s="293">
        <v>620</v>
      </c>
      <c r="G8611" s="323" t="s">
        <v>88</v>
      </c>
      <c r="J8611" s="556">
        <f t="shared" si="296"/>
        <v>0</v>
      </c>
    </row>
    <row r="8612" spans="5:10" hidden="1" x14ac:dyDescent="0.25">
      <c r="E8612" s="489"/>
      <c r="F8612" s="324"/>
      <c r="G8612" s="342" t="s">
        <v>4293</v>
      </c>
      <c r="H8612" s="557"/>
      <c r="I8612" s="583"/>
      <c r="J8612" s="558"/>
    </row>
    <row r="8613" spans="5:10" hidden="1" x14ac:dyDescent="0.25">
      <c r="E8613" s="693"/>
      <c r="F8613" s="284" t="s">
        <v>234</v>
      </c>
      <c r="G8613" s="287" t="s">
        <v>235</v>
      </c>
      <c r="H8613" s="559">
        <f>SUM(H8552:H8611)</f>
        <v>0</v>
      </c>
      <c r="I8613" s="560"/>
      <c r="J8613" s="560">
        <f>SUM(H8613:I8613)</f>
        <v>0</v>
      </c>
    </row>
    <row r="8614" spans="5:10" hidden="1" x14ac:dyDescent="0.25">
      <c r="F8614" s="284" t="s">
        <v>236</v>
      </c>
      <c r="G8614" s="287" t="s">
        <v>237</v>
      </c>
      <c r="J8614" s="560">
        <f t="shared" ref="J8614:J8628" si="297">SUM(H8614:I8614)</f>
        <v>0</v>
      </c>
    </row>
    <row r="8615" spans="5:10" hidden="1" x14ac:dyDescent="0.25">
      <c r="F8615" s="284" t="s">
        <v>238</v>
      </c>
      <c r="G8615" s="287" t="s">
        <v>239</v>
      </c>
      <c r="J8615" s="560">
        <f t="shared" si="297"/>
        <v>0</v>
      </c>
    </row>
    <row r="8616" spans="5:10" hidden="1" x14ac:dyDescent="0.25">
      <c r="F8616" s="284" t="s">
        <v>240</v>
      </c>
      <c r="G8616" s="287" t="s">
        <v>241</v>
      </c>
      <c r="J8616" s="560">
        <f t="shared" si="297"/>
        <v>0</v>
      </c>
    </row>
    <row r="8617" spans="5:10" hidden="1" x14ac:dyDescent="0.25">
      <c r="F8617" s="284" t="s">
        <v>242</v>
      </c>
      <c r="G8617" s="287" t="s">
        <v>243</v>
      </c>
      <c r="J8617" s="560">
        <f t="shared" si="297"/>
        <v>0</v>
      </c>
    </row>
    <row r="8618" spans="5:10" hidden="1" x14ac:dyDescent="0.25">
      <c r="F8618" s="284" t="s">
        <v>244</v>
      </c>
      <c r="G8618" s="287" t="s">
        <v>245</v>
      </c>
      <c r="J8618" s="560">
        <f t="shared" si="297"/>
        <v>0</v>
      </c>
    </row>
    <row r="8619" spans="5:10" hidden="1" x14ac:dyDescent="0.25">
      <c r="F8619" s="284" t="s">
        <v>246</v>
      </c>
      <c r="G8619" s="598" t="s">
        <v>4996</v>
      </c>
      <c r="J8619" s="560">
        <f t="shared" si="297"/>
        <v>0</v>
      </c>
    </row>
    <row r="8620" spans="5:10" hidden="1" x14ac:dyDescent="0.25">
      <c r="F8620" s="284" t="s">
        <v>247</v>
      </c>
      <c r="G8620" s="598" t="s">
        <v>4995</v>
      </c>
      <c r="J8620" s="560">
        <f t="shared" si="297"/>
        <v>0</v>
      </c>
    </row>
    <row r="8621" spans="5:10" hidden="1" x14ac:dyDescent="0.25">
      <c r="F8621" s="284" t="s">
        <v>248</v>
      </c>
      <c r="G8621" s="287" t="s">
        <v>57</v>
      </c>
      <c r="J8621" s="560">
        <f t="shared" si="297"/>
        <v>0</v>
      </c>
    </row>
    <row r="8622" spans="5:10" hidden="1" x14ac:dyDescent="0.25">
      <c r="F8622" s="284" t="s">
        <v>249</v>
      </c>
      <c r="G8622" s="287" t="s">
        <v>250</v>
      </c>
      <c r="J8622" s="560">
        <f t="shared" si="297"/>
        <v>0</v>
      </c>
    </row>
    <row r="8623" spans="5:10" hidden="1" x14ac:dyDescent="0.25">
      <c r="F8623" s="284" t="s">
        <v>251</v>
      </c>
      <c r="G8623" s="287" t="s">
        <v>252</v>
      </c>
      <c r="J8623" s="560">
        <f t="shared" si="297"/>
        <v>0</v>
      </c>
    </row>
    <row r="8624" spans="5:10" ht="30" hidden="1" x14ac:dyDescent="0.25">
      <c r="F8624" s="284" t="s">
        <v>253</v>
      </c>
      <c r="G8624" s="287" t="s">
        <v>254</v>
      </c>
      <c r="J8624" s="560">
        <f t="shared" si="297"/>
        <v>0</v>
      </c>
    </row>
    <row r="8625" spans="5:10" hidden="1" x14ac:dyDescent="0.25">
      <c r="F8625" s="284" t="s">
        <v>255</v>
      </c>
      <c r="G8625" s="287" t="s">
        <v>256</v>
      </c>
      <c r="J8625" s="560">
        <f t="shared" si="297"/>
        <v>0</v>
      </c>
    </row>
    <row r="8626" spans="5:10" ht="30" hidden="1" x14ac:dyDescent="0.25">
      <c r="F8626" s="284" t="s">
        <v>257</v>
      </c>
      <c r="G8626" s="287" t="s">
        <v>258</v>
      </c>
      <c r="J8626" s="560">
        <f t="shared" si="297"/>
        <v>0</v>
      </c>
    </row>
    <row r="8627" spans="5:10" hidden="1" x14ac:dyDescent="0.25">
      <c r="F8627" s="284" t="s">
        <v>259</v>
      </c>
      <c r="G8627" s="287" t="s">
        <v>260</v>
      </c>
      <c r="J8627" s="560">
        <f t="shared" si="297"/>
        <v>0</v>
      </c>
    </row>
    <row r="8628" spans="5:10" hidden="1" x14ac:dyDescent="0.25">
      <c r="F8628" s="284" t="s">
        <v>261</v>
      </c>
      <c r="G8628" s="287" t="s">
        <v>262</v>
      </c>
      <c r="H8628" s="559"/>
      <c r="I8628" s="560"/>
      <c r="J8628" s="560">
        <f t="shared" si="297"/>
        <v>0</v>
      </c>
    </row>
    <row r="8629" spans="5:10" ht="15.75" hidden="1" thickBot="1" x14ac:dyDescent="0.3">
      <c r="G8629" s="268" t="s">
        <v>4294</v>
      </c>
      <c r="H8629" s="561">
        <f>SUM(H8613:H8628)</f>
        <v>0</v>
      </c>
      <c r="I8629" s="562">
        <f>SUM(I8614:I8628)</f>
        <v>0</v>
      </c>
      <c r="J8629" s="562">
        <f>SUM(J8613:J8628)</f>
        <v>0</v>
      </c>
    </row>
    <row r="8630" spans="5:10" ht="28.5" hidden="1" collapsed="1" x14ac:dyDescent="0.25">
      <c r="E8630" s="489"/>
      <c r="F8630" s="293"/>
      <c r="G8630" s="342" t="s">
        <v>4192</v>
      </c>
      <c r="H8630" s="557"/>
      <c r="I8630" s="583"/>
      <c r="J8630" s="558"/>
    </row>
    <row r="8631" spans="5:10" hidden="1" x14ac:dyDescent="0.25">
      <c r="E8631" s="693"/>
      <c r="F8631" s="284" t="s">
        <v>234</v>
      </c>
      <c r="G8631" s="287" t="s">
        <v>235</v>
      </c>
      <c r="H8631" s="559">
        <f>SUM(H8552:H8611)</f>
        <v>0</v>
      </c>
      <c r="I8631" s="560"/>
      <c r="J8631" s="560">
        <f>SUM(H8631:I8631)</f>
        <v>0</v>
      </c>
    </row>
    <row r="8632" spans="5:10" hidden="1" x14ac:dyDescent="0.25">
      <c r="F8632" s="284" t="s">
        <v>236</v>
      </c>
      <c r="G8632" s="287" t="s">
        <v>237</v>
      </c>
      <c r="J8632" s="560">
        <f t="shared" ref="J8632:J8646" si="298">SUM(H8632:I8632)</f>
        <v>0</v>
      </c>
    </row>
    <row r="8633" spans="5:10" hidden="1" x14ac:dyDescent="0.25">
      <c r="F8633" s="284" t="s">
        <v>238</v>
      </c>
      <c r="G8633" s="287" t="s">
        <v>239</v>
      </c>
      <c r="J8633" s="560">
        <f t="shared" si="298"/>
        <v>0</v>
      </c>
    </row>
    <row r="8634" spans="5:10" hidden="1" x14ac:dyDescent="0.25">
      <c r="F8634" s="284" t="s">
        <v>240</v>
      </c>
      <c r="G8634" s="287" t="s">
        <v>241</v>
      </c>
      <c r="J8634" s="560">
        <f t="shared" si="298"/>
        <v>0</v>
      </c>
    </row>
    <row r="8635" spans="5:10" hidden="1" x14ac:dyDescent="0.25">
      <c r="F8635" s="284" t="s">
        <v>242</v>
      </c>
      <c r="G8635" s="287" t="s">
        <v>243</v>
      </c>
      <c r="J8635" s="560">
        <f t="shared" si="298"/>
        <v>0</v>
      </c>
    </row>
    <row r="8636" spans="5:10" hidden="1" x14ac:dyDescent="0.25">
      <c r="F8636" s="284" t="s">
        <v>244</v>
      </c>
      <c r="G8636" s="287" t="s">
        <v>245</v>
      </c>
      <c r="J8636" s="560">
        <f t="shared" si="298"/>
        <v>0</v>
      </c>
    </row>
    <row r="8637" spans="5:10" hidden="1" x14ac:dyDescent="0.25">
      <c r="F8637" s="284" t="s">
        <v>246</v>
      </c>
      <c r="G8637" s="598" t="s">
        <v>4996</v>
      </c>
      <c r="J8637" s="560">
        <f t="shared" si="298"/>
        <v>0</v>
      </c>
    </row>
    <row r="8638" spans="5:10" hidden="1" x14ac:dyDescent="0.25">
      <c r="F8638" s="284" t="s">
        <v>247</v>
      </c>
      <c r="G8638" s="598" t="s">
        <v>4995</v>
      </c>
      <c r="J8638" s="560">
        <f t="shared" si="298"/>
        <v>0</v>
      </c>
    </row>
    <row r="8639" spans="5:10" hidden="1" x14ac:dyDescent="0.25">
      <c r="F8639" s="284" t="s">
        <v>248</v>
      </c>
      <c r="G8639" s="287" t="s">
        <v>57</v>
      </c>
      <c r="J8639" s="560">
        <f t="shared" si="298"/>
        <v>0</v>
      </c>
    </row>
    <row r="8640" spans="5:10" hidden="1" x14ac:dyDescent="0.25">
      <c r="F8640" s="284" t="s">
        <v>249</v>
      </c>
      <c r="G8640" s="287" t="s">
        <v>250</v>
      </c>
      <c r="J8640" s="560">
        <f t="shared" si="298"/>
        <v>0</v>
      </c>
    </row>
    <row r="8641" spans="1:25" hidden="1" x14ac:dyDescent="0.25">
      <c r="F8641" s="284" t="s">
        <v>251</v>
      </c>
      <c r="G8641" s="287" t="s">
        <v>252</v>
      </c>
      <c r="J8641" s="560">
        <f t="shared" si="298"/>
        <v>0</v>
      </c>
    </row>
    <row r="8642" spans="1:25" ht="30" hidden="1" x14ac:dyDescent="0.25">
      <c r="F8642" s="284" t="s">
        <v>253</v>
      </c>
      <c r="G8642" s="287" t="s">
        <v>254</v>
      </c>
      <c r="J8642" s="560">
        <f t="shared" si="298"/>
        <v>0</v>
      </c>
    </row>
    <row r="8643" spans="1:25" hidden="1" x14ac:dyDescent="0.25">
      <c r="F8643" s="284" t="s">
        <v>255</v>
      </c>
      <c r="G8643" s="287" t="s">
        <v>256</v>
      </c>
      <c r="J8643" s="560">
        <f t="shared" si="298"/>
        <v>0</v>
      </c>
    </row>
    <row r="8644" spans="1:25" ht="30" hidden="1" x14ac:dyDescent="0.25">
      <c r="F8644" s="284" t="s">
        <v>257</v>
      </c>
      <c r="G8644" s="287" t="s">
        <v>258</v>
      </c>
      <c r="J8644" s="560">
        <f t="shared" si="298"/>
        <v>0</v>
      </c>
    </row>
    <row r="8645" spans="1:25" hidden="1" x14ac:dyDescent="0.25">
      <c r="F8645" s="284" t="s">
        <v>259</v>
      </c>
      <c r="G8645" s="287" t="s">
        <v>260</v>
      </c>
      <c r="J8645" s="560">
        <f t="shared" si="298"/>
        <v>0</v>
      </c>
    </row>
    <row r="8646" spans="1:25" hidden="1" x14ac:dyDescent="0.25">
      <c r="F8646" s="284" t="s">
        <v>261</v>
      </c>
      <c r="G8646" s="287" t="s">
        <v>262</v>
      </c>
      <c r="H8646" s="559"/>
      <c r="I8646" s="560"/>
      <c r="J8646" s="560">
        <f t="shared" si="298"/>
        <v>0</v>
      </c>
    </row>
    <row r="8647" spans="1:25" ht="15.75" hidden="1" collapsed="1" thickBot="1" x14ac:dyDescent="0.3">
      <c r="G8647" s="268" t="s">
        <v>4193</v>
      </c>
      <c r="H8647" s="561">
        <f>SUM(H8631:H8646)</f>
        <v>0</v>
      </c>
      <c r="I8647" s="562">
        <f>SUM(I8632:I8646)</f>
        <v>0</v>
      </c>
      <c r="J8647" s="562">
        <f>SUM(J8631:J8646)</f>
        <v>0</v>
      </c>
    </row>
    <row r="8648" spans="1:25" s="88" customFormat="1" hidden="1" x14ac:dyDescent="0.25">
      <c r="A8648" s="258"/>
      <c r="B8648" s="288"/>
      <c r="C8648" s="335"/>
      <c r="E8648" s="877"/>
      <c r="F8648" s="295"/>
      <c r="G8648" s="301"/>
      <c r="H8648" s="572"/>
      <c r="I8648" s="573"/>
      <c r="J8648" s="573"/>
      <c r="K8648" s="505"/>
      <c r="L8648" s="505"/>
      <c r="M8648" s="505"/>
      <c r="N8648" s="505"/>
      <c r="O8648" s="505"/>
      <c r="P8648" s="505"/>
      <c r="Q8648" s="505"/>
      <c r="R8648" s="505"/>
      <c r="S8648" s="505"/>
      <c r="T8648" s="505"/>
      <c r="U8648" s="505"/>
      <c r="V8648" s="505"/>
      <c r="W8648" s="505"/>
      <c r="X8648" s="505"/>
      <c r="Y8648" s="505"/>
    </row>
    <row r="8649" spans="1:25" hidden="1" x14ac:dyDescent="0.25">
      <c r="A8649" s="290"/>
    </row>
    <row r="8650" spans="1:25" hidden="1" x14ac:dyDescent="0.25"/>
    <row r="8651" spans="1:25" hidden="1" x14ac:dyDescent="0.25">
      <c r="F8651" s="292">
        <v>411</v>
      </c>
      <c r="G8651" s="319" t="s">
        <v>4131</v>
      </c>
      <c r="J8651" s="556">
        <f>SUM(H8651:I8651)</f>
        <v>0</v>
      </c>
    </row>
    <row r="8652" spans="1:25" hidden="1" x14ac:dyDescent="0.25">
      <c r="F8652" s="292">
        <v>412</v>
      </c>
      <c r="G8652" s="317" t="s">
        <v>3766</v>
      </c>
      <c r="J8652" s="556">
        <f t="shared" ref="J8652:J8710" si="299">SUM(H8652:I8652)</f>
        <v>0</v>
      </c>
    </row>
    <row r="8653" spans="1:25" hidden="1" x14ac:dyDescent="0.25">
      <c r="F8653" s="292">
        <v>413</v>
      </c>
      <c r="G8653" s="319" t="s">
        <v>4132</v>
      </c>
      <c r="J8653" s="556">
        <f t="shared" si="299"/>
        <v>0</v>
      </c>
    </row>
    <row r="8654" spans="1:25" hidden="1" x14ac:dyDescent="0.25">
      <c r="F8654" s="292">
        <v>414</v>
      </c>
      <c r="G8654" s="319" t="s">
        <v>3769</v>
      </c>
      <c r="J8654" s="556">
        <f t="shared" si="299"/>
        <v>0</v>
      </c>
    </row>
    <row r="8655" spans="1:25" hidden="1" x14ac:dyDescent="0.25">
      <c r="F8655" s="292">
        <v>415</v>
      </c>
      <c r="G8655" s="319" t="s">
        <v>4141</v>
      </c>
      <c r="J8655" s="556">
        <f t="shared" si="299"/>
        <v>0</v>
      </c>
    </row>
    <row r="8656" spans="1:25" hidden="1" x14ac:dyDescent="0.25">
      <c r="F8656" s="292">
        <v>416</v>
      </c>
      <c r="G8656" s="319" t="s">
        <v>4142</v>
      </c>
      <c r="J8656" s="556">
        <f t="shared" si="299"/>
        <v>0</v>
      </c>
    </row>
    <row r="8657" spans="6:10" hidden="1" x14ac:dyDescent="0.25">
      <c r="F8657" s="292">
        <v>417</v>
      </c>
      <c r="G8657" s="319" t="s">
        <v>4143</v>
      </c>
      <c r="J8657" s="556">
        <f t="shared" si="299"/>
        <v>0</v>
      </c>
    </row>
    <row r="8658" spans="6:10" hidden="1" x14ac:dyDescent="0.25">
      <c r="F8658" s="292">
        <v>418</v>
      </c>
      <c r="G8658" s="319" t="s">
        <v>3775</v>
      </c>
      <c r="J8658" s="556">
        <f t="shared" si="299"/>
        <v>0</v>
      </c>
    </row>
    <row r="8659" spans="6:10" hidden="1" x14ac:dyDescent="0.25">
      <c r="F8659" s="292">
        <v>421</v>
      </c>
      <c r="G8659" s="319" t="s">
        <v>3779</v>
      </c>
      <c r="J8659" s="556">
        <f t="shared" si="299"/>
        <v>0</v>
      </c>
    </row>
    <row r="8660" spans="6:10" hidden="1" x14ac:dyDescent="0.25">
      <c r="F8660" s="292">
        <v>422</v>
      </c>
      <c r="G8660" s="319" t="s">
        <v>3780</v>
      </c>
      <c r="J8660" s="556">
        <f t="shared" si="299"/>
        <v>0</v>
      </c>
    </row>
    <row r="8661" spans="6:10" hidden="1" x14ac:dyDescent="0.25">
      <c r="F8661" s="292">
        <v>423</v>
      </c>
      <c r="G8661" s="319" t="s">
        <v>3781</v>
      </c>
      <c r="J8661" s="556">
        <f t="shared" si="299"/>
        <v>0</v>
      </c>
    </row>
    <row r="8662" spans="6:10" hidden="1" x14ac:dyDescent="0.25">
      <c r="F8662" s="292">
        <v>424</v>
      </c>
      <c r="G8662" s="319" t="s">
        <v>3783</v>
      </c>
      <c r="J8662" s="556">
        <f t="shared" si="299"/>
        <v>0</v>
      </c>
    </row>
    <row r="8663" spans="6:10" hidden="1" x14ac:dyDescent="0.25">
      <c r="F8663" s="292">
        <v>425</v>
      </c>
      <c r="G8663" s="319" t="s">
        <v>4144</v>
      </c>
      <c r="J8663" s="556">
        <f t="shared" si="299"/>
        <v>0</v>
      </c>
    </row>
    <row r="8664" spans="6:10" hidden="1" x14ac:dyDescent="0.25">
      <c r="F8664" s="292">
        <v>426</v>
      </c>
      <c r="G8664" s="319" t="s">
        <v>3787</v>
      </c>
      <c r="J8664" s="556">
        <f t="shared" si="299"/>
        <v>0</v>
      </c>
    </row>
    <row r="8665" spans="6:10" hidden="1" x14ac:dyDescent="0.25">
      <c r="F8665" s="292">
        <v>431</v>
      </c>
      <c r="G8665" s="319" t="s">
        <v>4145</v>
      </c>
      <c r="J8665" s="556">
        <f t="shared" si="299"/>
        <v>0</v>
      </c>
    </row>
    <row r="8666" spans="6:10" hidden="1" x14ac:dyDescent="0.25">
      <c r="F8666" s="292">
        <v>432</v>
      </c>
      <c r="G8666" s="319" t="s">
        <v>4146</v>
      </c>
      <c r="J8666" s="556">
        <f t="shared" si="299"/>
        <v>0</v>
      </c>
    </row>
    <row r="8667" spans="6:10" hidden="1" x14ac:dyDescent="0.25">
      <c r="F8667" s="292">
        <v>433</v>
      </c>
      <c r="G8667" s="319" t="s">
        <v>4147</v>
      </c>
      <c r="J8667" s="556">
        <f t="shared" si="299"/>
        <v>0</v>
      </c>
    </row>
    <row r="8668" spans="6:10" hidden="1" x14ac:dyDescent="0.25">
      <c r="F8668" s="292">
        <v>434</v>
      </c>
      <c r="G8668" s="319" t="s">
        <v>4148</v>
      </c>
      <c r="J8668" s="556">
        <f t="shared" si="299"/>
        <v>0</v>
      </c>
    </row>
    <row r="8669" spans="6:10" hidden="1" x14ac:dyDescent="0.25">
      <c r="F8669" s="292">
        <v>435</v>
      </c>
      <c r="G8669" s="319" t="s">
        <v>3794</v>
      </c>
      <c r="J8669" s="556">
        <f t="shared" si="299"/>
        <v>0</v>
      </c>
    </row>
    <row r="8670" spans="6:10" ht="0.75" hidden="1" customHeight="1" x14ac:dyDescent="0.25">
      <c r="F8670" s="292">
        <v>441</v>
      </c>
      <c r="G8670" s="319" t="s">
        <v>4149</v>
      </c>
      <c r="J8670" s="556">
        <f t="shared" si="299"/>
        <v>0</v>
      </c>
    </row>
    <row r="8671" spans="6:10" hidden="1" x14ac:dyDescent="0.25">
      <c r="F8671" s="292">
        <v>442</v>
      </c>
      <c r="G8671" s="319" t="s">
        <v>4150</v>
      </c>
      <c r="J8671" s="556">
        <f t="shared" si="299"/>
        <v>0</v>
      </c>
    </row>
    <row r="8672" spans="6:10" hidden="1" x14ac:dyDescent="0.25">
      <c r="F8672" s="292">
        <v>443</v>
      </c>
      <c r="G8672" s="319" t="s">
        <v>3799</v>
      </c>
      <c r="J8672" s="556">
        <f t="shared" si="299"/>
        <v>0</v>
      </c>
    </row>
    <row r="8673" spans="6:10" hidden="1" x14ac:dyDescent="0.25">
      <c r="F8673" s="292">
        <v>444</v>
      </c>
      <c r="G8673" s="319" t="s">
        <v>3800</v>
      </c>
      <c r="J8673" s="556">
        <f t="shared" si="299"/>
        <v>0</v>
      </c>
    </row>
    <row r="8674" spans="6:10" ht="30" hidden="1" x14ac:dyDescent="0.25">
      <c r="F8674" s="292">
        <v>4511</v>
      </c>
      <c r="G8674" s="263" t="s">
        <v>1690</v>
      </c>
      <c r="J8674" s="556">
        <f t="shared" si="299"/>
        <v>0</v>
      </c>
    </row>
    <row r="8675" spans="6:10" ht="30" hidden="1" x14ac:dyDescent="0.25">
      <c r="F8675" s="292">
        <v>4512</v>
      </c>
      <c r="G8675" s="263" t="s">
        <v>1699</v>
      </c>
      <c r="J8675" s="556">
        <f t="shared" si="299"/>
        <v>0</v>
      </c>
    </row>
    <row r="8676" spans="6:10" hidden="1" x14ac:dyDescent="0.25">
      <c r="F8676" s="292">
        <v>452</v>
      </c>
      <c r="G8676" s="319" t="s">
        <v>4151</v>
      </c>
      <c r="J8676" s="556">
        <f t="shared" si="299"/>
        <v>0</v>
      </c>
    </row>
    <row r="8677" spans="6:10" hidden="1" x14ac:dyDescent="0.25">
      <c r="F8677" s="292">
        <v>453</v>
      </c>
      <c r="G8677" s="319" t="s">
        <v>4152</v>
      </c>
      <c r="J8677" s="556">
        <f t="shared" si="299"/>
        <v>0</v>
      </c>
    </row>
    <row r="8678" spans="6:10" hidden="1" x14ac:dyDescent="0.25">
      <c r="F8678" s="292">
        <v>454</v>
      </c>
      <c r="G8678" s="319" t="s">
        <v>3805</v>
      </c>
      <c r="J8678" s="556">
        <f t="shared" si="299"/>
        <v>0</v>
      </c>
    </row>
    <row r="8679" spans="6:10" hidden="1" x14ac:dyDescent="0.25">
      <c r="F8679" s="292">
        <v>461</v>
      </c>
      <c r="G8679" s="319" t="s">
        <v>4133</v>
      </c>
      <c r="J8679" s="556">
        <f t="shared" si="299"/>
        <v>0</v>
      </c>
    </row>
    <row r="8680" spans="6:10" hidden="1" x14ac:dyDescent="0.25">
      <c r="F8680" s="292">
        <v>462</v>
      </c>
      <c r="G8680" s="319" t="s">
        <v>3808</v>
      </c>
      <c r="J8680" s="556">
        <f t="shared" si="299"/>
        <v>0</v>
      </c>
    </row>
    <row r="8681" spans="6:10" hidden="1" x14ac:dyDescent="0.25">
      <c r="F8681" s="292">
        <v>4631</v>
      </c>
      <c r="G8681" s="319" t="s">
        <v>3809</v>
      </c>
      <c r="J8681" s="556">
        <f t="shared" si="299"/>
        <v>0</v>
      </c>
    </row>
    <row r="8682" spans="6:10" hidden="1" x14ac:dyDescent="0.25">
      <c r="F8682" s="292">
        <v>4632</v>
      </c>
      <c r="G8682" s="319" t="s">
        <v>3810</v>
      </c>
      <c r="J8682" s="556">
        <f t="shared" si="299"/>
        <v>0</v>
      </c>
    </row>
    <row r="8683" spans="6:10" hidden="1" x14ac:dyDescent="0.25">
      <c r="F8683" s="292">
        <v>464</v>
      </c>
      <c r="G8683" s="319" t="s">
        <v>3811</v>
      </c>
      <c r="J8683" s="556">
        <f t="shared" si="299"/>
        <v>0</v>
      </c>
    </row>
    <row r="8684" spans="6:10" hidden="1" x14ac:dyDescent="0.25">
      <c r="F8684" s="292">
        <v>465</v>
      </c>
      <c r="G8684" s="319" t="s">
        <v>4134</v>
      </c>
      <c r="J8684" s="556">
        <f t="shared" si="299"/>
        <v>0</v>
      </c>
    </row>
    <row r="8685" spans="6:10" hidden="1" x14ac:dyDescent="0.25">
      <c r="F8685" s="292">
        <v>472</v>
      </c>
      <c r="G8685" s="319" t="s">
        <v>3815</v>
      </c>
      <c r="J8685" s="556">
        <f t="shared" si="299"/>
        <v>0</v>
      </c>
    </row>
    <row r="8686" spans="6:10" hidden="1" x14ac:dyDescent="0.25">
      <c r="F8686" s="292">
        <v>481</v>
      </c>
      <c r="G8686" s="319" t="s">
        <v>4153</v>
      </c>
      <c r="J8686" s="556">
        <f t="shared" si="299"/>
        <v>0</v>
      </c>
    </row>
    <row r="8687" spans="6:10" hidden="1" x14ac:dyDescent="0.25">
      <c r="F8687" s="292">
        <v>482</v>
      </c>
      <c r="G8687" s="319" t="s">
        <v>4154</v>
      </c>
      <c r="J8687" s="556">
        <f t="shared" si="299"/>
        <v>0</v>
      </c>
    </row>
    <row r="8688" spans="6:10" hidden="1" x14ac:dyDescent="0.25">
      <c r="F8688" s="292">
        <v>483</v>
      </c>
      <c r="G8688" s="322" t="s">
        <v>4155</v>
      </c>
      <c r="J8688" s="556">
        <f t="shared" si="299"/>
        <v>0</v>
      </c>
    </row>
    <row r="8689" spans="1:10" ht="30" hidden="1" x14ac:dyDescent="0.25">
      <c r="F8689" s="292">
        <v>484</v>
      </c>
      <c r="G8689" s="319" t="s">
        <v>4156</v>
      </c>
      <c r="J8689" s="556">
        <f t="shared" si="299"/>
        <v>0</v>
      </c>
    </row>
    <row r="8690" spans="1:10" ht="30" hidden="1" x14ac:dyDescent="0.25">
      <c r="F8690" s="292">
        <v>485</v>
      </c>
      <c r="G8690" s="319" t="s">
        <v>4157</v>
      </c>
      <c r="J8690" s="556">
        <f t="shared" si="299"/>
        <v>0</v>
      </c>
    </row>
    <row r="8691" spans="1:10" ht="30" hidden="1" x14ac:dyDescent="0.25">
      <c r="F8691" s="292">
        <v>489</v>
      </c>
      <c r="G8691" s="319" t="s">
        <v>3823</v>
      </c>
      <c r="J8691" s="556">
        <f t="shared" si="299"/>
        <v>0</v>
      </c>
    </row>
    <row r="8692" spans="1:10" hidden="1" x14ac:dyDescent="0.25">
      <c r="F8692" s="292">
        <v>494</v>
      </c>
      <c r="G8692" s="319" t="s">
        <v>4135</v>
      </c>
      <c r="J8692" s="556">
        <f t="shared" si="299"/>
        <v>0</v>
      </c>
    </row>
    <row r="8693" spans="1:10" ht="30" hidden="1" x14ac:dyDescent="0.25">
      <c r="F8693" s="292">
        <v>495</v>
      </c>
      <c r="G8693" s="319" t="s">
        <v>4136</v>
      </c>
      <c r="J8693" s="556">
        <f t="shared" si="299"/>
        <v>0</v>
      </c>
    </row>
    <row r="8694" spans="1:10" ht="30" hidden="1" x14ac:dyDescent="0.25">
      <c r="F8694" s="292">
        <v>496</v>
      </c>
      <c r="G8694" s="319" t="s">
        <v>4137</v>
      </c>
      <c r="J8694" s="556">
        <f t="shared" si="299"/>
        <v>0</v>
      </c>
    </row>
    <row r="8695" spans="1:10" ht="30" hidden="1" x14ac:dyDescent="0.25">
      <c r="F8695" s="292">
        <v>499</v>
      </c>
      <c r="G8695" s="319" t="s">
        <v>4138</v>
      </c>
      <c r="J8695" s="556">
        <f t="shared" si="299"/>
        <v>0</v>
      </c>
    </row>
    <row r="8696" spans="1:10" hidden="1" x14ac:dyDescent="0.25">
      <c r="F8696" s="292">
        <v>511</v>
      </c>
      <c r="G8696" s="322" t="s">
        <v>4158</v>
      </c>
      <c r="J8696" s="556">
        <f t="shared" si="299"/>
        <v>0</v>
      </c>
    </row>
    <row r="8697" spans="1:10" hidden="1" x14ac:dyDescent="0.25">
      <c r="F8697" s="292">
        <v>512</v>
      </c>
      <c r="G8697" s="322" t="s">
        <v>4159</v>
      </c>
      <c r="J8697" s="556">
        <f t="shared" si="299"/>
        <v>0</v>
      </c>
    </row>
    <row r="8698" spans="1:10" hidden="1" x14ac:dyDescent="0.25">
      <c r="F8698" s="292">
        <v>513</v>
      </c>
      <c r="G8698" s="322" t="s">
        <v>4160</v>
      </c>
      <c r="J8698" s="556">
        <f t="shared" si="299"/>
        <v>0</v>
      </c>
    </row>
    <row r="8699" spans="1:10" hidden="1" x14ac:dyDescent="0.25">
      <c r="B8699" s="84"/>
      <c r="C8699" s="84"/>
      <c r="D8699" s="84"/>
      <c r="E8699" s="878"/>
      <c r="F8699" s="84"/>
      <c r="G8699" s="84"/>
      <c r="H8699" s="84"/>
      <c r="I8699" s="84"/>
      <c r="J8699" s="84"/>
    </row>
    <row r="8700" spans="1:10" hidden="1" x14ac:dyDescent="0.25">
      <c r="A8700" s="84"/>
      <c r="F8700" s="292">
        <v>515</v>
      </c>
      <c r="G8700" s="319" t="s">
        <v>3834</v>
      </c>
      <c r="J8700" s="556">
        <f t="shared" si="299"/>
        <v>0</v>
      </c>
    </row>
    <row r="8701" spans="1:10" hidden="1" x14ac:dyDescent="0.25">
      <c r="F8701" s="292">
        <v>521</v>
      </c>
      <c r="G8701" s="319" t="s">
        <v>4162</v>
      </c>
      <c r="J8701" s="556">
        <f t="shared" si="299"/>
        <v>0</v>
      </c>
    </row>
    <row r="8702" spans="1:10" hidden="1" x14ac:dyDescent="0.25">
      <c r="F8702" s="292">
        <v>522</v>
      </c>
      <c r="G8702" s="319" t="s">
        <v>4163</v>
      </c>
      <c r="J8702" s="556">
        <f t="shared" si="299"/>
        <v>0</v>
      </c>
    </row>
    <row r="8703" spans="1:10" hidden="1" x14ac:dyDescent="0.25">
      <c r="F8703" s="292">
        <v>523</v>
      </c>
      <c r="G8703" s="319" t="s">
        <v>3839</v>
      </c>
      <c r="J8703" s="556">
        <f t="shared" si="299"/>
        <v>0</v>
      </c>
    </row>
    <row r="8704" spans="1:10" hidden="1" x14ac:dyDescent="0.25">
      <c r="F8704" s="292">
        <v>531</v>
      </c>
      <c r="G8704" s="317" t="s">
        <v>4139</v>
      </c>
      <c r="J8704" s="556">
        <f t="shared" si="299"/>
        <v>0</v>
      </c>
    </row>
    <row r="8705" spans="1:10" hidden="1" x14ac:dyDescent="0.25">
      <c r="F8705" s="292">
        <v>541</v>
      </c>
      <c r="G8705" s="319" t="s">
        <v>4164</v>
      </c>
      <c r="J8705" s="556">
        <f t="shared" si="299"/>
        <v>0</v>
      </c>
    </row>
    <row r="8706" spans="1:10" hidden="1" x14ac:dyDescent="0.25">
      <c r="F8706" s="292">
        <v>542</v>
      </c>
      <c r="G8706" s="319" t="s">
        <v>4165</v>
      </c>
      <c r="J8706" s="556">
        <f t="shared" si="299"/>
        <v>0</v>
      </c>
    </row>
    <row r="8707" spans="1:10" hidden="1" x14ac:dyDescent="0.25">
      <c r="F8707" s="292">
        <v>543</v>
      </c>
      <c r="G8707" s="319" t="s">
        <v>3844</v>
      </c>
      <c r="J8707" s="556">
        <f t="shared" si="299"/>
        <v>0</v>
      </c>
    </row>
    <row r="8708" spans="1:10" ht="30" hidden="1" x14ac:dyDescent="0.25">
      <c r="F8708" s="292">
        <v>551</v>
      </c>
      <c r="G8708" s="319" t="s">
        <v>4140</v>
      </c>
      <c r="J8708" s="556">
        <f t="shared" si="299"/>
        <v>0</v>
      </c>
    </row>
    <row r="8709" spans="1:10" hidden="1" x14ac:dyDescent="0.25">
      <c r="F8709" s="293">
        <v>611</v>
      </c>
      <c r="G8709" s="323" t="s">
        <v>3850</v>
      </c>
      <c r="J8709" s="556">
        <f t="shared" si="299"/>
        <v>0</v>
      </c>
    </row>
    <row r="8710" spans="1:10" hidden="1" x14ac:dyDescent="0.25">
      <c r="F8710" s="293">
        <v>620</v>
      </c>
      <c r="G8710" s="323" t="s">
        <v>88</v>
      </c>
      <c r="J8710" s="556">
        <f t="shared" si="299"/>
        <v>0</v>
      </c>
    </row>
    <row r="8711" spans="1:10" hidden="1" x14ac:dyDescent="0.25">
      <c r="B8711" s="84"/>
      <c r="C8711" s="84"/>
      <c r="D8711" s="84"/>
      <c r="E8711" s="878"/>
      <c r="F8711" s="84"/>
      <c r="G8711" s="84"/>
      <c r="H8711" s="84"/>
      <c r="I8711" s="84"/>
      <c r="J8711" s="84"/>
    </row>
    <row r="8712" spans="1:10" hidden="1" x14ac:dyDescent="0.25">
      <c r="A8712" s="84"/>
      <c r="B8712" s="84"/>
      <c r="C8712" s="84"/>
      <c r="D8712" s="84"/>
      <c r="E8712" s="878"/>
      <c r="F8712" s="84"/>
      <c r="G8712" s="84"/>
      <c r="H8712" s="84"/>
      <c r="I8712" s="84"/>
      <c r="J8712" s="84"/>
    </row>
    <row r="8713" spans="1:10" hidden="1" x14ac:dyDescent="0.25">
      <c r="A8713" s="84"/>
      <c r="F8713" s="284" t="s">
        <v>236</v>
      </c>
      <c r="G8713" s="287" t="s">
        <v>237</v>
      </c>
      <c r="J8713" s="560">
        <f t="shared" ref="J8713:J8727" si="300">SUM(H8713:I8713)</f>
        <v>0</v>
      </c>
    </row>
    <row r="8714" spans="1:10" hidden="1" x14ac:dyDescent="0.25">
      <c r="F8714" s="284" t="s">
        <v>238</v>
      </c>
      <c r="G8714" s="287" t="s">
        <v>239</v>
      </c>
      <c r="J8714" s="560">
        <f t="shared" si="300"/>
        <v>0</v>
      </c>
    </row>
    <row r="8715" spans="1:10" hidden="1" x14ac:dyDescent="0.25">
      <c r="F8715" s="284" t="s">
        <v>240</v>
      </c>
      <c r="G8715" s="287" t="s">
        <v>241</v>
      </c>
      <c r="J8715" s="560">
        <f t="shared" si="300"/>
        <v>0</v>
      </c>
    </row>
    <row r="8716" spans="1:10" hidden="1" x14ac:dyDescent="0.25">
      <c r="F8716" s="284" t="s">
        <v>242</v>
      </c>
      <c r="G8716" s="287" t="s">
        <v>243</v>
      </c>
      <c r="J8716" s="560">
        <f t="shared" si="300"/>
        <v>0</v>
      </c>
    </row>
    <row r="8717" spans="1:10" hidden="1" x14ac:dyDescent="0.25">
      <c r="F8717" s="284" t="s">
        <v>244</v>
      </c>
      <c r="G8717" s="287" t="s">
        <v>245</v>
      </c>
      <c r="J8717" s="560">
        <f t="shared" si="300"/>
        <v>0</v>
      </c>
    </row>
    <row r="8718" spans="1:10" hidden="1" x14ac:dyDescent="0.25">
      <c r="F8718" s="284" t="s">
        <v>246</v>
      </c>
      <c r="G8718" s="598" t="s">
        <v>4996</v>
      </c>
      <c r="J8718" s="560">
        <f t="shared" si="300"/>
        <v>0</v>
      </c>
    </row>
    <row r="8719" spans="1:10" hidden="1" x14ac:dyDescent="0.25">
      <c r="F8719" s="284" t="s">
        <v>247</v>
      </c>
      <c r="G8719" s="598" t="s">
        <v>4995</v>
      </c>
      <c r="J8719" s="560">
        <f t="shared" si="300"/>
        <v>0</v>
      </c>
    </row>
    <row r="8720" spans="1:10" hidden="1" x14ac:dyDescent="0.25">
      <c r="F8720" s="284" t="s">
        <v>248</v>
      </c>
      <c r="G8720" s="287" t="s">
        <v>57</v>
      </c>
      <c r="J8720" s="560">
        <f t="shared" si="300"/>
        <v>0</v>
      </c>
    </row>
    <row r="8721" spans="1:10" hidden="1" x14ac:dyDescent="0.25">
      <c r="F8721" s="284" t="s">
        <v>249</v>
      </c>
      <c r="G8721" s="287" t="s">
        <v>250</v>
      </c>
      <c r="J8721" s="560">
        <f t="shared" si="300"/>
        <v>0</v>
      </c>
    </row>
    <row r="8722" spans="1:10" hidden="1" x14ac:dyDescent="0.25">
      <c r="F8722" s="284" t="s">
        <v>251</v>
      </c>
      <c r="G8722" s="287" t="s">
        <v>252</v>
      </c>
      <c r="J8722" s="560">
        <f t="shared" si="300"/>
        <v>0</v>
      </c>
    </row>
    <row r="8723" spans="1:10" ht="30" hidden="1" x14ac:dyDescent="0.25">
      <c r="F8723" s="284" t="s">
        <v>253</v>
      </c>
      <c r="G8723" s="287" t="s">
        <v>254</v>
      </c>
      <c r="J8723" s="560">
        <f t="shared" si="300"/>
        <v>0</v>
      </c>
    </row>
    <row r="8724" spans="1:10" hidden="1" x14ac:dyDescent="0.25">
      <c r="F8724" s="284" t="s">
        <v>255</v>
      </c>
      <c r="G8724" s="287" t="s">
        <v>256</v>
      </c>
      <c r="J8724" s="560">
        <f t="shared" si="300"/>
        <v>0</v>
      </c>
    </row>
    <row r="8725" spans="1:10" ht="30" hidden="1" x14ac:dyDescent="0.25">
      <c r="F8725" s="284" t="s">
        <v>257</v>
      </c>
      <c r="G8725" s="287" t="s">
        <v>258</v>
      </c>
      <c r="J8725" s="560">
        <f t="shared" si="300"/>
        <v>0</v>
      </c>
    </row>
    <row r="8726" spans="1:10" hidden="1" x14ac:dyDescent="0.25">
      <c r="F8726" s="284" t="s">
        <v>259</v>
      </c>
      <c r="G8726" s="287" t="s">
        <v>260</v>
      </c>
      <c r="J8726" s="560">
        <f t="shared" si="300"/>
        <v>0</v>
      </c>
    </row>
    <row r="8727" spans="1:10" hidden="1" x14ac:dyDescent="0.25">
      <c r="F8727" s="284" t="s">
        <v>261</v>
      </c>
      <c r="G8727" s="287" t="s">
        <v>262</v>
      </c>
      <c r="H8727" s="559"/>
      <c r="I8727" s="560"/>
      <c r="J8727" s="560">
        <f t="shared" si="300"/>
        <v>0</v>
      </c>
    </row>
    <row r="8728" spans="1:10" hidden="1" x14ac:dyDescent="0.25">
      <c r="B8728" s="84"/>
      <c r="C8728" s="84"/>
      <c r="D8728" s="84"/>
      <c r="E8728" s="878"/>
      <c r="F8728" s="84"/>
      <c r="G8728" s="84"/>
      <c r="H8728" s="84"/>
      <c r="I8728" s="84"/>
      <c r="J8728" s="84"/>
    </row>
    <row r="8729" spans="1:10" hidden="1" collapsed="1" x14ac:dyDescent="0.25">
      <c r="A8729" s="84"/>
      <c r="B8729" s="84"/>
      <c r="C8729" s="84"/>
      <c r="D8729" s="84"/>
      <c r="E8729" s="878"/>
      <c r="F8729" s="84"/>
      <c r="G8729" s="84"/>
      <c r="H8729" s="84"/>
      <c r="I8729" s="84"/>
      <c r="J8729" s="84"/>
    </row>
    <row r="8730" spans="1:10" hidden="1" x14ac:dyDescent="0.25">
      <c r="A8730" s="84"/>
      <c r="B8730" s="84"/>
      <c r="C8730" s="84"/>
      <c r="D8730" s="84"/>
      <c r="E8730" s="878"/>
      <c r="F8730" s="84"/>
      <c r="G8730" s="84"/>
      <c r="H8730" s="84"/>
      <c r="I8730" s="84"/>
      <c r="J8730" s="84"/>
    </row>
    <row r="8731" spans="1:10" hidden="1" x14ac:dyDescent="0.25">
      <c r="A8731" s="84"/>
      <c r="F8731" s="284" t="s">
        <v>236</v>
      </c>
      <c r="G8731" s="287" t="s">
        <v>237</v>
      </c>
      <c r="J8731" s="560">
        <f t="shared" ref="J8731:J8745" si="301">SUM(H8731:I8731)</f>
        <v>0</v>
      </c>
    </row>
    <row r="8732" spans="1:10" hidden="1" x14ac:dyDescent="0.25">
      <c r="F8732" s="284" t="s">
        <v>238</v>
      </c>
      <c r="G8732" s="287" t="s">
        <v>239</v>
      </c>
      <c r="J8732" s="560">
        <f t="shared" si="301"/>
        <v>0</v>
      </c>
    </row>
    <row r="8733" spans="1:10" hidden="1" x14ac:dyDescent="0.25">
      <c r="F8733" s="284" t="s">
        <v>240</v>
      </c>
      <c r="G8733" s="287" t="s">
        <v>241</v>
      </c>
      <c r="J8733" s="560">
        <f t="shared" si="301"/>
        <v>0</v>
      </c>
    </row>
    <row r="8734" spans="1:10" hidden="1" x14ac:dyDescent="0.25">
      <c r="F8734" s="284" t="s">
        <v>242</v>
      </c>
      <c r="G8734" s="287" t="s">
        <v>243</v>
      </c>
      <c r="J8734" s="560">
        <f t="shared" si="301"/>
        <v>0</v>
      </c>
    </row>
    <row r="8735" spans="1:10" hidden="1" x14ac:dyDescent="0.25">
      <c r="F8735" s="284" t="s">
        <v>244</v>
      </c>
      <c r="G8735" s="287" t="s">
        <v>245</v>
      </c>
      <c r="J8735" s="560">
        <f t="shared" si="301"/>
        <v>0</v>
      </c>
    </row>
    <row r="8736" spans="1:10" hidden="1" x14ac:dyDescent="0.25">
      <c r="F8736" s="284" t="s">
        <v>246</v>
      </c>
      <c r="G8736" s="598" t="s">
        <v>4996</v>
      </c>
      <c r="J8736" s="560">
        <f t="shared" si="301"/>
        <v>0</v>
      </c>
    </row>
    <row r="8737" spans="1:25" hidden="1" x14ac:dyDescent="0.25">
      <c r="F8737" s="284" t="s">
        <v>247</v>
      </c>
      <c r="G8737" s="598" t="s">
        <v>4995</v>
      </c>
      <c r="J8737" s="560">
        <f t="shared" si="301"/>
        <v>0</v>
      </c>
    </row>
    <row r="8738" spans="1:25" hidden="1" x14ac:dyDescent="0.25">
      <c r="F8738" s="284" t="s">
        <v>248</v>
      </c>
      <c r="G8738" s="287" t="s">
        <v>57</v>
      </c>
      <c r="J8738" s="560">
        <f t="shared" si="301"/>
        <v>0</v>
      </c>
    </row>
    <row r="8739" spans="1:25" hidden="1" x14ac:dyDescent="0.25">
      <c r="F8739" s="284" t="s">
        <v>249</v>
      </c>
      <c r="G8739" s="287" t="s">
        <v>250</v>
      </c>
      <c r="J8739" s="560">
        <f t="shared" si="301"/>
        <v>0</v>
      </c>
    </row>
    <row r="8740" spans="1:25" hidden="1" x14ac:dyDescent="0.25">
      <c r="F8740" s="284" t="s">
        <v>251</v>
      </c>
      <c r="G8740" s="287" t="s">
        <v>252</v>
      </c>
      <c r="J8740" s="560">
        <f t="shared" si="301"/>
        <v>0</v>
      </c>
    </row>
    <row r="8741" spans="1:25" ht="30" hidden="1" x14ac:dyDescent="0.25">
      <c r="F8741" s="284" t="s">
        <v>253</v>
      </c>
      <c r="G8741" s="287" t="s">
        <v>254</v>
      </c>
      <c r="J8741" s="560">
        <f t="shared" si="301"/>
        <v>0</v>
      </c>
    </row>
    <row r="8742" spans="1:25" hidden="1" x14ac:dyDescent="0.25">
      <c r="F8742" s="284" t="s">
        <v>255</v>
      </c>
      <c r="G8742" s="287" t="s">
        <v>256</v>
      </c>
      <c r="J8742" s="560">
        <f t="shared" si="301"/>
        <v>0</v>
      </c>
    </row>
    <row r="8743" spans="1:25" ht="30" hidden="1" x14ac:dyDescent="0.25">
      <c r="F8743" s="284" t="s">
        <v>257</v>
      </c>
      <c r="G8743" s="287" t="s">
        <v>258</v>
      </c>
      <c r="J8743" s="560">
        <f t="shared" si="301"/>
        <v>0</v>
      </c>
    </row>
    <row r="8744" spans="1:25" hidden="1" x14ac:dyDescent="0.25">
      <c r="F8744" s="284" t="s">
        <v>259</v>
      </c>
      <c r="G8744" s="287" t="s">
        <v>260</v>
      </c>
      <c r="J8744" s="560">
        <f t="shared" si="301"/>
        <v>0</v>
      </c>
    </row>
    <row r="8745" spans="1:25" hidden="1" x14ac:dyDescent="0.25">
      <c r="F8745" s="284" t="s">
        <v>261</v>
      </c>
      <c r="G8745" s="287" t="s">
        <v>262</v>
      </c>
      <c r="H8745" s="559"/>
      <c r="I8745" s="560"/>
      <c r="J8745" s="560">
        <f t="shared" si="301"/>
        <v>0</v>
      </c>
    </row>
    <row r="8746" spans="1:25" ht="15" hidden="1" customHeight="1" collapsed="1" x14ac:dyDescent="0.25">
      <c r="B8746" s="84"/>
      <c r="C8746" s="84"/>
      <c r="D8746" s="84"/>
      <c r="E8746" s="878"/>
      <c r="F8746" s="84"/>
      <c r="G8746" s="84"/>
      <c r="H8746" s="84"/>
      <c r="I8746" s="84"/>
      <c r="J8746" s="84"/>
    </row>
    <row r="8747" spans="1:25" s="88" customFormat="1" hidden="1" x14ac:dyDescent="0.25">
      <c r="A8747" s="84"/>
      <c r="B8747" s="288"/>
      <c r="C8747" s="334"/>
      <c r="D8747" s="286"/>
      <c r="E8747" s="876"/>
      <c r="F8747" s="289"/>
      <c r="G8747" s="318"/>
      <c r="H8747" s="588"/>
      <c r="I8747" s="571"/>
      <c r="J8747" s="589"/>
      <c r="K8747" s="505"/>
      <c r="L8747" s="505"/>
      <c r="M8747" s="505"/>
      <c r="N8747" s="505"/>
      <c r="O8747" s="505"/>
      <c r="P8747" s="505"/>
      <c r="Q8747" s="505"/>
      <c r="R8747" s="505"/>
      <c r="S8747" s="505"/>
      <c r="T8747" s="505"/>
      <c r="U8747" s="505"/>
      <c r="V8747" s="505"/>
      <c r="W8747" s="505"/>
      <c r="X8747" s="505"/>
      <c r="Y8747" s="505"/>
    </row>
    <row r="8748" spans="1:25" hidden="1" x14ac:dyDescent="0.25">
      <c r="A8748" s="290"/>
      <c r="C8748" s="267" t="s">
        <v>4515</v>
      </c>
      <c r="D8748" s="259"/>
      <c r="G8748" s="291" t="s">
        <v>4968</v>
      </c>
    </row>
    <row r="8749" spans="1:25" hidden="1" x14ac:dyDescent="0.25">
      <c r="C8749" s="267"/>
      <c r="D8749" s="344">
        <v>421</v>
      </c>
      <c r="E8749" s="871"/>
      <c r="F8749" s="345"/>
      <c r="G8749" s="346" t="s">
        <v>138</v>
      </c>
    </row>
    <row r="8750" spans="1:25" hidden="1" x14ac:dyDescent="0.25">
      <c r="F8750" s="292">
        <v>411</v>
      </c>
      <c r="G8750" s="319" t="s">
        <v>4131</v>
      </c>
      <c r="J8750" s="556">
        <f>SUM(H8750:I8750)</f>
        <v>0</v>
      </c>
    </row>
    <row r="8751" spans="1:25" hidden="1" x14ac:dyDescent="0.25">
      <c r="F8751" s="292">
        <v>412</v>
      </c>
      <c r="G8751" s="317" t="s">
        <v>3766</v>
      </c>
      <c r="J8751" s="556">
        <f t="shared" ref="J8751:J8809" si="302">SUM(H8751:I8751)</f>
        <v>0</v>
      </c>
    </row>
    <row r="8752" spans="1:25" hidden="1" x14ac:dyDescent="0.25">
      <c r="F8752" s="292">
        <v>413</v>
      </c>
      <c r="G8752" s="319" t="s">
        <v>4132</v>
      </c>
      <c r="J8752" s="556">
        <f t="shared" si="302"/>
        <v>0</v>
      </c>
    </row>
    <row r="8753" spans="6:10" hidden="1" x14ac:dyDescent="0.25">
      <c r="F8753" s="292">
        <v>414</v>
      </c>
      <c r="G8753" s="319" t="s">
        <v>3769</v>
      </c>
      <c r="J8753" s="556">
        <f t="shared" si="302"/>
        <v>0</v>
      </c>
    </row>
    <row r="8754" spans="6:10" hidden="1" x14ac:dyDescent="0.25">
      <c r="F8754" s="292">
        <v>415</v>
      </c>
      <c r="G8754" s="319" t="s">
        <v>4141</v>
      </c>
      <c r="J8754" s="556">
        <f t="shared" si="302"/>
        <v>0</v>
      </c>
    </row>
    <row r="8755" spans="6:10" hidden="1" x14ac:dyDescent="0.25">
      <c r="F8755" s="292">
        <v>416</v>
      </c>
      <c r="G8755" s="319" t="s">
        <v>4142</v>
      </c>
      <c r="J8755" s="556">
        <f t="shared" si="302"/>
        <v>0</v>
      </c>
    </row>
    <row r="8756" spans="6:10" hidden="1" x14ac:dyDescent="0.25">
      <c r="F8756" s="292">
        <v>417</v>
      </c>
      <c r="G8756" s="319" t="s">
        <v>4143</v>
      </c>
      <c r="J8756" s="556">
        <f t="shared" si="302"/>
        <v>0</v>
      </c>
    </row>
    <row r="8757" spans="6:10" hidden="1" x14ac:dyDescent="0.25">
      <c r="F8757" s="292">
        <v>418</v>
      </c>
      <c r="G8757" s="319" t="s">
        <v>3775</v>
      </c>
      <c r="J8757" s="556">
        <f t="shared" si="302"/>
        <v>0</v>
      </c>
    </row>
    <row r="8758" spans="6:10" hidden="1" x14ac:dyDescent="0.25">
      <c r="F8758" s="292">
        <v>421</v>
      </c>
      <c r="G8758" s="319" t="s">
        <v>3779</v>
      </c>
      <c r="J8758" s="556">
        <f t="shared" si="302"/>
        <v>0</v>
      </c>
    </row>
    <row r="8759" spans="6:10" hidden="1" x14ac:dyDescent="0.25">
      <c r="F8759" s="292">
        <v>422</v>
      </c>
      <c r="G8759" s="319" t="s">
        <v>3780</v>
      </c>
      <c r="J8759" s="556">
        <f t="shared" si="302"/>
        <v>0</v>
      </c>
    </row>
    <row r="8760" spans="6:10" hidden="1" x14ac:dyDescent="0.25">
      <c r="F8760" s="292">
        <v>423</v>
      </c>
      <c r="G8760" s="319" t="s">
        <v>3781</v>
      </c>
      <c r="J8760" s="556">
        <f t="shared" si="302"/>
        <v>0</v>
      </c>
    </row>
    <row r="8761" spans="6:10" hidden="1" x14ac:dyDescent="0.25">
      <c r="F8761" s="292">
        <v>424</v>
      </c>
      <c r="G8761" s="319" t="s">
        <v>3783</v>
      </c>
      <c r="J8761" s="556">
        <f t="shared" si="302"/>
        <v>0</v>
      </c>
    </row>
    <row r="8762" spans="6:10" hidden="1" x14ac:dyDescent="0.25">
      <c r="F8762" s="292">
        <v>425</v>
      </c>
      <c r="G8762" s="319" t="s">
        <v>4144</v>
      </c>
      <c r="J8762" s="556">
        <f t="shared" si="302"/>
        <v>0</v>
      </c>
    </row>
    <row r="8763" spans="6:10" hidden="1" x14ac:dyDescent="0.25">
      <c r="F8763" s="292">
        <v>426</v>
      </c>
      <c r="G8763" s="319" t="s">
        <v>3787</v>
      </c>
      <c r="J8763" s="556">
        <f t="shared" si="302"/>
        <v>0</v>
      </c>
    </row>
    <row r="8764" spans="6:10" hidden="1" x14ac:dyDescent="0.25">
      <c r="F8764" s="292">
        <v>431</v>
      </c>
      <c r="G8764" s="319" t="s">
        <v>4145</v>
      </c>
      <c r="J8764" s="556">
        <f t="shared" si="302"/>
        <v>0</v>
      </c>
    </row>
    <row r="8765" spans="6:10" hidden="1" x14ac:dyDescent="0.25">
      <c r="F8765" s="292">
        <v>432</v>
      </c>
      <c r="G8765" s="319" t="s">
        <v>4146</v>
      </c>
      <c r="J8765" s="556">
        <f t="shared" si="302"/>
        <v>0</v>
      </c>
    </row>
    <row r="8766" spans="6:10" hidden="1" x14ac:dyDescent="0.25">
      <c r="F8766" s="292">
        <v>433</v>
      </c>
      <c r="G8766" s="319" t="s">
        <v>4147</v>
      </c>
      <c r="J8766" s="556">
        <f t="shared" si="302"/>
        <v>0</v>
      </c>
    </row>
    <row r="8767" spans="6:10" hidden="1" x14ac:dyDescent="0.25">
      <c r="F8767" s="292">
        <v>434</v>
      </c>
      <c r="G8767" s="319" t="s">
        <v>4148</v>
      </c>
      <c r="J8767" s="556">
        <f t="shared" si="302"/>
        <v>0</v>
      </c>
    </row>
    <row r="8768" spans="6:10" hidden="1" x14ac:dyDescent="0.25">
      <c r="F8768" s="292">
        <v>435</v>
      </c>
      <c r="G8768" s="319" t="s">
        <v>3794</v>
      </c>
      <c r="J8768" s="556">
        <f t="shared" si="302"/>
        <v>0</v>
      </c>
    </row>
    <row r="8769" spans="6:10" hidden="1" x14ac:dyDescent="0.25">
      <c r="F8769" s="292">
        <v>441</v>
      </c>
      <c r="G8769" s="319" t="s">
        <v>4149</v>
      </c>
      <c r="J8769" s="556">
        <f t="shared" si="302"/>
        <v>0</v>
      </c>
    </row>
    <row r="8770" spans="6:10" hidden="1" x14ac:dyDescent="0.25">
      <c r="F8770" s="292">
        <v>442</v>
      </c>
      <c r="G8770" s="319" t="s">
        <v>4150</v>
      </c>
      <c r="J8770" s="556">
        <f t="shared" si="302"/>
        <v>0</v>
      </c>
    </row>
    <row r="8771" spans="6:10" hidden="1" x14ac:dyDescent="0.25">
      <c r="F8771" s="292">
        <v>443</v>
      </c>
      <c r="G8771" s="319" t="s">
        <v>3799</v>
      </c>
      <c r="J8771" s="556">
        <f t="shared" si="302"/>
        <v>0</v>
      </c>
    </row>
    <row r="8772" spans="6:10" hidden="1" x14ac:dyDescent="0.25">
      <c r="F8772" s="292">
        <v>444</v>
      </c>
      <c r="G8772" s="319" t="s">
        <v>3800</v>
      </c>
      <c r="J8772" s="556">
        <f t="shared" si="302"/>
        <v>0</v>
      </c>
    </row>
    <row r="8773" spans="6:10" ht="30" hidden="1" x14ac:dyDescent="0.25">
      <c r="F8773" s="292">
        <v>4511</v>
      </c>
      <c r="G8773" s="263" t="s">
        <v>1690</v>
      </c>
      <c r="J8773" s="556">
        <f t="shared" si="302"/>
        <v>0</v>
      </c>
    </row>
    <row r="8774" spans="6:10" ht="30" hidden="1" x14ac:dyDescent="0.25">
      <c r="F8774" s="292">
        <v>4512</v>
      </c>
      <c r="G8774" s="263" t="s">
        <v>1699</v>
      </c>
      <c r="J8774" s="556">
        <f t="shared" si="302"/>
        <v>0</v>
      </c>
    </row>
    <row r="8775" spans="6:10" hidden="1" x14ac:dyDescent="0.25">
      <c r="F8775" s="292">
        <v>452</v>
      </c>
      <c r="G8775" s="319" t="s">
        <v>4151</v>
      </c>
      <c r="J8775" s="556">
        <f t="shared" si="302"/>
        <v>0</v>
      </c>
    </row>
    <row r="8776" spans="6:10" hidden="1" x14ac:dyDescent="0.25">
      <c r="F8776" s="292">
        <v>453</v>
      </c>
      <c r="G8776" s="319" t="s">
        <v>4152</v>
      </c>
      <c r="J8776" s="556">
        <f t="shared" si="302"/>
        <v>0</v>
      </c>
    </row>
    <row r="8777" spans="6:10" hidden="1" x14ac:dyDescent="0.25">
      <c r="F8777" s="292">
        <v>454</v>
      </c>
      <c r="G8777" s="319" t="s">
        <v>3805</v>
      </c>
      <c r="J8777" s="556">
        <f t="shared" si="302"/>
        <v>0</v>
      </c>
    </row>
    <row r="8778" spans="6:10" hidden="1" x14ac:dyDescent="0.25">
      <c r="F8778" s="292">
        <v>461</v>
      </c>
      <c r="G8778" s="319" t="s">
        <v>4133</v>
      </c>
      <c r="J8778" s="556">
        <f t="shared" si="302"/>
        <v>0</v>
      </c>
    </row>
    <row r="8779" spans="6:10" hidden="1" x14ac:dyDescent="0.25">
      <c r="F8779" s="292">
        <v>462</v>
      </c>
      <c r="G8779" s="319" t="s">
        <v>3808</v>
      </c>
      <c r="J8779" s="556">
        <f t="shared" si="302"/>
        <v>0</v>
      </c>
    </row>
    <row r="8780" spans="6:10" hidden="1" x14ac:dyDescent="0.25">
      <c r="F8780" s="292">
        <v>4631</v>
      </c>
      <c r="G8780" s="319" t="s">
        <v>3809</v>
      </c>
      <c r="J8780" s="556">
        <f t="shared" si="302"/>
        <v>0</v>
      </c>
    </row>
    <row r="8781" spans="6:10" hidden="1" x14ac:dyDescent="0.25">
      <c r="F8781" s="292">
        <v>4632</v>
      </c>
      <c r="G8781" s="319" t="s">
        <v>3810</v>
      </c>
      <c r="J8781" s="556">
        <f t="shared" si="302"/>
        <v>0</v>
      </c>
    </row>
    <row r="8782" spans="6:10" hidden="1" x14ac:dyDescent="0.25">
      <c r="F8782" s="292">
        <v>464</v>
      </c>
      <c r="G8782" s="319" t="s">
        <v>3811</v>
      </c>
      <c r="J8782" s="556">
        <f t="shared" si="302"/>
        <v>0</v>
      </c>
    </row>
    <row r="8783" spans="6:10" hidden="1" x14ac:dyDescent="0.25">
      <c r="F8783" s="292">
        <v>465</v>
      </c>
      <c r="G8783" s="319" t="s">
        <v>4134</v>
      </c>
      <c r="J8783" s="556">
        <f t="shared" si="302"/>
        <v>0</v>
      </c>
    </row>
    <row r="8784" spans="6:10" hidden="1" x14ac:dyDescent="0.25">
      <c r="F8784" s="292">
        <v>472</v>
      </c>
      <c r="G8784" s="319" t="s">
        <v>3815</v>
      </c>
      <c r="J8784" s="556">
        <f t="shared" si="302"/>
        <v>0</v>
      </c>
    </row>
    <row r="8785" spans="6:10" hidden="1" x14ac:dyDescent="0.25">
      <c r="F8785" s="292">
        <v>481</v>
      </c>
      <c r="G8785" s="319" t="s">
        <v>4153</v>
      </c>
      <c r="J8785" s="556">
        <f t="shared" si="302"/>
        <v>0</v>
      </c>
    </row>
    <row r="8786" spans="6:10" hidden="1" x14ac:dyDescent="0.25">
      <c r="F8786" s="292">
        <v>482</v>
      </c>
      <c r="G8786" s="319" t="s">
        <v>4154</v>
      </c>
      <c r="J8786" s="556">
        <f t="shared" si="302"/>
        <v>0</v>
      </c>
    </row>
    <row r="8787" spans="6:10" hidden="1" x14ac:dyDescent="0.25">
      <c r="F8787" s="292">
        <v>483</v>
      </c>
      <c r="G8787" s="322" t="s">
        <v>4155</v>
      </c>
      <c r="J8787" s="556">
        <f t="shared" si="302"/>
        <v>0</v>
      </c>
    </row>
    <row r="8788" spans="6:10" ht="30" hidden="1" x14ac:dyDescent="0.25">
      <c r="F8788" s="292">
        <v>484</v>
      </c>
      <c r="G8788" s="319" t="s">
        <v>4156</v>
      </c>
      <c r="J8788" s="556">
        <f t="shared" si="302"/>
        <v>0</v>
      </c>
    </row>
    <row r="8789" spans="6:10" ht="30" hidden="1" x14ac:dyDescent="0.25">
      <c r="F8789" s="292">
        <v>485</v>
      </c>
      <c r="G8789" s="319" t="s">
        <v>4157</v>
      </c>
      <c r="J8789" s="556">
        <f t="shared" si="302"/>
        <v>0</v>
      </c>
    </row>
    <row r="8790" spans="6:10" ht="30" hidden="1" x14ac:dyDescent="0.25">
      <c r="F8790" s="292">
        <v>489</v>
      </c>
      <c r="G8790" s="319" t="s">
        <v>3823</v>
      </c>
      <c r="J8790" s="556">
        <f t="shared" si="302"/>
        <v>0</v>
      </c>
    </row>
    <row r="8791" spans="6:10" hidden="1" x14ac:dyDescent="0.25">
      <c r="F8791" s="292">
        <v>494</v>
      </c>
      <c r="G8791" s="319" t="s">
        <v>4135</v>
      </c>
      <c r="J8791" s="556">
        <f t="shared" si="302"/>
        <v>0</v>
      </c>
    </row>
    <row r="8792" spans="6:10" ht="30" hidden="1" x14ac:dyDescent="0.25">
      <c r="F8792" s="292">
        <v>495</v>
      </c>
      <c r="G8792" s="319" t="s">
        <v>4136</v>
      </c>
      <c r="J8792" s="556">
        <f t="shared" si="302"/>
        <v>0</v>
      </c>
    </row>
    <row r="8793" spans="6:10" ht="30" hidden="1" x14ac:dyDescent="0.25">
      <c r="F8793" s="292">
        <v>496</v>
      </c>
      <c r="G8793" s="319" t="s">
        <v>4137</v>
      </c>
      <c r="J8793" s="556">
        <f t="shared" si="302"/>
        <v>0</v>
      </c>
    </row>
    <row r="8794" spans="6:10" ht="30" hidden="1" x14ac:dyDescent="0.25">
      <c r="F8794" s="292">
        <v>499</v>
      </c>
      <c r="G8794" s="319" t="s">
        <v>4138</v>
      </c>
      <c r="J8794" s="556">
        <f t="shared" si="302"/>
        <v>0</v>
      </c>
    </row>
    <row r="8795" spans="6:10" hidden="1" x14ac:dyDescent="0.25">
      <c r="F8795" s="292">
        <v>511</v>
      </c>
      <c r="G8795" s="322" t="s">
        <v>4158</v>
      </c>
      <c r="J8795" s="556">
        <f t="shared" si="302"/>
        <v>0</v>
      </c>
    </row>
    <row r="8796" spans="6:10" hidden="1" x14ac:dyDescent="0.25">
      <c r="F8796" s="292">
        <v>512</v>
      </c>
      <c r="G8796" s="322" t="s">
        <v>4159</v>
      </c>
      <c r="J8796" s="556">
        <f t="shared" si="302"/>
        <v>0</v>
      </c>
    </row>
    <row r="8797" spans="6:10" hidden="1" x14ac:dyDescent="0.25">
      <c r="F8797" s="292">
        <v>513</v>
      </c>
      <c r="G8797" s="322" t="s">
        <v>4160</v>
      </c>
      <c r="J8797" s="556">
        <f t="shared" si="302"/>
        <v>0</v>
      </c>
    </row>
    <row r="8798" spans="6:10" hidden="1" x14ac:dyDescent="0.25">
      <c r="F8798" s="292">
        <v>514</v>
      </c>
      <c r="G8798" s="319" t="s">
        <v>4161</v>
      </c>
      <c r="J8798" s="556">
        <f t="shared" si="302"/>
        <v>0</v>
      </c>
    </row>
    <row r="8799" spans="6:10" hidden="1" x14ac:dyDescent="0.25">
      <c r="F8799" s="292">
        <v>515</v>
      </c>
      <c r="G8799" s="319" t="s">
        <v>3834</v>
      </c>
      <c r="J8799" s="556">
        <f t="shared" si="302"/>
        <v>0</v>
      </c>
    </row>
    <row r="8800" spans="6:10" hidden="1" x14ac:dyDescent="0.25">
      <c r="F8800" s="292">
        <v>521</v>
      </c>
      <c r="G8800" s="319" t="s">
        <v>4162</v>
      </c>
      <c r="J8800" s="556">
        <f t="shared" si="302"/>
        <v>0</v>
      </c>
    </row>
    <row r="8801" spans="5:10" hidden="1" x14ac:dyDescent="0.25">
      <c r="F8801" s="292">
        <v>522</v>
      </c>
      <c r="G8801" s="319" t="s">
        <v>4163</v>
      </c>
      <c r="J8801" s="556">
        <f t="shared" si="302"/>
        <v>0</v>
      </c>
    </row>
    <row r="8802" spans="5:10" hidden="1" x14ac:dyDescent="0.25">
      <c r="F8802" s="292">
        <v>523</v>
      </c>
      <c r="G8802" s="319" t="s">
        <v>3839</v>
      </c>
      <c r="J8802" s="556">
        <f t="shared" si="302"/>
        <v>0</v>
      </c>
    </row>
    <row r="8803" spans="5:10" hidden="1" x14ac:dyDescent="0.25">
      <c r="F8803" s="292">
        <v>531</v>
      </c>
      <c r="G8803" s="317" t="s">
        <v>4139</v>
      </c>
      <c r="J8803" s="556">
        <f t="shared" si="302"/>
        <v>0</v>
      </c>
    </row>
    <row r="8804" spans="5:10" hidden="1" x14ac:dyDescent="0.25">
      <c r="F8804" s="292">
        <v>541</v>
      </c>
      <c r="G8804" s="319" t="s">
        <v>4164</v>
      </c>
      <c r="J8804" s="556">
        <f t="shared" si="302"/>
        <v>0</v>
      </c>
    </row>
    <row r="8805" spans="5:10" hidden="1" x14ac:dyDescent="0.25">
      <c r="F8805" s="292">
        <v>542</v>
      </c>
      <c r="G8805" s="319" t="s">
        <v>4165</v>
      </c>
      <c r="J8805" s="556">
        <f t="shared" si="302"/>
        <v>0</v>
      </c>
    </row>
    <row r="8806" spans="5:10" hidden="1" x14ac:dyDescent="0.25">
      <c r="F8806" s="292">
        <v>543</v>
      </c>
      <c r="G8806" s="319" t="s">
        <v>3844</v>
      </c>
      <c r="J8806" s="556">
        <f t="shared" si="302"/>
        <v>0</v>
      </c>
    </row>
    <row r="8807" spans="5:10" ht="30" hidden="1" x14ac:dyDescent="0.25">
      <c r="F8807" s="292">
        <v>551</v>
      </c>
      <c r="G8807" s="319" t="s">
        <v>4140</v>
      </c>
      <c r="J8807" s="556">
        <f t="shared" si="302"/>
        <v>0</v>
      </c>
    </row>
    <row r="8808" spans="5:10" hidden="1" x14ac:dyDescent="0.25">
      <c r="F8808" s="293">
        <v>611</v>
      </c>
      <c r="G8808" s="323" t="s">
        <v>3850</v>
      </c>
      <c r="J8808" s="556">
        <f t="shared" si="302"/>
        <v>0</v>
      </c>
    </row>
    <row r="8809" spans="5:10" hidden="1" x14ac:dyDescent="0.25">
      <c r="F8809" s="293">
        <v>620</v>
      </c>
      <c r="G8809" s="323" t="s">
        <v>88</v>
      </c>
      <c r="J8809" s="556">
        <f t="shared" si="302"/>
        <v>0</v>
      </c>
    </row>
    <row r="8810" spans="5:10" hidden="1" x14ac:dyDescent="0.25">
      <c r="E8810" s="489"/>
      <c r="F8810" s="324"/>
      <c r="G8810" s="342" t="s">
        <v>4293</v>
      </c>
      <c r="H8810" s="557"/>
      <c r="I8810" s="583"/>
      <c r="J8810" s="558"/>
    </row>
    <row r="8811" spans="5:10" hidden="1" x14ac:dyDescent="0.25">
      <c r="E8811" s="693"/>
      <c r="F8811" s="284" t="s">
        <v>234</v>
      </c>
      <c r="G8811" s="287" t="s">
        <v>235</v>
      </c>
      <c r="H8811" s="559">
        <f>SUM(H8750:H8809)</f>
        <v>0</v>
      </c>
      <c r="I8811" s="560"/>
      <c r="J8811" s="560">
        <f>SUM(H8811:I8811)</f>
        <v>0</v>
      </c>
    </row>
    <row r="8812" spans="5:10" hidden="1" x14ac:dyDescent="0.25">
      <c r="F8812" s="284" t="s">
        <v>236</v>
      </c>
      <c r="G8812" s="287" t="s">
        <v>237</v>
      </c>
      <c r="J8812" s="560">
        <f t="shared" ref="J8812:J8826" si="303">SUM(H8812:I8812)</f>
        <v>0</v>
      </c>
    </row>
    <row r="8813" spans="5:10" hidden="1" x14ac:dyDescent="0.25">
      <c r="F8813" s="284" t="s">
        <v>238</v>
      </c>
      <c r="G8813" s="287" t="s">
        <v>239</v>
      </c>
      <c r="J8813" s="560">
        <f t="shared" si="303"/>
        <v>0</v>
      </c>
    </row>
    <row r="8814" spans="5:10" hidden="1" x14ac:dyDescent="0.25">
      <c r="F8814" s="284" t="s">
        <v>240</v>
      </c>
      <c r="G8814" s="287" t="s">
        <v>241</v>
      </c>
      <c r="J8814" s="560">
        <f t="shared" si="303"/>
        <v>0</v>
      </c>
    </row>
    <row r="8815" spans="5:10" hidden="1" x14ac:dyDescent="0.25">
      <c r="F8815" s="284" t="s">
        <v>242</v>
      </c>
      <c r="G8815" s="287" t="s">
        <v>243</v>
      </c>
      <c r="J8815" s="560">
        <f t="shared" si="303"/>
        <v>0</v>
      </c>
    </row>
    <row r="8816" spans="5:10" hidden="1" x14ac:dyDescent="0.25">
      <c r="F8816" s="284" t="s">
        <v>244</v>
      </c>
      <c r="G8816" s="287" t="s">
        <v>245</v>
      </c>
      <c r="J8816" s="560">
        <f t="shared" si="303"/>
        <v>0</v>
      </c>
    </row>
    <row r="8817" spans="5:10" hidden="1" x14ac:dyDescent="0.25">
      <c r="F8817" s="284" t="s">
        <v>246</v>
      </c>
      <c r="G8817" s="598" t="s">
        <v>4996</v>
      </c>
      <c r="J8817" s="560">
        <f t="shared" si="303"/>
        <v>0</v>
      </c>
    </row>
    <row r="8818" spans="5:10" hidden="1" x14ac:dyDescent="0.25">
      <c r="F8818" s="284" t="s">
        <v>247</v>
      </c>
      <c r="G8818" s="598" t="s">
        <v>4995</v>
      </c>
      <c r="J8818" s="560">
        <f t="shared" si="303"/>
        <v>0</v>
      </c>
    </row>
    <row r="8819" spans="5:10" hidden="1" x14ac:dyDescent="0.25">
      <c r="F8819" s="284" t="s">
        <v>248</v>
      </c>
      <c r="G8819" s="287" t="s">
        <v>57</v>
      </c>
      <c r="J8819" s="560">
        <f t="shared" si="303"/>
        <v>0</v>
      </c>
    </row>
    <row r="8820" spans="5:10" hidden="1" x14ac:dyDescent="0.25">
      <c r="F8820" s="284" t="s">
        <v>249</v>
      </c>
      <c r="G8820" s="287" t="s">
        <v>250</v>
      </c>
      <c r="J8820" s="560">
        <f t="shared" si="303"/>
        <v>0</v>
      </c>
    </row>
    <row r="8821" spans="5:10" hidden="1" x14ac:dyDescent="0.25">
      <c r="F8821" s="284" t="s">
        <v>251</v>
      </c>
      <c r="G8821" s="287" t="s">
        <v>252</v>
      </c>
      <c r="J8821" s="560">
        <f t="shared" si="303"/>
        <v>0</v>
      </c>
    </row>
    <row r="8822" spans="5:10" ht="30" hidden="1" x14ac:dyDescent="0.25">
      <c r="F8822" s="284" t="s">
        <v>253</v>
      </c>
      <c r="G8822" s="287" t="s">
        <v>254</v>
      </c>
      <c r="J8822" s="560">
        <f t="shared" si="303"/>
        <v>0</v>
      </c>
    </row>
    <row r="8823" spans="5:10" hidden="1" x14ac:dyDescent="0.25">
      <c r="F8823" s="284" t="s">
        <v>255</v>
      </c>
      <c r="G8823" s="287" t="s">
        <v>256</v>
      </c>
      <c r="J8823" s="560">
        <f t="shared" si="303"/>
        <v>0</v>
      </c>
    </row>
    <row r="8824" spans="5:10" ht="30" hidden="1" x14ac:dyDescent="0.25">
      <c r="F8824" s="284" t="s">
        <v>257</v>
      </c>
      <c r="G8824" s="287" t="s">
        <v>258</v>
      </c>
      <c r="J8824" s="560">
        <f t="shared" si="303"/>
        <v>0</v>
      </c>
    </row>
    <row r="8825" spans="5:10" hidden="1" x14ac:dyDescent="0.25">
      <c r="F8825" s="284" t="s">
        <v>259</v>
      </c>
      <c r="G8825" s="287" t="s">
        <v>260</v>
      </c>
      <c r="J8825" s="560">
        <f t="shared" si="303"/>
        <v>0</v>
      </c>
    </row>
    <row r="8826" spans="5:10" hidden="1" x14ac:dyDescent="0.25">
      <c r="F8826" s="284" t="s">
        <v>261</v>
      </c>
      <c r="G8826" s="287" t="s">
        <v>262</v>
      </c>
      <c r="H8826" s="559"/>
      <c r="I8826" s="560"/>
      <c r="J8826" s="560">
        <f t="shared" si="303"/>
        <v>0</v>
      </c>
    </row>
    <row r="8827" spans="5:10" ht="15.75" hidden="1" thickBot="1" x14ac:dyDescent="0.3">
      <c r="G8827" s="268" t="s">
        <v>4294</v>
      </c>
      <c r="H8827" s="561">
        <f>SUM(H8811:H8826)</f>
        <v>0</v>
      </c>
      <c r="I8827" s="562">
        <f>SUM(I8812:I8826)</f>
        <v>0</v>
      </c>
      <c r="J8827" s="562">
        <f>SUM(J8811:J8826)</f>
        <v>0</v>
      </c>
    </row>
    <row r="8828" spans="5:10" hidden="1" collapsed="1" x14ac:dyDescent="0.25">
      <c r="E8828" s="489"/>
      <c r="F8828" s="293"/>
      <c r="G8828" s="270" t="s">
        <v>4911</v>
      </c>
      <c r="H8828" s="563"/>
      <c r="I8828" s="584"/>
      <c r="J8828" s="564"/>
    </row>
    <row r="8829" spans="5:10" hidden="1" x14ac:dyDescent="0.25">
      <c r="E8829" s="693"/>
      <c r="F8829" s="284" t="s">
        <v>234</v>
      </c>
      <c r="G8829" s="287" t="s">
        <v>235</v>
      </c>
      <c r="H8829" s="559">
        <f>SUM(H8750:H8809)</f>
        <v>0</v>
      </c>
      <c r="I8829" s="560"/>
      <c r="J8829" s="560">
        <f>SUM(H8829:I8829)</f>
        <v>0</v>
      </c>
    </row>
    <row r="8830" spans="5:10" hidden="1" x14ac:dyDescent="0.25">
      <c r="F8830" s="284" t="s">
        <v>236</v>
      </c>
      <c r="G8830" s="287" t="s">
        <v>237</v>
      </c>
      <c r="J8830" s="560">
        <f t="shared" ref="J8830:J8844" si="304">SUM(H8830:I8830)</f>
        <v>0</v>
      </c>
    </row>
    <row r="8831" spans="5:10" hidden="1" x14ac:dyDescent="0.25">
      <c r="F8831" s="284" t="s">
        <v>238</v>
      </c>
      <c r="G8831" s="287" t="s">
        <v>239</v>
      </c>
      <c r="J8831" s="560">
        <f t="shared" si="304"/>
        <v>0</v>
      </c>
    </row>
    <row r="8832" spans="5:10" hidden="1" x14ac:dyDescent="0.25">
      <c r="F8832" s="284" t="s">
        <v>240</v>
      </c>
      <c r="G8832" s="287" t="s">
        <v>241</v>
      </c>
      <c r="J8832" s="560">
        <f t="shared" si="304"/>
        <v>0</v>
      </c>
    </row>
    <row r="8833" spans="1:25" hidden="1" x14ac:dyDescent="0.25">
      <c r="F8833" s="284" t="s">
        <v>242</v>
      </c>
      <c r="G8833" s="287" t="s">
        <v>243</v>
      </c>
      <c r="J8833" s="560">
        <f t="shared" si="304"/>
        <v>0</v>
      </c>
    </row>
    <row r="8834" spans="1:25" hidden="1" x14ac:dyDescent="0.25">
      <c r="F8834" s="284" t="s">
        <v>244</v>
      </c>
      <c r="G8834" s="287" t="s">
        <v>245</v>
      </c>
      <c r="J8834" s="560">
        <f t="shared" si="304"/>
        <v>0</v>
      </c>
    </row>
    <row r="8835" spans="1:25" hidden="1" x14ac:dyDescent="0.25">
      <c r="F8835" s="284" t="s">
        <v>246</v>
      </c>
      <c r="G8835" s="598" t="s">
        <v>4996</v>
      </c>
      <c r="J8835" s="560">
        <f t="shared" si="304"/>
        <v>0</v>
      </c>
    </row>
    <row r="8836" spans="1:25" hidden="1" x14ac:dyDescent="0.25">
      <c r="F8836" s="284" t="s">
        <v>247</v>
      </c>
      <c r="G8836" s="598" t="s">
        <v>4995</v>
      </c>
      <c r="J8836" s="560">
        <f t="shared" si="304"/>
        <v>0</v>
      </c>
    </row>
    <row r="8837" spans="1:25" hidden="1" x14ac:dyDescent="0.25">
      <c r="F8837" s="284" t="s">
        <v>248</v>
      </c>
      <c r="G8837" s="287" t="s">
        <v>57</v>
      </c>
      <c r="J8837" s="560">
        <f t="shared" si="304"/>
        <v>0</v>
      </c>
    </row>
    <row r="8838" spans="1:25" hidden="1" x14ac:dyDescent="0.25">
      <c r="F8838" s="284" t="s">
        <v>249</v>
      </c>
      <c r="G8838" s="287" t="s">
        <v>250</v>
      </c>
      <c r="J8838" s="560">
        <f t="shared" si="304"/>
        <v>0</v>
      </c>
    </row>
    <row r="8839" spans="1:25" hidden="1" x14ac:dyDescent="0.25">
      <c r="F8839" s="284" t="s">
        <v>251</v>
      </c>
      <c r="G8839" s="287" t="s">
        <v>252</v>
      </c>
      <c r="J8839" s="560">
        <f t="shared" si="304"/>
        <v>0</v>
      </c>
    </row>
    <row r="8840" spans="1:25" ht="30" hidden="1" x14ac:dyDescent="0.25">
      <c r="F8840" s="284" t="s">
        <v>253</v>
      </c>
      <c r="G8840" s="287" t="s">
        <v>254</v>
      </c>
      <c r="J8840" s="560">
        <f t="shared" si="304"/>
        <v>0</v>
      </c>
    </row>
    <row r="8841" spans="1:25" hidden="1" x14ac:dyDescent="0.25">
      <c r="F8841" s="284" t="s">
        <v>255</v>
      </c>
      <c r="G8841" s="287" t="s">
        <v>256</v>
      </c>
      <c r="J8841" s="560">
        <f t="shared" si="304"/>
        <v>0</v>
      </c>
    </row>
    <row r="8842" spans="1:25" ht="30" hidden="1" x14ac:dyDescent="0.25">
      <c r="F8842" s="284" t="s">
        <v>257</v>
      </c>
      <c r="G8842" s="287" t="s">
        <v>258</v>
      </c>
      <c r="J8842" s="560">
        <f t="shared" si="304"/>
        <v>0</v>
      </c>
    </row>
    <row r="8843" spans="1:25" hidden="1" x14ac:dyDescent="0.25">
      <c r="F8843" s="284" t="s">
        <v>259</v>
      </c>
      <c r="G8843" s="287" t="s">
        <v>260</v>
      </c>
      <c r="J8843" s="560">
        <f t="shared" si="304"/>
        <v>0</v>
      </c>
    </row>
    <row r="8844" spans="1:25" hidden="1" x14ac:dyDescent="0.25">
      <c r="F8844" s="284" t="s">
        <v>261</v>
      </c>
      <c r="G8844" s="287" t="s">
        <v>262</v>
      </c>
      <c r="H8844" s="559"/>
      <c r="I8844" s="560"/>
      <c r="J8844" s="560">
        <f t="shared" si="304"/>
        <v>0</v>
      </c>
    </row>
    <row r="8845" spans="1:25" ht="15.75" hidden="1" collapsed="1" thickBot="1" x14ac:dyDescent="0.3">
      <c r="G8845" s="268" t="s">
        <v>4912</v>
      </c>
      <c r="H8845" s="561">
        <f>SUM(H8829:H8844)</f>
        <v>0</v>
      </c>
      <c r="I8845" s="562">
        <f>SUM(I8830:I8844)</f>
        <v>0</v>
      </c>
      <c r="J8845" s="562">
        <f>SUM(J8829:J8844)</f>
        <v>0</v>
      </c>
    </row>
    <row r="8846" spans="1:25" s="88" customFormat="1" hidden="1" x14ac:dyDescent="0.25">
      <c r="A8846" s="258"/>
      <c r="B8846" s="288"/>
      <c r="C8846" s="334"/>
      <c r="D8846" s="286"/>
      <c r="E8846" s="876"/>
      <c r="F8846" s="289"/>
      <c r="G8846" s="318"/>
      <c r="H8846" s="588"/>
      <c r="I8846" s="571"/>
      <c r="J8846" s="589"/>
      <c r="K8846" s="505"/>
      <c r="L8846" s="505"/>
      <c r="M8846" s="505"/>
      <c r="N8846" s="505"/>
      <c r="O8846" s="505"/>
      <c r="P8846" s="505"/>
      <c r="Q8846" s="505"/>
      <c r="R8846" s="505"/>
      <c r="S8846" s="505"/>
      <c r="T8846" s="505"/>
      <c r="U8846" s="505"/>
      <c r="V8846" s="505"/>
      <c r="W8846" s="505"/>
      <c r="X8846" s="505"/>
      <c r="Y8846" s="505"/>
    </row>
    <row r="8847" spans="1:25" s="88" customFormat="1" hidden="1" x14ac:dyDescent="0.25">
      <c r="A8847" s="290"/>
      <c r="E8847" s="877"/>
      <c r="K8847" s="505"/>
      <c r="L8847" s="505"/>
      <c r="M8847" s="505"/>
      <c r="N8847" s="505"/>
      <c r="O8847" s="505"/>
      <c r="P8847" s="505"/>
      <c r="Q8847" s="505"/>
      <c r="R8847" s="505"/>
      <c r="S8847" s="505"/>
      <c r="T8847" s="505"/>
      <c r="U8847" s="505"/>
      <c r="V8847" s="505"/>
      <c r="W8847" s="505"/>
      <c r="X8847" s="505"/>
      <c r="Y8847" s="505"/>
    </row>
    <row r="8848" spans="1:25" s="88" customFormat="1" hidden="1" x14ac:dyDescent="0.25">
      <c r="E8848" s="877"/>
      <c r="K8848" s="505"/>
      <c r="L8848" s="505"/>
      <c r="M8848" s="505"/>
      <c r="N8848" s="505"/>
      <c r="O8848" s="505"/>
      <c r="P8848" s="505"/>
      <c r="Q8848" s="505"/>
      <c r="R8848" s="505"/>
      <c r="S8848" s="505"/>
      <c r="T8848" s="505"/>
      <c r="U8848" s="505"/>
      <c r="V8848" s="505"/>
      <c r="W8848" s="505"/>
      <c r="X8848" s="505"/>
      <c r="Y8848" s="505"/>
    </row>
    <row r="8849" spans="1:25" s="88" customFormat="1" hidden="1" x14ac:dyDescent="0.25">
      <c r="B8849" s="288"/>
      <c r="C8849" s="334"/>
      <c r="D8849" s="286"/>
      <c r="E8849" s="876"/>
      <c r="F8849" s="284" t="s">
        <v>236</v>
      </c>
      <c r="G8849" s="287" t="s">
        <v>237</v>
      </c>
      <c r="H8849" s="555"/>
      <c r="I8849" s="556"/>
      <c r="J8849" s="560">
        <f t="shared" ref="J8849:J8863" si="305">SUM(H8849:I8849)</f>
        <v>0</v>
      </c>
      <c r="K8849" s="505"/>
      <c r="L8849" s="505"/>
      <c r="M8849" s="505"/>
      <c r="N8849" s="505"/>
      <c r="O8849" s="505"/>
      <c r="P8849" s="505"/>
      <c r="Q8849" s="505"/>
      <c r="R8849" s="505"/>
      <c r="S8849" s="505"/>
      <c r="T8849" s="505"/>
      <c r="U8849" s="505"/>
      <c r="V8849" s="505"/>
      <c r="W8849" s="505"/>
      <c r="X8849" s="505"/>
      <c r="Y8849" s="505"/>
    </row>
    <row r="8850" spans="1:25" s="88" customFormat="1" hidden="1" x14ac:dyDescent="0.25">
      <c r="A8850" s="290"/>
      <c r="B8850" s="288"/>
      <c r="C8850" s="334"/>
      <c r="D8850" s="286"/>
      <c r="E8850" s="876"/>
      <c r="F8850" s="284" t="s">
        <v>238</v>
      </c>
      <c r="G8850" s="287" t="s">
        <v>239</v>
      </c>
      <c r="H8850" s="555"/>
      <c r="I8850" s="556"/>
      <c r="J8850" s="560">
        <f t="shared" si="305"/>
        <v>0</v>
      </c>
      <c r="K8850" s="505"/>
      <c r="L8850" s="505"/>
      <c r="M8850" s="505"/>
      <c r="N8850" s="505"/>
      <c r="O8850" s="505"/>
      <c r="P8850" s="505"/>
      <c r="Q8850" s="505"/>
      <c r="R8850" s="505"/>
      <c r="S8850" s="505"/>
      <c r="T8850" s="505"/>
      <c r="U8850" s="505"/>
      <c r="V8850" s="505"/>
      <c r="W8850" s="505"/>
      <c r="X8850" s="505"/>
      <c r="Y8850" s="505"/>
    </row>
    <row r="8851" spans="1:25" s="88" customFormat="1" hidden="1" x14ac:dyDescent="0.25">
      <c r="A8851" s="290"/>
      <c r="B8851" s="288"/>
      <c r="C8851" s="334"/>
      <c r="D8851" s="286"/>
      <c r="E8851" s="876"/>
      <c r="F8851" s="284" t="s">
        <v>240</v>
      </c>
      <c r="G8851" s="287" t="s">
        <v>241</v>
      </c>
      <c r="H8851" s="555"/>
      <c r="I8851" s="556"/>
      <c r="J8851" s="560">
        <f t="shared" si="305"/>
        <v>0</v>
      </c>
      <c r="K8851" s="505"/>
      <c r="L8851" s="505"/>
      <c r="M8851" s="505"/>
      <c r="N8851" s="505"/>
      <c r="O8851" s="505"/>
      <c r="P8851" s="505"/>
      <c r="Q8851" s="505"/>
      <c r="R8851" s="505"/>
      <c r="S8851" s="505"/>
      <c r="T8851" s="505"/>
      <c r="U8851" s="505"/>
      <c r="V8851" s="505"/>
      <c r="W8851" s="505"/>
      <c r="X8851" s="505"/>
      <c r="Y8851" s="505"/>
    </row>
    <row r="8852" spans="1:25" s="88" customFormat="1" hidden="1" x14ac:dyDescent="0.25">
      <c r="A8852" s="290"/>
      <c r="B8852" s="288"/>
      <c r="C8852" s="334"/>
      <c r="D8852" s="286"/>
      <c r="E8852" s="876"/>
      <c r="F8852" s="284" t="s">
        <v>242</v>
      </c>
      <c r="G8852" s="287" t="s">
        <v>243</v>
      </c>
      <c r="H8852" s="555"/>
      <c r="I8852" s="556"/>
      <c r="J8852" s="560">
        <f t="shared" si="305"/>
        <v>0</v>
      </c>
      <c r="K8852" s="505"/>
      <c r="L8852" s="505"/>
      <c r="M8852" s="505"/>
      <c r="N8852" s="505"/>
      <c r="O8852" s="505"/>
      <c r="P8852" s="505"/>
      <c r="Q8852" s="505"/>
      <c r="R8852" s="505"/>
      <c r="S8852" s="505"/>
      <c r="T8852" s="505"/>
      <c r="U8852" s="505"/>
      <c r="V8852" s="505"/>
      <c r="W8852" s="505"/>
      <c r="X8852" s="505"/>
      <c r="Y8852" s="505"/>
    </row>
    <row r="8853" spans="1:25" s="88" customFormat="1" hidden="1" x14ac:dyDescent="0.25">
      <c r="A8853" s="290"/>
      <c r="B8853" s="288"/>
      <c r="C8853" s="334"/>
      <c r="D8853" s="286"/>
      <c r="E8853" s="876"/>
      <c r="F8853" s="284" t="s">
        <v>244</v>
      </c>
      <c r="G8853" s="287" t="s">
        <v>245</v>
      </c>
      <c r="H8853" s="555"/>
      <c r="I8853" s="556"/>
      <c r="J8853" s="560">
        <f t="shared" si="305"/>
        <v>0</v>
      </c>
      <c r="K8853" s="505"/>
      <c r="L8853" s="505"/>
      <c r="M8853" s="505"/>
      <c r="N8853" s="505"/>
      <c r="O8853" s="505"/>
      <c r="P8853" s="505"/>
      <c r="Q8853" s="505"/>
      <c r="R8853" s="505"/>
      <c r="S8853" s="505"/>
      <c r="T8853" s="505"/>
      <c r="U8853" s="505"/>
      <c r="V8853" s="505"/>
      <c r="W8853" s="505"/>
      <c r="X8853" s="505"/>
      <c r="Y8853" s="505"/>
    </row>
    <row r="8854" spans="1:25" s="88" customFormat="1" hidden="1" x14ac:dyDescent="0.25">
      <c r="A8854" s="290"/>
      <c r="B8854" s="288"/>
      <c r="C8854" s="334"/>
      <c r="D8854" s="286"/>
      <c r="E8854" s="876"/>
      <c r="F8854" s="284" t="s">
        <v>246</v>
      </c>
      <c r="G8854" s="598" t="s">
        <v>4996</v>
      </c>
      <c r="H8854" s="555"/>
      <c r="I8854" s="556"/>
      <c r="J8854" s="560">
        <f t="shared" si="305"/>
        <v>0</v>
      </c>
      <c r="K8854" s="505"/>
      <c r="L8854" s="505"/>
      <c r="M8854" s="505"/>
      <c r="N8854" s="505"/>
      <c r="O8854" s="505"/>
      <c r="P8854" s="505"/>
      <c r="Q8854" s="505"/>
      <c r="R8854" s="505"/>
      <c r="S8854" s="505"/>
      <c r="T8854" s="505"/>
      <c r="U8854" s="505"/>
      <c r="V8854" s="505"/>
      <c r="W8854" s="505"/>
      <c r="X8854" s="505"/>
      <c r="Y8854" s="505"/>
    </row>
    <row r="8855" spans="1:25" s="88" customFormat="1" hidden="1" x14ac:dyDescent="0.25">
      <c r="A8855" s="290"/>
      <c r="B8855" s="288"/>
      <c r="C8855" s="334"/>
      <c r="D8855" s="286"/>
      <c r="E8855" s="876"/>
      <c r="F8855" s="284" t="s">
        <v>247</v>
      </c>
      <c r="G8855" s="598" t="s">
        <v>4995</v>
      </c>
      <c r="H8855" s="555"/>
      <c r="I8855" s="556"/>
      <c r="J8855" s="560">
        <f t="shared" si="305"/>
        <v>0</v>
      </c>
      <c r="K8855" s="505"/>
      <c r="L8855" s="505"/>
      <c r="M8855" s="505"/>
      <c r="N8855" s="505"/>
      <c r="O8855" s="505"/>
      <c r="P8855" s="505"/>
      <c r="Q8855" s="505"/>
      <c r="R8855" s="505"/>
      <c r="S8855" s="505"/>
      <c r="T8855" s="505"/>
      <c r="U8855" s="505"/>
      <c r="V8855" s="505"/>
      <c r="W8855" s="505"/>
      <c r="X8855" s="505"/>
      <c r="Y8855" s="505"/>
    </row>
    <row r="8856" spans="1:25" s="88" customFormat="1" hidden="1" x14ac:dyDescent="0.25">
      <c r="A8856" s="290"/>
      <c r="B8856" s="288"/>
      <c r="C8856" s="334"/>
      <c r="D8856" s="286"/>
      <c r="E8856" s="876"/>
      <c r="F8856" s="284" t="s">
        <v>248</v>
      </c>
      <c r="G8856" s="287" t="s">
        <v>57</v>
      </c>
      <c r="H8856" s="555"/>
      <c r="I8856" s="556"/>
      <c r="J8856" s="560">
        <f t="shared" si="305"/>
        <v>0</v>
      </c>
      <c r="K8856" s="505"/>
      <c r="L8856" s="505"/>
      <c r="M8856" s="505"/>
      <c r="N8856" s="505"/>
      <c r="O8856" s="505"/>
      <c r="P8856" s="505"/>
      <c r="Q8856" s="505"/>
      <c r="R8856" s="505"/>
      <c r="S8856" s="505"/>
      <c r="T8856" s="505"/>
      <c r="U8856" s="505"/>
      <c r="V8856" s="505"/>
      <c r="W8856" s="505"/>
      <c r="X8856" s="505"/>
      <c r="Y8856" s="505"/>
    </row>
    <row r="8857" spans="1:25" s="88" customFormat="1" hidden="1" x14ac:dyDescent="0.25">
      <c r="A8857" s="290"/>
      <c r="B8857" s="288"/>
      <c r="C8857" s="334"/>
      <c r="D8857" s="286"/>
      <c r="E8857" s="876"/>
      <c r="F8857" s="284" t="s">
        <v>249</v>
      </c>
      <c r="G8857" s="287" t="s">
        <v>250</v>
      </c>
      <c r="H8857" s="555"/>
      <c r="I8857" s="556"/>
      <c r="J8857" s="560">
        <f t="shared" si="305"/>
        <v>0</v>
      </c>
      <c r="K8857" s="505"/>
      <c r="L8857" s="505"/>
      <c r="M8857" s="505"/>
      <c r="N8857" s="505"/>
      <c r="O8857" s="505"/>
      <c r="P8857" s="505"/>
      <c r="Q8857" s="505"/>
      <c r="R8857" s="505"/>
      <c r="S8857" s="505"/>
      <c r="T8857" s="505"/>
      <c r="U8857" s="505"/>
      <c r="V8857" s="505"/>
      <c r="W8857" s="505"/>
      <c r="X8857" s="505"/>
      <c r="Y8857" s="505"/>
    </row>
    <row r="8858" spans="1:25" s="88" customFormat="1" hidden="1" x14ac:dyDescent="0.25">
      <c r="A8858" s="290"/>
      <c r="B8858" s="288"/>
      <c r="C8858" s="334"/>
      <c r="D8858" s="286"/>
      <c r="E8858" s="876"/>
      <c r="F8858" s="284" t="s">
        <v>251</v>
      </c>
      <c r="G8858" s="287" t="s">
        <v>252</v>
      </c>
      <c r="H8858" s="555"/>
      <c r="I8858" s="556"/>
      <c r="J8858" s="560">
        <f t="shared" si="305"/>
        <v>0</v>
      </c>
      <c r="K8858" s="505"/>
      <c r="L8858" s="505"/>
      <c r="M8858" s="505"/>
      <c r="N8858" s="505"/>
      <c r="O8858" s="505"/>
      <c r="P8858" s="505"/>
      <c r="Q8858" s="505"/>
      <c r="R8858" s="505"/>
      <c r="S8858" s="505"/>
      <c r="T8858" s="505"/>
      <c r="U8858" s="505"/>
      <c r="V8858" s="505"/>
      <c r="W8858" s="505"/>
      <c r="X8858" s="505"/>
      <c r="Y8858" s="505"/>
    </row>
    <row r="8859" spans="1:25" s="88" customFormat="1" ht="30" hidden="1" x14ac:dyDescent="0.25">
      <c r="A8859" s="290"/>
      <c r="B8859" s="288"/>
      <c r="C8859" s="334"/>
      <c r="D8859" s="286"/>
      <c r="E8859" s="876"/>
      <c r="F8859" s="284" t="s">
        <v>253</v>
      </c>
      <c r="G8859" s="287" t="s">
        <v>254</v>
      </c>
      <c r="H8859" s="555"/>
      <c r="I8859" s="556"/>
      <c r="J8859" s="560">
        <f t="shared" si="305"/>
        <v>0</v>
      </c>
      <c r="K8859" s="505"/>
      <c r="L8859" s="505"/>
      <c r="M8859" s="505"/>
      <c r="N8859" s="505"/>
      <c r="O8859" s="505"/>
      <c r="P8859" s="505"/>
      <c r="Q8859" s="505"/>
      <c r="R8859" s="505"/>
      <c r="S8859" s="505"/>
      <c r="T8859" s="505"/>
      <c r="U8859" s="505"/>
      <c r="V8859" s="505"/>
      <c r="W8859" s="505"/>
      <c r="X8859" s="505"/>
      <c r="Y8859" s="505"/>
    </row>
    <row r="8860" spans="1:25" s="88" customFormat="1" hidden="1" x14ac:dyDescent="0.25">
      <c r="A8860" s="290"/>
      <c r="B8860" s="288"/>
      <c r="C8860" s="334"/>
      <c r="D8860" s="286"/>
      <c r="E8860" s="876"/>
      <c r="F8860" s="284" t="s">
        <v>255</v>
      </c>
      <c r="G8860" s="287" t="s">
        <v>256</v>
      </c>
      <c r="H8860" s="555"/>
      <c r="I8860" s="556"/>
      <c r="J8860" s="560">
        <f t="shared" si="305"/>
        <v>0</v>
      </c>
      <c r="K8860" s="505"/>
      <c r="L8860" s="505"/>
      <c r="M8860" s="505"/>
      <c r="N8860" s="505"/>
      <c r="O8860" s="505"/>
      <c r="P8860" s="505"/>
      <c r="Q8860" s="505"/>
      <c r="R8860" s="505"/>
      <c r="S8860" s="505"/>
      <c r="T8860" s="505"/>
      <c r="U8860" s="505"/>
      <c r="V8860" s="505"/>
      <c r="W8860" s="505"/>
      <c r="X8860" s="505"/>
      <c r="Y8860" s="505"/>
    </row>
    <row r="8861" spans="1:25" s="88" customFormat="1" ht="30" hidden="1" x14ac:dyDescent="0.25">
      <c r="A8861" s="290"/>
      <c r="B8861" s="288"/>
      <c r="C8861" s="334"/>
      <c r="D8861" s="286"/>
      <c r="E8861" s="876"/>
      <c r="F8861" s="284" t="s">
        <v>257</v>
      </c>
      <c r="G8861" s="287" t="s">
        <v>258</v>
      </c>
      <c r="H8861" s="555"/>
      <c r="I8861" s="556"/>
      <c r="J8861" s="560">
        <f t="shared" si="305"/>
        <v>0</v>
      </c>
      <c r="K8861" s="505"/>
      <c r="L8861" s="505"/>
      <c r="M8861" s="505"/>
      <c r="N8861" s="505"/>
      <c r="O8861" s="505"/>
      <c r="P8861" s="505"/>
      <c r="Q8861" s="505"/>
      <c r="R8861" s="505"/>
      <c r="S8861" s="505"/>
      <c r="T8861" s="505"/>
      <c r="U8861" s="505"/>
      <c r="V8861" s="505"/>
      <c r="W8861" s="505"/>
      <c r="X8861" s="505"/>
      <c r="Y8861" s="505"/>
    </row>
    <row r="8862" spans="1:25" s="88" customFormat="1" hidden="1" x14ac:dyDescent="0.25">
      <c r="A8862" s="290"/>
      <c r="B8862" s="288"/>
      <c r="C8862" s="334"/>
      <c r="D8862" s="286"/>
      <c r="E8862" s="876"/>
      <c r="F8862" s="284" t="s">
        <v>259</v>
      </c>
      <c r="G8862" s="287" t="s">
        <v>260</v>
      </c>
      <c r="H8862" s="555"/>
      <c r="I8862" s="556"/>
      <c r="J8862" s="560">
        <f t="shared" si="305"/>
        <v>0</v>
      </c>
      <c r="K8862" s="505"/>
      <c r="L8862" s="505"/>
      <c r="M8862" s="505"/>
      <c r="N8862" s="505"/>
      <c r="O8862" s="505"/>
      <c r="P8862" s="505"/>
      <c r="Q8862" s="505"/>
      <c r="R8862" s="505"/>
      <c r="S8862" s="505"/>
      <c r="T8862" s="505"/>
      <c r="U8862" s="505"/>
      <c r="V8862" s="505"/>
      <c r="W8862" s="505"/>
      <c r="X8862" s="505"/>
      <c r="Y8862" s="505"/>
    </row>
    <row r="8863" spans="1:25" s="88" customFormat="1" hidden="1" x14ac:dyDescent="0.25">
      <c r="A8863" s="290"/>
      <c r="B8863" s="288"/>
      <c r="C8863" s="334"/>
      <c r="D8863" s="286"/>
      <c r="E8863" s="876"/>
      <c r="F8863" s="284" t="s">
        <v>261</v>
      </c>
      <c r="G8863" s="287" t="s">
        <v>262</v>
      </c>
      <c r="H8863" s="559"/>
      <c r="I8863" s="560"/>
      <c r="J8863" s="560">
        <f t="shared" si="305"/>
        <v>0</v>
      </c>
      <c r="K8863" s="505"/>
      <c r="L8863" s="505"/>
      <c r="M8863" s="505"/>
      <c r="N8863" s="505"/>
      <c r="O8863" s="505"/>
      <c r="P8863" s="505"/>
      <c r="Q8863" s="505"/>
      <c r="R8863" s="505"/>
      <c r="S8863" s="505"/>
      <c r="T8863" s="505"/>
      <c r="U8863" s="505"/>
      <c r="V8863" s="505"/>
      <c r="W8863" s="505"/>
      <c r="X8863" s="505"/>
      <c r="Y8863" s="505"/>
    </row>
    <row r="8864" spans="1:25" s="88" customFormat="1" hidden="1" x14ac:dyDescent="0.25">
      <c r="A8864" s="290"/>
      <c r="E8864" s="877"/>
      <c r="K8864" s="505"/>
      <c r="L8864" s="505"/>
      <c r="M8864" s="505"/>
      <c r="N8864" s="505"/>
      <c r="O8864" s="505"/>
      <c r="P8864" s="505"/>
      <c r="Q8864" s="505"/>
      <c r="R8864" s="505"/>
      <c r="S8864" s="505"/>
      <c r="T8864" s="505"/>
      <c r="U8864" s="505"/>
      <c r="V8864" s="505"/>
      <c r="W8864" s="505"/>
      <c r="X8864" s="505"/>
      <c r="Y8864" s="505"/>
    </row>
    <row r="8865" spans="1:25" s="88" customFormat="1" ht="0.75" hidden="1" customHeight="1" x14ac:dyDescent="0.25">
      <c r="B8865" s="288"/>
      <c r="C8865" s="334"/>
      <c r="D8865" s="286"/>
      <c r="E8865" s="876"/>
      <c r="F8865" s="258"/>
      <c r="G8865" s="312"/>
      <c r="H8865" s="565"/>
      <c r="I8865" s="566"/>
      <c r="J8865" s="566"/>
      <c r="K8865" s="505"/>
      <c r="L8865" s="505"/>
      <c r="M8865" s="505"/>
      <c r="N8865" s="505"/>
      <c r="O8865" s="505"/>
      <c r="P8865" s="505"/>
      <c r="Q8865" s="505"/>
      <c r="R8865" s="505"/>
      <c r="S8865" s="505"/>
      <c r="T8865" s="505"/>
      <c r="U8865" s="505"/>
      <c r="V8865" s="505"/>
      <c r="W8865" s="505"/>
      <c r="X8865" s="505"/>
      <c r="Y8865" s="505"/>
    </row>
    <row r="8866" spans="1:25" s="88" customFormat="1" hidden="1" x14ac:dyDescent="0.25">
      <c r="A8866" s="481"/>
      <c r="B8866" s="288"/>
      <c r="C8866" s="334"/>
      <c r="D8866" s="286"/>
      <c r="E8866" s="876"/>
      <c r="F8866" s="500"/>
      <c r="G8866" s="285"/>
      <c r="H8866" s="567"/>
      <c r="I8866" s="585"/>
      <c r="J8866" s="568"/>
      <c r="K8866" s="505"/>
      <c r="L8866" s="505"/>
      <c r="M8866" s="505"/>
      <c r="N8866" s="505"/>
      <c r="O8866" s="505"/>
      <c r="P8866" s="505"/>
      <c r="Q8866" s="505"/>
      <c r="R8866" s="505"/>
      <c r="S8866" s="505"/>
      <c r="T8866" s="505"/>
      <c r="U8866" s="505"/>
      <c r="V8866" s="505"/>
      <c r="W8866" s="505"/>
      <c r="X8866" s="505"/>
      <c r="Y8866" s="505"/>
    </row>
    <row r="8867" spans="1:25" s="88" customFormat="1" hidden="1" x14ac:dyDescent="0.25">
      <c r="A8867" s="481"/>
      <c r="B8867" s="288"/>
      <c r="C8867" s="334"/>
      <c r="D8867" s="286"/>
      <c r="E8867" s="876"/>
      <c r="F8867" s="284"/>
      <c r="G8867" s="287"/>
      <c r="H8867" s="559"/>
      <c r="I8867" s="560"/>
      <c r="J8867" s="560"/>
      <c r="K8867" s="505"/>
      <c r="L8867" s="505"/>
      <c r="M8867" s="505"/>
      <c r="N8867" s="505"/>
      <c r="O8867" s="505"/>
      <c r="P8867" s="505"/>
      <c r="Q8867" s="505"/>
      <c r="R8867" s="505"/>
      <c r="S8867" s="505"/>
      <c r="T8867" s="505"/>
      <c r="U8867" s="505"/>
      <c r="V8867" s="505"/>
      <c r="W8867" s="505"/>
      <c r="X8867" s="505"/>
      <c r="Y8867" s="505"/>
    </row>
    <row r="8868" spans="1:25" s="88" customFormat="1" hidden="1" x14ac:dyDescent="0.25">
      <c r="A8868" s="481"/>
      <c r="B8868" s="288"/>
      <c r="C8868" s="334"/>
      <c r="D8868" s="286"/>
      <c r="E8868" s="876"/>
      <c r="F8868" s="284"/>
      <c r="G8868" s="287"/>
      <c r="H8868" s="555"/>
      <c r="I8868" s="556"/>
      <c r="J8868" s="560"/>
      <c r="K8868" s="505"/>
      <c r="L8868" s="505"/>
      <c r="M8868" s="505"/>
      <c r="N8868" s="505"/>
      <c r="O8868" s="505"/>
      <c r="P8868" s="505"/>
      <c r="Q8868" s="505"/>
      <c r="R8868" s="505"/>
      <c r="S8868" s="505"/>
      <c r="T8868" s="505"/>
      <c r="U8868" s="505"/>
      <c r="V8868" s="505"/>
      <c r="W8868" s="505"/>
      <c r="X8868" s="505"/>
      <c r="Y8868" s="505"/>
    </row>
    <row r="8869" spans="1:25" s="88" customFormat="1" hidden="1" x14ac:dyDescent="0.25">
      <c r="A8869" s="481"/>
      <c r="B8869" s="288"/>
      <c r="C8869" s="334"/>
      <c r="D8869" s="286"/>
      <c r="E8869" s="876"/>
      <c r="F8869" s="284"/>
      <c r="G8869" s="287"/>
      <c r="H8869" s="555"/>
      <c r="I8869" s="556"/>
      <c r="J8869" s="560"/>
      <c r="K8869" s="505"/>
      <c r="L8869" s="505"/>
      <c r="M8869" s="505"/>
      <c r="N8869" s="505"/>
      <c r="O8869" s="505"/>
      <c r="P8869" s="505"/>
      <c r="Q8869" s="505"/>
      <c r="R8869" s="505"/>
      <c r="S8869" s="505"/>
      <c r="T8869" s="505"/>
      <c r="U8869" s="505"/>
      <c r="V8869" s="505"/>
      <c r="W8869" s="505"/>
      <c r="X8869" s="505"/>
      <c r="Y8869" s="505"/>
    </row>
    <row r="8870" spans="1:25" s="88" customFormat="1" hidden="1" x14ac:dyDescent="0.25">
      <c r="A8870" s="481"/>
      <c r="B8870" s="288"/>
      <c r="C8870" s="334"/>
      <c r="D8870" s="286"/>
      <c r="E8870" s="876"/>
      <c r="F8870" s="284"/>
      <c r="G8870" s="287"/>
      <c r="H8870" s="555"/>
      <c r="I8870" s="556"/>
      <c r="J8870" s="560"/>
      <c r="K8870" s="505"/>
      <c r="L8870" s="505"/>
      <c r="M8870" s="505"/>
      <c r="N8870" s="505"/>
      <c r="O8870" s="505"/>
      <c r="P8870" s="505"/>
      <c r="Q8870" s="505"/>
      <c r="R8870" s="505"/>
      <c r="S8870" s="505"/>
      <c r="T8870" s="505"/>
      <c r="U8870" s="505"/>
      <c r="V8870" s="505"/>
      <c r="W8870" s="505"/>
      <c r="X8870" s="505"/>
      <c r="Y8870" s="505"/>
    </row>
    <row r="8871" spans="1:25" s="88" customFormat="1" hidden="1" x14ac:dyDescent="0.25">
      <c r="A8871" s="481"/>
      <c r="B8871" s="288"/>
      <c r="C8871" s="334"/>
      <c r="D8871" s="286"/>
      <c r="E8871" s="876"/>
      <c r="F8871" s="284"/>
      <c r="G8871" s="287"/>
      <c r="H8871" s="555"/>
      <c r="I8871" s="556"/>
      <c r="J8871" s="560"/>
      <c r="K8871" s="505"/>
      <c r="L8871" s="505"/>
      <c r="M8871" s="505"/>
      <c r="N8871" s="505"/>
      <c r="O8871" s="505"/>
      <c r="P8871" s="505"/>
      <c r="Q8871" s="505"/>
      <c r="R8871" s="505"/>
      <c r="S8871" s="505"/>
      <c r="T8871" s="505"/>
      <c r="U8871" s="505"/>
      <c r="V8871" s="505"/>
      <c r="W8871" s="505"/>
      <c r="X8871" s="505"/>
      <c r="Y8871" s="505"/>
    </row>
    <row r="8872" spans="1:25" s="88" customFormat="1" hidden="1" x14ac:dyDescent="0.25">
      <c r="A8872" s="481"/>
      <c r="B8872" s="288"/>
      <c r="C8872" s="334"/>
      <c r="D8872" s="286"/>
      <c r="E8872" s="876"/>
      <c r="F8872" s="284"/>
      <c r="G8872" s="287"/>
      <c r="H8872" s="555"/>
      <c r="I8872" s="556"/>
      <c r="J8872" s="560"/>
      <c r="K8872" s="505"/>
      <c r="L8872" s="505"/>
      <c r="M8872" s="505"/>
      <c r="N8872" s="505"/>
      <c r="O8872" s="505"/>
      <c r="P8872" s="505"/>
      <c r="Q8872" s="505"/>
      <c r="R8872" s="505"/>
      <c r="S8872" s="505"/>
      <c r="T8872" s="505"/>
      <c r="U8872" s="505"/>
      <c r="V8872" s="505"/>
      <c r="W8872" s="505"/>
      <c r="X8872" s="505"/>
      <c r="Y8872" s="505"/>
    </row>
    <row r="8873" spans="1:25" s="88" customFormat="1" hidden="1" x14ac:dyDescent="0.25">
      <c r="A8873" s="481"/>
      <c r="B8873" s="288"/>
      <c r="C8873" s="334"/>
      <c r="D8873" s="286"/>
      <c r="E8873" s="876"/>
      <c r="F8873" s="284"/>
      <c r="G8873" s="598"/>
      <c r="H8873" s="555"/>
      <c r="I8873" s="556"/>
      <c r="J8873" s="560"/>
      <c r="K8873" s="505"/>
      <c r="L8873" s="505"/>
      <c r="M8873" s="505"/>
      <c r="N8873" s="505"/>
      <c r="O8873" s="505"/>
      <c r="P8873" s="505"/>
      <c r="Q8873" s="505"/>
      <c r="R8873" s="505"/>
      <c r="S8873" s="505"/>
      <c r="T8873" s="505"/>
      <c r="U8873" s="505"/>
      <c r="V8873" s="505"/>
      <c r="W8873" s="505"/>
      <c r="X8873" s="505"/>
      <c r="Y8873" s="505"/>
    </row>
    <row r="8874" spans="1:25" s="88" customFormat="1" hidden="1" x14ac:dyDescent="0.25">
      <c r="A8874" s="481"/>
      <c r="B8874" s="288"/>
      <c r="C8874" s="334"/>
      <c r="D8874" s="286"/>
      <c r="E8874" s="876"/>
      <c r="F8874" s="284"/>
      <c r="G8874" s="598"/>
      <c r="H8874" s="555"/>
      <c r="I8874" s="556"/>
      <c r="J8874" s="560"/>
      <c r="K8874" s="505"/>
      <c r="L8874" s="505"/>
      <c r="M8874" s="505"/>
      <c r="N8874" s="505"/>
      <c r="O8874" s="505"/>
      <c r="P8874" s="505"/>
      <c r="Q8874" s="505"/>
      <c r="R8874" s="505"/>
      <c r="S8874" s="505"/>
      <c r="T8874" s="505"/>
      <c r="U8874" s="505"/>
      <c r="V8874" s="505"/>
      <c r="W8874" s="505"/>
      <c r="X8874" s="505"/>
      <c r="Y8874" s="505"/>
    </row>
    <row r="8875" spans="1:25" s="88" customFormat="1" hidden="1" x14ac:dyDescent="0.25">
      <c r="A8875" s="481"/>
      <c r="B8875" s="288"/>
      <c r="C8875" s="334"/>
      <c r="D8875" s="286"/>
      <c r="E8875" s="876"/>
      <c r="F8875" s="284"/>
      <c r="G8875" s="287"/>
      <c r="H8875" s="555"/>
      <c r="I8875" s="556"/>
      <c r="J8875" s="560"/>
      <c r="K8875" s="505"/>
      <c r="L8875" s="505"/>
      <c r="M8875" s="505"/>
      <c r="N8875" s="505"/>
      <c r="O8875" s="505"/>
      <c r="P8875" s="505"/>
      <c r="Q8875" s="505"/>
      <c r="R8875" s="505"/>
      <c r="S8875" s="505"/>
      <c r="T8875" s="505"/>
      <c r="U8875" s="505"/>
      <c r="V8875" s="505"/>
      <c r="W8875" s="505"/>
      <c r="X8875" s="505"/>
      <c r="Y8875" s="505"/>
    </row>
    <row r="8876" spans="1:25" s="88" customFormat="1" hidden="1" x14ac:dyDescent="0.25">
      <c r="A8876" s="481"/>
      <c r="B8876" s="288"/>
      <c r="C8876" s="334"/>
      <c r="D8876" s="286"/>
      <c r="E8876" s="876"/>
      <c r="F8876" s="284"/>
      <c r="G8876" s="287"/>
      <c r="H8876" s="555"/>
      <c r="I8876" s="556"/>
      <c r="J8876" s="560"/>
      <c r="K8876" s="505"/>
      <c r="L8876" s="505"/>
      <c r="M8876" s="505"/>
      <c r="N8876" s="505"/>
      <c r="O8876" s="505"/>
      <c r="P8876" s="505"/>
      <c r="Q8876" s="505"/>
      <c r="R8876" s="505"/>
      <c r="S8876" s="505"/>
      <c r="T8876" s="505"/>
      <c r="U8876" s="505"/>
      <c r="V8876" s="505"/>
      <c r="W8876" s="505"/>
      <c r="X8876" s="505"/>
      <c r="Y8876" s="505"/>
    </row>
    <row r="8877" spans="1:25" s="88" customFormat="1" hidden="1" x14ac:dyDescent="0.25">
      <c r="A8877" s="481"/>
      <c r="B8877" s="288"/>
      <c r="C8877" s="334"/>
      <c r="D8877" s="286"/>
      <c r="E8877" s="876"/>
      <c r="F8877" s="284"/>
      <c r="G8877" s="287"/>
      <c r="H8877" s="555"/>
      <c r="I8877" s="556"/>
      <c r="J8877" s="560"/>
      <c r="K8877" s="505"/>
      <c r="L8877" s="505"/>
      <c r="M8877" s="505"/>
      <c r="N8877" s="505"/>
      <c r="O8877" s="505"/>
      <c r="P8877" s="505"/>
      <c r="Q8877" s="505"/>
      <c r="R8877" s="505"/>
      <c r="S8877" s="505"/>
      <c r="T8877" s="505"/>
      <c r="U8877" s="505"/>
      <c r="V8877" s="505"/>
      <c r="W8877" s="505"/>
      <c r="X8877" s="505"/>
      <c r="Y8877" s="505"/>
    </row>
    <row r="8878" spans="1:25" s="88" customFormat="1" hidden="1" x14ac:dyDescent="0.25">
      <c r="A8878" s="481"/>
      <c r="B8878" s="288"/>
      <c r="C8878" s="334"/>
      <c r="D8878" s="286"/>
      <c r="E8878" s="876"/>
      <c r="F8878" s="284"/>
      <c r="G8878" s="287"/>
      <c r="H8878" s="555"/>
      <c r="I8878" s="556"/>
      <c r="J8878" s="560"/>
      <c r="K8878" s="505"/>
      <c r="L8878" s="505"/>
      <c r="M8878" s="505"/>
      <c r="N8878" s="505"/>
      <c r="O8878" s="505"/>
      <c r="P8878" s="505"/>
      <c r="Q8878" s="505"/>
      <c r="R8878" s="505"/>
      <c r="S8878" s="505"/>
      <c r="T8878" s="505"/>
      <c r="U8878" s="505"/>
      <c r="V8878" s="505"/>
      <c r="W8878" s="505"/>
      <c r="X8878" s="505"/>
      <c r="Y8878" s="505"/>
    </row>
    <row r="8879" spans="1:25" s="88" customFormat="1" hidden="1" x14ac:dyDescent="0.25">
      <c r="A8879" s="481"/>
      <c r="B8879" s="288"/>
      <c r="C8879" s="334"/>
      <c r="D8879" s="286"/>
      <c r="E8879" s="876"/>
      <c r="F8879" s="284"/>
      <c r="G8879" s="287"/>
      <c r="H8879" s="555"/>
      <c r="I8879" s="556"/>
      <c r="J8879" s="560"/>
      <c r="K8879" s="505"/>
      <c r="L8879" s="505"/>
      <c r="M8879" s="505"/>
      <c r="N8879" s="505"/>
      <c r="O8879" s="505"/>
      <c r="P8879" s="505"/>
      <c r="Q8879" s="505"/>
      <c r="R8879" s="505"/>
      <c r="S8879" s="505"/>
      <c r="T8879" s="505"/>
      <c r="U8879" s="505"/>
      <c r="V8879" s="505"/>
      <c r="W8879" s="505"/>
      <c r="X8879" s="505"/>
      <c r="Y8879" s="505"/>
    </row>
    <row r="8880" spans="1:25" s="88" customFormat="1" hidden="1" x14ac:dyDescent="0.25">
      <c r="A8880" s="481"/>
      <c r="B8880" s="288"/>
      <c r="C8880" s="334"/>
      <c r="D8880" s="286"/>
      <c r="E8880" s="876"/>
      <c r="F8880" s="284"/>
      <c r="G8880" s="287"/>
      <c r="H8880" s="555"/>
      <c r="I8880" s="556"/>
      <c r="J8880" s="560"/>
      <c r="K8880" s="505"/>
      <c r="L8880" s="505"/>
      <c r="M8880" s="505"/>
      <c r="N8880" s="505"/>
      <c r="O8880" s="505"/>
      <c r="P8880" s="505"/>
      <c r="Q8880" s="505"/>
      <c r="R8880" s="505"/>
      <c r="S8880" s="505"/>
      <c r="T8880" s="505"/>
      <c r="U8880" s="505"/>
      <c r="V8880" s="505"/>
      <c r="W8880" s="505"/>
      <c r="X8880" s="505"/>
      <c r="Y8880" s="505"/>
    </row>
    <row r="8881" spans="1:25" s="88" customFormat="1" hidden="1" x14ac:dyDescent="0.25">
      <c r="A8881" s="481"/>
      <c r="B8881" s="288"/>
      <c r="C8881" s="334"/>
      <c r="D8881" s="286"/>
      <c r="E8881" s="876"/>
      <c r="F8881" s="284"/>
      <c r="G8881" s="287"/>
      <c r="H8881" s="555"/>
      <c r="I8881" s="556"/>
      <c r="J8881" s="560"/>
      <c r="K8881" s="505"/>
      <c r="L8881" s="505"/>
      <c r="M8881" s="505"/>
      <c r="N8881" s="505"/>
      <c r="O8881" s="505"/>
      <c r="P8881" s="505"/>
      <c r="Q8881" s="505"/>
      <c r="R8881" s="505"/>
      <c r="S8881" s="505"/>
      <c r="T8881" s="505"/>
      <c r="U8881" s="505"/>
      <c r="V8881" s="505"/>
      <c r="W8881" s="505"/>
      <c r="X8881" s="505"/>
      <c r="Y8881" s="505"/>
    </row>
    <row r="8882" spans="1:25" s="88" customFormat="1" hidden="1" x14ac:dyDescent="0.25">
      <c r="A8882" s="481"/>
      <c r="B8882" s="288"/>
      <c r="C8882" s="334"/>
      <c r="D8882" s="286"/>
      <c r="E8882" s="876"/>
      <c r="F8882" s="284"/>
      <c r="G8882" s="287"/>
      <c r="H8882" s="559"/>
      <c r="I8882" s="560"/>
      <c r="J8882" s="560"/>
      <c r="K8882" s="505"/>
      <c r="L8882" s="505"/>
      <c r="M8882" s="505"/>
      <c r="N8882" s="505"/>
      <c r="O8882" s="505"/>
      <c r="P8882" s="505"/>
      <c r="Q8882" s="505"/>
      <c r="R8882" s="505"/>
      <c r="S8882" s="505"/>
      <c r="T8882" s="505"/>
      <c r="U8882" s="505"/>
      <c r="V8882" s="505"/>
      <c r="W8882" s="505"/>
      <c r="X8882" s="505"/>
      <c r="Y8882" s="505"/>
    </row>
    <row r="8883" spans="1:25" s="88" customFormat="1" ht="15.75" hidden="1" thickBot="1" x14ac:dyDescent="0.3">
      <c r="A8883" s="481"/>
      <c r="B8883" s="288"/>
      <c r="C8883" s="334"/>
      <c r="D8883" s="286"/>
      <c r="E8883" s="876"/>
      <c r="F8883" s="258"/>
      <c r="G8883" s="268"/>
      <c r="H8883" s="561"/>
      <c r="I8883" s="562"/>
      <c r="J8883" s="562"/>
      <c r="K8883" s="505"/>
      <c r="L8883" s="505"/>
      <c r="M8883" s="505"/>
      <c r="N8883" s="505"/>
      <c r="O8883" s="505"/>
      <c r="P8883" s="505"/>
      <c r="Q8883" s="505"/>
      <c r="R8883" s="505"/>
      <c r="S8883" s="505"/>
      <c r="T8883" s="505"/>
      <c r="U8883" s="505"/>
      <c r="V8883" s="505"/>
      <c r="W8883" s="505"/>
      <c r="X8883" s="505"/>
      <c r="Y8883" s="505"/>
    </row>
    <row r="8884" spans="1:25" s="88" customFormat="1" ht="1.5" hidden="1" customHeight="1" x14ac:dyDescent="0.25">
      <c r="A8884" s="481"/>
      <c r="B8884" s="288"/>
      <c r="C8884" s="334"/>
      <c r="D8884" s="286"/>
      <c r="E8884" s="876"/>
      <c r="F8884" s="258"/>
      <c r="G8884" s="312"/>
      <c r="H8884" s="565"/>
      <c r="I8884" s="566"/>
      <c r="J8884" s="566"/>
      <c r="K8884" s="505"/>
      <c r="L8884" s="505"/>
      <c r="M8884" s="505"/>
      <c r="N8884" s="505"/>
      <c r="O8884" s="505"/>
      <c r="P8884" s="505"/>
      <c r="Q8884" s="505"/>
      <c r="R8884" s="505"/>
      <c r="S8884" s="505"/>
      <c r="T8884" s="505"/>
      <c r="U8884" s="505"/>
      <c r="V8884" s="505"/>
      <c r="W8884" s="505"/>
      <c r="X8884" s="505"/>
      <c r="Y8884" s="505"/>
    </row>
    <row r="8885" spans="1:25" s="88" customFormat="1" hidden="1" x14ac:dyDescent="0.25">
      <c r="A8885" s="481"/>
      <c r="B8885" s="288"/>
      <c r="C8885" s="334"/>
      <c r="D8885" s="286"/>
      <c r="E8885" s="876"/>
      <c r="F8885" s="258"/>
      <c r="G8885" s="312"/>
      <c r="H8885" s="565"/>
      <c r="I8885" s="566"/>
      <c r="J8885" s="566"/>
      <c r="K8885" s="505"/>
      <c r="L8885" s="505"/>
      <c r="M8885" s="505"/>
      <c r="N8885" s="505"/>
      <c r="O8885" s="505"/>
      <c r="P8885" s="505"/>
      <c r="Q8885" s="505"/>
      <c r="R8885" s="505"/>
      <c r="S8885" s="505"/>
      <c r="T8885" s="505"/>
      <c r="U8885" s="505"/>
      <c r="V8885" s="505"/>
      <c r="W8885" s="505"/>
      <c r="X8885" s="505"/>
      <c r="Y8885" s="505"/>
    </row>
    <row r="8886" spans="1:25" hidden="1" x14ac:dyDescent="0.25">
      <c r="A8886" s="481"/>
      <c r="B8886" s="280">
        <v>6</v>
      </c>
      <c r="C8886" s="260"/>
      <c r="D8886" s="256"/>
      <c r="E8886" s="868"/>
      <c r="F8886" s="256"/>
      <c r="G8886" s="271" t="s">
        <v>4976</v>
      </c>
      <c r="H8886" s="553"/>
      <c r="I8886" s="554"/>
      <c r="J8886" s="554"/>
    </row>
    <row r="8887" spans="1:25" s="88" customFormat="1" hidden="1" x14ac:dyDescent="0.25">
      <c r="A8887" s="280">
        <v>4</v>
      </c>
      <c r="B8887" s="288"/>
      <c r="C8887" s="294" t="s">
        <v>3557</v>
      </c>
      <c r="D8887" s="258"/>
      <c r="E8887" s="679"/>
      <c r="F8887" s="258"/>
      <c r="G8887" s="329" t="s">
        <v>4189</v>
      </c>
      <c r="H8887" s="588"/>
      <c r="I8887" s="571"/>
      <c r="J8887" s="589"/>
      <c r="K8887" s="505"/>
      <c r="L8887" s="505"/>
      <c r="M8887" s="505"/>
      <c r="N8887" s="505"/>
      <c r="O8887" s="505"/>
      <c r="P8887" s="505"/>
      <c r="Q8887" s="505"/>
      <c r="R8887" s="505"/>
      <c r="S8887" s="505"/>
      <c r="T8887" s="505"/>
      <c r="U8887" s="505"/>
      <c r="V8887" s="505"/>
      <c r="W8887" s="505"/>
      <c r="X8887" s="505"/>
      <c r="Y8887" s="505"/>
    </row>
    <row r="8888" spans="1:25" s="88" customFormat="1" hidden="1" x14ac:dyDescent="0.25">
      <c r="A8888" s="481"/>
      <c r="B8888" s="288"/>
      <c r="C8888" s="302" t="s">
        <v>4042</v>
      </c>
      <c r="D8888" s="259"/>
      <c r="E8888" s="702"/>
      <c r="F8888" s="303"/>
      <c r="G8888" s="330" t="s">
        <v>4044</v>
      </c>
      <c r="H8888" s="588"/>
      <c r="I8888" s="571"/>
      <c r="J8888" s="589"/>
      <c r="K8888" s="505"/>
      <c r="L8888" s="505"/>
      <c r="M8888" s="505"/>
      <c r="N8888" s="505"/>
      <c r="O8888" s="505"/>
      <c r="P8888" s="505"/>
      <c r="Q8888" s="505"/>
      <c r="R8888" s="505"/>
      <c r="S8888" s="505"/>
      <c r="T8888" s="505"/>
      <c r="U8888" s="505"/>
      <c r="V8888" s="505"/>
      <c r="W8888" s="505"/>
      <c r="X8888" s="505"/>
      <c r="Y8888" s="505"/>
    </row>
    <row r="8889" spans="1:25" s="88" customFormat="1" hidden="1" x14ac:dyDescent="0.25">
      <c r="A8889" s="481"/>
      <c r="B8889" s="288"/>
      <c r="C8889" s="294"/>
      <c r="D8889" s="331">
        <v>620</v>
      </c>
      <c r="E8889" s="869"/>
      <c r="F8889" s="331"/>
      <c r="G8889" s="341" t="s">
        <v>182</v>
      </c>
      <c r="H8889" s="588"/>
      <c r="I8889" s="571"/>
      <c r="J8889" s="589"/>
      <c r="K8889" s="505"/>
      <c r="L8889" s="505"/>
      <c r="M8889" s="505"/>
      <c r="N8889" s="505"/>
      <c r="O8889" s="505"/>
      <c r="P8889" s="505"/>
      <c r="Q8889" s="505"/>
      <c r="R8889" s="505"/>
      <c r="S8889" s="505"/>
      <c r="T8889" s="505"/>
      <c r="U8889" s="505"/>
      <c r="V8889" s="505"/>
      <c r="W8889" s="505"/>
      <c r="X8889" s="505"/>
      <c r="Y8889" s="505"/>
    </row>
    <row r="8890" spans="1:25" s="88" customFormat="1" hidden="1" x14ac:dyDescent="0.25">
      <c r="A8890" s="481"/>
      <c r="B8890" s="288"/>
      <c r="C8890" s="294"/>
      <c r="D8890" s="331"/>
      <c r="E8890" s="869"/>
      <c r="F8890" s="258">
        <v>411</v>
      </c>
      <c r="G8890" s="492" t="s">
        <v>4131</v>
      </c>
      <c r="H8890" s="588"/>
      <c r="I8890" s="571"/>
      <c r="J8890" s="589"/>
      <c r="K8890" s="505"/>
      <c r="L8890" s="505"/>
      <c r="M8890" s="505"/>
      <c r="N8890" s="505"/>
      <c r="O8890" s="505"/>
      <c r="P8890" s="505"/>
      <c r="Q8890" s="505"/>
      <c r="R8890" s="505"/>
      <c r="S8890" s="505"/>
      <c r="T8890" s="505"/>
      <c r="U8890" s="505"/>
      <c r="V8890" s="505"/>
      <c r="W8890" s="505"/>
      <c r="X8890" s="505"/>
      <c r="Y8890" s="505"/>
    </row>
    <row r="8891" spans="1:25" s="88" customFormat="1" hidden="1" x14ac:dyDescent="0.25">
      <c r="A8891" s="481"/>
      <c r="B8891" s="288"/>
      <c r="C8891" s="294"/>
      <c r="D8891" s="331"/>
      <c r="E8891" s="869"/>
      <c r="F8891" s="258">
        <v>412</v>
      </c>
      <c r="G8891" s="488" t="s">
        <v>3766</v>
      </c>
      <c r="H8891" s="588"/>
      <c r="I8891" s="571"/>
      <c r="J8891" s="589"/>
      <c r="K8891" s="505"/>
      <c r="L8891" s="505"/>
      <c r="M8891" s="505"/>
      <c r="N8891" s="505"/>
      <c r="O8891" s="505"/>
      <c r="P8891" s="505"/>
      <c r="Q8891" s="505"/>
      <c r="R8891" s="505"/>
      <c r="S8891" s="505"/>
      <c r="T8891" s="505"/>
      <c r="U8891" s="505"/>
      <c r="V8891" s="505"/>
      <c r="W8891" s="505"/>
      <c r="X8891" s="505"/>
      <c r="Y8891" s="505"/>
    </row>
    <row r="8892" spans="1:25" s="88" customFormat="1" hidden="1" x14ac:dyDescent="0.25">
      <c r="A8892" s="481"/>
      <c r="B8892" s="288"/>
      <c r="C8892" s="334"/>
      <c r="D8892" s="286"/>
      <c r="E8892" s="876"/>
      <c r="F8892" s="499">
        <v>422</v>
      </c>
      <c r="G8892" s="492" t="s">
        <v>3780</v>
      </c>
      <c r="H8892" s="588"/>
      <c r="I8892" s="571"/>
      <c r="J8892" s="589"/>
      <c r="K8892" s="505"/>
      <c r="L8892" s="505"/>
      <c r="M8892" s="505"/>
      <c r="N8892" s="505"/>
      <c r="O8892" s="505"/>
      <c r="P8892" s="505"/>
      <c r="Q8892" s="505"/>
      <c r="R8892" s="505"/>
      <c r="S8892" s="505"/>
      <c r="T8892" s="505"/>
      <c r="U8892" s="505"/>
      <c r="V8892" s="505"/>
      <c r="W8892" s="505"/>
      <c r="X8892" s="505"/>
      <c r="Y8892" s="505"/>
    </row>
    <row r="8893" spans="1:25" s="88" customFormat="1" hidden="1" x14ac:dyDescent="0.25">
      <c r="A8893" s="481"/>
      <c r="B8893" s="288"/>
      <c r="C8893" s="334"/>
      <c r="D8893" s="286"/>
      <c r="E8893" s="876"/>
      <c r="F8893" s="499">
        <v>423</v>
      </c>
      <c r="G8893" s="492" t="s">
        <v>3781</v>
      </c>
      <c r="H8893" s="588"/>
      <c r="I8893" s="571"/>
      <c r="J8893" s="589"/>
      <c r="K8893" s="505"/>
      <c r="L8893" s="505"/>
      <c r="M8893" s="505"/>
      <c r="N8893" s="505"/>
      <c r="O8893" s="505"/>
      <c r="P8893" s="505"/>
      <c r="Q8893" s="505"/>
      <c r="R8893" s="505"/>
      <c r="S8893" s="505"/>
      <c r="T8893" s="505"/>
      <c r="U8893" s="505"/>
      <c r="V8893" s="505"/>
      <c r="W8893" s="505"/>
      <c r="X8893" s="505"/>
      <c r="Y8893" s="505"/>
    </row>
    <row r="8894" spans="1:25" s="88" customFormat="1" hidden="1" x14ac:dyDescent="0.25">
      <c r="A8894" s="481"/>
      <c r="B8894" s="288"/>
      <c r="C8894" s="334"/>
      <c r="D8894" s="286"/>
      <c r="E8894" s="876"/>
      <c r="F8894" s="499">
        <v>424</v>
      </c>
      <c r="G8894" s="492" t="s">
        <v>3783</v>
      </c>
      <c r="H8894" s="588"/>
      <c r="I8894" s="571"/>
      <c r="J8894" s="589"/>
      <c r="K8894" s="505"/>
      <c r="L8894" s="505"/>
      <c r="M8894" s="505"/>
      <c r="N8894" s="505"/>
      <c r="O8894" s="505"/>
      <c r="P8894" s="505"/>
      <c r="Q8894" s="505"/>
      <c r="R8894" s="505"/>
      <c r="S8894" s="505"/>
      <c r="T8894" s="505"/>
      <c r="U8894" s="505"/>
      <c r="V8894" s="505"/>
      <c r="W8894" s="505"/>
      <c r="X8894" s="505"/>
      <c r="Y8894" s="505"/>
    </row>
    <row r="8895" spans="1:25" s="88" customFormat="1" hidden="1" x14ac:dyDescent="0.25">
      <c r="A8895" s="481"/>
      <c r="B8895" s="288"/>
      <c r="C8895" s="334"/>
      <c r="D8895" s="286"/>
      <c r="E8895" s="876"/>
      <c r="F8895" s="499">
        <v>425</v>
      </c>
      <c r="G8895" s="492" t="s">
        <v>4144</v>
      </c>
      <c r="H8895" s="588"/>
      <c r="I8895" s="571"/>
      <c r="J8895" s="589"/>
      <c r="K8895" s="505"/>
      <c r="L8895" s="505"/>
      <c r="M8895" s="505"/>
      <c r="N8895" s="505"/>
      <c r="O8895" s="505"/>
      <c r="P8895" s="505"/>
      <c r="Q8895" s="505"/>
      <c r="R8895" s="505"/>
      <c r="S8895" s="505"/>
      <c r="T8895" s="505"/>
      <c r="U8895" s="505"/>
      <c r="V8895" s="505"/>
      <c r="W8895" s="505"/>
      <c r="X8895" s="505"/>
      <c r="Y8895" s="505"/>
    </row>
    <row r="8896" spans="1:25" s="88" customFormat="1" hidden="1" x14ac:dyDescent="0.25">
      <c r="A8896" s="481"/>
      <c r="B8896" s="288"/>
      <c r="C8896" s="334"/>
      <c r="D8896" s="286"/>
      <c r="E8896" s="876"/>
      <c r="F8896" s="499">
        <v>426</v>
      </c>
      <c r="G8896" s="492" t="s">
        <v>3787</v>
      </c>
      <c r="H8896" s="588"/>
      <c r="I8896" s="571"/>
      <c r="J8896" s="589"/>
      <c r="K8896" s="505"/>
      <c r="L8896" s="505"/>
      <c r="M8896" s="505"/>
      <c r="N8896" s="505"/>
      <c r="O8896" s="505"/>
      <c r="P8896" s="505"/>
      <c r="Q8896" s="505"/>
      <c r="R8896" s="505"/>
      <c r="S8896" s="505"/>
      <c r="T8896" s="505"/>
      <c r="U8896" s="505"/>
      <c r="V8896" s="505"/>
      <c r="W8896" s="505"/>
      <c r="X8896" s="505"/>
      <c r="Y8896" s="505"/>
    </row>
    <row r="8897" spans="1:25" s="88" customFormat="1" hidden="1" x14ac:dyDescent="0.25">
      <c r="A8897" s="481"/>
      <c r="B8897" s="288"/>
      <c r="C8897" s="334"/>
      <c r="D8897" s="286"/>
      <c r="E8897" s="876"/>
      <c r="F8897" s="499">
        <v>482</v>
      </c>
      <c r="G8897" s="492" t="s">
        <v>4154</v>
      </c>
      <c r="H8897" s="588"/>
      <c r="I8897" s="571"/>
      <c r="J8897" s="589"/>
      <c r="K8897" s="505"/>
      <c r="L8897" s="505"/>
      <c r="M8897" s="505"/>
      <c r="N8897" s="505"/>
      <c r="O8897" s="505"/>
      <c r="P8897" s="505"/>
      <c r="Q8897" s="505"/>
      <c r="R8897" s="505"/>
      <c r="S8897" s="505"/>
      <c r="T8897" s="505"/>
      <c r="U8897" s="505"/>
      <c r="V8897" s="505"/>
      <c r="W8897" s="505"/>
      <c r="X8897" s="505"/>
      <c r="Y8897" s="505"/>
    </row>
    <row r="8898" spans="1:25" s="88" customFormat="1" hidden="1" x14ac:dyDescent="0.25">
      <c r="A8898" s="481"/>
      <c r="B8898" s="288"/>
      <c r="C8898" s="334"/>
      <c r="D8898" s="286"/>
      <c r="E8898" s="876"/>
      <c r="F8898" s="499">
        <v>511</v>
      </c>
      <c r="G8898" s="496" t="s">
        <v>4158</v>
      </c>
      <c r="H8898" s="588"/>
      <c r="I8898" s="571"/>
      <c r="J8898" s="589"/>
      <c r="K8898" s="505"/>
      <c r="L8898" s="505"/>
      <c r="M8898" s="505"/>
      <c r="N8898" s="505"/>
      <c r="O8898" s="505"/>
      <c r="P8898" s="505"/>
      <c r="Q8898" s="505"/>
      <c r="R8898" s="505"/>
      <c r="S8898" s="505"/>
      <c r="T8898" s="505"/>
      <c r="U8898" s="505"/>
      <c r="V8898" s="505"/>
      <c r="W8898" s="505"/>
      <c r="X8898" s="505"/>
      <c r="Y8898" s="505"/>
    </row>
    <row r="8899" spans="1:25" hidden="1" x14ac:dyDescent="0.25">
      <c r="A8899" s="481"/>
      <c r="E8899" s="489"/>
      <c r="F8899" s="500"/>
      <c r="G8899" s="343" t="s">
        <v>4289</v>
      </c>
      <c r="H8899" s="557"/>
      <c r="I8899" s="583"/>
      <c r="J8899" s="558"/>
    </row>
    <row r="8900" spans="1:25" hidden="1" x14ac:dyDescent="0.25">
      <c r="E8900" s="693"/>
      <c r="F8900" s="284" t="s">
        <v>234</v>
      </c>
      <c r="G8900" s="287" t="s">
        <v>235</v>
      </c>
      <c r="H8900" s="559">
        <f>SUM(H8890:H8898)</f>
        <v>0</v>
      </c>
      <c r="I8900" s="560"/>
      <c r="J8900" s="560">
        <f t="shared" ref="J8900:J8915" si="306">SUM(H8900:I8900)</f>
        <v>0</v>
      </c>
    </row>
    <row r="8901" spans="1:25" hidden="1" x14ac:dyDescent="0.25">
      <c r="F8901" s="284" t="s">
        <v>236</v>
      </c>
      <c r="G8901" s="287" t="s">
        <v>237</v>
      </c>
      <c r="J8901" s="560">
        <f t="shared" si="306"/>
        <v>0</v>
      </c>
    </row>
    <row r="8902" spans="1:25" hidden="1" x14ac:dyDescent="0.25">
      <c r="F8902" s="284" t="s">
        <v>238</v>
      </c>
      <c r="G8902" s="287" t="s">
        <v>239</v>
      </c>
      <c r="J8902" s="560">
        <f t="shared" si="306"/>
        <v>0</v>
      </c>
    </row>
    <row r="8903" spans="1:25" hidden="1" x14ac:dyDescent="0.25">
      <c r="F8903" s="284" t="s">
        <v>240</v>
      </c>
      <c r="G8903" s="287" t="s">
        <v>241</v>
      </c>
      <c r="J8903" s="560">
        <f t="shared" si="306"/>
        <v>0</v>
      </c>
    </row>
    <row r="8904" spans="1:25" hidden="1" x14ac:dyDescent="0.25">
      <c r="F8904" s="284" t="s">
        <v>242</v>
      </c>
      <c r="G8904" s="287" t="s">
        <v>243</v>
      </c>
      <c r="J8904" s="560">
        <f t="shared" si="306"/>
        <v>0</v>
      </c>
    </row>
    <row r="8905" spans="1:25" hidden="1" x14ac:dyDescent="0.25">
      <c r="F8905" s="284" t="s">
        <v>244</v>
      </c>
      <c r="G8905" s="287" t="s">
        <v>245</v>
      </c>
      <c r="J8905" s="560">
        <f t="shared" si="306"/>
        <v>0</v>
      </c>
    </row>
    <row r="8906" spans="1:25" hidden="1" x14ac:dyDescent="0.25">
      <c r="F8906" s="284" t="s">
        <v>246</v>
      </c>
      <c r="G8906" s="598" t="s">
        <v>4996</v>
      </c>
      <c r="J8906" s="560">
        <f t="shared" si="306"/>
        <v>0</v>
      </c>
    </row>
    <row r="8907" spans="1:25" hidden="1" x14ac:dyDescent="0.25">
      <c r="F8907" s="284" t="s">
        <v>247</v>
      </c>
      <c r="G8907" s="598" t="s">
        <v>4995</v>
      </c>
      <c r="J8907" s="560">
        <f t="shared" si="306"/>
        <v>0</v>
      </c>
    </row>
    <row r="8908" spans="1:25" hidden="1" x14ac:dyDescent="0.25">
      <c r="F8908" s="284" t="s">
        <v>248</v>
      </c>
      <c r="G8908" s="287" t="s">
        <v>57</v>
      </c>
      <c r="J8908" s="560">
        <f t="shared" si="306"/>
        <v>0</v>
      </c>
    </row>
    <row r="8909" spans="1:25" hidden="1" x14ac:dyDescent="0.25">
      <c r="F8909" s="284" t="s">
        <v>249</v>
      </c>
      <c r="G8909" s="287" t="s">
        <v>250</v>
      </c>
      <c r="J8909" s="560">
        <f t="shared" si="306"/>
        <v>0</v>
      </c>
    </row>
    <row r="8910" spans="1:25" hidden="1" x14ac:dyDescent="0.25">
      <c r="F8910" s="284" t="s">
        <v>251</v>
      </c>
      <c r="G8910" s="287" t="s">
        <v>252</v>
      </c>
      <c r="J8910" s="560">
        <f t="shared" si="306"/>
        <v>0</v>
      </c>
    </row>
    <row r="8911" spans="1:25" ht="30" hidden="1" x14ac:dyDescent="0.25">
      <c r="F8911" s="284" t="s">
        <v>253</v>
      </c>
      <c r="G8911" s="287" t="s">
        <v>254</v>
      </c>
      <c r="J8911" s="560">
        <f t="shared" si="306"/>
        <v>0</v>
      </c>
    </row>
    <row r="8912" spans="1:25" hidden="1" x14ac:dyDescent="0.25">
      <c r="F8912" s="284" t="s">
        <v>255</v>
      </c>
      <c r="G8912" s="287" t="s">
        <v>256</v>
      </c>
      <c r="J8912" s="560">
        <f t="shared" si="306"/>
        <v>0</v>
      </c>
    </row>
    <row r="8913" spans="5:10" ht="30" hidden="1" x14ac:dyDescent="0.25">
      <c r="F8913" s="284" t="s">
        <v>257</v>
      </c>
      <c r="G8913" s="287" t="s">
        <v>258</v>
      </c>
      <c r="J8913" s="560">
        <f t="shared" si="306"/>
        <v>0</v>
      </c>
    </row>
    <row r="8914" spans="5:10" hidden="1" x14ac:dyDescent="0.25">
      <c r="F8914" s="284" t="s">
        <v>259</v>
      </c>
      <c r="G8914" s="287" t="s">
        <v>260</v>
      </c>
      <c r="J8914" s="560">
        <f t="shared" si="306"/>
        <v>0</v>
      </c>
    </row>
    <row r="8915" spans="5:10" hidden="1" x14ac:dyDescent="0.25">
      <c r="F8915" s="284" t="s">
        <v>261</v>
      </c>
      <c r="G8915" s="287" t="s">
        <v>262</v>
      </c>
      <c r="H8915" s="559"/>
      <c r="I8915" s="560"/>
      <c r="J8915" s="560">
        <f t="shared" si="306"/>
        <v>0</v>
      </c>
    </row>
    <row r="8916" spans="5:10" ht="15.75" hidden="1" thickBot="1" x14ac:dyDescent="0.3">
      <c r="G8916" s="268" t="s">
        <v>4290</v>
      </c>
      <c r="H8916" s="561">
        <f>SUM(H8900:H8915)</f>
        <v>0</v>
      </c>
      <c r="I8916" s="562">
        <f>SUM(I8901:I8915)</f>
        <v>0</v>
      </c>
      <c r="J8916" s="562">
        <f>SUM(J8900:J8915)</f>
        <v>0</v>
      </c>
    </row>
    <row r="8917" spans="5:10" ht="28.5" hidden="1" collapsed="1" x14ac:dyDescent="0.25">
      <c r="E8917" s="489"/>
      <c r="F8917" s="500"/>
      <c r="G8917" s="270" t="s">
        <v>4291</v>
      </c>
      <c r="H8917" s="563"/>
      <c r="I8917" s="584"/>
      <c r="J8917" s="564"/>
    </row>
    <row r="8918" spans="5:10" hidden="1" x14ac:dyDescent="0.25">
      <c r="E8918" s="693"/>
      <c r="F8918" s="284" t="s">
        <v>234</v>
      </c>
      <c r="G8918" s="287" t="s">
        <v>235</v>
      </c>
      <c r="H8918" s="559">
        <f>SUM(H8890:H8898)</f>
        <v>0</v>
      </c>
      <c r="I8918" s="560"/>
      <c r="J8918" s="560">
        <f>SUM(H8918:I8918)</f>
        <v>0</v>
      </c>
    </row>
    <row r="8919" spans="5:10" hidden="1" x14ac:dyDescent="0.25">
      <c r="F8919" s="284" t="s">
        <v>236</v>
      </c>
      <c r="G8919" s="287" t="s">
        <v>237</v>
      </c>
      <c r="J8919" s="560">
        <f t="shared" ref="J8919:J8933" si="307">SUM(H8919:I8919)</f>
        <v>0</v>
      </c>
    </row>
    <row r="8920" spans="5:10" hidden="1" x14ac:dyDescent="0.25">
      <c r="F8920" s="284" t="s">
        <v>238</v>
      </c>
      <c r="G8920" s="287" t="s">
        <v>239</v>
      </c>
      <c r="J8920" s="560">
        <f t="shared" si="307"/>
        <v>0</v>
      </c>
    </row>
    <row r="8921" spans="5:10" hidden="1" x14ac:dyDescent="0.25">
      <c r="F8921" s="284" t="s">
        <v>240</v>
      </c>
      <c r="G8921" s="287" t="s">
        <v>241</v>
      </c>
      <c r="J8921" s="560">
        <f t="shared" si="307"/>
        <v>0</v>
      </c>
    </row>
    <row r="8922" spans="5:10" hidden="1" x14ac:dyDescent="0.25">
      <c r="F8922" s="284" t="s">
        <v>242</v>
      </c>
      <c r="G8922" s="287" t="s">
        <v>243</v>
      </c>
      <c r="J8922" s="560">
        <f t="shared" si="307"/>
        <v>0</v>
      </c>
    </row>
    <row r="8923" spans="5:10" hidden="1" x14ac:dyDescent="0.25">
      <c r="F8923" s="284" t="s">
        <v>244</v>
      </c>
      <c r="G8923" s="287" t="s">
        <v>245</v>
      </c>
      <c r="J8923" s="560">
        <f t="shared" si="307"/>
        <v>0</v>
      </c>
    </row>
    <row r="8924" spans="5:10" hidden="1" x14ac:dyDescent="0.25">
      <c r="F8924" s="284" t="s">
        <v>246</v>
      </c>
      <c r="G8924" s="598" t="s">
        <v>4996</v>
      </c>
      <c r="J8924" s="560">
        <f t="shared" si="307"/>
        <v>0</v>
      </c>
    </row>
    <row r="8925" spans="5:10" hidden="1" x14ac:dyDescent="0.25">
      <c r="F8925" s="284" t="s">
        <v>247</v>
      </c>
      <c r="G8925" s="598" t="s">
        <v>4995</v>
      </c>
      <c r="J8925" s="560">
        <f t="shared" si="307"/>
        <v>0</v>
      </c>
    </row>
    <row r="8926" spans="5:10" hidden="1" x14ac:dyDescent="0.25">
      <c r="F8926" s="284" t="s">
        <v>248</v>
      </c>
      <c r="G8926" s="287" t="s">
        <v>57</v>
      </c>
      <c r="J8926" s="560">
        <f t="shared" si="307"/>
        <v>0</v>
      </c>
    </row>
    <row r="8927" spans="5:10" hidden="1" x14ac:dyDescent="0.25">
      <c r="F8927" s="284" t="s">
        <v>249</v>
      </c>
      <c r="G8927" s="287" t="s">
        <v>250</v>
      </c>
      <c r="J8927" s="560">
        <f t="shared" si="307"/>
        <v>0</v>
      </c>
    </row>
    <row r="8928" spans="5:10" hidden="1" x14ac:dyDescent="0.25">
      <c r="F8928" s="284" t="s">
        <v>251</v>
      </c>
      <c r="G8928" s="287" t="s">
        <v>252</v>
      </c>
      <c r="J8928" s="560">
        <f t="shared" si="307"/>
        <v>0</v>
      </c>
    </row>
    <row r="8929" spans="1:25" ht="30" hidden="1" x14ac:dyDescent="0.25">
      <c r="F8929" s="284" t="s">
        <v>253</v>
      </c>
      <c r="G8929" s="287" t="s">
        <v>254</v>
      </c>
      <c r="J8929" s="560">
        <f t="shared" si="307"/>
        <v>0</v>
      </c>
    </row>
    <row r="8930" spans="1:25" hidden="1" x14ac:dyDescent="0.25">
      <c r="F8930" s="284" t="s">
        <v>255</v>
      </c>
      <c r="G8930" s="287" t="s">
        <v>256</v>
      </c>
      <c r="J8930" s="560">
        <f t="shared" si="307"/>
        <v>0</v>
      </c>
    </row>
    <row r="8931" spans="1:25" ht="30" hidden="1" x14ac:dyDescent="0.25">
      <c r="F8931" s="284" t="s">
        <v>257</v>
      </c>
      <c r="G8931" s="287" t="s">
        <v>258</v>
      </c>
      <c r="J8931" s="560">
        <f t="shared" si="307"/>
        <v>0</v>
      </c>
    </row>
    <row r="8932" spans="1:25" hidden="1" x14ac:dyDescent="0.25">
      <c r="F8932" s="284" t="s">
        <v>259</v>
      </c>
      <c r="G8932" s="287" t="s">
        <v>260</v>
      </c>
      <c r="J8932" s="560">
        <f t="shared" si="307"/>
        <v>0</v>
      </c>
    </row>
    <row r="8933" spans="1:25" hidden="1" x14ac:dyDescent="0.25">
      <c r="F8933" s="284" t="s">
        <v>261</v>
      </c>
      <c r="G8933" s="287" t="s">
        <v>262</v>
      </c>
      <c r="H8933" s="559"/>
      <c r="I8933" s="560"/>
      <c r="J8933" s="560">
        <f t="shared" si="307"/>
        <v>0</v>
      </c>
    </row>
    <row r="8934" spans="1:25" ht="15.75" hidden="1" collapsed="1" thickBot="1" x14ac:dyDescent="0.3">
      <c r="G8934" s="268" t="s">
        <v>4292</v>
      </c>
      <c r="H8934" s="561">
        <f>SUM(H8918:H8933)</f>
        <v>0</v>
      </c>
      <c r="I8934" s="562">
        <f>SUM(I8919:I8933)</f>
        <v>0</v>
      </c>
      <c r="J8934" s="562">
        <f>SUM(J8918:J8933)</f>
        <v>0</v>
      </c>
    </row>
    <row r="8935" spans="1:25" hidden="1" x14ac:dyDescent="0.25">
      <c r="G8935" s="312"/>
      <c r="H8935" s="565"/>
      <c r="I8935" s="566"/>
      <c r="J8935" s="566"/>
    </row>
    <row r="8936" spans="1:25" s="88" customFormat="1" hidden="1" x14ac:dyDescent="0.25">
      <c r="A8936" s="258"/>
      <c r="B8936" s="288"/>
      <c r="C8936" s="302" t="s">
        <v>4974</v>
      </c>
      <c r="D8936" s="259"/>
      <c r="E8936" s="702"/>
      <c r="F8936" s="303"/>
      <c r="G8936" s="330" t="s">
        <v>4975</v>
      </c>
      <c r="H8936" s="588"/>
      <c r="I8936" s="571"/>
      <c r="J8936" s="589"/>
      <c r="K8936" s="505"/>
      <c r="L8936" s="505"/>
      <c r="M8936" s="505"/>
      <c r="N8936" s="505"/>
      <c r="O8936" s="505"/>
      <c r="P8936" s="505"/>
      <c r="Q8936" s="505"/>
      <c r="R8936" s="505"/>
      <c r="S8936" s="505"/>
      <c r="T8936" s="505"/>
      <c r="U8936" s="505"/>
      <c r="V8936" s="505"/>
      <c r="W8936" s="505"/>
      <c r="X8936" s="505"/>
      <c r="Y8936" s="505"/>
    </row>
    <row r="8937" spans="1:25" s="88" customFormat="1" hidden="1" x14ac:dyDescent="0.25">
      <c r="A8937" s="481"/>
      <c r="B8937" s="288"/>
      <c r="C8937" s="294"/>
      <c r="D8937" s="331">
        <v>620</v>
      </c>
      <c r="E8937" s="869"/>
      <c r="F8937" s="331"/>
      <c r="G8937" s="341" t="s">
        <v>182</v>
      </c>
      <c r="H8937" s="588"/>
      <c r="I8937" s="571"/>
      <c r="J8937" s="589"/>
      <c r="K8937" s="505"/>
      <c r="L8937" s="505"/>
      <c r="M8937" s="505"/>
      <c r="N8937" s="505"/>
      <c r="O8937" s="505"/>
      <c r="P8937" s="505"/>
      <c r="Q8937" s="505"/>
      <c r="R8937" s="505"/>
      <c r="S8937" s="505"/>
      <c r="T8937" s="505"/>
      <c r="U8937" s="505"/>
      <c r="V8937" s="505"/>
      <c r="W8937" s="505"/>
      <c r="X8937" s="505"/>
      <c r="Y8937" s="505"/>
    </row>
    <row r="8938" spans="1:25" s="88" customFormat="1" hidden="1" x14ac:dyDescent="0.25">
      <c r="A8938" s="481"/>
      <c r="B8938" s="288"/>
      <c r="C8938" s="294"/>
      <c r="D8938" s="331"/>
      <c r="E8938" s="869"/>
      <c r="F8938" s="258">
        <v>411</v>
      </c>
      <c r="G8938" s="492" t="s">
        <v>4131</v>
      </c>
      <c r="H8938" s="588"/>
      <c r="I8938" s="571"/>
      <c r="J8938" s="589"/>
      <c r="K8938" s="505"/>
      <c r="L8938" s="505"/>
      <c r="M8938" s="505"/>
      <c r="N8938" s="505"/>
      <c r="O8938" s="505"/>
      <c r="P8938" s="505"/>
      <c r="Q8938" s="505"/>
      <c r="R8938" s="505"/>
      <c r="S8938" s="505"/>
      <c r="T8938" s="505"/>
      <c r="U8938" s="505"/>
      <c r="V8938" s="505"/>
      <c r="W8938" s="505"/>
      <c r="X8938" s="505"/>
      <c r="Y8938" s="505"/>
    </row>
    <row r="8939" spans="1:25" s="88" customFormat="1" hidden="1" x14ac:dyDescent="0.25">
      <c r="A8939" s="481"/>
      <c r="B8939" s="288"/>
      <c r="C8939" s="294"/>
      <c r="D8939" s="331"/>
      <c r="E8939" s="869"/>
      <c r="F8939" s="258">
        <v>412</v>
      </c>
      <c r="G8939" s="488" t="s">
        <v>3766</v>
      </c>
      <c r="H8939" s="588"/>
      <c r="I8939" s="571"/>
      <c r="J8939" s="589"/>
      <c r="K8939" s="505"/>
      <c r="L8939" s="505"/>
      <c r="M8939" s="505"/>
      <c r="N8939" s="505"/>
      <c r="O8939" s="505"/>
      <c r="P8939" s="505"/>
      <c r="Q8939" s="505"/>
      <c r="R8939" s="505"/>
      <c r="S8939" s="505"/>
      <c r="T8939" s="505"/>
      <c r="U8939" s="505"/>
      <c r="V8939" s="505"/>
      <c r="W8939" s="505"/>
      <c r="X8939" s="505"/>
      <c r="Y8939" s="505"/>
    </row>
    <row r="8940" spans="1:25" s="88" customFormat="1" hidden="1" x14ac:dyDescent="0.25">
      <c r="A8940" s="481"/>
      <c r="B8940" s="288"/>
      <c r="C8940" s="334"/>
      <c r="D8940" s="286"/>
      <c r="E8940" s="876"/>
      <c r="F8940" s="499">
        <v>422</v>
      </c>
      <c r="G8940" s="492" t="s">
        <v>3780</v>
      </c>
      <c r="H8940" s="588"/>
      <c r="I8940" s="571"/>
      <c r="J8940" s="589"/>
      <c r="K8940" s="505"/>
      <c r="L8940" s="505"/>
      <c r="M8940" s="505"/>
      <c r="N8940" s="505"/>
      <c r="O8940" s="505"/>
      <c r="P8940" s="505"/>
      <c r="Q8940" s="505"/>
      <c r="R8940" s="505"/>
      <c r="S8940" s="505"/>
      <c r="T8940" s="505"/>
      <c r="U8940" s="505"/>
      <c r="V8940" s="505"/>
      <c r="W8940" s="505"/>
      <c r="X8940" s="505"/>
      <c r="Y8940" s="505"/>
    </row>
    <row r="8941" spans="1:25" s="88" customFormat="1" hidden="1" x14ac:dyDescent="0.25">
      <c r="A8941" s="481"/>
      <c r="B8941" s="288"/>
      <c r="C8941" s="334"/>
      <c r="D8941" s="286"/>
      <c r="E8941" s="876"/>
      <c r="F8941" s="499">
        <v>423</v>
      </c>
      <c r="G8941" s="492" t="s">
        <v>3781</v>
      </c>
      <c r="H8941" s="588"/>
      <c r="I8941" s="571"/>
      <c r="J8941" s="589"/>
      <c r="K8941" s="505"/>
      <c r="L8941" s="505"/>
      <c r="M8941" s="505"/>
      <c r="N8941" s="505"/>
      <c r="O8941" s="505"/>
      <c r="P8941" s="505"/>
      <c r="Q8941" s="505"/>
      <c r="R8941" s="505"/>
      <c r="S8941" s="505"/>
      <c r="T8941" s="505"/>
      <c r="U8941" s="505"/>
      <c r="V8941" s="505"/>
      <c r="W8941" s="505"/>
      <c r="X8941" s="505"/>
      <c r="Y8941" s="505"/>
    </row>
    <row r="8942" spans="1:25" s="88" customFormat="1" hidden="1" x14ac:dyDescent="0.25">
      <c r="A8942" s="481"/>
      <c r="B8942" s="288"/>
      <c r="C8942" s="334"/>
      <c r="D8942" s="286"/>
      <c r="E8942" s="876"/>
      <c r="F8942" s="499">
        <v>424</v>
      </c>
      <c r="G8942" s="492" t="s">
        <v>3783</v>
      </c>
      <c r="H8942" s="588"/>
      <c r="I8942" s="571"/>
      <c r="J8942" s="589"/>
      <c r="K8942" s="505"/>
      <c r="L8942" s="505"/>
      <c r="M8942" s="505"/>
      <c r="N8942" s="505"/>
      <c r="O8942" s="505"/>
      <c r="P8942" s="505"/>
      <c r="Q8942" s="505"/>
      <c r="R8942" s="505"/>
      <c r="S8942" s="505"/>
      <c r="T8942" s="505"/>
      <c r="U8942" s="505"/>
      <c r="V8942" s="505"/>
      <c r="W8942" s="505"/>
      <c r="X8942" s="505"/>
      <c r="Y8942" s="505"/>
    </row>
    <row r="8943" spans="1:25" s="88" customFormat="1" hidden="1" x14ac:dyDescent="0.25">
      <c r="A8943" s="481"/>
      <c r="B8943" s="288"/>
      <c r="C8943" s="334"/>
      <c r="D8943" s="286"/>
      <c r="E8943" s="876"/>
      <c r="F8943" s="499">
        <v>425</v>
      </c>
      <c r="G8943" s="492" t="s">
        <v>4144</v>
      </c>
      <c r="H8943" s="588"/>
      <c r="I8943" s="571"/>
      <c r="J8943" s="589"/>
      <c r="K8943" s="505"/>
      <c r="L8943" s="505"/>
      <c r="M8943" s="505"/>
      <c r="N8943" s="505"/>
      <c r="O8943" s="505"/>
      <c r="P8943" s="505"/>
      <c r="Q8943" s="505"/>
      <c r="R8943" s="505"/>
      <c r="S8943" s="505"/>
      <c r="T8943" s="505"/>
      <c r="U8943" s="505"/>
      <c r="V8943" s="505"/>
      <c r="W8943" s="505"/>
      <c r="X8943" s="505"/>
      <c r="Y8943" s="505"/>
    </row>
    <row r="8944" spans="1:25" s="88" customFormat="1" hidden="1" x14ac:dyDescent="0.25">
      <c r="A8944" s="481"/>
      <c r="B8944" s="288"/>
      <c r="C8944" s="334"/>
      <c r="D8944" s="286"/>
      <c r="E8944" s="876"/>
      <c r="F8944" s="499">
        <v>426</v>
      </c>
      <c r="G8944" s="492" t="s">
        <v>3787</v>
      </c>
      <c r="H8944" s="588"/>
      <c r="I8944" s="571"/>
      <c r="J8944" s="589"/>
      <c r="K8944" s="505"/>
      <c r="L8944" s="505"/>
      <c r="M8944" s="505"/>
      <c r="N8944" s="505"/>
      <c r="O8944" s="505"/>
      <c r="P8944" s="505"/>
      <c r="Q8944" s="505"/>
      <c r="R8944" s="505"/>
      <c r="S8944" s="505"/>
      <c r="T8944" s="505"/>
      <c r="U8944" s="505"/>
      <c r="V8944" s="505"/>
      <c r="W8944" s="505"/>
      <c r="X8944" s="505"/>
      <c r="Y8944" s="505"/>
    </row>
    <row r="8945" spans="1:25" s="88" customFormat="1" hidden="1" x14ac:dyDescent="0.25">
      <c r="A8945" s="481"/>
      <c r="B8945" s="288"/>
      <c r="C8945" s="334"/>
      <c r="D8945" s="286"/>
      <c r="E8945" s="876"/>
      <c r="F8945" s="499">
        <v>482</v>
      </c>
      <c r="G8945" s="492" t="s">
        <v>4154</v>
      </c>
      <c r="H8945" s="588"/>
      <c r="I8945" s="571"/>
      <c r="J8945" s="589"/>
      <c r="K8945" s="505"/>
      <c r="L8945" s="505"/>
      <c r="M8945" s="505"/>
      <c r="N8945" s="505"/>
      <c r="O8945" s="505"/>
      <c r="P8945" s="505"/>
      <c r="Q8945" s="505"/>
      <c r="R8945" s="505"/>
      <c r="S8945" s="505"/>
      <c r="T8945" s="505"/>
      <c r="U8945" s="505"/>
      <c r="V8945" s="505"/>
      <c r="W8945" s="505"/>
      <c r="X8945" s="505"/>
      <c r="Y8945" s="505"/>
    </row>
    <row r="8946" spans="1:25" s="88" customFormat="1" hidden="1" x14ac:dyDescent="0.25">
      <c r="A8946" s="481"/>
      <c r="B8946" s="288"/>
      <c r="C8946" s="334"/>
      <c r="D8946" s="286"/>
      <c r="E8946" s="876"/>
      <c r="F8946" s="499">
        <v>511</v>
      </c>
      <c r="G8946" s="496" t="s">
        <v>4158</v>
      </c>
      <c r="H8946" s="588"/>
      <c r="I8946" s="571"/>
      <c r="J8946" s="589"/>
      <c r="K8946" s="505"/>
      <c r="L8946" s="505"/>
      <c r="M8946" s="505"/>
      <c r="N8946" s="505"/>
      <c r="O8946" s="505"/>
      <c r="P8946" s="505"/>
      <c r="Q8946" s="505"/>
      <c r="R8946" s="505"/>
      <c r="S8946" s="505"/>
      <c r="T8946" s="505"/>
      <c r="U8946" s="505"/>
      <c r="V8946" s="505"/>
      <c r="W8946" s="505"/>
      <c r="X8946" s="505"/>
      <c r="Y8946" s="505"/>
    </row>
    <row r="8947" spans="1:25" s="88" customFormat="1" hidden="1" x14ac:dyDescent="0.25">
      <c r="A8947" s="481"/>
      <c r="B8947" s="288"/>
      <c r="C8947" s="334"/>
      <c r="D8947" s="286"/>
      <c r="E8947" s="876"/>
      <c r="F8947" s="499">
        <v>541</v>
      </c>
      <c r="G8947" s="496" t="s">
        <v>4164</v>
      </c>
      <c r="H8947" s="588"/>
      <c r="I8947" s="571"/>
      <c r="J8947" s="589"/>
      <c r="K8947" s="505"/>
      <c r="L8947" s="505"/>
      <c r="M8947" s="505"/>
      <c r="N8947" s="505"/>
      <c r="O8947" s="505"/>
      <c r="P8947" s="505"/>
      <c r="Q8947" s="505"/>
      <c r="R8947" s="505"/>
      <c r="S8947" s="505"/>
      <c r="T8947" s="505"/>
      <c r="U8947" s="505"/>
      <c r="V8947" s="505"/>
      <c r="W8947" s="505"/>
      <c r="X8947" s="505"/>
      <c r="Y8947" s="505"/>
    </row>
    <row r="8948" spans="1:25" hidden="1" x14ac:dyDescent="0.25">
      <c r="A8948" s="481"/>
      <c r="E8948" s="489"/>
      <c r="F8948" s="500"/>
      <c r="G8948" s="343" t="s">
        <v>4289</v>
      </c>
      <c r="H8948" s="557"/>
      <c r="I8948" s="583"/>
      <c r="J8948" s="558"/>
    </row>
    <row r="8949" spans="1:25" hidden="1" x14ac:dyDescent="0.25">
      <c r="E8949" s="693"/>
      <c r="F8949" s="284" t="s">
        <v>234</v>
      </c>
      <c r="G8949" s="287" t="s">
        <v>235</v>
      </c>
      <c r="H8949" s="559">
        <f>SUM(H8938:H8947)</f>
        <v>0</v>
      </c>
      <c r="I8949" s="560"/>
      <c r="J8949" s="560">
        <f t="shared" ref="J8949:J8964" si="308">SUM(H8949:I8949)</f>
        <v>0</v>
      </c>
    </row>
    <row r="8950" spans="1:25" hidden="1" x14ac:dyDescent="0.25">
      <c r="F8950" s="284" t="s">
        <v>236</v>
      </c>
      <c r="G8950" s="287" t="s">
        <v>237</v>
      </c>
      <c r="J8950" s="560">
        <f t="shared" si="308"/>
        <v>0</v>
      </c>
    </row>
    <row r="8951" spans="1:25" hidden="1" x14ac:dyDescent="0.25">
      <c r="F8951" s="284" t="s">
        <v>238</v>
      </c>
      <c r="G8951" s="287" t="s">
        <v>239</v>
      </c>
      <c r="J8951" s="560">
        <f t="shared" si="308"/>
        <v>0</v>
      </c>
    </row>
    <row r="8952" spans="1:25" hidden="1" x14ac:dyDescent="0.25">
      <c r="F8952" s="284" t="s">
        <v>240</v>
      </c>
      <c r="G8952" s="287" t="s">
        <v>241</v>
      </c>
      <c r="J8952" s="560">
        <f t="shared" si="308"/>
        <v>0</v>
      </c>
    </row>
    <row r="8953" spans="1:25" hidden="1" x14ac:dyDescent="0.25">
      <c r="F8953" s="284" t="s">
        <v>242</v>
      </c>
      <c r="G8953" s="287" t="s">
        <v>243</v>
      </c>
      <c r="J8953" s="560">
        <f t="shared" si="308"/>
        <v>0</v>
      </c>
    </row>
    <row r="8954" spans="1:25" hidden="1" x14ac:dyDescent="0.25">
      <c r="F8954" s="284" t="s">
        <v>244</v>
      </c>
      <c r="G8954" s="287" t="s">
        <v>245</v>
      </c>
      <c r="J8954" s="560">
        <f t="shared" si="308"/>
        <v>0</v>
      </c>
    </row>
    <row r="8955" spans="1:25" hidden="1" x14ac:dyDescent="0.25">
      <c r="F8955" s="284" t="s">
        <v>246</v>
      </c>
      <c r="G8955" s="598" t="s">
        <v>4996</v>
      </c>
      <c r="J8955" s="560">
        <f t="shared" si="308"/>
        <v>0</v>
      </c>
    </row>
    <row r="8956" spans="1:25" hidden="1" x14ac:dyDescent="0.25">
      <c r="F8956" s="284" t="s">
        <v>247</v>
      </c>
      <c r="G8956" s="598" t="s">
        <v>4995</v>
      </c>
      <c r="J8956" s="560">
        <f t="shared" si="308"/>
        <v>0</v>
      </c>
    </row>
    <row r="8957" spans="1:25" hidden="1" x14ac:dyDescent="0.25">
      <c r="F8957" s="284" t="s">
        <v>248</v>
      </c>
      <c r="G8957" s="287" t="s">
        <v>57</v>
      </c>
      <c r="J8957" s="560">
        <f t="shared" si="308"/>
        <v>0</v>
      </c>
    </row>
    <row r="8958" spans="1:25" hidden="1" x14ac:dyDescent="0.25">
      <c r="F8958" s="284" t="s">
        <v>249</v>
      </c>
      <c r="G8958" s="287" t="s">
        <v>250</v>
      </c>
      <c r="J8958" s="560">
        <f t="shared" si="308"/>
        <v>0</v>
      </c>
    </row>
    <row r="8959" spans="1:25" hidden="1" x14ac:dyDescent="0.25">
      <c r="F8959" s="284" t="s">
        <v>251</v>
      </c>
      <c r="G8959" s="287" t="s">
        <v>252</v>
      </c>
      <c r="J8959" s="560">
        <f t="shared" si="308"/>
        <v>0</v>
      </c>
    </row>
    <row r="8960" spans="1:25" ht="30" hidden="1" x14ac:dyDescent="0.25">
      <c r="F8960" s="284" t="s">
        <v>253</v>
      </c>
      <c r="G8960" s="287" t="s">
        <v>254</v>
      </c>
      <c r="J8960" s="560">
        <f t="shared" si="308"/>
        <v>0</v>
      </c>
    </row>
    <row r="8961" spans="5:10" hidden="1" x14ac:dyDescent="0.25">
      <c r="F8961" s="284" t="s">
        <v>255</v>
      </c>
      <c r="G8961" s="287" t="s">
        <v>256</v>
      </c>
      <c r="J8961" s="560">
        <f t="shared" si="308"/>
        <v>0</v>
      </c>
    </row>
    <row r="8962" spans="5:10" ht="30" hidden="1" x14ac:dyDescent="0.25">
      <c r="F8962" s="284" t="s">
        <v>257</v>
      </c>
      <c r="G8962" s="287" t="s">
        <v>258</v>
      </c>
      <c r="J8962" s="560">
        <f t="shared" si="308"/>
        <v>0</v>
      </c>
    </row>
    <row r="8963" spans="5:10" hidden="1" x14ac:dyDescent="0.25">
      <c r="F8963" s="284" t="s">
        <v>259</v>
      </c>
      <c r="G8963" s="287" t="s">
        <v>260</v>
      </c>
      <c r="J8963" s="560">
        <f t="shared" si="308"/>
        <v>0</v>
      </c>
    </row>
    <row r="8964" spans="5:10" hidden="1" x14ac:dyDescent="0.25">
      <c r="F8964" s="284" t="s">
        <v>261</v>
      </c>
      <c r="G8964" s="287" t="s">
        <v>262</v>
      </c>
      <c r="H8964" s="559"/>
      <c r="I8964" s="560"/>
      <c r="J8964" s="560">
        <f t="shared" si="308"/>
        <v>0</v>
      </c>
    </row>
    <row r="8965" spans="5:10" ht="15.75" hidden="1" thickBot="1" x14ac:dyDescent="0.3">
      <c r="G8965" s="268" t="s">
        <v>4290</v>
      </c>
      <c r="H8965" s="561">
        <f>SUM(H8949:H8964)</f>
        <v>0</v>
      </c>
      <c r="I8965" s="562">
        <f>SUM(I8950:I8964)</f>
        <v>0</v>
      </c>
      <c r="J8965" s="562">
        <f>SUM(J8949:J8964)</f>
        <v>0</v>
      </c>
    </row>
    <row r="8966" spans="5:10" ht="28.5" hidden="1" collapsed="1" x14ac:dyDescent="0.25">
      <c r="E8966" s="489"/>
      <c r="F8966" s="500"/>
      <c r="G8966" s="270" t="s">
        <v>4333</v>
      </c>
      <c r="H8966" s="563"/>
      <c r="I8966" s="584"/>
      <c r="J8966" s="564"/>
    </row>
    <row r="8967" spans="5:10" hidden="1" x14ac:dyDescent="0.25">
      <c r="E8967" s="693"/>
      <c r="F8967" s="284" t="s">
        <v>234</v>
      </c>
      <c r="G8967" s="287" t="s">
        <v>235</v>
      </c>
      <c r="H8967" s="559">
        <f>SUM(H8938:H8947)</f>
        <v>0</v>
      </c>
      <c r="I8967" s="560"/>
      <c r="J8967" s="560">
        <f>SUM(H8967:I8967)</f>
        <v>0</v>
      </c>
    </row>
    <row r="8968" spans="5:10" hidden="1" x14ac:dyDescent="0.25">
      <c r="F8968" s="284" t="s">
        <v>236</v>
      </c>
      <c r="G8968" s="287" t="s">
        <v>237</v>
      </c>
      <c r="J8968" s="560">
        <f t="shared" ref="J8968:J8982" si="309">SUM(H8968:I8968)</f>
        <v>0</v>
      </c>
    </row>
    <row r="8969" spans="5:10" hidden="1" x14ac:dyDescent="0.25">
      <c r="F8969" s="284" t="s">
        <v>238</v>
      </c>
      <c r="G8969" s="287" t="s">
        <v>239</v>
      </c>
      <c r="J8969" s="560">
        <f t="shared" si="309"/>
        <v>0</v>
      </c>
    </row>
    <row r="8970" spans="5:10" hidden="1" x14ac:dyDescent="0.25">
      <c r="F8970" s="284" t="s">
        <v>240</v>
      </c>
      <c r="G8970" s="287" t="s">
        <v>241</v>
      </c>
      <c r="J8970" s="560">
        <f t="shared" si="309"/>
        <v>0</v>
      </c>
    </row>
    <row r="8971" spans="5:10" hidden="1" x14ac:dyDescent="0.25">
      <c r="F8971" s="284" t="s">
        <v>242</v>
      </c>
      <c r="G8971" s="287" t="s">
        <v>243</v>
      </c>
      <c r="J8971" s="560">
        <f t="shared" si="309"/>
        <v>0</v>
      </c>
    </row>
    <row r="8972" spans="5:10" hidden="1" x14ac:dyDescent="0.25">
      <c r="F8972" s="284" t="s">
        <v>244</v>
      </c>
      <c r="G8972" s="287" t="s">
        <v>245</v>
      </c>
      <c r="J8972" s="560">
        <f t="shared" si="309"/>
        <v>0</v>
      </c>
    </row>
    <row r="8973" spans="5:10" hidden="1" x14ac:dyDescent="0.25">
      <c r="F8973" s="284" t="s">
        <v>246</v>
      </c>
      <c r="G8973" s="598" t="s">
        <v>4996</v>
      </c>
      <c r="J8973" s="560">
        <f t="shared" si="309"/>
        <v>0</v>
      </c>
    </row>
    <row r="8974" spans="5:10" hidden="1" x14ac:dyDescent="0.25">
      <c r="F8974" s="284" t="s">
        <v>247</v>
      </c>
      <c r="G8974" s="598" t="s">
        <v>4995</v>
      </c>
      <c r="J8974" s="560">
        <f t="shared" si="309"/>
        <v>0</v>
      </c>
    </row>
    <row r="8975" spans="5:10" hidden="1" x14ac:dyDescent="0.25">
      <c r="F8975" s="284" t="s">
        <v>248</v>
      </c>
      <c r="G8975" s="287" t="s">
        <v>57</v>
      </c>
      <c r="J8975" s="560">
        <f t="shared" si="309"/>
        <v>0</v>
      </c>
    </row>
    <row r="8976" spans="5:10" hidden="1" x14ac:dyDescent="0.25">
      <c r="F8976" s="284" t="s">
        <v>249</v>
      </c>
      <c r="G8976" s="287" t="s">
        <v>250</v>
      </c>
      <c r="J8976" s="560">
        <f t="shared" si="309"/>
        <v>0</v>
      </c>
    </row>
    <row r="8977" spans="1:25" hidden="1" x14ac:dyDescent="0.25">
      <c r="F8977" s="284" t="s">
        <v>251</v>
      </c>
      <c r="G8977" s="287" t="s">
        <v>252</v>
      </c>
      <c r="J8977" s="560">
        <f t="shared" si="309"/>
        <v>0</v>
      </c>
    </row>
    <row r="8978" spans="1:25" ht="30" hidden="1" x14ac:dyDescent="0.25">
      <c r="F8978" s="284" t="s">
        <v>253</v>
      </c>
      <c r="G8978" s="287" t="s">
        <v>254</v>
      </c>
      <c r="J8978" s="560">
        <f t="shared" si="309"/>
        <v>0</v>
      </c>
    </row>
    <row r="8979" spans="1:25" hidden="1" x14ac:dyDescent="0.25">
      <c r="F8979" s="284" t="s">
        <v>255</v>
      </c>
      <c r="G8979" s="287" t="s">
        <v>256</v>
      </c>
      <c r="J8979" s="560">
        <f t="shared" si="309"/>
        <v>0</v>
      </c>
    </row>
    <row r="8980" spans="1:25" ht="30" hidden="1" x14ac:dyDescent="0.25">
      <c r="F8980" s="284" t="s">
        <v>257</v>
      </c>
      <c r="G8980" s="287" t="s">
        <v>258</v>
      </c>
      <c r="J8980" s="560">
        <f t="shared" si="309"/>
        <v>0</v>
      </c>
    </row>
    <row r="8981" spans="1:25" hidden="1" x14ac:dyDescent="0.25">
      <c r="F8981" s="284" t="s">
        <v>259</v>
      </c>
      <c r="G8981" s="287" t="s">
        <v>260</v>
      </c>
      <c r="J8981" s="560">
        <f t="shared" si="309"/>
        <v>0</v>
      </c>
    </row>
    <row r="8982" spans="1:25" hidden="1" x14ac:dyDescent="0.25">
      <c r="F8982" s="284" t="s">
        <v>261</v>
      </c>
      <c r="G8982" s="287" t="s">
        <v>262</v>
      </c>
      <c r="H8982" s="559"/>
      <c r="I8982" s="560"/>
      <c r="J8982" s="560">
        <f t="shared" si="309"/>
        <v>0</v>
      </c>
    </row>
    <row r="8983" spans="1:25" ht="15.75" hidden="1" collapsed="1" thickBot="1" x14ac:dyDescent="0.3">
      <c r="G8983" s="268" t="s">
        <v>4334</v>
      </c>
      <c r="H8983" s="561">
        <f>SUM(H8967:H8982)</f>
        <v>0</v>
      </c>
      <c r="I8983" s="562">
        <f>SUM(I8968:I8982)</f>
        <v>0</v>
      </c>
      <c r="J8983" s="562">
        <f>SUM(J8967:J8982)</f>
        <v>0</v>
      </c>
    </row>
    <row r="8984" spans="1:25" hidden="1" x14ac:dyDescent="0.25">
      <c r="G8984" s="312"/>
      <c r="H8984" s="565"/>
      <c r="I8984" s="566"/>
      <c r="J8984" s="566"/>
    </row>
    <row r="8985" spans="1:25" s="88" customFormat="1" hidden="1" x14ac:dyDescent="0.25">
      <c r="A8985" s="258"/>
      <c r="B8985" s="288"/>
      <c r="C8985" s="334"/>
      <c r="D8985" s="286"/>
      <c r="E8985" s="876"/>
      <c r="F8985" s="500"/>
      <c r="G8985" s="285" t="s">
        <v>4190</v>
      </c>
      <c r="H8985" s="567"/>
      <c r="I8985" s="585"/>
      <c r="J8985" s="568"/>
      <c r="K8985" s="505"/>
      <c r="L8985" s="505"/>
      <c r="M8985" s="505"/>
      <c r="N8985" s="505"/>
      <c r="O8985" s="505"/>
      <c r="P8985" s="505"/>
      <c r="Q8985" s="505"/>
      <c r="R8985" s="505"/>
      <c r="S8985" s="505"/>
      <c r="T8985" s="505"/>
      <c r="U8985" s="505"/>
      <c r="V8985" s="505"/>
      <c r="W8985" s="505"/>
      <c r="X8985" s="505"/>
      <c r="Y8985" s="505"/>
    </row>
    <row r="8986" spans="1:25" s="88" customFormat="1" hidden="1" x14ac:dyDescent="0.25">
      <c r="A8986" s="481"/>
      <c r="B8986" s="288"/>
      <c r="C8986" s="334"/>
      <c r="D8986" s="286"/>
      <c r="E8986" s="876"/>
      <c r="F8986" s="284" t="s">
        <v>234</v>
      </c>
      <c r="G8986" s="287" t="s">
        <v>235</v>
      </c>
      <c r="H8986" s="559">
        <f>SUM(H8967,H8856,H8918)</f>
        <v>0</v>
      </c>
      <c r="I8986" s="560"/>
      <c r="J8986" s="560">
        <f>SUM(H8986:I8986)</f>
        <v>0</v>
      </c>
      <c r="K8986" s="505"/>
      <c r="L8986" s="505"/>
      <c r="M8986" s="505"/>
      <c r="N8986" s="505"/>
      <c r="O8986" s="505"/>
      <c r="P8986" s="505"/>
      <c r="Q8986" s="505"/>
      <c r="R8986" s="505"/>
      <c r="S8986" s="505"/>
      <c r="T8986" s="505"/>
      <c r="U8986" s="505"/>
      <c r="V8986" s="505"/>
      <c r="W8986" s="505"/>
      <c r="X8986" s="505"/>
      <c r="Y8986" s="505"/>
    </row>
    <row r="8987" spans="1:25" s="88" customFormat="1" hidden="1" x14ac:dyDescent="0.25">
      <c r="A8987" s="481"/>
      <c r="B8987" s="288"/>
      <c r="C8987" s="334"/>
      <c r="D8987" s="286"/>
      <c r="E8987" s="876"/>
      <c r="F8987" s="284" t="s">
        <v>236</v>
      </c>
      <c r="G8987" s="287" t="s">
        <v>237</v>
      </c>
      <c r="H8987" s="555"/>
      <c r="I8987" s="556"/>
      <c r="J8987" s="560">
        <f t="shared" ref="J8987:J9001" si="310">SUM(H8987:I8987)</f>
        <v>0</v>
      </c>
      <c r="K8987" s="505"/>
      <c r="L8987" s="505"/>
      <c r="M8987" s="505"/>
      <c r="N8987" s="505"/>
      <c r="O8987" s="505"/>
      <c r="P8987" s="505"/>
      <c r="Q8987" s="505"/>
      <c r="R8987" s="505"/>
      <c r="S8987" s="505"/>
      <c r="T8987" s="505"/>
      <c r="U8987" s="505"/>
      <c r="V8987" s="505"/>
      <c r="W8987" s="505"/>
      <c r="X8987" s="505"/>
      <c r="Y8987" s="505"/>
    </row>
    <row r="8988" spans="1:25" s="88" customFormat="1" hidden="1" x14ac:dyDescent="0.25">
      <c r="A8988" s="481"/>
      <c r="B8988" s="288"/>
      <c r="C8988" s="334"/>
      <c r="D8988" s="286"/>
      <c r="E8988" s="876"/>
      <c r="F8988" s="284" t="s">
        <v>238</v>
      </c>
      <c r="G8988" s="287" t="s">
        <v>239</v>
      </c>
      <c r="H8988" s="555"/>
      <c r="I8988" s="556"/>
      <c r="J8988" s="560">
        <f t="shared" si="310"/>
        <v>0</v>
      </c>
      <c r="K8988" s="505"/>
      <c r="L8988" s="505"/>
      <c r="M8988" s="505"/>
      <c r="N8988" s="505"/>
      <c r="O8988" s="505"/>
      <c r="P8988" s="505"/>
      <c r="Q8988" s="505"/>
      <c r="R8988" s="505"/>
      <c r="S8988" s="505"/>
      <c r="T8988" s="505"/>
      <c r="U8988" s="505"/>
      <c r="V8988" s="505"/>
      <c r="W8988" s="505"/>
      <c r="X8988" s="505"/>
      <c r="Y8988" s="505"/>
    </row>
    <row r="8989" spans="1:25" s="88" customFormat="1" hidden="1" x14ac:dyDescent="0.25">
      <c r="A8989" s="481"/>
      <c r="B8989" s="288"/>
      <c r="C8989" s="334"/>
      <c r="D8989" s="286"/>
      <c r="E8989" s="876"/>
      <c r="F8989" s="284" t="s">
        <v>240</v>
      </c>
      <c r="G8989" s="287" t="s">
        <v>241</v>
      </c>
      <c r="H8989" s="555"/>
      <c r="I8989" s="556"/>
      <c r="J8989" s="560">
        <f t="shared" si="310"/>
        <v>0</v>
      </c>
      <c r="K8989" s="505"/>
      <c r="L8989" s="505"/>
      <c r="M8989" s="505"/>
      <c r="N8989" s="505"/>
      <c r="O8989" s="505"/>
      <c r="P8989" s="505"/>
      <c r="Q8989" s="505"/>
      <c r="R8989" s="505"/>
      <c r="S8989" s="505"/>
      <c r="T8989" s="505"/>
      <c r="U8989" s="505"/>
      <c r="V8989" s="505"/>
      <c r="W8989" s="505"/>
      <c r="X8989" s="505"/>
      <c r="Y8989" s="505"/>
    </row>
    <row r="8990" spans="1:25" s="88" customFormat="1" hidden="1" x14ac:dyDescent="0.25">
      <c r="A8990" s="481"/>
      <c r="B8990" s="288"/>
      <c r="C8990" s="334"/>
      <c r="D8990" s="286"/>
      <c r="E8990" s="876"/>
      <c r="F8990" s="284" t="s">
        <v>242</v>
      </c>
      <c r="G8990" s="287" t="s">
        <v>243</v>
      </c>
      <c r="H8990" s="555"/>
      <c r="I8990" s="556"/>
      <c r="J8990" s="560">
        <f t="shared" si="310"/>
        <v>0</v>
      </c>
      <c r="K8990" s="505"/>
      <c r="L8990" s="505"/>
      <c r="M8990" s="505"/>
      <c r="N8990" s="505"/>
      <c r="O8990" s="505"/>
      <c r="P8990" s="505"/>
      <c r="Q8990" s="505"/>
      <c r="R8990" s="505"/>
      <c r="S8990" s="505"/>
      <c r="T8990" s="505"/>
      <c r="U8990" s="505"/>
      <c r="V8990" s="505"/>
      <c r="W8990" s="505"/>
      <c r="X8990" s="505"/>
      <c r="Y8990" s="505"/>
    </row>
    <row r="8991" spans="1:25" s="88" customFormat="1" hidden="1" x14ac:dyDescent="0.25">
      <c r="A8991" s="481"/>
      <c r="B8991" s="288"/>
      <c r="C8991" s="334"/>
      <c r="D8991" s="286"/>
      <c r="E8991" s="876"/>
      <c r="F8991" s="284" t="s">
        <v>244</v>
      </c>
      <c r="G8991" s="287" t="s">
        <v>245</v>
      </c>
      <c r="H8991" s="555"/>
      <c r="I8991" s="556"/>
      <c r="J8991" s="560">
        <f t="shared" si="310"/>
        <v>0</v>
      </c>
      <c r="K8991" s="505"/>
      <c r="L8991" s="505"/>
      <c r="M8991" s="505"/>
      <c r="N8991" s="505"/>
      <c r="O8991" s="505"/>
      <c r="P8991" s="505"/>
      <c r="Q8991" s="505"/>
      <c r="R8991" s="505"/>
      <c r="S8991" s="505"/>
      <c r="T8991" s="505"/>
      <c r="U8991" s="505"/>
      <c r="V8991" s="505"/>
      <c r="W8991" s="505"/>
      <c r="X8991" s="505"/>
      <c r="Y8991" s="505"/>
    </row>
    <row r="8992" spans="1:25" s="88" customFormat="1" hidden="1" x14ac:dyDescent="0.25">
      <c r="A8992" s="481"/>
      <c r="B8992" s="288"/>
      <c r="C8992" s="334"/>
      <c r="D8992" s="286"/>
      <c r="E8992" s="876"/>
      <c r="F8992" s="284" t="s">
        <v>246</v>
      </c>
      <c r="G8992" s="598" t="s">
        <v>4996</v>
      </c>
      <c r="H8992" s="555"/>
      <c r="I8992" s="556"/>
      <c r="J8992" s="560">
        <f t="shared" si="310"/>
        <v>0</v>
      </c>
      <c r="K8992" s="505"/>
      <c r="L8992" s="505"/>
      <c r="M8992" s="505"/>
      <c r="N8992" s="505"/>
      <c r="O8992" s="505"/>
      <c r="P8992" s="505"/>
      <c r="Q8992" s="505"/>
      <c r="R8992" s="505"/>
      <c r="S8992" s="505"/>
      <c r="T8992" s="505"/>
      <c r="U8992" s="505"/>
      <c r="V8992" s="505"/>
      <c r="W8992" s="505"/>
      <c r="X8992" s="505"/>
      <c r="Y8992" s="505"/>
    </row>
    <row r="8993" spans="1:25" s="88" customFormat="1" hidden="1" x14ac:dyDescent="0.25">
      <c r="A8993" s="481"/>
      <c r="B8993" s="288"/>
      <c r="C8993" s="334"/>
      <c r="D8993" s="286"/>
      <c r="E8993" s="876"/>
      <c r="F8993" s="284" t="s">
        <v>247</v>
      </c>
      <c r="G8993" s="598" t="s">
        <v>4995</v>
      </c>
      <c r="H8993" s="555"/>
      <c r="I8993" s="556"/>
      <c r="J8993" s="560">
        <f t="shared" si="310"/>
        <v>0</v>
      </c>
      <c r="K8993" s="505"/>
      <c r="L8993" s="505"/>
      <c r="M8993" s="505"/>
      <c r="N8993" s="505"/>
      <c r="O8993" s="505"/>
      <c r="P8993" s="505"/>
      <c r="Q8993" s="505"/>
      <c r="R8993" s="505"/>
      <c r="S8993" s="505"/>
      <c r="T8993" s="505"/>
      <c r="U8993" s="505"/>
      <c r="V8993" s="505"/>
      <c r="W8993" s="505"/>
      <c r="X8993" s="505"/>
      <c r="Y8993" s="505"/>
    </row>
    <row r="8994" spans="1:25" s="88" customFormat="1" hidden="1" x14ac:dyDescent="0.25">
      <c r="A8994" s="481"/>
      <c r="B8994" s="288"/>
      <c r="C8994" s="334"/>
      <c r="D8994" s="286"/>
      <c r="E8994" s="876"/>
      <c r="F8994" s="284" t="s">
        <v>248</v>
      </c>
      <c r="G8994" s="287" t="s">
        <v>57</v>
      </c>
      <c r="H8994" s="555"/>
      <c r="I8994" s="556"/>
      <c r="J8994" s="560">
        <f t="shared" si="310"/>
        <v>0</v>
      </c>
      <c r="K8994" s="505"/>
      <c r="L8994" s="505"/>
      <c r="M8994" s="505"/>
      <c r="N8994" s="505"/>
      <c r="O8994" s="505"/>
      <c r="P8994" s="505"/>
      <c r="Q8994" s="505"/>
      <c r="R8994" s="505"/>
      <c r="S8994" s="505"/>
      <c r="T8994" s="505"/>
      <c r="U8994" s="505"/>
      <c r="V8994" s="505"/>
      <c r="W8994" s="505"/>
      <c r="X8994" s="505"/>
      <c r="Y8994" s="505"/>
    </row>
    <row r="8995" spans="1:25" s="88" customFormat="1" hidden="1" x14ac:dyDescent="0.25">
      <c r="A8995" s="481"/>
      <c r="B8995" s="288"/>
      <c r="C8995" s="334"/>
      <c r="D8995" s="286"/>
      <c r="E8995" s="876"/>
      <c r="F8995" s="284" t="s">
        <v>249</v>
      </c>
      <c r="G8995" s="287" t="s">
        <v>250</v>
      </c>
      <c r="H8995" s="555"/>
      <c r="I8995" s="556"/>
      <c r="J8995" s="560">
        <f t="shared" si="310"/>
        <v>0</v>
      </c>
      <c r="K8995" s="505"/>
      <c r="L8995" s="505"/>
      <c r="M8995" s="505"/>
      <c r="N8995" s="505"/>
      <c r="O8995" s="505"/>
      <c r="P8995" s="505"/>
      <c r="Q8995" s="505"/>
      <c r="R8995" s="505"/>
      <c r="S8995" s="505"/>
      <c r="T8995" s="505"/>
      <c r="U8995" s="505"/>
      <c r="V8995" s="505"/>
      <c r="W8995" s="505"/>
      <c r="X8995" s="505"/>
      <c r="Y8995" s="505"/>
    </row>
    <row r="8996" spans="1:25" s="88" customFormat="1" hidden="1" x14ac:dyDescent="0.25">
      <c r="A8996" s="481"/>
      <c r="B8996" s="288"/>
      <c r="C8996" s="334"/>
      <c r="D8996" s="286"/>
      <c r="E8996" s="876"/>
      <c r="F8996" s="284" t="s">
        <v>251</v>
      </c>
      <c r="G8996" s="287" t="s">
        <v>252</v>
      </c>
      <c r="H8996" s="555"/>
      <c r="I8996" s="556"/>
      <c r="J8996" s="560">
        <f t="shared" si="310"/>
        <v>0</v>
      </c>
      <c r="K8996" s="505"/>
      <c r="L8996" s="505"/>
      <c r="M8996" s="505"/>
      <c r="N8996" s="505"/>
      <c r="O8996" s="505"/>
      <c r="P8996" s="505"/>
      <c r="Q8996" s="505"/>
      <c r="R8996" s="505"/>
      <c r="S8996" s="505"/>
      <c r="T8996" s="505"/>
      <c r="U8996" s="505"/>
      <c r="V8996" s="505"/>
      <c r="W8996" s="505"/>
      <c r="X8996" s="505"/>
      <c r="Y8996" s="505"/>
    </row>
    <row r="8997" spans="1:25" s="88" customFormat="1" ht="30" hidden="1" x14ac:dyDescent="0.25">
      <c r="A8997" s="481"/>
      <c r="B8997" s="288"/>
      <c r="C8997" s="334"/>
      <c r="D8997" s="286"/>
      <c r="E8997" s="876"/>
      <c r="F8997" s="284" t="s">
        <v>253</v>
      </c>
      <c r="G8997" s="287" t="s">
        <v>254</v>
      </c>
      <c r="H8997" s="555"/>
      <c r="I8997" s="556"/>
      <c r="J8997" s="560">
        <f t="shared" si="310"/>
        <v>0</v>
      </c>
      <c r="K8997" s="505"/>
      <c r="L8997" s="505"/>
      <c r="M8997" s="505"/>
      <c r="N8997" s="505"/>
      <c r="O8997" s="505"/>
      <c r="P8997" s="505"/>
      <c r="Q8997" s="505"/>
      <c r="R8997" s="505"/>
      <c r="S8997" s="505"/>
      <c r="T8997" s="505"/>
      <c r="U8997" s="505"/>
      <c r="V8997" s="505"/>
      <c r="W8997" s="505"/>
      <c r="X8997" s="505"/>
      <c r="Y8997" s="505"/>
    </row>
    <row r="8998" spans="1:25" s="88" customFormat="1" hidden="1" x14ac:dyDescent="0.25">
      <c r="A8998" s="481"/>
      <c r="B8998" s="288"/>
      <c r="C8998" s="334"/>
      <c r="D8998" s="286"/>
      <c r="E8998" s="876"/>
      <c r="F8998" s="284" t="s">
        <v>255</v>
      </c>
      <c r="G8998" s="287" t="s">
        <v>256</v>
      </c>
      <c r="H8998" s="555"/>
      <c r="I8998" s="556"/>
      <c r="J8998" s="560">
        <f t="shared" si="310"/>
        <v>0</v>
      </c>
      <c r="K8998" s="505"/>
      <c r="L8998" s="505"/>
      <c r="M8998" s="505"/>
      <c r="N8998" s="505"/>
      <c r="O8998" s="505"/>
      <c r="P8998" s="505"/>
      <c r="Q8998" s="505"/>
      <c r="R8998" s="505"/>
      <c r="S8998" s="505"/>
      <c r="T8998" s="505"/>
      <c r="U8998" s="505"/>
      <c r="V8998" s="505"/>
      <c r="W8998" s="505"/>
      <c r="X8998" s="505"/>
      <c r="Y8998" s="505"/>
    </row>
    <row r="8999" spans="1:25" s="88" customFormat="1" ht="30" hidden="1" x14ac:dyDescent="0.25">
      <c r="A8999" s="481"/>
      <c r="B8999" s="288"/>
      <c r="C8999" s="334"/>
      <c r="D8999" s="286"/>
      <c r="E8999" s="876"/>
      <c r="F8999" s="284" t="s">
        <v>257</v>
      </c>
      <c r="G8999" s="287" t="s">
        <v>258</v>
      </c>
      <c r="H8999" s="555"/>
      <c r="I8999" s="556"/>
      <c r="J8999" s="560">
        <f t="shared" si="310"/>
        <v>0</v>
      </c>
      <c r="K8999" s="505"/>
      <c r="L8999" s="505"/>
      <c r="M8999" s="505"/>
      <c r="N8999" s="505"/>
      <c r="O8999" s="505"/>
      <c r="P8999" s="505"/>
      <c r="Q8999" s="505"/>
      <c r="R8999" s="505"/>
      <c r="S8999" s="505"/>
      <c r="T8999" s="505"/>
      <c r="U8999" s="505"/>
      <c r="V8999" s="505"/>
      <c r="W8999" s="505"/>
      <c r="X8999" s="505"/>
      <c r="Y8999" s="505"/>
    </row>
    <row r="9000" spans="1:25" s="88" customFormat="1" hidden="1" x14ac:dyDescent="0.25">
      <c r="A9000" s="481"/>
      <c r="B9000" s="288"/>
      <c r="C9000" s="334"/>
      <c r="D9000" s="286"/>
      <c r="E9000" s="876"/>
      <c r="F9000" s="284" t="s">
        <v>259</v>
      </c>
      <c r="G9000" s="287" t="s">
        <v>260</v>
      </c>
      <c r="H9000" s="555"/>
      <c r="I9000" s="556"/>
      <c r="J9000" s="560">
        <f t="shared" si="310"/>
        <v>0</v>
      </c>
      <c r="K9000" s="505"/>
      <c r="L9000" s="505"/>
      <c r="M9000" s="505"/>
      <c r="N9000" s="505"/>
      <c r="O9000" s="505"/>
      <c r="P9000" s="505"/>
      <c r="Q9000" s="505"/>
      <c r="R9000" s="505"/>
      <c r="S9000" s="505"/>
      <c r="T9000" s="505"/>
      <c r="U9000" s="505"/>
      <c r="V9000" s="505"/>
      <c r="W9000" s="505"/>
      <c r="X9000" s="505"/>
      <c r="Y9000" s="505"/>
    </row>
    <row r="9001" spans="1:25" s="88" customFormat="1" hidden="1" x14ac:dyDescent="0.25">
      <c r="A9001" s="481"/>
      <c r="B9001" s="288"/>
      <c r="C9001" s="334"/>
      <c r="D9001" s="286"/>
      <c r="E9001" s="876"/>
      <c r="F9001" s="284" t="s">
        <v>261</v>
      </c>
      <c r="G9001" s="287" t="s">
        <v>262</v>
      </c>
      <c r="H9001" s="559"/>
      <c r="I9001" s="560"/>
      <c r="J9001" s="560">
        <f t="shared" si="310"/>
        <v>0</v>
      </c>
      <c r="K9001" s="505"/>
      <c r="L9001" s="505"/>
      <c r="M9001" s="505"/>
      <c r="N9001" s="505"/>
      <c r="O9001" s="505"/>
      <c r="P9001" s="505"/>
      <c r="Q9001" s="505"/>
      <c r="R9001" s="505"/>
      <c r="S9001" s="505"/>
      <c r="T9001" s="505"/>
      <c r="U9001" s="505"/>
      <c r="V9001" s="505"/>
      <c r="W9001" s="505"/>
      <c r="X9001" s="505"/>
      <c r="Y9001" s="505"/>
    </row>
    <row r="9002" spans="1:25" s="88" customFormat="1" ht="15.75" hidden="1" thickBot="1" x14ac:dyDescent="0.3">
      <c r="A9002" s="481"/>
      <c r="B9002" s="288"/>
      <c r="C9002" s="334"/>
      <c r="D9002" s="286"/>
      <c r="E9002" s="876"/>
      <c r="F9002" s="258"/>
      <c r="G9002" s="268" t="s">
        <v>4191</v>
      </c>
      <c r="H9002" s="561">
        <f>SUM(H8986:H9001)</f>
        <v>0</v>
      </c>
      <c r="I9002" s="562">
        <f>SUM(I8987:I9001)</f>
        <v>0</v>
      </c>
      <c r="J9002" s="562">
        <f>SUM(J8986:J9001)</f>
        <v>0</v>
      </c>
      <c r="K9002" s="505"/>
      <c r="L9002" s="505"/>
      <c r="M9002" s="505"/>
      <c r="N9002" s="505"/>
      <c r="O9002" s="505"/>
      <c r="P9002" s="505"/>
      <c r="Q9002" s="505"/>
      <c r="R9002" s="505"/>
      <c r="S9002" s="505"/>
      <c r="T9002" s="505"/>
      <c r="U9002" s="505"/>
      <c r="V9002" s="505"/>
      <c r="W9002" s="505"/>
      <c r="X9002" s="505"/>
      <c r="Y9002" s="505"/>
    </row>
    <row r="9003" spans="1:25" hidden="1" x14ac:dyDescent="0.25">
      <c r="A9003" s="481"/>
      <c r="G9003" s="312"/>
      <c r="H9003" s="565"/>
      <c r="I9003" s="566"/>
      <c r="J9003" s="566"/>
    </row>
    <row r="9004" spans="1:25" hidden="1" x14ac:dyDescent="0.25">
      <c r="G9004" s="312"/>
      <c r="H9004" s="565"/>
      <c r="I9004" s="566"/>
      <c r="J9004" s="566"/>
    </row>
    <row r="9005" spans="1:25" s="88" customFormat="1" hidden="1" x14ac:dyDescent="0.25">
      <c r="A9005" s="258"/>
      <c r="B9005" s="288"/>
      <c r="C9005" s="294" t="s">
        <v>3575</v>
      </c>
      <c r="D9005" s="294"/>
      <c r="E9005" s="879"/>
      <c r="F9005" s="283"/>
      <c r="G9005" s="329" t="s">
        <v>4200</v>
      </c>
      <c r="H9005" s="572"/>
      <c r="I9005" s="573"/>
      <c r="J9005" s="573"/>
      <c r="K9005" s="505"/>
      <c r="L9005" s="505"/>
      <c r="M9005" s="505"/>
      <c r="N9005" s="505"/>
      <c r="O9005" s="505"/>
      <c r="P9005" s="505"/>
      <c r="Q9005" s="505"/>
      <c r="R9005" s="505"/>
      <c r="S9005" s="505"/>
      <c r="T9005" s="505"/>
      <c r="U9005" s="505"/>
      <c r="V9005" s="505"/>
      <c r="W9005" s="505"/>
      <c r="X9005" s="505"/>
      <c r="Y9005" s="505"/>
    </row>
    <row r="9006" spans="1:25" hidden="1" x14ac:dyDescent="0.25">
      <c r="A9006" s="290"/>
      <c r="C9006" s="267" t="s">
        <v>4113</v>
      </c>
      <c r="D9006" s="259"/>
      <c r="G9006" s="291" t="s">
        <v>4068</v>
      </c>
    </row>
    <row r="9007" spans="1:25" s="88" customFormat="1" hidden="1" x14ac:dyDescent="0.25">
      <c r="A9007" s="258"/>
      <c r="B9007" s="288"/>
      <c r="C9007" s="294"/>
      <c r="D9007" s="344">
        <v>451</v>
      </c>
      <c r="E9007" s="871"/>
      <c r="F9007" s="345"/>
      <c r="G9007" s="346" t="s">
        <v>153</v>
      </c>
      <c r="H9007" s="572"/>
      <c r="I9007" s="573"/>
      <c r="J9007" s="573"/>
      <c r="K9007" s="505"/>
      <c r="L9007" s="505"/>
      <c r="M9007" s="505"/>
      <c r="N9007" s="505"/>
      <c r="O9007" s="505"/>
      <c r="P9007" s="505"/>
      <c r="Q9007" s="505"/>
      <c r="R9007" s="505"/>
      <c r="S9007" s="505"/>
      <c r="T9007" s="505"/>
      <c r="U9007" s="505"/>
      <c r="V9007" s="505"/>
      <c r="W9007" s="505"/>
      <c r="X9007" s="505"/>
      <c r="Y9007" s="505"/>
    </row>
    <row r="9008" spans="1:25" hidden="1" x14ac:dyDescent="0.25">
      <c r="A9008" s="290"/>
      <c r="F9008" s="292">
        <v>411</v>
      </c>
      <c r="G9008" s="319" t="s">
        <v>4131</v>
      </c>
      <c r="J9008" s="556">
        <f>SUM(H9008:I9008)</f>
        <v>0</v>
      </c>
    </row>
    <row r="9009" spans="6:10" hidden="1" x14ac:dyDescent="0.25">
      <c r="F9009" s="292">
        <v>412</v>
      </c>
      <c r="G9009" s="317" t="s">
        <v>3766</v>
      </c>
      <c r="J9009" s="556">
        <f t="shared" ref="J9009:J9067" si="311">SUM(H9009:I9009)</f>
        <v>0</v>
      </c>
    </row>
    <row r="9010" spans="6:10" hidden="1" x14ac:dyDescent="0.25">
      <c r="F9010" s="292">
        <v>413</v>
      </c>
      <c r="G9010" s="319" t="s">
        <v>4132</v>
      </c>
      <c r="J9010" s="556">
        <f t="shared" si="311"/>
        <v>0</v>
      </c>
    </row>
    <row r="9011" spans="6:10" hidden="1" x14ac:dyDescent="0.25">
      <c r="F9011" s="292">
        <v>414</v>
      </c>
      <c r="G9011" s="319" t="s">
        <v>3769</v>
      </c>
      <c r="J9011" s="556">
        <f t="shared" si="311"/>
        <v>0</v>
      </c>
    </row>
    <row r="9012" spans="6:10" hidden="1" x14ac:dyDescent="0.25">
      <c r="F9012" s="292">
        <v>415</v>
      </c>
      <c r="G9012" s="319" t="s">
        <v>4141</v>
      </c>
      <c r="J9012" s="556">
        <f t="shared" si="311"/>
        <v>0</v>
      </c>
    </row>
    <row r="9013" spans="6:10" hidden="1" x14ac:dyDescent="0.25">
      <c r="F9013" s="292">
        <v>416</v>
      </c>
      <c r="G9013" s="319" t="s">
        <v>4142</v>
      </c>
      <c r="J9013" s="556">
        <f t="shared" si="311"/>
        <v>0</v>
      </c>
    </row>
    <row r="9014" spans="6:10" hidden="1" x14ac:dyDescent="0.25">
      <c r="F9014" s="292">
        <v>417</v>
      </c>
      <c r="G9014" s="319" t="s">
        <v>4143</v>
      </c>
      <c r="J9014" s="556">
        <f t="shared" si="311"/>
        <v>0</v>
      </c>
    </row>
    <row r="9015" spans="6:10" hidden="1" x14ac:dyDescent="0.25">
      <c r="F9015" s="292">
        <v>418</v>
      </c>
      <c r="G9015" s="319" t="s">
        <v>3775</v>
      </c>
      <c r="J9015" s="556">
        <f t="shared" si="311"/>
        <v>0</v>
      </c>
    </row>
    <row r="9016" spans="6:10" hidden="1" x14ac:dyDescent="0.25">
      <c r="F9016" s="292">
        <v>421</v>
      </c>
      <c r="G9016" s="319" t="s">
        <v>3779</v>
      </c>
      <c r="J9016" s="556">
        <f t="shared" si="311"/>
        <v>0</v>
      </c>
    </row>
    <row r="9017" spans="6:10" hidden="1" x14ac:dyDescent="0.25">
      <c r="F9017" s="292">
        <v>422</v>
      </c>
      <c r="G9017" s="319" t="s">
        <v>3780</v>
      </c>
      <c r="J9017" s="556">
        <f t="shared" si="311"/>
        <v>0</v>
      </c>
    </row>
    <row r="9018" spans="6:10" hidden="1" x14ac:dyDescent="0.25">
      <c r="F9018" s="292">
        <v>423</v>
      </c>
      <c r="G9018" s="319" t="s">
        <v>3781</v>
      </c>
      <c r="J9018" s="556">
        <f t="shared" si="311"/>
        <v>0</v>
      </c>
    </row>
    <row r="9019" spans="6:10" hidden="1" x14ac:dyDescent="0.25">
      <c r="F9019" s="292">
        <v>424</v>
      </c>
      <c r="G9019" s="319" t="s">
        <v>3783</v>
      </c>
      <c r="J9019" s="556">
        <f t="shared" si="311"/>
        <v>0</v>
      </c>
    </row>
    <row r="9020" spans="6:10" hidden="1" x14ac:dyDescent="0.25">
      <c r="F9020" s="292">
        <v>425</v>
      </c>
      <c r="G9020" s="319" t="s">
        <v>4144</v>
      </c>
      <c r="J9020" s="556">
        <f t="shared" si="311"/>
        <v>0</v>
      </c>
    </row>
    <row r="9021" spans="6:10" hidden="1" x14ac:dyDescent="0.25">
      <c r="F9021" s="292">
        <v>426</v>
      </c>
      <c r="G9021" s="319" t="s">
        <v>3787</v>
      </c>
      <c r="J9021" s="556">
        <f t="shared" si="311"/>
        <v>0</v>
      </c>
    </row>
    <row r="9022" spans="6:10" hidden="1" x14ac:dyDescent="0.25">
      <c r="F9022" s="292">
        <v>431</v>
      </c>
      <c r="G9022" s="319" t="s">
        <v>4145</v>
      </c>
      <c r="J9022" s="556">
        <f t="shared" si="311"/>
        <v>0</v>
      </c>
    </row>
    <row r="9023" spans="6:10" hidden="1" x14ac:dyDescent="0.25">
      <c r="F9023" s="292">
        <v>432</v>
      </c>
      <c r="G9023" s="319" t="s">
        <v>4146</v>
      </c>
      <c r="J9023" s="556">
        <f t="shared" si="311"/>
        <v>0</v>
      </c>
    </row>
    <row r="9024" spans="6:10" hidden="1" x14ac:dyDescent="0.25">
      <c r="F9024" s="292">
        <v>433</v>
      </c>
      <c r="G9024" s="319" t="s">
        <v>4147</v>
      </c>
      <c r="J9024" s="556">
        <f t="shared" si="311"/>
        <v>0</v>
      </c>
    </row>
    <row r="9025" spans="6:10" hidden="1" x14ac:dyDescent="0.25">
      <c r="F9025" s="292">
        <v>434</v>
      </c>
      <c r="G9025" s="319" t="s">
        <v>4148</v>
      </c>
      <c r="J9025" s="556">
        <f t="shared" si="311"/>
        <v>0</v>
      </c>
    </row>
    <row r="9026" spans="6:10" hidden="1" x14ac:dyDescent="0.25">
      <c r="F9026" s="292">
        <v>435</v>
      </c>
      <c r="G9026" s="319" t="s">
        <v>3794</v>
      </c>
      <c r="J9026" s="556">
        <f t="shared" si="311"/>
        <v>0</v>
      </c>
    </row>
    <row r="9027" spans="6:10" hidden="1" x14ac:dyDescent="0.25">
      <c r="F9027" s="292">
        <v>441</v>
      </c>
      <c r="G9027" s="319" t="s">
        <v>4149</v>
      </c>
      <c r="J9027" s="556">
        <f t="shared" si="311"/>
        <v>0</v>
      </c>
    </row>
    <row r="9028" spans="6:10" hidden="1" x14ac:dyDescent="0.25">
      <c r="F9028" s="292">
        <v>442</v>
      </c>
      <c r="G9028" s="319" t="s">
        <v>4150</v>
      </c>
      <c r="J9028" s="556">
        <f t="shared" si="311"/>
        <v>0</v>
      </c>
    </row>
    <row r="9029" spans="6:10" hidden="1" x14ac:dyDescent="0.25">
      <c r="F9029" s="292">
        <v>443</v>
      </c>
      <c r="G9029" s="319" t="s">
        <v>3799</v>
      </c>
      <c r="J9029" s="556">
        <f t="shared" si="311"/>
        <v>0</v>
      </c>
    </row>
    <row r="9030" spans="6:10" hidden="1" x14ac:dyDescent="0.25">
      <c r="F9030" s="292">
        <v>444</v>
      </c>
      <c r="G9030" s="319" t="s">
        <v>3800</v>
      </c>
      <c r="J9030" s="556">
        <f t="shared" si="311"/>
        <v>0</v>
      </c>
    </row>
    <row r="9031" spans="6:10" ht="30" hidden="1" x14ac:dyDescent="0.25">
      <c r="F9031" s="292">
        <v>4511</v>
      </c>
      <c r="G9031" s="263" t="s">
        <v>1690</v>
      </c>
      <c r="J9031" s="556">
        <f t="shared" si="311"/>
        <v>0</v>
      </c>
    </row>
    <row r="9032" spans="6:10" ht="30" hidden="1" x14ac:dyDescent="0.25">
      <c r="F9032" s="292">
        <v>4512</v>
      </c>
      <c r="G9032" s="263" t="s">
        <v>1699</v>
      </c>
      <c r="J9032" s="556">
        <f t="shared" si="311"/>
        <v>0</v>
      </c>
    </row>
    <row r="9033" spans="6:10" hidden="1" x14ac:dyDescent="0.25">
      <c r="F9033" s="292">
        <v>452</v>
      </c>
      <c r="G9033" s="319" t="s">
        <v>4151</v>
      </c>
      <c r="J9033" s="556">
        <f t="shared" si="311"/>
        <v>0</v>
      </c>
    </row>
    <row r="9034" spans="6:10" hidden="1" x14ac:dyDescent="0.25">
      <c r="F9034" s="292">
        <v>453</v>
      </c>
      <c r="G9034" s="319" t="s">
        <v>4152</v>
      </c>
      <c r="J9034" s="556">
        <f t="shared" si="311"/>
        <v>0</v>
      </c>
    </row>
    <row r="9035" spans="6:10" hidden="1" x14ac:dyDescent="0.25">
      <c r="F9035" s="292">
        <v>454</v>
      </c>
      <c r="G9035" s="319" t="s">
        <v>3805</v>
      </c>
      <c r="J9035" s="556">
        <f t="shared" si="311"/>
        <v>0</v>
      </c>
    </row>
    <row r="9036" spans="6:10" hidden="1" x14ac:dyDescent="0.25">
      <c r="F9036" s="292">
        <v>461</v>
      </c>
      <c r="G9036" s="319" t="s">
        <v>4133</v>
      </c>
      <c r="J9036" s="556">
        <f t="shared" si="311"/>
        <v>0</v>
      </c>
    </row>
    <row r="9037" spans="6:10" hidden="1" x14ac:dyDescent="0.25">
      <c r="F9037" s="292">
        <v>462</v>
      </c>
      <c r="G9037" s="319" t="s">
        <v>3808</v>
      </c>
      <c r="J9037" s="556">
        <f t="shared" si="311"/>
        <v>0</v>
      </c>
    </row>
    <row r="9038" spans="6:10" hidden="1" x14ac:dyDescent="0.25">
      <c r="F9038" s="292">
        <v>4631</v>
      </c>
      <c r="G9038" s="319" t="s">
        <v>3809</v>
      </c>
      <c r="J9038" s="556">
        <f t="shared" si="311"/>
        <v>0</v>
      </c>
    </row>
    <row r="9039" spans="6:10" hidden="1" x14ac:dyDescent="0.25">
      <c r="F9039" s="292">
        <v>4632</v>
      </c>
      <c r="G9039" s="319" t="s">
        <v>3810</v>
      </c>
      <c r="J9039" s="556">
        <f t="shared" si="311"/>
        <v>0</v>
      </c>
    </row>
    <row r="9040" spans="6:10" hidden="1" x14ac:dyDescent="0.25">
      <c r="F9040" s="292">
        <v>464</v>
      </c>
      <c r="G9040" s="319" t="s">
        <v>3811</v>
      </c>
      <c r="J9040" s="556">
        <f t="shared" si="311"/>
        <v>0</v>
      </c>
    </row>
    <row r="9041" spans="6:10" hidden="1" x14ac:dyDescent="0.25">
      <c r="F9041" s="292">
        <v>465</v>
      </c>
      <c r="G9041" s="319" t="s">
        <v>4134</v>
      </c>
      <c r="J9041" s="556">
        <f t="shared" si="311"/>
        <v>0</v>
      </c>
    </row>
    <row r="9042" spans="6:10" hidden="1" x14ac:dyDescent="0.25">
      <c r="F9042" s="292">
        <v>472</v>
      </c>
      <c r="G9042" s="319" t="s">
        <v>3815</v>
      </c>
      <c r="J9042" s="556">
        <f t="shared" si="311"/>
        <v>0</v>
      </c>
    </row>
    <row r="9043" spans="6:10" hidden="1" x14ac:dyDescent="0.25">
      <c r="F9043" s="292">
        <v>481</v>
      </c>
      <c r="G9043" s="319" t="s">
        <v>4153</v>
      </c>
      <c r="J9043" s="556">
        <f t="shared" si="311"/>
        <v>0</v>
      </c>
    </row>
    <row r="9044" spans="6:10" hidden="1" x14ac:dyDescent="0.25">
      <c r="F9044" s="292">
        <v>482</v>
      </c>
      <c r="G9044" s="319" t="s">
        <v>4154</v>
      </c>
      <c r="J9044" s="556">
        <f t="shared" si="311"/>
        <v>0</v>
      </c>
    </row>
    <row r="9045" spans="6:10" hidden="1" x14ac:dyDescent="0.25">
      <c r="F9045" s="292">
        <v>483</v>
      </c>
      <c r="G9045" s="322" t="s">
        <v>4155</v>
      </c>
      <c r="J9045" s="556">
        <f t="shared" si="311"/>
        <v>0</v>
      </c>
    </row>
    <row r="9046" spans="6:10" ht="30" hidden="1" x14ac:dyDescent="0.25">
      <c r="F9046" s="292">
        <v>484</v>
      </c>
      <c r="G9046" s="319" t="s">
        <v>4156</v>
      </c>
      <c r="J9046" s="556">
        <f t="shared" si="311"/>
        <v>0</v>
      </c>
    </row>
    <row r="9047" spans="6:10" ht="30" hidden="1" x14ac:dyDescent="0.25">
      <c r="F9047" s="292">
        <v>485</v>
      </c>
      <c r="G9047" s="319" t="s">
        <v>4157</v>
      </c>
      <c r="J9047" s="556">
        <f t="shared" si="311"/>
        <v>0</v>
      </c>
    </row>
    <row r="9048" spans="6:10" ht="30" hidden="1" x14ac:dyDescent="0.25">
      <c r="F9048" s="292">
        <v>489</v>
      </c>
      <c r="G9048" s="319" t="s">
        <v>3823</v>
      </c>
      <c r="J9048" s="556">
        <f t="shared" si="311"/>
        <v>0</v>
      </c>
    </row>
    <row r="9049" spans="6:10" hidden="1" x14ac:dyDescent="0.25">
      <c r="F9049" s="292">
        <v>494</v>
      </c>
      <c r="G9049" s="319" t="s">
        <v>4135</v>
      </c>
      <c r="J9049" s="556">
        <f t="shared" si="311"/>
        <v>0</v>
      </c>
    </row>
    <row r="9050" spans="6:10" ht="30" hidden="1" x14ac:dyDescent="0.25">
      <c r="F9050" s="292">
        <v>495</v>
      </c>
      <c r="G9050" s="319" t="s">
        <v>4136</v>
      </c>
      <c r="J9050" s="556">
        <f t="shared" si="311"/>
        <v>0</v>
      </c>
    </row>
    <row r="9051" spans="6:10" ht="30" hidden="1" x14ac:dyDescent="0.25">
      <c r="F9051" s="292">
        <v>496</v>
      </c>
      <c r="G9051" s="319" t="s">
        <v>4137</v>
      </c>
      <c r="J9051" s="556">
        <f t="shared" si="311"/>
        <v>0</v>
      </c>
    </row>
    <row r="9052" spans="6:10" ht="30" hidden="1" x14ac:dyDescent="0.25">
      <c r="F9052" s="292">
        <v>499</v>
      </c>
      <c r="G9052" s="319" t="s">
        <v>4138</v>
      </c>
      <c r="J9052" s="556">
        <f t="shared" si="311"/>
        <v>0</v>
      </c>
    </row>
    <row r="9053" spans="6:10" hidden="1" x14ac:dyDescent="0.25">
      <c r="F9053" s="292">
        <v>511</v>
      </c>
      <c r="G9053" s="322" t="s">
        <v>4158</v>
      </c>
      <c r="J9053" s="556">
        <f t="shared" si="311"/>
        <v>0</v>
      </c>
    </row>
    <row r="9054" spans="6:10" hidden="1" x14ac:dyDescent="0.25">
      <c r="F9054" s="292">
        <v>512</v>
      </c>
      <c r="G9054" s="322" t="s">
        <v>4159</v>
      </c>
      <c r="J9054" s="556">
        <f t="shared" si="311"/>
        <v>0</v>
      </c>
    </row>
    <row r="9055" spans="6:10" hidden="1" x14ac:dyDescent="0.25">
      <c r="F9055" s="292">
        <v>513</v>
      </c>
      <c r="G9055" s="322" t="s">
        <v>4160</v>
      </c>
      <c r="J9055" s="556">
        <f t="shared" si="311"/>
        <v>0</v>
      </c>
    </row>
    <row r="9056" spans="6:10" hidden="1" x14ac:dyDescent="0.25">
      <c r="F9056" s="292">
        <v>514</v>
      </c>
      <c r="G9056" s="319" t="s">
        <v>4161</v>
      </c>
      <c r="J9056" s="556">
        <f t="shared" si="311"/>
        <v>0</v>
      </c>
    </row>
    <row r="9057" spans="5:10" hidden="1" x14ac:dyDescent="0.25">
      <c r="F9057" s="292">
        <v>515</v>
      </c>
      <c r="G9057" s="319" t="s">
        <v>3834</v>
      </c>
      <c r="J9057" s="556">
        <f t="shared" si="311"/>
        <v>0</v>
      </c>
    </row>
    <row r="9058" spans="5:10" hidden="1" x14ac:dyDescent="0.25">
      <c r="F9058" s="292">
        <v>521</v>
      </c>
      <c r="G9058" s="319" t="s">
        <v>4162</v>
      </c>
      <c r="J9058" s="556">
        <f t="shared" si="311"/>
        <v>0</v>
      </c>
    </row>
    <row r="9059" spans="5:10" hidden="1" x14ac:dyDescent="0.25">
      <c r="F9059" s="292">
        <v>522</v>
      </c>
      <c r="G9059" s="319" t="s">
        <v>4163</v>
      </c>
      <c r="J9059" s="556">
        <f t="shared" si="311"/>
        <v>0</v>
      </c>
    </row>
    <row r="9060" spans="5:10" hidden="1" x14ac:dyDescent="0.25">
      <c r="F9060" s="292">
        <v>523</v>
      </c>
      <c r="G9060" s="319" t="s">
        <v>3839</v>
      </c>
      <c r="J9060" s="556">
        <f t="shared" si="311"/>
        <v>0</v>
      </c>
    </row>
    <row r="9061" spans="5:10" hidden="1" x14ac:dyDescent="0.25">
      <c r="F9061" s="292">
        <v>531</v>
      </c>
      <c r="G9061" s="317" t="s">
        <v>4139</v>
      </c>
      <c r="J9061" s="556">
        <f t="shared" si="311"/>
        <v>0</v>
      </c>
    </row>
    <row r="9062" spans="5:10" hidden="1" x14ac:dyDescent="0.25">
      <c r="F9062" s="292">
        <v>541</v>
      </c>
      <c r="G9062" s="319" t="s">
        <v>4164</v>
      </c>
      <c r="J9062" s="556">
        <f t="shared" si="311"/>
        <v>0</v>
      </c>
    </row>
    <row r="9063" spans="5:10" hidden="1" x14ac:dyDescent="0.25">
      <c r="F9063" s="292">
        <v>542</v>
      </c>
      <c r="G9063" s="319" t="s">
        <v>4165</v>
      </c>
      <c r="J9063" s="556">
        <f t="shared" si="311"/>
        <v>0</v>
      </c>
    </row>
    <row r="9064" spans="5:10" hidden="1" x14ac:dyDescent="0.25">
      <c r="F9064" s="292">
        <v>543</v>
      </c>
      <c r="G9064" s="319" t="s">
        <v>3844</v>
      </c>
      <c r="J9064" s="556">
        <f t="shared" si="311"/>
        <v>0</v>
      </c>
    </row>
    <row r="9065" spans="5:10" ht="30" hidden="1" x14ac:dyDescent="0.25">
      <c r="F9065" s="292">
        <v>551</v>
      </c>
      <c r="G9065" s="319" t="s">
        <v>4140</v>
      </c>
      <c r="J9065" s="556">
        <f t="shared" si="311"/>
        <v>0</v>
      </c>
    </row>
    <row r="9066" spans="5:10" hidden="1" x14ac:dyDescent="0.25">
      <c r="F9066" s="293">
        <v>611</v>
      </c>
      <c r="G9066" s="323" t="s">
        <v>3850</v>
      </c>
      <c r="J9066" s="556">
        <f t="shared" si="311"/>
        <v>0</v>
      </c>
    </row>
    <row r="9067" spans="5:10" hidden="1" x14ac:dyDescent="0.25">
      <c r="F9067" s="293">
        <v>620</v>
      </c>
      <c r="G9067" s="323" t="s">
        <v>88</v>
      </c>
      <c r="J9067" s="556">
        <f t="shared" si="311"/>
        <v>0</v>
      </c>
    </row>
    <row r="9068" spans="5:10" hidden="1" x14ac:dyDescent="0.25">
      <c r="E9068" s="489"/>
      <c r="F9068" s="324"/>
      <c r="G9068" s="342" t="s">
        <v>4300</v>
      </c>
      <c r="H9068" s="557"/>
      <c r="I9068" s="583"/>
      <c r="J9068" s="558"/>
    </row>
    <row r="9069" spans="5:10" hidden="1" x14ac:dyDescent="0.25">
      <c r="E9069" s="693"/>
      <c r="F9069" s="284" t="s">
        <v>234</v>
      </c>
      <c r="G9069" s="287" t="s">
        <v>235</v>
      </c>
      <c r="H9069" s="559">
        <f>SUM(H9008:H9067)</f>
        <v>0</v>
      </c>
      <c r="I9069" s="560"/>
      <c r="J9069" s="560">
        <f>SUM(H9069:I9069)</f>
        <v>0</v>
      </c>
    </row>
    <row r="9070" spans="5:10" hidden="1" x14ac:dyDescent="0.25">
      <c r="F9070" s="284" t="s">
        <v>236</v>
      </c>
      <c r="G9070" s="287" t="s">
        <v>237</v>
      </c>
      <c r="J9070" s="560">
        <f t="shared" ref="J9070:J9084" si="312">SUM(H9070:I9070)</f>
        <v>0</v>
      </c>
    </row>
    <row r="9071" spans="5:10" hidden="1" x14ac:dyDescent="0.25">
      <c r="F9071" s="284" t="s">
        <v>238</v>
      </c>
      <c r="G9071" s="287" t="s">
        <v>239</v>
      </c>
      <c r="J9071" s="560">
        <f t="shared" si="312"/>
        <v>0</v>
      </c>
    </row>
    <row r="9072" spans="5:10" hidden="1" x14ac:dyDescent="0.25">
      <c r="F9072" s="284" t="s">
        <v>240</v>
      </c>
      <c r="G9072" s="287" t="s">
        <v>241</v>
      </c>
      <c r="J9072" s="560">
        <f t="shared" si="312"/>
        <v>0</v>
      </c>
    </row>
    <row r="9073" spans="5:10" hidden="1" x14ac:dyDescent="0.25">
      <c r="F9073" s="284" t="s">
        <v>242</v>
      </c>
      <c r="G9073" s="287" t="s">
        <v>243</v>
      </c>
      <c r="J9073" s="560">
        <f t="shared" si="312"/>
        <v>0</v>
      </c>
    </row>
    <row r="9074" spans="5:10" hidden="1" x14ac:dyDescent="0.25">
      <c r="F9074" s="284" t="s">
        <v>244</v>
      </c>
      <c r="G9074" s="287" t="s">
        <v>245</v>
      </c>
      <c r="J9074" s="560">
        <f t="shared" si="312"/>
        <v>0</v>
      </c>
    </row>
    <row r="9075" spans="5:10" hidden="1" x14ac:dyDescent="0.25">
      <c r="F9075" s="284" t="s">
        <v>246</v>
      </c>
      <c r="G9075" s="598" t="s">
        <v>4996</v>
      </c>
      <c r="J9075" s="560">
        <f t="shared" si="312"/>
        <v>0</v>
      </c>
    </row>
    <row r="9076" spans="5:10" hidden="1" x14ac:dyDescent="0.25">
      <c r="F9076" s="284" t="s">
        <v>247</v>
      </c>
      <c r="G9076" s="598" t="s">
        <v>4995</v>
      </c>
      <c r="J9076" s="560">
        <f t="shared" si="312"/>
        <v>0</v>
      </c>
    </row>
    <row r="9077" spans="5:10" hidden="1" x14ac:dyDescent="0.25">
      <c r="F9077" s="284" t="s">
        <v>248</v>
      </c>
      <c r="G9077" s="287" t="s">
        <v>57</v>
      </c>
      <c r="J9077" s="560">
        <f t="shared" si="312"/>
        <v>0</v>
      </c>
    </row>
    <row r="9078" spans="5:10" hidden="1" x14ac:dyDescent="0.25">
      <c r="F9078" s="284" t="s">
        <v>249</v>
      </c>
      <c r="G9078" s="287" t="s">
        <v>250</v>
      </c>
      <c r="J9078" s="560">
        <f t="shared" si="312"/>
        <v>0</v>
      </c>
    </row>
    <row r="9079" spans="5:10" hidden="1" x14ac:dyDescent="0.25">
      <c r="F9079" s="284" t="s">
        <v>251</v>
      </c>
      <c r="G9079" s="287" t="s">
        <v>252</v>
      </c>
      <c r="J9079" s="560">
        <f t="shared" si="312"/>
        <v>0</v>
      </c>
    </row>
    <row r="9080" spans="5:10" ht="30" hidden="1" x14ac:dyDescent="0.25">
      <c r="F9080" s="284" t="s">
        <v>253</v>
      </c>
      <c r="G9080" s="287" t="s">
        <v>254</v>
      </c>
      <c r="J9080" s="560">
        <f t="shared" si="312"/>
        <v>0</v>
      </c>
    </row>
    <row r="9081" spans="5:10" hidden="1" x14ac:dyDescent="0.25">
      <c r="F9081" s="284" t="s">
        <v>255</v>
      </c>
      <c r="G9081" s="287" t="s">
        <v>256</v>
      </c>
      <c r="J9081" s="560">
        <f t="shared" si="312"/>
        <v>0</v>
      </c>
    </row>
    <row r="9082" spans="5:10" ht="30" hidden="1" x14ac:dyDescent="0.25">
      <c r="F9082" s="284" t="s">
        <v>257</v>
      </c>
      <c r="G9082" s="287" t="s">
        <v>258</v>
      </c>
      <c r="J9082" s="560">
        <f t="shared" si="312"/>
        <v>0</v>
      </c>
    </row>
    <row r="9083" spans="5:10" hidden="1" x14ac:dyDescent="0.25">
      <c r="F9083" s="284" t="s">
        <v>259</v>
      </c>
      <c r="G9083" s="287" t="s">
        <v>260</v>
      </c>
      <c r="J9083" s="560">
        <f t="shared" si="312"/>
        <v>0</v>
      </c>
    </row>
    <row r="9084" spans="5:10" hidden="1" x14ac:dyDescent="0.25">
      <c r="F9084" s="284" t="s">
        <v>261</v>
      </c>
      <c r="G9084" s="287" t="s">
        <v>262</v>
      </c>
      <c r="H9084" s="559"/>
      <c r="I9084" s="560"/>
      <c r="J9084" s="560">
        <f t="shared" si="312"/>
        <v>0</v>
      </c>
    </row>
    <row r="9085" spans="5:10" ht="15.75" hidden="1" thickBot="1" x14ac:dyDescent="0.3">
      <c r="G9085" s="268" t="s">
        <v>4299</v>
      </c>
      <c r="H9085" s="561">
        <f>SUM(H9069:H9084)</f>
        <v>0</v>
      </c>
      <c r="I9085" s="562">
        <f>SUM(I9070:I9084)</f>
        <v>0</v>
      </c>
      <c r="J9085" s="562">
        <f>SUM(J9069:J9084)</f>
        <v>0</v>
      </c>
    </row>
    <row r="9086" spans="5:10" ht="28.5" hidden="1" collapsed="1" x14ac:dyDescent="0.25">
      <c r="E9086" s="489"/>
      <c r="F9086" s="293"/>
      <c r="G9086" s="270" t="s">
        <v>4201</v>
      </c>
      <c r="H9086" s="563"/>
      <c r="I9086" s="584"/>
      <c r="J9086" s="564"/>
    </row>
    <row r="9087" spans="5:10" hidden="1" x14ac:dyDescent="0.25">
      <c r="E9087" s="693"/>
      <c r="F9087" s="284" t="s">
        <v>234</v>
      </c>
      <c r="G9087" s="287" t="s">
        <v>235</v>
      </c>
      <c r="H9087" s="559">
        <f>SUM(H9008:H9067)</f>
        <v>0</v>
      </c>
      <c r="I9087" s="560"/>
      <c r="J9087" s="560">
        <f>SUM(H9087:I9087)</f>
        <v>0</v>
      </c>
    </row>
    <row r="9088" spans="5:10" hidden="1" x14ac:dyDescent="0.25">
      <c r="F9088" s="284" t="s">
        <v>236</v>
      </c>
      <c r="G9088" s="287" t="s">
        <v>237</v>
      </c>
      <c r="J9088" s="560">
        <f t="shared" ref="J9088:J9102" si="313">SUM(H9088:I9088)</f>
        <v>0</v>
      </c>
    </row>
    <row r="9089" spans="1:25" hidden="1" x14ac:dyDescent="0.25">
      <c r="F9089" s="284" t="s">
        <v>238</v>
      </c>
      <c r="G9089" s="287" t="s">
        <v>239</v>
      </c>
      <c r="J9089" s="560">
        <f t="shared" si="313"/>
        <v>0</v>
      </c>
    </row>
    <row r="9090" spans="1:25" hidden="1" x14ac:dyDescent="0.25">
      <c r="F9090" s="284" t="s">
        <v>240</v>
      </c>
      <c r="G9090" s="287" t="s">
        <v>241</v>
      </c>
      <c r="J9090" s="560">
        <f t="shared" si="313"/>
        <v>0</v>
      </c>
    </row>
    <row r="9091" spans="1:25" hidden="1" x14ac:dyDescent="0.25">
      <c r="F9091" s="284" t="s">
        <v>242</v>
      </c>
      <c r="G9091" s="287" t="s">
        <v>243</v>
      </c>
      <c r="J9091" s="560">
        <f t="shared" si="313"/>
        <v>0</v>
      </c>
    </row>
    <row r="9092" spans="1:25" hidden="1" x14ac:dyDescent="0.25">
      <c r="F9092" s="284" t="s">
        <v>244</v>
      </c>
      <c r="G9092" s="287" t="s">
        <v>245</v>
      </c>
      <c r="J9092" s="560">
        <f t="shared" si="313"/>
        <v>0</v>
      </c>
    </row>
    <row r="9093" spans="1:25" hidden="1" x14ac:dyDescent="0.25">
      <c r="F9093" s="284" t="s">
        <v>246</v>
      </c>
      <c r="G9093" s="598" t="s">
        <v>4996</v>
      </c>
      <c r="J9093" s="560">
        <f t="shared" si="313"/>
        <v>0</v>
      </c>
    </row>
    <row r="9094" spans="1:25" hidden="1" x14ac:dyDescent="0.25">
      <c r="F9094" s="284" t="s">
        <v>247</v>
      </c>
      <c r="G9094" s="598" t="s">
        <v>4995</v>
      </c>
      <c r="J9094" s="560">
        <f t="shared" si="313"/>
        <v>0</v>
      </c>
    </row>
    <row r="9095" spans="1:25" hidden="1" x14ac:dyDescent="0.25">
      <c r="F9095" s="284" t="s">
        <v>248</v>
      </c>
      <c r="G9095" s="287" t="s">
        <v>57</v>
      </c>
      <c r="J9095" s="560">
        <f t="shared" si="313"/>
        <v>0</v>
      </c>
    </row>
    <row r="9096" spans="1:25" hidden="1" x14ac:dyDescent="0.25">
      <c r="F9096" s="284" t="s">
        <v>249</v>
      </c>
      <c r="G9096" s="287" t="s">
        <v>250</v>
      </c>
      <c r="J9096" s="560">
        <f t="shared" si="313"/>
        <v>0</v>
      </c>
    </row>
    <row r="9097" spans="1:25" hidden="1" x14ac:dyDescent="0.25">
      <c r="F9097" s="284" t="s">
        <v>251</v>
      </c>
      <c r="G9097" s="287" t="s">
        <v>252</v>
      </c>
      <c r="J9097" s="560">
        <f t="shared" si="313"/>
        <v>0</v>
      </c>
    </row>
    <row r="9098" spans="1:25" ht="30" hidden="1" x14ac:dyDescent="0.25">
      <c r="F9098" s="284" t="s">
        <v>253</v>
      </c>
      <c r="G9098" s="287" t="s">
        <v>254</v>
      </c>
      <c r="J9098" s="560">
        <f t="shared" si="313"/>
        <v>0</v>
      </c>
    </row>
    <row r="9099" spans="1:25" hidden="1" x14ac:dyDescent="0.25">
      <c r="F9099" s="284" t="s">
        <v>255</v>
      </c>
      <c r="G9099" s="287" t="s">
        <v>256</v>
      </c>
      <c r="J9099" s="560">
        <f t="shared" si="313"/>
        <v>0</v>
      </c>
    </row>
    <row r="9100" spans="1:25" ht="30" hidden="1" x14ac:dyDescent="0.25">
      <c r="F9100" s="284" t="s">
        <v>257</v>
      </c>
      <c r="G9100" s="287" t="s">
        <v>258</v>
      </c>
      <c r="J9100" s="560">
        <f t="shared" si="313"/>
        <v>0</v>
      </c>
    </row>
    <row r="9101" spans="1:25" hidden="1" x14ac:dyDescent="0.25">
      <c r="F9101" s="284" t="s">
        <v>259</v>
      </c>
      <c r="G9101" s="287" t="s">
        <v>260</v>
      </c>
      <c r="J9101" s="560">
        <f t="shared" si="313"/>
        <v>0</v>
      </c>
    </row>
    <row r="9102" spans="1:25" hidden="1" x14ac:dyDescent="0.25">
      <c r="F9102" s="284" t="s">
        <v>261</v>
      </c>
      <c r="G9102" s="287" t="s">
        <v>262</v>
      </c>
      <c r="H9102" s="559"/>
      <c r="I9102" s="560"/>
      <c r="J9102" s="560">
        <f t="shared" si="313"/>
        <v>0</v>
      </c>
    </row>
    <row r="9103" spans="1:25" ht="15.75" hidden="1" collapsed="1" thickBot="1" x14ac:dyDescent="0.3">
      <c r="G9103" s="268" t="s">
        <v>4202</v>
      </c>
      <c r="H9103" s="561">
        <f>SUM(H9087:H9102)</f>
        <v>0</v>
      </c>
      <c r="I9103" s="562">
        <f>SUM(I9088:I9102)</f>
        <v>0</v>
      </c>
      <c r="J9103" s="562">
        <f>SUM(J9087:J9102)</f>
        <v>0</v>
      </c>
    </row>
    <row r="9104" spans="1:25" s="88" customFormat="1" hidden="1" x14ac:dyDescent="0.25">
      <c r="A9104" s="258"/>
      <c r="B9104" s="288"/>
      <c r="C9104" s="294"/>
      <c r="E9104" s="877"/>
      <c r="G9104" s="301"/>
      <c r="H9104" s="572"/>
      <c r="I9104" s="573"/>
      <c r="J9104" s="573"/>
      <c r="K9104" s="505"/>
      <c r="L9104" s="505"/>
      <c r="M9104" s="505"/>
      <c r="N9104" s="505"/>
      <c r="O9104" s="505"/>
      <c r="P9104" s="505"/>
      <c r="Q9104" s="505"/>
      <c r="R9104" s="505"/>
      <c r="S9104" s="505"/>
      <c r="T9104" s="505"/>
      <c r="U9104" s="505"/>
      <c r="V9104" s="505"/>
      <c r="W9104" s="505"/>
      <c r="X9104" s="505"/>
      <c r="Y9104" s="505"/>
    </row>
    <row r="9105" spans="1:25" s="88" customFormat="1" hidden="1" x14ac:dyDescent="0.25">
      <c r="A9105" s="290"/>
      <c r="B9105" s="288"/>
      <c r="C9105" s="334"/>
      <c r="D9105" s="286"/>
      <c r="E9105" s="876"/>
      <c r="F9105" s="293"/>
      <c r="G9105" s="285" t="s">
        <v>4203</v>
      </c>
      <c r="H9105" s="567"/>
      <c r="I9105" s="585"/>
      <c r="J9105" s="568"/>
      <c r="K9105" s="505"/>
      <c r="L9105" s="505"/>
      <c r="M9105" s="505"/>
      <c r="N9105" s="505"/>
      <c r="O9105" s="505"/>
      <c r="P9105" s="505"/>
      <c r="Q9105" s="505"/>
      <c r="R9105" s="505"/>
      <c r="S9105" s="505"/>
      <c r="T9105" s="505"/>
      <c r="U9105" s="505"/>
      <c r="V9105" s="505"/>
      <c r="W9105" s="505"/>
      <c r="X9105" s="505"/>
      <c r="Y9105" s="505"/>
    </row>
    <row r="9106" spans="1:25" s="88" customFormat="1" hidden="1" x14ac:dyDescent="0.25">
      <c r="A9106" s="290"/>
      <c r="B9106" s="288"/>
      <c r="C9106" s="334"/>
      <c r="D9106" s="286"/>
      <c r="E9106" s="876"/>
      <c r="F9106" s="284" t="s">
        <v>234</v>
      </c>
      <c r="G9106" s="287" t="s">
        <v>235</v>
      </c>
      <c r="H9106" s="559">
        <f>SUM(H9087)</f>
        <v>0</v>
      </c>
      <c r="I9106" s="560"/>
      <c r="J9106" s="560">
        <f>SUM(H9106:I9106)</f>
        <v>0</v>
      </c>
      <c r="K9106" s="505"/>
      <c r="L9106" s="505"/>
      <c r="M9106" s="505"/>
      <c r="N9106" s="505"/>
      <c r="O9106" s="505"/>
      <c r="P9106" s="505"/>
      <c r="Q9106" s="505"/>
      <c r="R9106" s="505"/>
      <c r="S9106" s="505"/>
      <c r="T9106" s="505"/>
      <c r="U9106" s="505"/>
      <c r="V9106" s="505"/>
      <c r="W9106" s="505"/>
      <c r="X9106" s="505"/>
      <c r="Y9106" s="505"/>
    </row>
    <row r="9107" spans="1:25" s="88" customFormat="1" hidden="1" x14ac:dyDescent="0.25">
      <c r="A9107" s="290"/>
      <c r="B9107" s="288"/>
      <c r="C9107" s="334"/>
      <c r="D9107" s="286"/>
      <c r="E9107" s="876"/>
      <c r="F9107" s="284" t="s">
        <v>236</v>
      </c>
      <c r="G9107" s="287" t="s">
        <v>237</v>
      </c>
      <c r="H9107" s="555"/>
      <c r="I9107" s="556"/>
      <c r="J9107" s="560">
        <f t="shared" ref="J9107:J9121" si="314">SUM(H9107:I9107)</f>
        <v>0</v>
      </c>
      <c r="K9107" s="505"/>
      <c r="L9107" s="505"/>
      <c r="M9107" s="505"/>
      <c r="N9107" s="505"/>
      <c r="O9107" s="505"/>
      <c r="P9107" s="505"/>
      <c r="Q9107" s="505"/>
      <c r="R9107" s="505"/>
      <c r="S9107" s="505"/>
      <c r="T9107" s="505"/>
      <c r="U9107" s="505"/>
      <c r="V9107" s="505"/>
      <c r="W9107" s="505"/>
      <c r="X9107" s="505"/>
      <c r="Y9107" s="505"/>
    </row>
    <row r="9108" spans="1:25" s="88" customFormat="1" hidden="1" x14ac:dyDescent="0.25">
      <c r="A9108" s="290"/>
      <c r="B9108" s="288"/>
      <c r="C9108" s="334"/>
      <c r="D9108" s="286"/>
      <c r="E9108" s="876"/>
      <c r="F9108" s="284" t="s">
        <v>238</v>
      </c>
      <c r="G9108" s="287" t="s">
        <v>239</v>
      </c>
      <c r="H9108" s="555"/>
      <c r="I9108" s="556"/>
      <c r="J9108" s="560">
        <f t="shared" si="314"/>
        <v>0</v>
      </c>
      <c r="K9108" s="505"/>
      <c r="L9108" s="505"/>
      <c r="M9108" s="505"/>
      <c r="N9108" s="505"/>
      <c r="O9108" s="505"/>
      <c r="P9108" s="505"/>
      <c r="Q9108" s="505"/>
      <c r="R9108" s="505"/>
      <c r="S9108" s="505"/>
      <c r="T9108" s="505"/>
      <c r="U9108" s="505"/>
      <c r="V9108" s="505"/>
      <c r="W9108" s="505"/>
      <c r="X9108" s="505"/>
      <c r="Y9108" s="505"/>
    </row>
    <row r="9109" spans="1:25" s="88" customFormat="1" hidden="1" x14ac:dyDescent="0.25">
      <c r="A9109" s="290"/>
      <c r="B9109" s="288"/>
      <c r="C9109" s="334"/>
      <c r="D9109" s="286"/>
      <c r="E9109" s="876"/>
      <c r="F9109" s="284" t="s">
        <v>240</v>
      </c>
      <c r="G9109" s="287" t="s">
        <v>241</v>
      </c>
      <c r="H9109" s="555"/>
      <c r="I9109" s="556"/>
      <c r="J9109" s="560">
        <f t="shared" si="314"/>
        <v>0</v>
      </c>
      <c r="K9109" s="505"/>
      <c r="L9109" s="505"/>
      <c r="M9109" s="505"/>
      <c r="N9109" s="505"/>
      <c r="O9109" s="505"/>
      <c r="P9109" s="505"/>
      <c r="Q9109" s="505"/>
      <c r="R9109" s="505"/>
      <c r="S9109" s="505"/>
      <c r="T9109" s="505"/>
      <c r="U9109" s="505"/>
      <c r="V9109" s="505"/>
      <c r="W9109" s="505"/>
      <c r="X9109" s="505"/>
      <c r="Y9109" s="505"/>
    </row>
    <row r="9110" spans="1:25" s="88" customFormat="1" hidden="1" x14ac:dyDescent="0.25">
      <c r="A9110" s="290"/>
      <c r="B9110" s="288"/>
      <c r="C9110" s="334"/>
      <c r="D9110" s="286"/>
      <c r="E9110" s="876"/>
      <c r="F9110" s="284" t="s">
        <v>242</v>
      </c>
      <c r="G9110" s="287" t="s">
        <v>243</v>
      </c>
      <c r="H9110" s="555"/>
      <c r="I9110" s="556"/>
      <c r="J9110" s="560">
        <f t="shared" si="314"/>
        <v>0</v>
      </c>
      <c r="K9110" s="505"/>
      <c r="L9110" s="505"/>
      <c r="M9110" s="505"/>
      <c r="N9110" s="505"/>
      <c r="O9110" s="505"/>
      <c r="P9110" s="505"/>
      <c r="Q9110" s="505"/>
      <c r="R9110" s="505"/>
      <c r="S9110" s="505"/>
      <c r="T9110" s="505"/>
      <c r="U9110" s="505"/>
      <c r="V9110" s="505"/>
      <c r="W9110" s="505"/>
      <c r="X9110" s="505"/>
      <c r="Y9110" s="505"/>
    </row>
    <row r="9111" spans="1:25" s="88" customFormat="1" hidden="1" x14ac:dyDescent="0.25">
      <c r="A9111" s="290"/>
      <c r="B9111" s="288"/>
      <c r="C9111" s="334"/>
      <c r="D9111" s="286"/>
      <c r="E9111" s="876"/>
      <c r="F9111" s="284" t="s">
        <v>244</v>
      </c>
      <c r="G9111" s="287" t="s">
        <v>245</v>
      </c>
      <c r="H9111" s="555"/>
      <c r="I9111" s="556"/>
      <c r="J9111" s="560">
        <f t="shared" si="314"/>
        <v>0</v>
      </c>
      <c r="K9111" s="505"/>
      <c r="L9111" s="505"/>
      <c r="M9111" s="505"/>
      <c r="N9111" s="505"/>
      <c r="O9111" s="505"/>
      <c r="P9111" s="505"/>
      <c r="Q9111" s="505"/>
      <c r="R9111" s="505"/>
      <c r="S9111" s="505"/>
      <c r="T9111" s="505"/>
      <c r="U9111" s="505"/>
      <c r="V9111" s="505"/>
      <c r="W9111" s="505"/>
      <c r="X9111" s="505"/>
      <c r="Y9111" s="505"/>
    </row>
    <row r="9112" spans="1:25" s="88" customFormat="1" hidden="1" x14ac:dyDescent="0.25">
      <c r="A9112" s="290"/>
      <c r="B9112" s="288"/>
      <c r="C9112" s="334"/>
      <c r="D9112" s="286"/>
      <c r="E9112" s="876"/>
      <c r="F9112" s="284" t="s">
        <v>246</v>
      </c>
      <c r="G9112" s="598" t="s">
        <v>4996</v>
      </c>
      <c r="H9112" s="555"/>
      <c r="I9112" s="556"/>
      <c r="J9112" s="560">
        <f t="shared" si="314"/>
        <v>0</v>
      </c>
      <c r="K9112" s="505"/>
      <c r="L9112" s="505"/>
      <c r="M9112" s="505"/>
      <c r="N9112" s="505"/>
      <c r="O9112" s="505"/>
      <c r="P9112" s="505"/>
      <c r="Q9112" s="505"/>
      <c r="R9112" s="505"/>
      <c r="S9112" s="505"/>
      <c r="T9112" s="505"/>
      <c r="U9112" s="505"/>
      <c r="V9112" s="505"/>
      <c r="W9112" s="505"/>
      <c r="X9112" s="505"/>
      <c r="Y9112" s="505"/>
    </row>
    <row r="9113" spans="1:25" s="88" customFormat="1" hidden="1" x14ac:dyDescent="0.25">
      <c r="A9113" s="290"/>
      <c r="B9113" s="288"/>
      <c r="C9113" s="334"/>
      <c r="D9113" s="286"/>
      <c r="E9113" s="876"/>
      <c r="F9113" s="284" t="s">
        <v>247</v>
      </c>
      <c r="G9113" s="598" t="s">
        <v>4995</v>
      </c>
      <c r="H9113" s="555"/>
      <c r="I9113" s="556"/>
      <c r="J9113" s="560">
        <f t="shared" si="314"/>
        <v>0</v>
      </c>
      <c r="K9113" s="505"/>
      <c r="L9113" s="505"/>
      <c r="M9113" s="505"/>
      <c r="N9113" s="505"/>
      <c r="O9113" s="505"/>
      <c r="P9113" s="505"/>
      <c r="Q9113" s="505"/>
      <c r="R9113" s="505"/>
      <c r="S9113" s="505"/>
      <c r="T9113" s="505"/>
      <c r="U9113" s="505"/>
      <c r="V9113" s="505"/>
      <c r="W9113" s="505"/>
      <c r="X9113" s="505"/>
      <c r="Y9113" s="505"/>
    </row>
    <row r="9114" spans="1:25" s="88" customFormat="1" hidden="1" x14ac:dyDescent="0.25">
      <c r="A9114" s="290"/>
      <c r="B9114" s="288"/>
      <c r="C9114" s="334"/>
      <c r="D9114" s="286"/>
      <c r="E9114" s="876"/>
      <c r="F9114" s="284" t="s">
        <v>248</v>
      </c>
      <c r="G9114" s="287" t="s">
        <v>57</v>
      </c>
      <c r="H9114" s="555"/>
      <c r="I9114" s="556"/>
      <c r="J9114" s="560">
        <f t="shared" si="314"/>
        <v>0</v>
      </c>
      <c r="K9114" s="505"/>
      <c r="L9114" s="505"/>
      <c r="M9114" s="505"/>
      <c r="N9114" s="505"/>
      <c r="O9114" s="505"/>
      <c r="P9114" s="505"/>
      <c r="Q9114" s="505"/>
      <c r="R9114" s="505"/>
      <c r="S9114" s="505"/>
      <c r="T9114" s="505"/>
      <c r="U9114" s="505"/>
      <c r="V9114" s="505"/>
      <c r="W9114" s="505"/>
      <c r="X9114" s="505"/>
      <c r="Y9114" s="505"/>
    </row>
    <row r="9115" spans="1:25" s="88" customFormat="1" hidden="1" x14ac:dyDescent="0.25">
      <c r="A9115" s="290"/>
      <c r="B9115" s="288"/>
      <c r="C9115" s="334"/>
      <c r="D9115" s="286"/>
      <c r="E9115" s="876"/>
      <c r="F9115" s="284" t="s">
        <v>249</v>
      </c>
      <c r="G9115" s="287" t="s">
        <v>250</v>
      </c>
      <c r="H9115" s="555"/>
      <c r="I9115" s="556"/>
      <c r="J9115" s="560">
        <f t="shared" si="314"/>
        <v>0</v>
      </c>
      <c r="K9115" s="505"/>
      <c r="L9115" s="505"/>
      <c r="M9115" s="505"/>
      <c r="N9115" s="505"/>
      <c r="O9115" s="505"/>
      <c r="P9115" s="505"/>
      <c r="Q9115" s="505"/>
      <c r="R9115" s="505"/>
      <c r="S9115" s="505"/>
      <c r="T9115" s="505"/>
      <c r="U9115" s="505"/>
      <c r="V9115" s="505"/>
      <c r="W9115" s="505"/>
      <c r="X9115" s="505"/>
      <c r="Y9115" s="505"/>
    </row>
    <row r="9116" spans="1:25" s="88" customFormat="1" hidden="1" x14ac:dyDescent="0.25">
      <c r="A9116" s="290"/>
      <c r="B9116" s="288"/>
      <c r="C9116" s="334"/>
      <c r="D9116" s="286"/>
      <c r="E9116" s="876"/>
      <c r="F9116" s="284" t="s">
        <v>251</v>
      </c>
      <c r="G9116" s="287" t="s">
        <v>252</v>
      </c>
      <c r="H9116" s="555"/>
      <c r="I9116" s="556"/>
      <c r="J9116" s="560">
        <f t="shared" si="314"/>
        <v>0</v>
      </c>
      <c r="K9116" s="505"/>
      <c r="L9116" s="505"/>
      <c r="M9116" s="505"/>
      <c r="N9116" s="505"/>
      <c r="O9116" s="505"/>
      <c r="P9116" s="505"/>
      <c r="Q9116" s="505"/>
      <c r="R9116" s="505"/>
      <c r="S9116" s="505"/>
      <c r="T9116" s="505"/>
      <c r="U9116" s="505"/>
      <c r="V9116" s="505"/>
      <c r="W9116" s="505"/>
      <c r="X9116" s="505"/>
      <c r="Y9116" s="505"/>
    </row>
    <row r="9117" spans="1:25" s="88" customFormat="1" ht="30" hidden="1" x14ac:dyDescent="0.25">
      <c r="A9117" s="290"/>
      <c r="B9117" s="288"/>
      <c r="C9117" s="334"/>
      <c r="D9117" s="286"/>
      <c r="E9117" s="876"/>
      <c r="F9117" s="284" t="s">
        <v>253</v>
      </c>
      <c r="G9117" s="287" t="s">
        <v>254</v>
      </c>
      <c r="H9117" s="555"/>
      <c r="I9117" s="556"/>
      <c r="J9117" s="560">
        <f t="shared" si="314"/>
        <v>0</v>
      </c>
      <c r="K9117" s="505"/>
      <c r="L9117" s="505"/>
      <c r="M9117" s="505"/>
      <c r="N9117" s="505"/>
      <c r="O9117" s="505"/>
      <c r="P9117" s="505"/>
      <c r="Q9117" s="505"/>
      <c r="R9117" s="505"/>
      <c r="S9117" s="505"/>
      <c r="T9117" s="505"/>
      <c r="U9117" s="505"/>
      <c r="V9117" s="505"/>
      <c r="W9117" s="505"/>
      <c r="X9117" s="505"/>
      <c r="Y9117" s="505"/>
    </row>
    <row r="9118" spans="1:25" s="88" customFormat="1" hidden="1" x14ac:dyDescent="0.25">
      <c r="A9118" s="290"/>
      <c r="B9118" s="288"/>
      <c r="C9118" s="334"/>
      <c r="D9118" s="286"/>
      <c r="E9118" s="876"/>
      <c r="F9118" s="284" t="s">
        <v>255</v>
      </c>
      <c r="G9118" s="287" t="s">
        <v>256</v>
      </c>
      <c r="H9118" s="555"/>
      <c r="I9118" s="556"/>
      <c r="J9118" s="560">
        <f t="shared" si="314"/>
        <v>0</v>
      </c>
      <c r="K9118" s="505"/>
      <c r="L9118" s="505"/>
      <c r="M9118" s="505"/>
      <c r="N9118" s="505"/>
      <c r="O9118" s="505"/>
      <c r="P9118" s="505"/>
      <c r="Q9118" s="505"/>
      <c r="R9118" s="505"/>
      <c r="S9118" s="505"/>
      <c r="T9118" s="505"/>
      <c r="U9118" s="505"/>
      <c r="V9118" s="505"/>
      <c r="W9118" s="505"/>
      <c r="X9118" s="505"/>
      <c r="Y9118" s="505"/>
    </row>
    <row r="9119" spans="1:25" s="88" customFormat="1" ht="30" hidden="1" x14ac:dyDescent="0.25">
      <c r="A9119" s="290"/>
      <c r="B9119" s="288"/>
      <c r="C9119" s="334"/>
      <c r="D9119" s="286"/>
      <c r="E9119" s="876"/>
      <c r="F9119" s="284" t="s">
        <v>257</v>
      </c>
      <c r="G9119" s="287" t="s">
        <v>258</v>
      </c>
      <c r="H9119" s="555"/>
      <c r="I9119" s="556"/>
      <c r="J9119" s="560">
        <f t="shared" si="314"/>
        <v>0</v>
      </c>
      <c r="K9119" s="505"/>
      <c r="L9119" s="505"/>
      <c r="M9119" s="505"/>
      <c r="N9119" s="505"/>
      <c r="O9119" s="505"/>
      <c r="P9119" s="505"/>
      <c r="Q9119" s="505"/>
      <c r="R9119" s="505"/>
      <c r="S9119" s="505"/>
      <c r="T9119" s="505"/>
      <c r="U9119" s="505"/>
      <c r="V9119" s="505"/>
      <c r="W9119" s="505"/>
      <c r="X9119" s="505"/>
      <c r="Y9119" s="505"/>
    </row>
    <row r="9120" spans="1:25" s="88" customFormat="1" hidden="1" x14ac:dyDescent="0.25">
      <c r="A9120" s="290"/>
      <c r="B9120" s="288"/>
      <c r="C9120" s="334"/>
      <c r="D9120" s="286"/>
      <c r="E9120" s="876"/>
      <c r="F9120" s="284" t="s">
        <v>259</v>
      </c>
      <c r="G9120" s="287" t="s">
        <v>260</v>
      </c>
      <c r="H9120" s="555"/>
      <c r="I9120" s="556"/>
      <c r="J9120" s="560">
        <f t="shared" si="314"/>
        <v>0</v>
      </c>
      <c r="K9120" s="505"/>
      <c r="L9120" s="505"/>
      <c r="M9120" s="505"/>
      <c r="N9120" s="505"/>
      <c r="O9120" s="505"/>
      <c r="P9120" s="505"/>
      <c r="Q9120" s="505"/>
      <c r="R9120" s="505"/>
      <c r="S9120" s="505"/>
      <c r="T9120" s="505"/>
      <c r="U9120" s="505"/>
      <c r="V9120" s="505"/>
      <c r="W9120" s="505"/>
      <c r="X9120" s="505"/>
      <c r="Y9120" s="505"/>
    </row>
    <row r="9121" spans="1:25" s="88" customFormat="1" hidden="1" x14ac:dyDescent="0.25">
      <c r="A9121" s="290"/>
      <c r="B9121" s="288"/>
      <c r="C9121" s="334"/>
      <c r="D9121" s="286"/>
      <c r="E9121" s="876"/>
      <c r="F9121" s="284" t="s">
        <v>261</v>
      </c>
      <c r="G9121" s="287" t="s">
        <v>262</v>
      </c>
      <c r="H9121" s="559"/>
      <c r="I9121" s="560"/>
      <c r="J9121" s="560">
        <f t="shared" si="314"/>
        <v>0</v>
      </c>
      <c r="K9121" s="505"/>
      <c r="L9121" s="505"/>
      <c r="M9121" s="505"/>
      <c r="N9121" s="505"/>
      <c r="O9121" s="505"/>
      <c r="P9121" s="505"/>
      <c r="Q9121" s="505"/>
      <c r="R9121" s="505"/>
      <c r="S9121" s="505"/>
      <c r="T9121" s="505"/>
      <c r="U9121" s="505"/>
      <c r="V9121" s="505"/>
      <c r="W9121" s="505"/>
      <c r="X9121" s="505"/>
      <c r="Y9121" s="505"/>
    </row>
    <row r="9122" spans="1:25" s="88" customFormat="1" ht="15.75" hidden="1" thickBot="1" x14ac:dyDescent="0.3">
      <c r="A9122" s="290"/>
      <c r="B9122" s="288"/>
      <c r="C9122" s="334"/>
      <c r="D9122" s="286"/>
      <c r="E9122" s="876"/>
      <c r="F9122" s="258"/>
      <c r="G9122" s="268" t="s">
        <v>4204</v>
      </c>
      <c r="H9122" s="561">
        <f>SUM(H9106:H9121)</f>
        <v>0</v>
      </c>
      <c r="I9122" s="562">
        <f>SUM(I9107:I9121)</f>
        <v>0</v>
      </c>
      <c r="J9122" s="562">
        <f>SUM(J9106:J9121)</f>
        <v>0</v>
      </c>
      <c r="K9122" s="505"/>
      <c r="L9122" s="505"/>
      <c r="M9122" s="505"/>
      <c r="N9122" s="505"/>
      <c r="O9122" s="505"/>
      <c r="P9122" s="505"/>
      <c r="Q9122" s="505"/>
      <c r="R9122" s="505"/>
      <c r="S9122" s="505"/>
      <c r="T9122" s="505"/>
      <c r="U9122" s="505"/>
      <c r="V9122" s="505"/>
      <c r="W9122" s="505"/>
      <c r="X9122" s="505"/>
      <c r="Y9122" s="505"/>
    </row>
    <row r="9123" spans="1:25" hidden="1" x14ac:dyDescent="0.25">
      <c r="A9123" s="290"/>
    </row>
    <row r="9124" spans="1:25" s="88" customFormat="1" hidden="1" x14ac:dyDescent="0.25">
      <c r="A9124" s="258"/>
      <c r="B9124" s="288"/>
      <c r="C9124" s="334"/>
      <c r="D9124" s="286"/>
      <c r="E9124" s="876"/>
      <c r="F9124" s="500"/>
      <c r="G9124" s="285" t="s">
        <v>4227</v>
      </c>
      <c r="H9124" s="567"/>
      <c r="I9124" s="585"/>
      <c r="J9124" s="568"/>
      <c r="K9124" s="505"/>
      <c r="L9124" s="505"/>
      <c r="M9124" s="505"/>
      <c r="N9124" s="505"/>
      <c r="O9124" s="505"/>
      <c r="P9124" s="505"/>
      <c r="Q9124" s="505"/>
      <c r="R9124" s="505"/>
      <c r="S9124" s="505"/>
      <c r="T9124" s="505"/>
      <c r="U9124" s="505"/>
      <c r="V9124" s="505"/>
      <c r="W9124" s="505"/>
      <c r="X9124" s="505"/>
      <c r="Y9124" s="505"/>
    </row>
    <row r="9125" spans="1:25" s="88" customFormat="1" hidden="1" x14ac:dyDescent="0.25">
      <c r="A9125" s="481"/>
      <c r="B9125" s="288"/>
      <c r="C9125" s="334"/>
      <c r="D9125" s="286"/>
      <c r="E9125" s="876"/>
      <c r="F9125" s="284" t="s">
        <v>234</v>
      </c>
      <c r="G9125" s="287" t="s">
        <v>235</v>
      </c>
      <c r="H9125" s="559">
        <f>SUM(H9106,H8986)</f>
        <v>0</v>
      </c>
      <c r="I9125" s="560"/>
      <c r="J9125" s="560">
        <f>SUM(H9125:I9125)</f>
        <v>0</v>
      </c>
      <c r="K9125" s="505"/>
      <c r="L9125" s="505"/>
      <c r="M9125" s="505"/>
      <c r="N9125" s="505"/>
      <c r="O9125" s="505"/>
      <c r="P9125" s="505"/>
      <c r="Q9125" s="505"/>
      <c r="R9125" s="505"/>
      <c r="S9125" s="505"/>
      <c r="T9125" s="505"/>
      <c r="U9125" s="505"/>
      <c r="V9125" s="505"/>
      <c r="W9125" s="505"/>
      <c r="X9125" s="505"/>
      <c r="Y9125" s="505"/>
    </row>
    <row r="9126" spans="1:25" s="88" customFormat="1" hidden="1" x14ac:dyDescent="0.25">
      <c r="A9126" s="481"/>
      <c r="B9126" s="288"/>
      <c r="C9126" s="334"/>
      <c r="D9126" s="286"/>
      <c r="E9126" s="876"/>
      <c r="F9126" s="284" t="s">
        <v>236</v>
      </c>
      <c r="G9126" s="287" t="s">
        <v>237</v>
      </c>
      <c r="H9126" s="555"/>
      <c r="I9126" s="556"/>
      <c r="J9126" s="560">
        <f t="shared" ref="J9126:J9140" si="315">SUM(H9126:I9126)</f>
        <v>0</v>
      </c>
      <c r="K9126" s="505"/>
      <c r="L9126" s="505"/>
      <c r="M9126" s="505"/>
      <c r="N9126" s="505"/>
      <c r="O9126" s="505"/>
      <c r="P9126" s="505"/>
      <c r="Q9126" s="505"/>
      <c r="R9126" s="505"/>
      <c r="S9126" s="505"/>
      <c r="T9126" s="505"/>
      <c r="U9126" s="505"/>
      <c r="V9126" s="505"/>
      <c r="W9126" s="505"/>
      <c r="X9126" s="505"/>
      <c r="Y9126" s="505"/>
    </row>
    <row r="9127" spans="1:25" s="88" customFormat="1" hidden="1" x14ac:dyDescent="0.25">
      <c r="A9127" s="481"/>
      <c r="B9127" s="288"/>
      <c r="C9127" s="334"/>
      <c r="D9127" s="286"/>
      <c r="E9127" s="876"/>
      <c r="F9127" s="284" t="s">
        <v>238</v>
      </c>
      <c r="G9127" s="287" t="s">
        <v>239</v>
      </c>
      <c r="H9127" s="555"/>
      <c r="I9127" s="556"/>
      <c r="J9127" s="560">
        <f t="shared" si="315"/>
        <v>0</v>
      </c>
      <c r="K9127" s="505"/>
      <c r="L9127" s="505"/>
      <c r="M9127" s="505"/>
      <c r="N9127" s="505"/>
      <c r="O9127" s="505"/>
      <c r="P9127" s="505"/>
      <c r="Q9127" s="505"/>
      <c r="R9127" s="505"/>
      <c r="S9127" s="505"/>
      <c r="T9127" s="505"/>
      <c r="U9127" s="505"/>
      <c r="V9127" s="505"/>
      <c r="W9127" s="505"/>
      <c r="X9127" s="505"/>
      <c r="Y9127" s="505"/>
    </row>
    <row r="9128" spans="1:25" s="88" customFormat="1" hidden="1" x14ac:dyDescent="0.25">
      <c r="A9128" s="481"/>
      <c r="B9128" s="288"/>
      <c r="C9128" s="334"/>
      <c r="D9128" s="286"/>
      <c r="E9128" s="876"/>
      <c r="F9128" s="284" t="s">
        <v>240</v>
      </c>
      <c r="G9128" s="287" t="s">
        <v>241</v>
      </c>
      <c r="H9128" s="555"/>
      <c r="I9128" s="556"/>
      <c r="J9128" s="560">
        <f t="shared" si="315"/>
        <v>0</v>
      </c>
      <c r="K9128" s="505"/>
      <c r="L9128" s="505"/>
      <c r="M9128" s="505"/>
      <c r="N9128" s="505"/>
      <c r="O9128" s="505"/>
      <c r="P9128" s="505"/>
      <c r="Q9128" s="505"/>
      <c r="R9128" s="505"/>
      <c r="S9128" s="505"/>
      <c r="T9128" s="505"/>
      <c r="U9128" s="505"/>
      <c r="V9128" s="505"/>
      <c r="W9128" s="505"/>
      <c r="X9128" s="505"/>
      <c r="Y9128" s="505"/>
    </row>
    <row r="9129" spans="1:25" s="88" customFormat="1" hidden="1" x14ac:dyDescent="0.25">
      <c r="A9129" s="481"/>
      <c r="B9129" s="288"/>
      <c r="C9129" s="334"/>
      <c r="D9129" s="286"/>
      <c r="E9129" s="876"/>
      <c r="F9129" s="284" t="s">
        <v>242</v>
      </c>
      <c r="G9129" s="287" t="s">
        <v>243</v>
      </c>
      <c r="H9129" s="555"/>
      <c r="I9129" s="556"/>
      <c r="J9129" s="560">
        <f t="shared" si="315"/>
        <v>0</v>
      </c>
      <c r="K9129" s="505"/>
      <c r="L9129" s="505"/>
      <c r="M9129" s="505"/>
      <c r="N9129" s="505"/>
      <c r="O9129" s="505"/>
      <c r="P9129" s="505"/>
      <c r="Q9129" s="505"/>
      <c r="R9129" s="505"/>
      <c r="S9129" s="505"/>
      <c r="T9129" s="505"/>
      <c r="U9129" s="505"/>
      <c r="V9129" s="505"/>
      <c r="W9129" s="505"/>
      <c r="X9129" s="505"/>
      <c r="Y9129" s="505"/>
    </row>
    <row r="9130" spans="1:25" s="88" customFormat="1" hidden="1" x14ac:dyDescent="0.25">
      <c r="A9130" s="481"/>
      <c r="B9130" s="288"/>
      <c r="C9130" s="334"/>
      <c r="D9130" s="286"/>
      <c r="E9130" s="876"/>
      <c r="F9130" s="284" t="s">
        <v>244</v>
      </c>
      <c r="G9130" s="287" t="s">
        <v>245</v>
      </c>
      <c r="H9130" s="555"/>
      <c r="I9130" s="556"/>
      <c r="J9130" s="560">
        <f t="shared" si="315"/>
        <v>0</v>
      </c>
      <c r="K9130" s="505"/>
      <c r="L9130" s="505"/>
      <c r="M9130" s="505"/>
      <c r="N9130" s="505"/>
      <c r="O9130" s="505"/>
      <c r="P9130" s="505"/>
      <c r="Q9130" s="505"/>
      <c r="R9130" s="505"/>
      <c r="S9130" s="505"/>
      <c r="T9130" s="505"/>
      <c r="U9130" s="505"/>
      <c r="V9130" s="505"/>
      <c r="W9130" s="505"/>
      <c r="X9130" s="505"/>
      <c r="Y9130" s="505"/>
    </row>
    <row r="9131" spans="1:25" s="88" customFormat="1" hidden="1" x14ac:dyDescent="0.25">
      <c r="A9131" s="481"/>
      <c r="B9131" s="288"/>
      <c r="C9131" s="334"/>
      <c r="D9131" s="286"/>
      <c r="E9131" s="876"/>
      <c r="F9131" s="284" t="s">
        <v>246</v>
      </c>
      <c r="G9131" s="598" t="s">
        <v>4996</v>
      </c>
      <c r="H9131" s="555"/>
      <c r="I9131" s="556"/>
      <c r="J9131" s="560">
        <f t="shared" si="315"/>
        <v>0</v>
      </c>
      <c r="K9131" s="505"/>
      <c r="L9131" s="505"/>
      <c r="M9131" s="505"/>
      <c r="N9131" s="505"/>
      <c r="O9131" s="505"/>
      <c r="P9131" s="505"/>
      <c r="Q9131" s="505"/>
      <c r="R9131" s="505"/>
      <c r="S9131" s="505"/>
      <c r="T9131" s="505"/>
      <c r="U9131" s="505"/>
      <c r="V9131" s="505"/>
      <c r="W9131" s="505"/>
      <c r="X9131" s="505"/>
      <c r="Y9131" s="505"/>
    </row>
    <row r="9132" spans="1:25" s="88" customFormat="1" hidden="1" x14ac:dyDescent="0.25">
      <c r="A9132" s="481"/>
      <c r="B9132" s="288"/>
      <c r="C9132" s="334"/>
      <c r="D9132" s="286"/>
      <c r="E9132" s="876"/>
      <c r="F9132" s="284" t="s">
        <v>247</v>
      </c>
      <c r="G9132" s="598" t="s">
        <v>4995</v>
      </c>
      <c r="H9132" s="555"/>
      <c r="I9132" s="556"/>
      <c r="J9132" s="560">
        <f t="shared" si="315"/>
        <v>0</v>
      </c>
      <c r="K9132" s="505"/>
      <c r="L9132" s="505"/>
      <c r="M9132" s="505"/>
      <c r="N9132" s="505"/>
      <c r="O9132" s="505"/>
      <c r="P9132" s="505"/>
      <c r="Q9132" s="505"/>
      <c r="R9132" s="505"/>
      <c r="S9132" s="505"/>
      <c r="T9132" s="505"/>
      <c r="U9132" s="505"/>
      <c r="V9132" s="505"/>
      <c r="W9132" s="505"/>
      <c r="X9132" s="505"/>
      <c r="Y9132" s="505"/>
    </row>
    <row r="9133" spans="1:25" s="88" customFormat="1" hidden="1" x14ac:dyDescent="0.25">
      <c r="A9133" s="481"/>
      <c r="B9133" s="288"/>
      <c r="C9133" s="334"/>
      <c r="D9133" s="286"/>
      <c r="E9133" s="876"/>
      <c r="F9133" s="284" t="s">
        <v>248</v>
      </c>
      <c r="G9133" s="287" t="s">
        <v>57</v>
      </c>
      <c r="H9133" s="555"/>
      <c r="I9133" s="556"/>
      <c r="J9133" s="560">
        <f t="shared" si="315"/>
        <v>0</v>
      </c>
      <c r="K9133" s="505"/>
      <c r="L9133" s="505"/>
      <c r="M9133" s="505"/>
      <c r="N9133" s="505"/>
      <c r="O9133" s="505"/>
      <c r="P9133" s="505"/>
      <c r="Q9133" s="505"/>
      <c r="R9133" s="505"/>
      <c r="S9133" s="505"/>
      <c r="T9133" s="505"/>
      <c r="U9133" s="505"/>
      <c r="V9133" s="505"/>
      <c r="W9133" s="505"/>
      <c r="X9133" s="505"/>
      <c r="Y9133" s="505"/>
    </row>
    <row r="9134" spans="1:25" s="88" customFormat="1" hidden="1" x14ac:dyDescent="0.25">
      <c r="A9134" s="481"/>
      <c r="B9134" s="288"/>
      <c r="C9134" s="334"/>
      <c r="D9134" s="286"/>
      <c r="E9134" s="876"/>
      <c r="F9134" s="284" t="s">
        <v>249</v>
      </c>
      <c r="G9134" s="287" t="s">
        <v>250</v>
      </c>
      <c r="H9134" s="555"/>
      <c r="I9134" s="556"/>
      <c r="J9134" s="560">
        <f t="shared" si="315"/>
        <v>0</v>
      </c>
      <c r="K9134" s="505"/>
      <c r="L9134" s="505"/>
      <c r="M9134" s="505"/>
      <c r="N9134" s="505"/>
      <c r="O9134" s="505"/>
      <c r="P9134" s="505"/>
      <c r="Q9134" s="505"/>
      <c r="R9134" s="505"/>
      <c r="S9134" s="505"/>
      <c r="T9134" s="505"/>
      <c r="U9134" s="505"/>
      <c r="V9134" s="505"/>
      <c r="W9134" s="505"/>
      <c r="X9134" s="505"/>
      <c r="Y9134" s="505"/>
    </row>
    <row r="9135" spans="1:25" s="88" customFormat="1" hidden="1" x14ac:dyDescent="0.25">
      <c r="A9135" s="481"/>
      <c r="B9135" s="288"/>
      <c r="C9135" s="334"/>
      <c r="D9135" s="286"/>
      <c r="E9135" s="876"/>
      <c r="F9135" s="284" t="s">
        <v>251</v>
      </c>
      <c r="G9135" s="287" t="s">
        <v>252</v>
      </c>
      <c r="H9135" s="555"/>
      <c r="I9135" s="556"/>
      <c r="J9135" s="560">
        <f t="shared" si="315"/>
        <v>0</v>
      </c>
      <c r="K9135" s="505"/>
      <c r="L9135" s="505"/>
      <c r="M9135" s="505"/>
      <c r="N9135" s="505"/>
      <c r="O9135" s="505"/>
      <c r="P9135" s="505"/>
      <c r="Q9135" s="505"/>
      <c r="R9135" s="505"/>
      <c r="S9135" s="505"/>
      <c r="T9135" s="505"/>
      <c r="U9135" s="505"/>
      <c r="V9135" s="505"/>
      <c r="W9135" s="505"/>
      <c r="X9135" s="505"/>
      <c r="Y9135" s="505"/>
    </row>
    <row r="9136" spans="1:25" s="88" customFormat="1" ht="30" hidden="1" x14ac:dyDescent="0.25">
      <c r="A9136" s="481"/>
      <c r="B9136" s="288"/>
      <c r="C9136" s="334"/>
      <c r="D9136" s="286"/>
      <c r="E9136" s="876"/>
      <c r="F9136" s="284" t="s">
        <v>253</v>
      </c>
      <c r="G9136" s="287" t="s">
        <v>254</v>
      </c>
      <c r="H9136" s="555"/>
      <c r="I9136" s="556"/>
      <c r="J9136" s="560">
        <f t="shared" si="315"/>
        <v>0</v>
      </c>
      <c r="K9136" s="505"/>
      <c r="L9136" s="505"/>
      <c r="M9136" s="505"/>
      <c r="N9136" s="505"/>
      <c r="O9136" s="505"/>
      <c r="P9136" s="505"/>
      <c r="Q9136" s="505"/>
      <c r="R9136" s="505"/>
      <c r="S9136" s="505"/>
      <c r="T9136" s="505"/>
      <c r="U9136" s="505"/>
      <c r="V9136" s="505"/>
      <c r="W9136" s="505"/>
      <c r="X9136" s="505"/>
      <c r="Y9136" s="505"/>
    </row>
    <row r="9137" spans="1:25" s="88" customFormat="1" hidden="1" x14ac:dyDescent="0.25">
      <c r="A9137" s="481"/>
      <c r="B9137" s="288"/>
      <c r="C9137" s="334"/>
      <c r="D9137" s="286"/>
      <c r="E9137" s="876"/>
      <c r="F9137" s="284" t="s">
        <v>255</v>
      </c>
      <c r="G9137" s="287" t="s">
        <v>256</v>
      </c>
      <c r="H9137" s="555"/>
      <c r="I9137" s="556"/>
      <c r="J9137" s="560">
        <f t="shared" si="315"/>
        <v>0</v>
      </c>
      <c r="K9137" s="505"/>
      <c r="L9137" s="505"/>
      <c r="M9137" s="505"/>
      <c r="N9137" s="505"/>
      <c r="O9137" s="505"/>
      <c r="P9137" s="505"/>
      <c r="Q9137" s="505"/>
      <c r="R9137" s="505"/>
      <c r="S9137" s="505"/>
      <c r="T9137" s="505"/>
      <c r="U9137" s="505"/>
      <c r="V9137" s="505"/>
      <c r="W9137" s="505"/>
      <c r="X9137" s="505"/>
      <c r="Y9137" s="505"/>
    </row>
    <row r="9138" spans="1:25" s="88" customFormat="1" ht="30" hidden="1" x14ac:dyDescent="0.25">
      <c r="A9138" s="481"/>
      <c r="B9138" s="288"/>
      <c r="C9138" s="334"/>
      <c r="D9138" s="286"/>
      <c r="E9138" s="876"/>
      <c r="F9138" s="284" t="s">
        <v>257</v>
      </c>
      <c r="G9138" s="287" t="s">
        <v>258</v>
      </c>
      <c r="H9138" s="555"/>
      <c r="I9138" s="556"/>
      <c r="J9138" s="560">
        <f t="shared" si="315"/>
        <v>0</v>
      </c>
      <c r="K9138" s="505"/>
      <c r="L9138" s="505"/>
      <c r="M9138" s="505"/>
      <c r="N9138" s="505"/>
      <c r="O9138" s="505"/>
      <c r="P9138" s="505"/>
      <c r="Q9138" s="505"/>
      <c r="R9138" s="505"/>
      <c r="S9138" s="505"/>
      <c r="T9138" s="505"/>
      <c r="U9138" s="505"/>
      <c r="V9138" s="505"/>
      <c r="W9138" s="505"/>
      <c r="X9138" s="505"/>
      <c r="Y9138" s="505"/>
    </row>
    <row r="9139" spans="1:25" s="88" customFormat="1" hidden="1" x14ac:dyDescent="0.25">
      <c r="A9139" s="481"/>
      <c r="B9139" s="288"/>
      <c r="C9139" s="334"/>
      <c r="D9139" s="286"/>
      <c r="E9139" s="876"/>
      <c r="F9139" s="284" t="s">
        <v>259</v>
      </c>
      <c r="G9139" s="287" t="s">
        <v>260</v>
      </c>
      <c r="H9139" s="555"/>
      <c r="I9139" s="556"/>
      <c r="J9139" s="560">
        <f t="shared" si="315"/>
        <v>0</v>
      </c>
      <c r="K9139" s="505"/>
      <c r="L9139" s="505"/>
      <c r="M9139" s="505"/>
      <c r="N9139" s="505"/>
      <c r="O9139" s="505"/>
      <c r="P9139" s="505"/>
      <c r="Q9139" s="505"/>
      <c r="R9139" s="505"/>
      <c r="S9139" s="505"/>
      <c r="T9139" s="505"/>
      <c r="U9139" s="505"/>
      <c r="V9139" s="505"/>
      <c r="W9139" s="505"/>
      <c r="X9139" s="505"/>
      <c r="Y9139" s="505"/>
    </row>
    <row r="9140" spans="1:25" s="88" customFormat="1" hidden="1" x14ac:dyDescent="0.25">
      <c r="A9140" s="481"/>
      <c r="B9140" s="288"/>
      <c r="C9140" s="334"/>
      <c r="D9140" s="286"/>
      <c r="E9140" s="876"/>
      <c r="F9140" s="284" t="s">
        <v>261</v>
      </c>
      <c r="G9140" s="287" t="s">
        <v>262</v>
      </c>
      <c r="H9140" s="559"/>
      <c r="I9140" s="560"/>
      <c r="J9140" s="560">
        <f t="shared" si="315"/>
        <v>0</v>
      </c>
      <c r="K9140" s="505"/>
      <c r="L9140" s="505"/>
      <c r="M9140" s="505"/>
      <c r="N9140" s="505"/>
      <c r="O9140" s="505"/>
      <c r="P9140" s="505"/>
      <c r="Q9140" s="505"/>
      <c r="R9140" s="505"/>
      <c r="S9140" s="505"/>
      <c r="T9140" s="505"/>
      <c r="U9140" s="505"/>
      <c r="V9140" s="505"/>
      <c r="W9140" s="505"/>
      <c r="X9140" s="505"/>
      <c r="Y9140" s="505"/>
    </row>
    <row r="9141" spans="1:25" s="88" customFormat="1" ht="15.75" hidden="1" thickBot="1" x14ac:dyDescent="0.3">
      <c r="A9141" s="481"/>
      <c r="B9141" s="288"/>
      <c r="C9141" s="334"/>
      <c r="D9141" s="286"/>
      <c r="E9141" s="876"/>
      <c r="F9141" s="258"/>
      <c r="G9141" s="268" t="s">
        <v>4228</v>
      </c>
      <c r="H9141" s="561">
        <f>SUM(H9125:H9140)</f>
        <v>0</v>
      </c>
      <c r="I9141" s="562">
        <f>SUM(I9126:I9140)</f>
        <v>0</v>
      </c>
      <c r="J9141" s="562">
        <f>SUM(J9125:J9140)</f>
        <v>0</v>
      </c>
      <c r="K9141" s="505"/>
      <c r="L9141" s="505"/>
      <c r="M9141" s="505"/>
      <c r="N9141" s="505"/>
      <c r="O9141" s="505"/>
      <c r="P9141" s="505"/>
      <c r="Q9141" s="505"/>
      <c r="R9141" s="505"/>
      <c r="S9141" s="505"/>
      <c r="T9141" s="505"/>
      <c r="U9141" s="505"/>
      <c r="V9141" s="505"/>
      <c r="W9141" s="505"/>
      <c r="X9141" s="505"/>
      <c r="Y9141" s="505"/>
    </row>
    <row r="9142" spans="1:25" s="88" customFormat="1" hidden="1" x14ac:dyDescent="0.25">
      <c r="A9142" s="481"/>
      <c r="B9142" s="288"/>
      <c r="C9142" s="334"/>
      <c r="D9142" s="286"/>
      <c r="E9142" s="876"/>
      <c r="F9142" s="258"/>
      <c r="G9142" s="312"/>
      <c r="H9142" s="565"/>
      <c r="I9142" s="566"/>
      <c r="J9142" s="566"/>
      <c r="K9142" s="505"/>
      <c r="L9142" s="505"/>
      <c r="M9142" s="505"/>
      <c r="N9142" s="505"/>
      <c r="O9142" s="505"/>
      <c r="P9142" s="505"/>
      <c r="Q9142" s="505"/>
      <c r="R9142" s="505"/>
      <c r="S9142" s="505"/>
      <c r="T9142" s="505"/>
      <c r="U9142" s="505"/>
      <c r="V9142" s="505"/>
      <c r="W9142" s="505"/>
      <c r="X9142" s="505"/>
      <c r="Y9142" s="505"/>
    </row>
    <row r="9143" spans="1:25" hidden="1" x14ac:dyDescent="0.25">
      <c r="A9143" s="481"/>
    </row>
    <row r="9144" spans="1:25" hidden="1" x14ac:dyDescent="0.25">
      <c r="A9144" s="481"/>
    </row>
    <row r="9145" spans="1:25" ht="3" hidden="1" customHeight="1" x14ac:dyDescent="0.25"/>
    <row r="9146" spans="1:25" hidden="1" x14ac:dyDescent="0.25">
      <c r="A9146" s="321"/>
    </row>
    <row r="9147" spans="1:25" hidden="1" x14ac:dyDescent="0.25">
      <c r="K9147" s="262"/>
      <c r="L9147" s="262"/>
      <c r="M9147" s="262"/>
      <c r="N9147" s="509"/>
    </row>
    <row r="9148" spans="1:25" hidden="1" x14ac:dyDescent="0.25">
      <c r="B9148" s="371">
        <v>6</v>
      </c>
      <c r="C9148" s="362"/>
      <c r="D9148" s="363"/>
      <c r="E9148" s="893"/>
      <c r="F9148" s="366"/>
      <c r="G9148" s="367" t="s">
        <v>4243</v>
      </c>
      <c r="H9148" s="586"/>
      <c r="I9148" s="592"/>
      <c r="J9148" s="578"/>
      <c r="K9148" s="283"/>
      <c r="L9148" s="262"/>
      <c r="M9148" s="262"/>
      <c r="N9148" s="509"/>
    </row>
    <row r="9149" spans="1:25" hidden="1" x14ac:dyDescent="0.25">
      <c r="A9149" s="362">
        <v>4</v>
      </c>
      <c r="C9149" s="267" t="s">
        <v>3566</v>
      </c>
      <c r="G9149" s="359" t="s">
        <v>4229</v>
      </c>
    </row>
    <row r="9150" spans="1:25" hidden="1" x14ac:dyDescent="0.25">
      <c r="C9150" s="339" t="s">
        <v>4074</v>
      </c>
      <c r="D9150" s="311"/>
      <c r="E9150" s="887"/>
      <c r="F9150" s="262"/>
      <c r="G9150" s="313" t="s">
        <v>4242</v>
      </c>
      <c r="K9150" s="477"/>
      <c r="L9150" s="502"/>
    </row>
    <row r="9151" spans="1:25" hidden="1" x14ac:dyDescent="0.25">
      <c r="C9151" s="357"/>
      <c r="D9151" s="331">
        <v>473</v>
      </c>
      <c r="E9151" s="869"/>
      <c r="F9151" s="331"/>
      <c r="G9151" s="351" t="s">
        <v>162</v>
      </c>
      <c r="K9151" s="503"/>
      <c r="L9151" s="502"/>
    </row>
    <row r="9152" spans="1:25" hidden="1" x14ac:dyDescent="0.25">
      <c r="F9152" s="369">
        <v>411</v>
      </c>
      <c r="G9152" s="360" t="s">
        <v>4131</v>
      </c>
      <c r="J9152" s="556">
        <f>SUM(H9152:I9152)</f>
        <v>0</v>
      </c>
    </row>
    <row r="9153" spans="6:10" hidden="1" x14ac:dyDescent="0.25">
      <c r="F9153" s="369">
        <v>412</v>
      </c>
      <c r="G9153" s="358" t="s">
        <v>3766</v>
      </c>
      <c r="J9153" s="556">
        <f t="shared" ref="J9153:J9211" si="316">SUM(H9153:I9153)</f>
        <v>0</v>
      </c>
    </row>
    <row r="9154" spans="6:10" hidden="1" x14ac:dyDescent="0.25">
      <c r="F9154" s="369">
        <v>413</v>
      </c>
      <c r="G9154" s="360" t="s">
        <v>4132</v>
      </c>
      <c r="J9154" s="556">
        <f t="shared" si="316"/>
        <v>0</v>
      </c>
    </row>
    <row r="9155" spans="6:10" hidden="1" x14ac:dyDescent="0.25">
      <c r="F9155" s="369">
        <v>414</v>
      </c>
      <c r="G9155" s="360" t="s">
        <v>3769</v>
      </c>
      <c r="J9155" s="556">
        <f t="shared" si="316"/>
        <v>0</v>
      </c>
    </row>
    <row r="9156" spans="6:10" hidden="1" x14ac:dyDescent="0.25">
      <c r="F9156" s="369">
        <v>415</v>
      </c>
      <c r="G9156" s="360" t="s">
        <v>4141</v>
      </c>
      <c r="J9156" s="556">
        <f t="shared" si="316"/>
        <v>0</v>
      </c>
    </row>
    <row r="9157" spans="6:10" hidden="1" x14ac:dyDescent="0.25">
      <c r="F9157" s="369">
        <v>416</v>
      </c>
      <c r="G9157" s="360" t="s">
        <v>4142</v>
      </c>
      <c r="J9157" s="556">
        <f t="shared" si="316"/>
        <v>0</v>
      </c>
    </row>
    <row r="9158" spans="6:10" hidden="1" x14ac:dyDescent="0.25">
      <c r="F9158" s="369">
        <v>417</v>
      </c>
      <c r="G9158" s="360" t="s">
        <v>4143</v>
      </c>
      <c r="J9158" s="556">
        <f t="shared" si="316"/>
        <v>0</v>
      </c>
    </row>
    <row r="9159" spans="6:10" hidden="1" x14ac:dyDescent="0.25">
      <c r="F9159" s="369">
        <v>418</v>
      </c>
      <c r="G9159" s="360" t="s">
        <v>3775</v>
      </c>
      <c r="J9159" s="556">
        <f t="shared" si="316"/>
        <v>0</v>
      </c>
    </row>
    <row r="9160" spans="6:10" hidden="1" x14ac:dyDescent="0.25">
      <c r="F9160" s="369">
        <v>421</v>
      </c>
      <c r="G9160" s="360" t="s">
        <v>3779</v>
      </c>
      <c r="J9160" s="556">
        <f t="shared" si="316"/>
        <v>0</v>
      </c>
    </row>
    <row r="9161" spans="6:10" hidden="1" x14ac:dyDescent="0.25">
      <c r="F9161" s="369">
        <v>422</v>
      </c>
      <c r="G9161" s="360" t="s">
        <v>3780</v>
      </c>
      <c r="J9161" s="556">
        <f t="shared" si="316"/>
        <v>0</v>
      </c>
    </row>
    <row r="9162" spans="6:10" hidden="1" x14ac:dyDescent="0.25">
      <c r="F9162" s="369">
        <v>423</v>
      </c>
      <c r="G9162" s="360" t="s">
        <v>3781</v>
      </c>
      <c r="J9162" s="556">
        <f t="shared" si="316"/>
        <v>0</v>
      </c>
    </row>
    <row r="9163" spans="6:10" hidden="1" x14ac:dyDescent="0.25">
      <c r="F9163" s="369">
        <v>424</v>
      </c>
      <c r="G9163" s="360" t="s">
        <v>3783</v>
      </c>
      <c r="J9163" s="556">
        <f t="shared" si="316"/>
        <v>0</v>
      </c>
    </row>
    <row r="9164" spans="6:10" hidden="1" x14ac:dyDescent="0.25">
      <c r="F9164" s="369">
        <v>425</v>
      </c>
      <c r="G9164" s="360" t="s">
        <v>4144</v>
      </c>
      <c r="J9164" s="556">
        <f t="shared" si="316"/>
        <v>0</v>
      </c>
    </row>
    <row r="9165" spans="6:10" hidden="1" x14ac:dyDescent="0.25">
      <c r="F9165" s="369">
        <v>426</v>
      </c>
      <c r="G9165" s="360" t="s">
        <v>3787</v>
      </c>
      <c r="J9165" s="556">
        <f t="shared" si="316"/>
        <v>0</v>
      </c>
    </row>
    <row r="9166" spans="6:10" ht="8.25" hidden="1" customHeight="1" x14ac:dyDescent="0.25">
      <c r="F9166" s="369">
        <v>431</v>
      </c>
      <c r="G9166" s="360" t="s">
        <v>4145</v>
      </c>
      <c r="J9166" s="556">
        <f t="shared" si="316"/>
        <v>0</v>
      </c>
    </row>
    <row r="9167" spans="6:10" hidden="1" x14ac:dyDescent="0.25">
      <c r="F9167" s="369">
        <v>432</v>
      </c>
      <c r="G9167" s="360" t="s">
        <v>4146</v>
      </c>
      <c r="J9167" s="556">
        <f t="shared" si="316"/>
        <v>0</v>
      </c>
    </row>
    <row r="9168" spans="6:10" hidden="1" x14ac:dyDescent="0.25">
      <c r="F9168" s="369">
        <v>433</v>
      </c>
      <c r="G9168" s="360" t="s">
        <v>4147</v>
      </c>
      <c r="J9168" s="556">
        <f t="shared" si="316"/>
        <v>0</v>
      </c>
    </row>
    <row r="9169" spans="6:10" hidden="1" x14ac:dyDescent="0.25">
      <c r="F9169" s="369">
        <v>434</v>
      </c>
      <c r="G9169" s="360" t="s">
        <v>4148</v>
      </c>
      <c r="J9169" s="556">
        <f t="shared" si="316"/>
        <v>0</v>
      </c>
    </row>
    <row r="9170" spans="6:10" hidden="1" x14ac:dyDescent="0.25">
      <c r="F9170" s="369">
        <v>435</v>
      </c>
      <c r="G9170" s="360" t="s">
        <v>3794</v>
      </c>
      <c r="J9170" s="556">
        <f t="shared" si="316"/>
        <v>0</v>
      </c>
    </row>
    <row r="9171" spans="6:10" hidden="1" x14ac:dyDescent="0.25">
      <c r="F9171" s="369">
        <v>441</v>
      </c>
      <c r="G9171" s="360" t="s">
        <v>4149</v>
      </c>
      <c r="J9171" s="556">
        <f t="shared" si="316"/>
        <v>0</v>
      </c>
    </row>
    <row r="9172" spans="6:10" hidden="1" x14ac:dyDescent="0.25">
      <c r="F9172" s="369">
        <v>442</v>
      </c>
      <c r="G9172" s="360" t="s">
        <v>4150</v>
      </c>
      <c r="J9172" s="556">
        <f t="shared" si="316"/>
        <v>0</v>
      </c>
    </row>
    <row r="9173" spans="6:10" hidden="1" x14ac:dyDescent="0.25">
      <c r="F9173" s="369">
        <v>443</v>
      </c>
      <c r="G9173" s="360" t="s">
        <v>3799</v>
      </c>
      <c r="J9173" s="556">
        <f t="shared" si="316"/>
        <v>0</v>
      </c>
    </row>
    <row r="9174" spans="6:10" hidden="1" x14ac:dyDescent="0.25">
      <c r="F9174" s="369">
        <v>444</v>
      </c>
      <c r="G9174" s="360" t="s">
        <v>3800</v>
      </c>
      <c r="J9174" s="556">
        <f t="shared" si="316"/>
        <v>0</v>
      </c>
    </row>
    <row r="9175" spans="6:10" ht="30" hidden="1" x14ac:dyDescent="0.25">
      <c r="F9175" s="369">
        <v>4511</v>
      </c>
      <c r="G9175" s="263" t="s">
        <v>1690</v>
      </c>
      <c r="J9175" s="556">
        <f t="shared" si="316"/>
        <v>0</v>
      </c>
    </row>
    <row r="9176" spans="6:10" ht="30" hidden="1" x14ac:dyDescent="0.25">
      <c r="F9176" s="369">
        <v>4512</v>
      </c>
      <c r="G9176" s="263" t="s">
        <v>1699</v>
      </c>
      <c r="J9176" s="556">
        <f t="shared" si="316"/>
        <v>0</v>
      </c>
    </row>
    <row r="9177" spans="6:10" hidden="1" x14ac:dyDescent="0.25">
      <c r="F9177" s="369">
        <v>452</v>
      </c>
      <c r="G9177" s="360" t="s">
        <v>4151</v>
      </c>
      <c r="J9177" s="556">
        <f t="shared" si="316"/>
        <v>0</v>
      </c>
    </row>
    <row r="9178" spans="6:10" hidden="1" x14ac:dyDescent="0.25">
      <c r="F9178" s="369">
        <v>453</v>
      </c>
      <c r="G9178" s="360" t="s">
        <v>4152</v>
      </c>
      <c r="J9178" s="556">
        <f t="shared" si="316"/>
        <v>0</v>
      </c>
    </row>
    <row r="9179" spans="6:10" hidden="1" x14ac:dyDescent="0.25">
      <c r="F9179" s="369">
        <v>454</v>
      </c>
      <c r="G9179" s="360" t="s">
        <v>3805</v>
      </c>
      <c r="J9179" s="556">
        <f t="shared" si="316"/>
        <v>0</v>
      </c>
    </row>
    <row r="9180" spans="6:10" hidden="1" x14ac:dyDescent="0.25">
      <c r="F9180" s="369">
        <v>461</v>
      </c>
      <c r="G9180" s="360" t="s">
        <v>4133</v>
      </c>
      <c r="J9180" s="556">
        <f t="shared" si="316"/>
        <v>0</v>
      </c>
    </row>
    <row r="9181" spans="6:10" hidden="1" x14ac:dyDescent="0.25">
      <c r="F9181" s="369">
        <v>462</v>
      </c>
      <c r="G9181" s="360" t="s">
        <v>3808</v>
      </c>
      <c r="J9181" s="556">
        <f t="shared" si="316"/>
        <v>0</v>
      </c>
    </row>
    <row r="9182" spans="6:10" hidden="1" x14ac:dyDescent="0.25">
      <c r="F9182" s="369">
        <v>4631</v>
      </c>
      <c r="G9182" s="360" t="s">
        <v>3809</v>
      </c>
      <c r="J9182" s="556">
        <f t="shared" si="316"/>
        <v>0</v>
      </c>
    </row>
    <row r="9183" spans="6:10" hidden="1" x14ac:dyDescent="0.25">
      <c r="F9183" s="369">
        <v>4632</v>
      </c>
      <c r="G9183" s="360" t="s">
        <v>3810</v>
      </c>
      <c r="J9183" s="556">
        <f t="shared" si="316"/>
        <v>0</v>
      </c>
    </row>
    <row r="9184" spans="6:10" hidden="1" x14ac:dyDescent="0.25">
      <c r="F9184" s="369">
        <v>464</v>
      </c>
      <c r="G9184" s="360" t="s">
        <v>3811</v>
      </c>
      <c r="J9184" s="556">
        <f t="shared" si="316"/>
        <v>0</v>
      </c>
    </row>
    <row r="9185" spans="6:10" hidden="1" x14ac:dyDescent="0.25">
      <c r="F9185" s="369">
        <v>465</v>
      </c>
      <c r="G9185" s="360" t="s">
        <v>4134</v>
      </c>
      <c r="J9185" s="556">
        <f t="shared" si="316"/>
        <v>0</v>
      </c>
    </row>
    <row r="9186" spans="6:10" hidden="1" x14ac:dyDescent="0.25">
      <c r="F9186" s="369">
        <v>472</v>
      </c>
      <c r="G9186" s="360" t="s">
        <v>3815</v>
      </c>
      <c r="J9186" s="556">
        <f t="shared" si="316"/>
        <v>0</v>
      </c>
    </row>
    <row r="9187" spans="6:10" hidden="1" x14ac:dyDescent="0.25">
      <c r="F9187" s="369">
        <v>481</v>
      </c>
      <c r="G9187" s="360" t="s">
        <v>4153</v>
      </c>
      <c r="J9187" s="556">
        <f t="shared" si="316"/>
        <v>0</v>
      </c>
    </row>
    <row r="9188" spans="6:10" hidden="1" x14ac:dyDescent="0.25">
      <c r="F9188" s="369">
        <v>482</v>
      </c>
      <c r="G9188" s="360" t="s">
        <v>4154</v>
      </c>
      <c r="J9188" s="556">
        <f t="shared" si="316"/>
        <v>0</v>
      </c>
    </row>
    <row r="9189" spans="6:10" hidden="1" x14ac:dyDescent="0.25">
      <c r="F9189" s="369">
        <v>483</v>
      </c>
      <c r="G9189" s="365" t="s">
        <v>4155</v>
      </c>
      <c r="J9189" s="556">
        <f t="shared" si="316"/>
        <v>0</v>
      </c>
    </row>
    <row r="9190" spans="6:10" ht="30" hidden="1" x14ac:dyDescent="0.25">
      <c r="F9190" s="369">
        <v>484</v>
      </c>
      <c r="G9190" s="360" t="s">
        <v>4156</v>
      </c>
      <c r="J9190" s="556">
        <f t="shared" si="316"/>
        <v>0</v>
      </c>
    </row>
    <row r="9191" spans="6:10" ht="30" hidden="1" x14ac:dyDescent="0.25">
      <c r="F9191" s="369">
        <v>485</v>
      </c>
      <c r="G9191" s="360" t="s">
        <v>4157</v>
      </c>
      <c r="J9191" s="556">
        <f t="shared" si="316"/>
        <v>0</v>
      </c>
    </row>
    <row r="9192" spans="6:10" ht="30" hidden="1" x14ac:dyDescent="0.25">
      <c r="F9192" s="369">
        <v>489</v>
      </c>
      <c r="G9192" s="360" t="s">
        <v>3823</v>
      </c>
      <c r="J9192" s="556">
        <f t="shared" si="316"/>
        <v>0</v>
      </c>
    </row>
    <row r="9193" spans="6:10" hidden="1" x14ac:dyDescent="0.25">
      <c r="F9193" s="369">
        <v>494</v>
      </c>
      <c r="G9193" s="360" t="s">
        <v>4135</v>
      </c>
      <c r="J9193" s="556">
        <f t="shared" si="316"/>
        <v>0</v>
      </c>
    </row>
    <row r="9194" spans="6:10" ht="30" hidden="1" x14ac:dyDescent="0.25">
      <c r="F9194" s="369">
        <v>495</v>
      </c>
      <c r="G9194" s="360" t="s">
        <v>4136</v>
      </c>
      <c r="J9194" s="556">
        <f t="shared" si="316"/>
        <v>0</v>
      </c>
    </row>
    <row r="9195" spans="6:10" ht="30" hidden="1" x14ac:dyDescent="0.25">
      <c r="F9195" s="369">
        <v>496</v>
      </c>
      <c r="G9195" s="360" t="s">
        <v>4137</v>
      </c>
      <c r="J9195" s="556">
        <f t="shared" si="316"/>
        <v>0</v>
      </c>
    </row>
    <row r="9196" spans="6:10" ht="30" hidden="1" x14ac:dyDescent="0.25">
      <c r="F9196" s="369">
        <v>499</v>
      </c>
      <c r="G9196" s="360" t="s">
        <v>4138</v>
      </c>
      <c r="J9196" s="556">
        <f t="shared" si="316"/>
        <v>0</v>
      </c>
    </row>
    <row r="9197" spans="6:10" hidden="1" x14ac:dyDescent="0.25">
      <c r="F9197" s="369">
        <v>511</v>
      </c>
      <c r="G9197" s="365" t="s">
        <v>4158</v>
      </c>
      <c r="J9197" s="556">
        <f t="shared" si="316"/>
        <v>0</v>
      </c>
    </row>
    <row r="9198" spans="6:10" hidden="1" x14ac:dyDescent="0.25">
      <c r="F9198" s="369">
        <v>512</v>
      </c>
      <c r="G9198" s="365" t="s">
        <v>4159</v>
      </c>
      <c r="J9198" s="556">
        <f t="shared" si="316"/>
        <v>0</v>
      </c>
    </row>
    <row r="9199" spans="6:10" hidden="1" x14ac:dyDescent="0.25">
      <c r="F9199" s="369">
        <v>513</v>
      </c>
      <c r="G9199" s="365" t="s">
        <v>4160</v>
      </c>
      <c r="J9199" s="556">
        <f t="shared" si="316"/>
        <v>0</v>
      </c>
    </row>
    <row r="9200" spans="6:10" hidden="1" x14ac:dyDescent="0.25">
      <c r="F9200" s="369">
        <v>514</v>
      </c>
      <c r="G9200" s="360" t="s">
        <v>4161</v>
      </c>
      <c r="J9200" s="556">
        <f t="shared" si="316"/>
        <v>0</v>
      </c>
    </row>
    <row r="9201" spans="5:10" hidden="1" x14ac:dyDescent="0.25">
      <c r="F9201" s="369">
        <v>515</v>
      </c>
      <c r="G9201" s="360" t="s">
        <v>3834</v>
      </c>
      <c r="J9201" s="556">
        <f t="shared" si="316"/>
        <v>0</v>
      </c>
    </row>
    <row r="9202" spans="5:10" hidden="1" x14ac:dyDescent="0.25">
      <c r="F9202" s="369">
        <v>521</v>
      </c>
      <c r="G9202" s="360" t="s">
        <v>4162</v>
      </c>
      <c r="J9202" s="556">
        <f t="shared" si="316"/>
        <v>0</v>
      </c>
    </row>
    <row r="9203" spans="5:10" hidden="1" x14ac:dyDescent="0.25">
      <c r="F9203" s="369">
        <v>522</v>
      </c>
      <c r="G9203" s="360" t="s">
        <v>4163</v>
      </c>
      <c r="J9203" s="556">
        <f t="shared" si="316"/>
        <v>0</v>
      </c>
    </row>
    <row r="9204" spans="5:10" hidden="1" x14ac:dyDescent="0.25">
      <c r="F9204" s="369">
        <v>523</v>
      </c>
      <c r="G9204" s="360" t="s">
        <v>3839</v>
      </c>
      <c r="J9204" s="556">
        <f t="shared" si="316"/>
        <v>0</v>
      </c>
    </row>
    <row r="9205" spans="5:10" hidden="1" x14ac:dyDescent="0.25">
      <c r="F9205" s="369">
        <v>531</v>
      </c>
      <c r="G9205" s="358" t="s">
        <v>4139</v>
      </c>
      <c r="J9205" s="556">
        <f t="shared" si="316"/>
        <v>0</v>
      </c>
    </row>
    <row r="9206" spans="5:10" hidden="1" x14ac:dyDescent="0.25">
      <c r="F9206" s="369">
        <v>541</v>
      </c>
      <c r="G9206" s="360" t="s">
        <v>4164</v>
      </c>
      <c r="J9206" s="556">
        <f t="shared" si="316"/>
        <v>0</v>
      </c>
    </row>
    <row r="9207" spans="5:10" hidden="1" x14ac:dyDescent="0.25">
      <c r="F9207" s="369">
        <v>542</v>
      </c>
      <c r="G9207" s="360" t="s">
        <v>4165</v>
      </c>
      <c r="J9207" s="556">
        <f t="shared" si="316"/>
        <v>0</v>
      </c>
    </row>
    <row r="9208" spans="5:10" hidden="1" x14ac:dyDescent="0.25">
      <c r="F9208" s="369">
        <v>543</v>
      </c>
      <c r="G9208" s="360" t="s">
        <v>3844</v>
      </c>
      <c r="J9208" s="556">
        <f t="shared" si="316"/>
        <v>0</v>
      </c>
    </row>
    <row r="9209" spans="5:10" ht="30" hidden="1" x14ac:dyDescent="0.25">
      <c r="F9209" s="369">
        <v>551</v>
      </c>
      <c r="G9209" s="360" t="s">
        <v>4140</v>
      </c>
      <c r="J9209" s="556">
        <f t="shared" si="316"/>
        <v>0</v>
      </c>
    </row>
    <row r="9210" spans="5:10" hidden="1" x14ac:dyDescent="0.25">
      <c r="F9210" s="370">
        <v>611</v>
      </c>
      <c r="G9210" s="368" t="s">
        <v>3850</v>
      </c>
      <c r="J9210" s="556">
        <f t="shared" si="316"/>
        <v>0</v>
      </c>
    </row>
    <row r="9211" spans="5:10" hidden="1" x14ac:dyDescent="0.25">
      <c r="F9211" s="370">
        <v>620</v>
      </c>
      <c r="G9211" s="368" t="s">
        <v>88</v>
      </c>
      <c r="J9211" s="556">
        <f t="shared" si="316"/>
        <v>0</v>
      </c>
    </row>
    <row r="9212" spans="5:10" hidden="1" x14ac:dyDescent="0.25">
      <c r="E9212" s="489"/>
      <c r="F9212" s="370"/>
      <c r="G9212" s="343" t="s">
        <v>4329</v>
      </c>
      <c r="H9212" s="557"/>
      <c r="I9212" s="583"/>
      <c r="J9212" s="558"/>
    </row>
    <row r="9213" spans="5:10" hidden="1" x14ac:dyDescent="0.25">
      <c r="E9213" s="693"/>
      <c r="F9213" s="284" t="s">
        <v>234</v>
      </c>
      <c r="G9213" s="287" t="s">
        <v>235</v>
      </c>
      <c r="H9213" s="559">
        <f>SUM(H9152:H9211)</f>
        <v>0</v>
      </c>
      <c r="I9213" s="560"/>
      <c r="J9213" s="560">
        <f t="shared" ref="J9213:J9228" si="317">SUM(H9213:I9213)</f>
        <v>0</v>
      </c>
    </row>
    <row r="9214" spans="5:10" hidden="1" x14ac:dyDescent="0.25">
      <c r="F9214" s="284" t="s">
        <v>236</v>
      </c>
      <c r="G9214" s="287" t="s">
        <v>237</v>
      </c>
      <c r="J9214" s="560">
        <f t="shared" si="317"/>
        <v>0</v>
      </c>
    </row>
    <row r="9215" spans="5:10" hidden="1" x14ac:dyDescent="0.25">
      <c r="F9215" s="284" t="s">
        <v>238</v>
      </c>
      <c r="G9215" s="287" t="s">
        <v>239</v>
      </c>
      <c r="J9215" s="560">
        <f t="shared" si="317"/>
        <v>0</v>
      </c>
    </row>
    <row r="9216" spans="5:10" hidden="1" x14ac:dyDescent="0.25">
      <c r="F9216" s="284" t="s">
        <v>240</v>
      </c>
      <c r="G9216" s="287" t="s">
        <v>241</v>
      </c>
      <c r="J9216" s="560">
        <f t="shared" si="317"/>
        <v>0</v>
      </c>
    </row>
    <row r="9217" spans="5:10" hidden="1" x14ac:dyDescent="0.25">
      <c r="F9217" s="284" t="s">
        <v>242</v>
      </c>
      <c r="G9217" s="287" t="s">
        <v>243</v>
      </c>
      <c r="J9217" s="560">
        <f t="shared" si="317"/>
        <v>0</v>
      </c>
    </row>
    <row r="9218" spans="5:10" hidden="1" x14ac:dyDescent="0.25">
      <c r="F9218" s="284" t="s">
        <v>244</v>
      </c>
      <c r="G9218" s="287" t="s">
        <v>245</v>
      </c>
      <c r="J9218" s="560">
        <f t="shared" si="317"/>
        <v>0</v>
      </c>
    </row>
    <row r="9219" spans="5:10" hidden="1" x14ac:dyDescent="0.25">
      <c r="F9219" s="284" t="s">
        <v>246</v>
      </c>
      <c r="G9219" s="598" t="s">
        <v>4996</v>
      </c>
      <c r="J9219" s="560">
        <f t="shared" si="317"/>
        <v>0</v>
      </c>
    </row>
    <row r="9220" spans="5:10" hidden="1" x14ac:dyDescent="0.25">
      <c r="F9220" s="284" t="s">
        <v>247</v>
      </c>
      <c r="G9220" s="598" t="s">
        <v>4995</v>
      </c>
      <c r="J9220" s="560">
        <f t="shared" si="317"/>
        <v>0</v>
      </c>
    </row>
    <row r="9221" spans="5:10" hidden="1" x14ac:dyDescent="0.25">
      <c r="F9221" s="284" t="s">
        <v>248</v>
      </c>
      <c r="G9221" s="287" t="s">
        <v>57</v>
      </c>
      <c r="J9221" s="560">
        <f t="shared" si="317"/>
        <v>0</v>
      </c>
    </row>
    <row r="9222" spans="5:10" hidden="1" x14ac:dyDescent="0.25">
      <c r="F9222" s="284" t="s">
        <v>249</v>
      </c>
      <c r="G9222" s="287" t="s">
        <v>250</v>
      </c>
      <c r="J9222" s="560">
        <f t="shared" si="317"/>
        <v>0</v>
      </c>
    </row>
    <row r="9223" spans="5:10" hidden="1" x14ac:dyDescent="0.25">
      <c r="F9223" s="284" t="s">
        <v>251</v>
      </c>
      <c r="G9223" s="287" t="s">
        <v>252</v>
      </c>
      <c r="J9223" s="560">
        <f t="shared" si="317"/>
        <v>0</v>
      </c>
    </row>
    <row r="9224" spans="5:10" ht="30" hidden="1" x14ac:dyDescent="0.25">
      <c r="F9224" s="284" t="s">
        <v>253</v>
      </c>
      <c r="G9224" s="287" t="s">
        <v>254</v>
      </c>
      <c r="J9224" s="560">
        <f t="shared" si="317"/>
        <v>0</v>
      </c>
    </row>
    <row r="9225" spans="5:10" hidden="1" x14ac:dyDescent="0.25">
      <c r="F9225" s="284" t="s">
        <v>255</v>
      </c>
      <c r="G9225" s="287" t="s">
        <v>256</v>
      </c>
      <c r="J9225" s="560">
        <f t="shared" si="317"/>
        <v>0</v>
      </c>
    </row>
    <row r="9226" spans="5:10" ht="30" hidden="1" x14ac:dyDescent="0.25">
      <c r="F9226" s="284" t="s">
        <v>257</v>
      </c>
      <c r="G9226" s="287" t="s">
        <v>258</v>
      </c>
      <c r="J9226" s="560">
        <f t="shared" si="317"/>
        <v>0</v>
      </c>
    </row>
    <row r="9227" spans="5:10" hidden="1" x14ac:dyDescent="0.25">
      <c r="F9227" s="284" t="s">
        <v>259</v>
      </c>
      <c r="G9227" s="287" t="s">
        <v>260</v>
      </c>
      <c r="J9227" s="560">
        <f t="shared" si="317"/>
        <v>0</v>
      </c>
    </row>
    <row r="9228" spans="5:10" hidden="1" x14ac:dyDescent="0.25">
      <c r="F9228" s="284" t="s">
        <v>261</v>
      </c>
      <c r="G9228" s="287" t="s">
        <v>262</v>
      </c>
      <c r="H9228" s="559"/>
      <c r="I9228" s="560"/>
      <c r="J9228" s="560">
        <f t="shared" si="317"/>
        <v>0</v>
      </c>
    </row>
    <row r="9229" spans="5:10" ht="15.75" hidden="1" thickBot="1" x14ac:dyDescent="0.3">
      <c r="G9229" s="268" t="s">
        <v>4330</v>
      </c>
      <c r="H9229" s="561">
        <f>SUM(H9213:H9228)</f>
        <v>0</v>
      </c>
      <c r="I9229" s="562">
        <f>SUM(I9214:I9228)</f>
        <v>0</v>
      </c>
      <c r="J9229" s="562">
        <f>SUM(J9213:J9228)</f>
        <v>0</v>
      </c>
    </row>
    <row r="9230" spans="5:10" ht="28.5" hidden="1" collapsed="1" x14ac:dyDescent="0.25">
      <c r="E9230" s="489"/>
      <c r="F9230" s="370"/>
      <c r="G9230" s="270" t="s">
        <v>4230</v>
      </c>
      <c r="H9230" s="563"/>
      <c r="I9230" s="584"/>
      <c r="J9230" s="564"/>
    </row>
    <row r="9231" spans="5:10" hidden="1" x14ac:dyDescent="0.25">
      <c r="E9231" s="693"/>
      <c r="F9231" s="284" t="s">
        <v>234</v>
      </c>
      <c r="G9231" s="287" t="s">
        <v>235</v>
      </c>
      <c r="H9231" s="559">
        <f>SUM(H9152:H9211)</f>
        <v>0</v>
      </c>
      <c r="I9231" s="560"/>
      <c r="J9231" s="560">
        <f>SUM(H9231:I9231)</f>
        <v>0</v>
      </c>
    </row>
    <row r="9232" spans="5:10" hidden="1" x14ac:dyDescent="0.25">
      <c r="F9232" s="284" t="s">
        <v>236</v>
      </c>
      <c r="G9232" s="287" t="s">
        <v>237</v>
      </c>
      <c r="J9232" s="560">
        <f t="shared" ref="J9232:J9246" si="318">SUM(H9232:I9232)</f>
        <v>0</v>
      </c>
    </row>
    <row r="9233" spans="6:10" hidden="1" x14ac:dyDescent="0.25">
      <c r="F9233" s="284" t="s">
        <v>238</v>
      </c>
      <c r="G9233" s="287" t="s">
        <v>239</v>
      </c>
      <c r="J9233" s="560">
        <f t="shared" si="318"/>
        <v>0</v>
      </c>
    </row>
    <row r="9234" spans="6:10" hidden="1" x14ac:dyDescent="0.25">
      <c r="F9234" s="284" t="s">
        <v>240</v>
      </c>
      <c r="G9234" s="287" t="s">
        <v>241</v>
      </c>
      <c r="J9234" s="560">
        <f t="shared" si="318"/>
        <v>0</v>
      </c>
    </row>
    <row r="9235" spans="6:10" hidden="1" x14ac:dyDescent="0.25">
      <c r="F9235" s="284" t="s">
        <v>242</v>
      </c>
      <c r="G9235" s="287" t="s">
        <v>243</v>
      </c>
      <c r="J9235" s="560">
        <f t="shared" si="318"/>
        <v>0</v>
      </c>
    </row>
    <row r="9236" spans="6:10" hidden="1" x14ac:dyDescent="0.25">
      <c r="F9236" s="284" t="s">
        <v>244</v>
      </c>
      <c r="G9236" s="287" t="s">
        <v>245</v>
      </c>
      <c r="J9236" s="560">
        <f t="shared" si="318"/>
        <v>0</v>
      </c>
    </row>
    <row r="9237" spans="6:10" hidden="1" x14ac:dyDescent="0.25">
      <c r="F9237" s="284" t="s">
        <v>246</v>
      </c>
      <c r="G9237" s="598" t="s">
        <v>4996</v>
      </c>
      <c r="J9237" s="560">
        <f t="shared" si="318"/>
        <v>0</v>
      </c>
    </row>
    <row r="9238" spans="6:10" hidden="1" x14ac:dyDescent="0.25">
      <c r="F9238" s="284" t="s">
        <v>247</v>
      </c>
      <c r="G9238" s="598" t="s">
        <v>4995</v>
      </c>
      <c r="J9238" s="560">
        <f t="shared" si="318"/>
        <v>0</v>
      </c>
    </row>
    <row r="9239" spans="6:10" hidden="1" x14ac:dyDescent="0.25">
      <c r="F9239" s="284" t="s">
        <v>248</v>
      </c>
      <c r="G9239" s="287" t="s">
        <v>57</v>
      </c>
      <c r="J9239" s="560">
        <f t="shared" si="318"/>
        <v>0</v>
      </c>
    </row>
    <row r="9240" spans="6:10" hidden="1" x14ac:dyDescent="0.25">
      <c r="F9240" s="284" t="s">
        <v>249</v>
      </c>
      <c r="G9240" s="287" t="s">
        <v>250</v>
      </c>
      <c r="J9240" s="560">
        <f t="shared" si="318"/>
        <v>0</v>
      </c>
    </row>
    <row r="9241" spans="6:10" hidden="1" x14ac:dyDescent="0.25">
      <c r="F9241" s="284" t="s">
        <v>251</v>
      </c>
      <c r="G9241" s="287" t="s">
        <v>252</v>
      </c>
      <c r="J9241" s="560">
        <f t="shared" si="318"/>
        <v>0</v>
      </c>
    </row>
    <row r="9242" spans="6:10" ht="30" hidden="1" x14ac:dyDescent="0.25">
      <c r="F9242" s="284" t="s">
        <v>253</v>
      </c>
      <c r="G9242" s="287" t="s">
        <v>254</v>
      </c>
      <c r="J9242" s="560">
        <f t="shared" si="318"/>
        <v>0</v>
      </c>
    </row>
    <row r="9243" spans="6:10" hidden="1" x14ac:dyDescent="0.25">
      <c r="F9243" s="284" t="s">
        <v>255</v>
      </c>
      <c r="G9243" s="287" t="s">
        <v>256</v>
      </c>
      <c r="J9243" s="560">
        <f t="shared" si="318"/>
        <v>0</v>
      </c>
    </row>
    <row r="9244" spans="6:10" ht="30" hidden="1" x14ac:dyDescent="0.25">
      <c r="F9244" s="284" t="s">
        <v>257</v>
      </c>
      <c r="G9244" s="287" t="s">
        <v>258</v>
      </c>
      <c r="J9244" s="560">
        <f t="shared" si="318"/>
        <v>0</v>
      </c>
    </row>
    <row r="9245" spans="6:10" hidden="1" x14ac:dyDescent="0.25">
      <c r="F9245" s="284" t="s">
        <v>259</v>
      </c>
      <c r="G9245" s="287" t="s">
        <v>260</v>
      </c>
      <c r="J9245" s="560">
        <f t="shared" si="318"/>
        <v>0</v>
      </c>
    </row>
    <row r="9246" spans="6:10" hidden="1" x14ac:dyDescent="0.25">
      <c r="F9246" s="284" t="s">
        <v>261</v>
      </c>
      <c r="G9246" s="287" t="s">
        <v>262</v>
      </c>
      <c r="H9246" s="559"/>
      <c r="I9246" s="560"/>
      <c r="J9246" s="560">
        <f t="shared" si="318"/>
        <v>0</v>
      </c>
    </row>
    <row r="9247" spans="6:10" ht="15.75" hidden="1" collapsed="1" thickBot="1" x14ac:dyDescent="0.3">
      <c r="G9247" s="268" t="s">
        <v>4332</v>
      </c>
      <c r="H9247" s="561">
        <f>SUM(H9231:H9246)</f>
        <v>0</v>
      </c>
      <c r="I9247" s="562">
        <f>SUM(I9232:I9246)</f>
        <v>0</v>
      </c>
      <c r="J9247" s="562">
        <f>SUM(J9231:J9246)</f>
        <v>0</v>
      </c>
    </row>
    <row r="9248" spans="6:10" hidden="1" x14ac:dyDescent="0.25"/>
    <row r="9249" spans="3:12" hidden="1" x14ac:dyDescent="0.25">
      <c r="C9249" s="339" t="s">
        <v>4244</v>
      </c>
      <c r="D9249" s="311"/>
      <c r="E9249" s="887"/>
      <c r="F9249" s="262"/>
      <c r="G9249" s="313" t="s">
        <v>4060</v>
      </c>
      <c r="K9249" s="477"/>
      <c r="L9249" s="502"/>
    </row>
    <row r="9250" spans="3:12" hidden="1" x14ac:dyDescent="0.25">
      <c r="C9250" s="357"/>
      <c r="D9250" s="331">
        <v>473</v>
      </c>
      <c r="E9250" s="869"/>
      <c r="F9250" s="331"/>
      <c r="G9250" s="351" t="s">
        <v>162</v>
      </c>
      <c r="K9250" s="503"/>
      <c r="L9250" s="502"/>
    </row>
    <row r="9251" spans="3:12" hidden="1" x14ac:dyDescent="0.25">
      <c r="F9251" s="369">
        <v>411</v>
      </c>
      <c r="G9251" s="360" t="s">
        <v>4131</v>
      </c>
      <c r="J9251" s="556">
        <f>SUM(H9251:I9251)</f>
        <v>0</v>
      </c>
    </row>
    <row r="9252" spans="3:12" hidden="1" x14ac:dyDescent="0.25">
      <c r="F9252" s="369">
        <v>412</v>
      </c>
      <c r="G9252" s="358" t="s">
        <v>3766</v>
      </c>
      <c r="J9252" s="556">
        <f t="shared" ref="J9252:J9310" si="319">SUM(H9252:I9252)</f>
        <v>0</v>
      </c>
    </row>
    <row r="9253" spans="3:12" hidden="1" x14ac:dyDescent="0.25">
      <c r="F9253" s="369">
        <v>413</v>
      </c>
      <c r="G9253" s="360" t="s">
        <v>4132</v>
      </c>
      <c r="J9253" s="556">
        <f t="shared" si="319"/>
        <v>0</v>
      </c>
    </row>
    <row r="9254" spans="3:12" hidden="1" x14ac:dyDescent="0.25">
      <c r="F9254" s="369">
        <v>414</v>
      </c>
      <c r="G9254" s="360" t="s">
        <v>3769</v>
      </c>
      <c r="J9254" s="556">
        <f t="shared" si="319"/>
        <v>0</v>
      </c>
    </row>
    <row r="9255" spans="3:12" hidden="1" x14ac:dyDescent="0.25">
      <c r="F9255" s="369">
        <v>415</v>
      </c>
      <c r="G9255" s="360" t="s">
        <v>4141</v>
      </c>
      <c r="J9255" s="556">
        <f t="shared" si="319"/>
        <v>0</v>
      </c>
    </row>
    <row r="9256" spans="3:12" hidden="1" x14ac:dyDescent="0.25">
      <c r="F9256" s="369">
        <v>416</v>
      </c>
      <c r="G9256" s="360" t="s">
        <v>4142</v>
      </c>
      <c r="J9256" s="556">
        <f t="shared" si="319"/>
        <v>0</v>
      </c>
    </row>
    <row r="9257" spans="3:12" hidden="1" x14ac:dyDescent="0.25">
      <c r="F9257" s="369">
        <v>417</v>
      </c>
      <c r="G9257" s="360" t="s">
        <v>4143</v>
      </c>
      <c r="J9257" s="556">
        <f t="shared" si="319"/>
        <v>0</v>
      </c>
    </row>
    <row r="9258" spans="3:12" hidden="1" x14ac:dyDescent="0.25">
      <c r="F9258" s="369">
        <v>418</v>
      </c>
      <c r="G9258" s="360" t="s">
        <v>3775</v>
      </c>
      <c r="J9258" s="556">
        <f t="shared" si="319"/>
        <v>0</v>
      </c>
    </row>
    <row r="9259" spans="3:12" hidden="1" x14ac:dyDescent="0.25">
      <c r="F9259" s="369">
        <v>421</v>
      </c>
      <c r="G9259" s="360" t="s">
        <v>3779</v>
      </c>
      <c r="J9259" s="556">
        <f t="shared" si="319"/>
        <v>0</v>
      </c>
    </row>
    <row r="9260" spans="3:12" hidden="1" x14ac:dyDescent="0.25">
      <c r="F9260" s="369">
        <v>422</v>
      </c>
      <c r="G9260" s="360" t="s">
        <v>3780</v>
      </c>
      <c r="J9260" s="556">
        <f t="shared" si="319"/>
        <v>0</v>
      </c>
    </row>
    <row r="9261" spans="3:12" hidden="1" x14ac:dyDescent="0.25">
      <c r="F9261" s="369">
        <v>423</v>
      </c>
      <c r="G9261" s="360" t="s">
        <v>3781</v>
      </c>
      <c r="J9261" s="556">
        <f t="shared" si="319"/>
        <v>0</v>
      </c>
    </row>
    <row r="9262" spans="3:12" hidden="1" x14ac:dyDescent="0.25">
      <c r="F9262" s="369">
        <v>424</v>
      </c>
      <c r="G9262" s="360" t="s">
        <v>3783</v>
      </c>
      <c r="J9262" s="556">
        <f t="shared" si="319"/>
        <v>0</v>
      </c>
    </row>
    <row r="9263" spans="3:12" hidden="1" x14ac:dyDescent="0.25">
      <c r="F9263" s="369">
        <v>425</v>
      </c>
      <c r="G9263" s="360" t="s">
        <v>4144</v>
      </c>
      <c r="J9263" s="556">
        <f t="shared" si="319"/>
        <v>0</v>
      </c>
    </row>
    <row r="9264" spans="3:12" hidden="1" x14ac:dyDescent="0.25">
      <c r="F9264" s="369">
        <v>426</v>
      </c>
      <c r="G9264" s="360" t="s">
        <v>3787</v>
      </c>
      <c r="J9264" s="556">
        <f t="shared" si="319"/>
        <v>0</v>
      </c>
    </row>
    <row r="9265" spans="6:10" hidden="1" x14ac:dyDescent="0.25">
      <c r="F9265" s="369">
        <v>431</v>
      </c>
      <c r="G9265" s="360" t="s">
        <v>4145</v>
      </c>
      <c r="J9265" s="556">
        <f t="shared" si="319"/>
        <v>0</v>
      </c>
    </row>
    <row r="9266" spans="6:10" hidden="1" x14ac:dyDescent="0.25">
      <c r="F9266" s="369">
        <v>432</v>
      </c>
      <c r="G9266" s="360" t="s">
        <v>4146</v>
      </c>
      <c r="J9266" s="556">
        <f t="shared" si="319"/>
        <v>0</v>
      </c>
    </row>
    <row r="9267" spans="6:10" hidden="1" x14ac:dyDescent="0.25">
      <c r="F9267" s="369">
        <v>433</v>
      </c>
      <c r="G9267" s="360" t="s">
        <v>4147</v>
      </c>
      <c r="J9267" s="556">
        <f t="shared" si="319"/>
        <v>0</v>
      </c>
    </row>
    <row r="9268" spans="6:10" hidden="1" x14ac:dyDescent="0.25">
      <c r="F9268" s="369">
        <v>434</v>
      </c>
      <c r="G9268" s="360" t="s">
        <v>4148</v>
      </c>
      <c r="J9268" s="556">
        <f t="shared" si="319"/>
        <v>0</v>
      </c>
    </row>
    <row r="9269" spans="6:10" hidden="1" x14ac:dyDescent="0.25">
      <c r="F9269" s="369">
        <v>435</v>
      </c>
      <c r="G9269" s="360" t="s">
        <v>3794</v>
      </c>
      <c r="J9269" s="556">
        <f t="shared" si="319"/>
        <v>0</v>
      </c>
    </row>
    <row r="9270" spans="6:10" hidden="1" x14ac:dyDescent="0.25">
      <c r="F9270" s="369">
        <v>441</v>
      </c>
      <c r="G9270" s="360" t="s">
        <v>4149</v>
      </c>
      <c r="J9270" s="556">
        <f t="shared" si="319"/>
        <v>0</v>
      </c>
    </row>
    <row r="9271" spans="6:10" hidden="1" x14ac:dyDescent="0.25">
      <c r="F9271" s="369">
        <v>442</v>
      </c>
      <c r="G9271" s="360" t="s">
        <v>4150</v>
      </c>
      <c r="J9271" s="556">
        <f t="shared" si="319"/>
        <v>0</v>
      </c>
    </row>
    <row r="9272" spans="6:10" hidden="1" x14ac:dyDescent="0.25">
      <c r="F9272" s="369">
        <v>443</v>
      </c>
      <c r="G9272" s="360" t="s">
        <v>3799</v>
      </c>
      <c r="J9272" s="556">
        <f t="shared" si="319"/>
        <v>0</v>
      </c>
    </row>
    <row r="9273" spans="6:10" hidden="1" x14ac:dyDescent="0.25">
      <c r="F9273" s="369">
        <v>444</v>
      </c>
      <c r="G9273" s="360" t="s">
        <v>3800</v>
      </c>
      <c r="J9273" s="556">
        <f t="shared" si="319"/>
        <v>0</v>
      </c>
    </row>
    <row r="9274" spans="6:10" ht="30" hidden="1" x14ac:dyDescent="0.25">
      <c r="F9274" s="369">
        <v>4511</v>
      </c>
      <c r="G9274" s="263" t="s">
        <v>1690</v>
      </c>
      <c r="J9274" s="556">
        <f t="shared" si="319"/>
        <v>0</v>
      </c>
    </row>
    <row r="9275" spans="6:10" ht="30" hidden="1" x14ac:dyDescent="0.25">
      <c r="F9275" s="369">
        <v>4512</v>
      </c>
      <c r="G9275" s="263" t="s">
        <v>1699</v>
      </c>
      <c r="J9275" s="556">
        <f t="shared" si="319"/>
        <v>0</v>
      </c>
    </row>
    <row r="9276" spans="6:10" hidden="1" x14ac:dyDescent="0.25">
      <c r="F9276" s="369">
        <v>452</v>
      </c>
      <c r="G9276" s="360" t="s">
        <v>4151</v>
      </c>
      <c r="J9276" s="556">
        <f t="shared" si="319"/>
        <v>0</v>
      </c>
    </row>
    <row r="9277" spans="6:10" hidden="1" x14ac:dyDescent="0.25">
      <c r="F9277" s="369">
        <v>453</v>
      </c>
      <c r="G9277" s="360" t="s">
        <v>4152</v>
      </c>
      <c r="J9277" s="556">
        <f t="shared" si="319"/>
        <v>0</v>
      </c>
    </row>
    <row r="9278" spans="6:10" hidden="1" x14ac:dyDescent="0.25">
      <c r="F9278" s="369">
        <v>454</v>
      </c>
      <c r="G9278" s="360" t="s">
        <v>3805</v>
      </c>
      <c r="J9278" s="556">
        <f t="shared" si="319"/>
        <v>0</v>
      </c>
    </row>
    <row r="9279" spans="6:10" hidden="1" x14ac:dyDescent="0.25">
      <c r="F9279" s="369">
        <v>461</v>
      </c>
      <c r="G9279" s="360" t="s">
        <v>4133</v>
      </c>
      <c r="J9279" s="556">
        <f t="shared" si="319"/>
        <v>0</v>
      </c>
    </row>
    <row r="9280" spans="6:10" hidden="1" x14ac:dyDescent="0.25">
      <c r="F9280" s="369">
        <v>462</v>
      </c>
      <c r="G9280" s="360" t="s">
        <v>3808</v>
      </c>
      <c r="J9280" s="556">
        <f t="shared" si="319"/>
        <v>0</v>
      </c>
    </row>
    <row r="9281" spans="6:10" hidden="1" x14ac:dyDescent="0.25">
      <c r="F9281" s="369">
        <v>4631</v>
      </c>
      <c r="G9281" s="360" t="s">
        <v>3809</v>
      </c>
      <c r="J9281" s="556">
        <f t="shared" si="319"/>
        <v>0</v>
      </c>
    </row>
    <row r="9282" spans="6:10" hidden="1" x14ac:dyDescent="0.25">
      <c r="F9282" s="369">
        <v>4632</v>
      </c>
      <c r="G9282" s="360" t="s">
        <v>3810</v>
      </c>
      <c r="J9282" s="556">
        <f t="shared" si="319"/>
        <v>0</v>
      </c>
    </row>
    <row r="9283" spans="6:10" hidden="1" x14ac:dyDescent="0.25">
      <c r="F9283" s="369">
        <v>464</v>
      </c>
      <c r="G9283" s="360" t="s">
        <v>3811</v>
      </c>
      <c r="J9283" s="556">
        <f t="shared" si="319"/>
        <v>0</v>
      </c>
    </row>
    <row r="9284" spans="6:10" hidden="1" x14ac:dyDescent="0.25">
      <c r="F9284" s="369">
        <v>465</v>
      </c>
      <c r="G9284" s="360" t="s">
        <v>4134</v>
      </c>
      <c r="J9284" s="556">
        <f t="shared" si="319"/>
        <v>0</v>
      </c>
    </row>
    <row r="9285" spans="6:10" hidden="1" x14ac:dyDescent="0.25">
      <c r="F9285" s="369">
        <v>472</v>
      </c>
      <c r="G9285" s="360" t="s">
        <v>3815</v>
      </c>
      <c r="J9285" s="556">
        <f t="shared" si="319"/>
        <v>0</v>
      </c>
    </row>
    <row r="9286" spans="6:10" hidden="1" x14ac:dyDescent="0.25">
      <c r="F9286" s="369">
        <v>481</v>
      </c>
      <c r="G9286" s="360" t="s">
        <v>4153</v>
      </c>
      <c r="J9286" s="556">
        <f t="shared" si="319"/>
        <v>0</v>
      </c>
    </row>
    <row r="9287" spans="6:10" hidden="1" x14ac:dyDescent="0.25">
      <c r="F9287" s="369">
        <v>482</v>
      </c>
      <c r="G9287" s="360" t="s">
        <v>4154</v>
      </c>
      <c r="J9287" s="556">
        <f t="shared" si="319"/>
        <v>0</v>
      </c>
    </row>
    <row r="9288" spans="6:10" hidden="1" x14ac:dyDescent="0.25">
      <c r="F9288" s="369">
        <v>483</v>
      </c>
      <c r="G9288" s="365" t="s">
        <v>4155</v>
      </c>
      <c r="J9288" s="556">
        <f t="shared" si="319"/>
        <v>0</v>
      </c>
    </row>
    <row r="9289" spans="6:10" ht="30" hidden="1" x14ac:dyDescent="0.25">
      <c r="F9289" s="369">
        <v>484</v>
      </c>
      <c r="G9289" s="360" t="s">
        <v>4156</v>
      </c>
      <c r="J9289" s="556">
        <f t="shared" si="319"/>
        <v>0</v>
      </c>
    </row>
    <row r="9290" spans="6:10" ht="30" hidden="1" x14ac:dyDescent="0.25">
      <c r="F9290" s="369">
        <v>485</v>
      </c>
      <c r="G9290" s="360" t="s">
        <v>4157</v>
      </c>
      <c r="J9290" s="556">
        <f t="shared" si="319"/>
        <v>0</v>
      </c>
    </row>
    <row r="9291" spans="6:10" ht="30" hidden="1" x14ac:dyDescent="0.25">
      <c r="F9291" s="369">
        <v>489</v>
      </c>
      <c r="G9291" s="360" t="s">
        <v>3823</v>
      </c>
      <c r="J9291" s="556">
        <f t="shared" si="319"/>
        <v>0</v>
      </c>
    </row>
    <row r="9292" spans="6:10" hidden="1" x14ac:dyDescent="0.25">
      <c r="F9292" s="369">
        <v>494</v>
      </c>
      <c r="G9292" s="360" t="s">
        <v>4135</v>
      </c>
      <c r="J9292" s="556">
        <f t="shared" si="319"/>
        <v>0</v>
      </c>
    </row>
    <row r="9293" spans="6:10" ht="30" hidden="1" x14ac:dyDescent="0.25">
      <c r="F9293" s="369">
        <v>495</v>
      </c>
      <c r="G9293" s="360" t="s">
        <v>4136</v>
      </c>
      <c r="J9293" s="556">
        <f t="shared" si="319"/>
        <v>0</v>
      </c>
    </row>
    <row r="9294" spans="6:10" ht="30" hidden="1" x14ac:dyDescent="0.25">
      <c r="F9294" s="369">
        <v>496</v>
      </c>
      <c r="G9294" s="360" t="s">
        <v>4137</v>
      </c>
      <c r="J9294" s="556">
        <f t="shared" si="319"/>
        <v>0</v>
      </c>
    </row>
    <row r="9295" spans="6:10" ht="30" hidden="1" x14ac:dyDescent="0.25">
      <c r="F9295" s="369">
        <v>499</v>
      </c>
      <c r="G9295" s="360" t="s">
        <v>4138</v>
      </c>
      <c r="J9295" s="556">
        <f t="shared" si="319"/>
        <v>0</v>
      </c>
    </row>
    <row r="9296" spans="6:10" hidden="1" x14ac:dyDescent="0.25">
      <c r="F9296" s="369">
        <v>511</v>
      </c>
      <c r="G9296" s="365" t="s">
        <v>4158</v>
      </c>
      <c r="J9296" s="556">
        <f t="shared" si="319"/>
        <v>0</v>
      </c>
    </row>
    <row r="9297" spans="5:10" hidden="1" x14ac:dyDescent="0.25">
      <c r="F9297" s="369">
        <v>512</v>
      </c>
      <c r="G9297" s="365" t="s">
        <v>4159</v>
      </c>
      <c r="J9297" s="556">
        <f t="shared" si="319"/>
        <v>0</v>
      </c>
    </row>
    <row r="9298" spans="5:10" hidden="1" x14ac:dyDescent="0.25">
      <c r="F9298" s="369">
        <v>513</v>
      </c>
      <c r="G9298" s="365" t="s">
        <v>4160</v>
      </c>
      <c r="J9298" s="556">
        <f t="shared" si="319"/>
        <v>0</v>
      </c>
    </row>
    <row r="9299" spans="5:10" hidden="1" x14ac:dyDescent="0.25">
      <c r="F9299" s="369">
        <v>514</v>
      </c>
      <c r="G9299" s="360" t="s">
        <v>4161</v>
      </c>
      <c r="J9299" s="556">
        <f t="shared" si="319"/>
        <v>0</v>
      </c>
    </row>
    <row r="9300" spans="5:10" hidden="1" x14ac:dyDescent="0.25">
      <c r="F9300" s="369">
        <v>515</v>
      </c>
      <c r="G9300" s="360" t="s">
        <v>3834</v>
      </c>
      <c r="J9300" s="556">
        <f t="shared" si="319"/>
        <v>0</v>
      </c>
    </row>
    <row r="9301" spans="5:10" hidden="1" x14ac:dyDescent="0.25">
      <c r="F9301" s="369">
        <v>521</v>
      </c>
      <c r="G9301" s="360" t="s">
        <v>4162</v>
      </c>
      <c r="J9301" s="556">
        <f t="shared" si="319"/>
        <v>0</v>
      </c>
    </row>
    <row r="9302" spans="5:10" hidden="1" x14ac:dyDescent="0.25">
      <c r="F9302" s="369">
        <v>522</v>
      </c>
      <c r="G9302" s="360" t="s">
        <v>4163</v>
      </c>
      <c r="J9302" s="556">
        <f t="shared" si="319"/>
        <v>0</v>
      </c>
    </row>
    <row r="9303" spans="5:10" hidden="1" x14ac:dyDescent="0.25">
      <c r="F9303" s="369">
        <v>523</v>
      </c>
      <c r="G9303" s="360" t="s">
        <v>3839</v>
      </c>
      <c r="J9303" s="556">
        <f t="shared" si="319"/>
        <v>0</v>
      </c>
    </row>
    <row r="9304" spans="5:10" hidden="1" x14ac:dyDescent="0.25">
      <c r="F9304" s="369">
        <v>531</v>
      </c>
      <c r="G9304" s="358" t="s">
        <v>4139</v>
      </c>
      <c r="J9304" s="556">
        <f t="shared" si="319"/>
        <v>0</v>
      </c>
    </row>
    <row r="9305" spans="5:10" hidden="1" x14ac:dyDescent="0.25">
      <c r="F9305" s="369">
        <v>541</v>
      </c>
      <c r="G9305" s="360" t="s">
        <v>4164</v>
      </c>
      <c r="J9305" s="556">
        <f t="shared" si="319"/>
        <v>0</v>
      </c>
    </row>
    <row r="9306" spans="5:10" hidden="1" x14ac:dyDescent="0.25">
      <c r="F9306" s="369">
        <v>542</v>
      </c>
      <c r="G9306" s="360" t="s">
        <v>4165</v>
      </c>
      <c r="J9306" s="556">
        <f t="shared" si="319"/>
        <v>0</v>
      </c>
    </row>
    <row r="9307" spans="5:10" hidden="1" x14ac:dyDescent="0.25">
      <c r="F9307" s="369">
        <v>543</v>
      </c>
      <c r="G9307" s="360" t="s">
        <v>3844</v>
      </c>
      <c r="J9307" s="556">
        <f t="shared" si="319"/>
        <v>0</v>
      </c>
    </row>
    <row r="9308" spans="5:10" ht="30" hidden="1" x14ac:dyDescent="0.25">
      <c r="F9308" s="369">
        <v>551</v>
      </c>
      <c r="G9308" s="360" t="s">
        <v>4140</v>
      </c>
      <c r="J9308" s="556">
        <f t="shared" si="319"/>
        <v>0</v>
      </c>
    </row>
    <row r="9309" spans="5:10" hidden="1" x14ac:dyDescent="0.25">
      <c r="F9309" s="370">
        <v>611</v>
      </c>
      <c r="G9309" s="368" t="s">
        <v>3850</v>
      </c>
      <c r="J9309" s="556">
        <f t="shared" si="319"/>
        <v>0</v>
      </c>
    </row>
    <row r="9310" spans="5:10" hidden="1" x14ac:dyDescent="0.25">
      <c r="F9310" s="370">
        <v>620</v>
      </c>
      <c r="G9310" s="368" t="s">
        <v>88</v>
      </c>
      <c r="J9310" s="556">
        <f t="shared" si="319"/>
        <v>0</v>
      </c>
    </row>
    <row r="9311" spans="5:10" hidden="1" x14ac:dyDescent="0.25">
      <c r="E9311" s="489"/>
      <c r="F9311" s="370"/>
      <c r="G9311" s="343" t="s">
        <v>4329</v>
      </c>
      <c r="H9311" s="557"/>
      <c r="I9311" s="583"/>
      <c r="J9311" s="558"/>
    </row>
    <row r="9312" spans="5:10" hidden="1" x14ac:dyDescent="0.25">
      <c r="E9312" s="693"/>
      <c r="F9312" s="284" t="s">
        <v>234</v>
      </c>
      <c r="G9312" s="287" t="s">
        <v>235</v>
      </c>
      <c r="H9312" s="559">
        <f>SUM(H9251:H9310)</f>
        <v>0</v>
      </c>
      <c r="I9312" s="560"/>
      <c r="J9312" s="560">
        <f t="shared" ref="J9312:J9327" si="320">SUM(H9312:I9312)</f>
        <v>0</v>
      </c>
    </row>
    <row r="9313" spans="6:10" hidden="1" x14ac:dyDescent="0.25">
      <c r="F9313" s="284" t="s">
        <v>236</v>
      </c>
      <c r="G9313" s="287" t="s">
        <v>237</v>
      </c>
      <c r="J9313" s="560">
        <f t="shared" si="320"/>
        <v>0</v>
      </c>
    </row>
    <row r="9314" spans="6:10" hidden="1" x14ac:dyDescent="0.25">
      <c r="F9314" s="284" t="s">
        <v>238</v>
      </c>
      <c r="G9314" s="287" t="s">
        <v>239</v>
      </c>
      <c r="J9314" s="560">
        <f t="shared" si="320"/>
        <v>0</v>
      </c>
    </row>
    <row r="9315" spans="6:10" hidden="1" x14ac:dyDescent="0.25">
      <c r="F9315" s="284" t="s">
        <v>240</v>
      </c>
      <c r="G9315" s="287" t="s">
        <v>241</v>
      </c>
      <c r="J9315" s="560">
        <f t="shared" si="320"/>
        <v>0</v>
      </c>
    </row>
    <row r="9316" spans="6:10" hidden="1" x14ac:dyDescent="0.25">
      <c r="F9316" s="284" t="s">
        <v>242</v>
      </c>
      <c r="G9316" s="287" t="s">
        <v>243</v>
      </c>
      <c r="J9316" s="560">
        <f t="shared" si="320"/>
        <v>0</v>
      </c>
    </row>
    <row r="9317" spans="6:10" hidden="1" x14ac:dyDescent="0.25">
      <c r="F9317" s="284" t="s">
        <v>244</v>
      </c>
      <c r="G9317" s="287" t="s">
        <v>245</v>
      </c>
      <c r="J9317" s="560">
        <f t="shared" si="320"/>
        <v>0</v>
      </c>
    </row>
    <row r="9318" spans="6:10" hidden="1" x14ac:dyDescent="0.25">
      <c r="F9318" s="284" t="s">
        <v>246</v>
      </c>
      <c r="G9318" s="598" t="s">
        <v>4996</v>
      </c>
      <c r="J9318" s="560">
        <f t="shared" si="320"/>
        <v>0</v>
      </c>
    </row>
    <row r="9319" spans="6:10" hidden="1" x14ac:dyDescent="0.25">
      <c r="F9319" s="284" t="s">
        <v>247</v>
      </c>
      <c r="G9319" s="598" t="s">
        <v>4995</v>
      </c>
      <c r="J9319" s="560">
        <f t="shared" si="320"/>
        <v>0</v>
      </c>
    </row>
    <row r="9320" spans="6:10" hidden="1" x14ac:dyDescent="0.25">
      <c r="F9320" s="284" t="s">
        <v>248</v>
      </c>
      <c r="G9320" s="287" t="s">
        <v>57</v>
      </c>
      <c r="J9320" s="560">
        <f t="shared" si="320"/>
        <v>0</v>
      </c>
    </row>
    <row r="9321" spans="6:10" hidden="1" x14ac:dyDescent="0.25">
      <c r="F9321" s="284" t="s">
        <v>249</v>
      </c>
      <c r="G9321" s="287" t="s">
        <v>250</v>
      </c>
      <c r="J9321" s="560">
        <f t="shared" si="320"/>
        <v>0</v>
      </c>
    </row>
    <row r="9322" spans="6:10" hidden="1" x14ac:dyDescent="0.25">
      <c r="F9322" s="284" t="s">
        <v>251</v>
      </c>
      <c r="G9322" s="287" t="s">
        <v>252</v>
      </c>
      <c r="J9322" s="560">
        <f t="shared" si="320"/>
        <v>0</v>
      </c>
    </row>
    <row r="9323" spans="6:10" ht="30" hidden="1" x14ac:dyDescent="0.25">
      <c r="F9323" s="284" t="s">
        <v>253</v>
      </c>
      <c r="G9323" s="287" t="s">
        <v>254</v>
      </c>
      <c r="J9323" s="560">
        <f t="shared" si="320"/>
        <v>0</v>
      </c>
    </row>
    <row r="9324" spans="6:10" hidden="1" x14ac:dyDescent="0.25">
      <c r="F9324" s="284" t="s">
        <v>255</v>
      </c>
      <c r="G9324" s="287" t="s">
        <v>256</v>
      </c>
      <c r="J9324" s="560">
        <f t="shared" si="320"/>
        <v>0</v>
      </c>
    </row>
    <row r="9325" spans="6:10" ht="30" hidden="1" x14ac:dyDescent="0.25">
      <c r="F9325" s="284" t="s">
        <v>257</v>
      </c>
      <c r="G9325" s="287" t="s">
        <v>258</v>
      </c>
      <c r="J9325" s="560">
        <f t="shared" si="320"/>
        <v>0</v>
      </c>
    </row>
    <row r="9326" spans="6:10" hidden="1" x14ac:dyDescent="0.25">
      <c r="F9326" s="284" t="s">
        <v>259</v>
      </c>
      <c r="G9326" s="287" t="s">
        <v>260</v>
      </c>
      <c r="J9326" s="560">
        <f t="shared" si="320"/>
        <v>0</v>
      </c>
    </row>
    <row r="9327" spans="6:10" hidden="1" x14ac:dyDescent="0.25">
      <c r="F9327" s="284" t="s">
        <v>261</v>
      </c>
      <c r="G9327" s="287" t="s">
        <v>262</v>
      </c>
      <c r="H9327" s="559"/>
      <c r="I9327" s="560"/>
      <c r="J9327" s="560">
        <f t="shared" si="320"/>
        <v>0</v>
      </c>
    </row>
    <row r="9328" spans="6:10" ht="15.75" hidden="1" thickBot="1" x14ac:dyDescent="0.3">
      <c r="G9328" s="268" t="s">
        <v>4330</v>
      </c>
      <c r="H9328" s="561">
        <f>SUM(H9312:H9327)</f>
        <v>0</v>
      </c>
      <c r="I9328" s="562">
        <f>SUM(I9313:I9327)</f>
        <v>0</v>
      </c>
      <c r="J9328" s="562">
        <f>SUM(J9312:J9327)</f>
        <v>0</v>
      </c>
    </row>
    <row r="9329" spans="5:10" ht="28.5" hidden="1" collapsed="1" x14ac:dyDescent="0.25">
      <c r="E9329" s="489"/>
      <c r="F9329" s="370"/>
      <c r="G9329" s="270" t="s">
        <v>4245</v>
      </c>
      <c r="H9329" s="563"/>
      <c r="I9329" s="584"/>
      <c r="J9329" s="564"/>
    </row>
    <row r="9330" spans="5:10" hidden="1" x14ac:dyDescent="0.25">
      <c r="E9330" s="693"/>
      <c r="F9330" s="284" t="s">
        <v>234</v>
      </c>
      <c r="G9330" s="287" t="s">
        <v>235</v>
      </c>
      <c r="H9330" s="559">
        <f>SUM(H9251:H9310)</f>
        <v>0</v>
      </c>
      <c r="I9330" s="560"/>
      <c r="J9330" s="560">
        <f>SUM(H9330:I9330)</f>
        <v>0</v>
      </c>
    </row>
    <row r="9331" spans="5:10" hidden="1" x14ac:dyDescent="0.25">
      <c r="F9331" s="284" t="s">
        <v>236</v>
      </c>
      <c r="G9331" s="287" t="s">
        <v>237</v>
      </c>
      <c r="J9331" s="560">
        <f t="shared" ref="J9331:J9345" si="321">SUM(H9331:I9331)</f>
        <v>0</v>
      </c>
    </row>
    <row r="9332" spans="5:10" hidden="1" x14ac:dyDescent="0.25">
      <c r="F9332" s="284" t="s">
        <v>238</v>
      </c>
      <c r="G9332" s="287" t="s">
        <v>239</v>
      </c>
      <c r="J9332" s="560">
        <f t="shared" si="321"/>
        <v>0</v>
      </c>
    </row>
    <row r="9333" spans="5:10" hidden="1" x14ac:dyDescent="0.25">
      <c r="F9333" s="284" t="s">
        <v>240</v>
      </c>
      <c r="G9333" s="287" t="s">
        <v>241</v>
      </c>
      <c r="J9333" s="560">
        <f t="shared" si="321"/>
        <v>0</v>
      </c>
    </row>
    <row r="9334" spans="5:10" hidden="1" x14ac:dyDescent="0.25">
      <c r="F9334" s="284" t="s">
        <v>242</v>
      </c>
      <c r="G9334" s="287" t="s">
        <v>243</v>
      </c>
      <c r="J9334" s="560">
        <f t="shared" si="321"/>
        <v>0</v>
      </c>
    </row>
    <row r="9335" spans="5:10" hidden="1" x14ac:dyDescent="0.25">
      <c r="F9335" s="284" t="s">
        <v>244</v>
      </c>
      <c r="G9335" s="287" t="s">
        <v>245</v>
      </c>
      <c r="J9335" s="560">
        <f t="shared" si="321"/>
        <v>0</v>
      </c>
    </row>
    <row r="9336" spans="5:10" hidden="1" x14ac:dyDescent="0.25">
      <c r="F9336" s="284" t="s">
        <v>246</v>
      </c>
      <c r="G9336" s="598" t="s">
        <v>4996</v>
      </c>
      <c r="J9336" s="560">
        <f t="shared" si="321"/>
        <v>0</v>
      </c>
    </row>
    <row r="9337" spans="5:10" hidden="1" x14ac:dyDescent="0.25">
      <c r="F9337" s="284" t="s">
        <v>247</v>
      </c>
      <c r="G9337" s="598" t="s">
        <v>4995</v>
      </c>
      <c r="J9337" s="560">
        <f t="shared" si="321"/>
        <v>0</v>
      </c>
    </row>
    <row r="9338" spans="5:10" hidden="1" x14ac:dyDescent="0.25">
      <c r="F9338" s="284" t="s">
        <v>248</v>
      </c>
      <c r="G9338" s="287" t="s">
        <v>57</v>
      </c>
      <c r="J9338" s="560">
        <f t="shared" si="321"/>
        <v>0</v>
      </c>
    </row>
    <row r="9339" spans="5:10" hidden="1" x14ac:dyDescent="0.25">
      <c r="F9339" s="284" t="s">
        <v>249</v>
      </c>
      <c r="G9339" s="287" t="s">
        <v>250</v>
      </c>
      <c r="J9339" s="560">
        <f t="shared" si="321"/>
        <v>0</v>
      </c>
    </row>
    <row r="9340" spans="5:10" hidden="1" x14ac:dyDescent="0.25">
      <c r="F9340" s="284" t="s">
        <v>251</v>
      </c>
      <c r="G9340" s="287" t="s">
        <v>252</v>
      </c>
      <c r="J9340" s="560">
        <f t="shared" si="321"/>
        <v>0</v>
      </c>
    </row>
    <row r="9341" spans="5:10" ht="30" hidden="1" x14ac:dyDescent="0.25">
      <c r="F9341" s="284" t="s">
        <v>253</v>
      </c>
      <c r="G9341" s="287" t="s">
        <v>254</v>
      </c>
      <c r="J9341" s="560">
        <f t="shared" si="321"/>
        <v>0</v>
      </c>
    </row>
    <row r="9342" spans="5:10" hidden="1" x14ac:dyDescent="0.25">
      <c r="F9342" s="284" t="s">
        <v>255</v>
      </c>
      <c r="G9342" s="287" t="s">
        <v>256</v>
      </c>
      <c r="J9342" s="560">
        <f t="shared" si="321"/>
        <v>0</v>
      </c>
    </row>
    <row r="9343" spans="5:10" ht="30" hidden="1" x14ac:dyDescent="0.25">
      <c r="F9343" s="284" t="s">
        <v>257</v>
      </c>
      <c r="G9343" s="287" t="s">
        <v>258</v>
      </c>
      <c r="J9343" s="560">
        <f t="shared" si="321"/>
        <v>0</v>
      </c>
    </row>
    <row r="9344" spans="5:10" hidden="1" x14ac:dyDescent="0.25">
      <c r="F9344" s="284" t="s">
        <v>259</v>
      </c>
      <c r="G9344" s="287" t="s">
        <v>260</v>
      </c>
      <c r="J9344" s="560">
        <f t="shared" si="321"/>
        <v>0</v>
      </c>
    </row>
    <row r="9345" spans="3:10" hidden="1" x14ac:dyDescent="0.25">
      <c r="F9345" s="284" t="s">
        <v>261</v>
      </c>
      <c r="G9345" s="287" t="s">
        <v>262</v>
      </c>
      <c r="H9345" s="559"/>
      <c r="I9345" s="560"/>
      <c r="J9345" s="560">
        <f t="shared" si="321"/>
        <v>0</v>
      </c>
    </row>
    <row r="9346" spans="3:10" ht="15.75" hidden="1" collapsed="1" thickBot="1" x14ac:dyDescent="0.3">
      <c r="G9346" s="268" t="s">
        <v>4331</v>
      </c>
      <c r="H9346" s="561">
        <f>SUM(H9330:H9345)</f>
        <v>0</v>
      </c>
      <c r="I9346" s="562">
        <f>SUM(I9331:I9345)</f>
        <v>0</v>
      </c>
      <c r="J9346" s="562">
        <f>SUM(J9330:J9345)</f>
        <v>0</v>
      </c>
    </row>
    <row r="9347" spans="3:10" hidden="1" x14ac:dyDescent="0.25"/>
    <row r="9348" spans="3:10" hidden="1" x14ac:dyDescent="0.25">
      <c r="C9348" s="267" t="s">
        <v>4496</v>
      </c>
      <c r="D9348" s="259"/>
      <c r="G9348" s="361" t="s">
        <v>4970</v>
      </c>
    </row>
    <row r="9349" spans="3:10" hidden="1" x14ac:dyDescent="0.25">
      <c r="C9349" s="267"/>
      <c r="D9349" s="331">
        <v>473</v>
      </c>
      <c r="E9349" s="869"/>
      <c r="F9349" s="331"/>
      <c r="G9349" s="351" t="s">
        <v>162</v>
      </c>
    </row>
    <row r="9350" spans="3:10" hidden="1" x14ac:dyDescent="0.25">
      <c r="F9350" s="369">
        <v>411</v>
      </c>
      <c r="G9350" s="360" t="s">
        <v>4131</v>
      </c>
      <c r="J9350" s="556">
        <f>SUM(H9350:I9350)</f>
        <v>0</v>
      </c>
    </row>
    <row r="9351" spans="3:10" hidden="1" x14ac:dyDescent="0.25">
      <c r="F9351" s="369">
        <v>412</v>
      </c>
      <c r="G9351" s="358" t="s">
        <v>3766</v>
      </c>
      <c r="J9351" s="556">
        <f t="shared" ref="J9351:J9358" si="322">SUM(H9351:I9351)</f>
        <v>0</v>
      </c>
    </row>
    <row r="9352" spans="3:10" hidden="1" x14ac:dyDescent="0.25">
      <c r="F9352" s="369">
        <v>413</v>
      </c>
      <c r="G9352" s="360" t="s">
        <v>4132</v>
      </c>
      <c r="J9352" s="556">
        <f t="shared" si="322"/>
        <v>0</v>
      </c>
    </row>
    <row r="9353" spans="3:10" hidden="1" x14ac:dyDescent="0.25">
      <c r="F9353" s="369">
        <v>414</v>
      </c>
      <c r="G9353" s="360" t="s">
        <v>3769</v>
      </c>
      <c r="J9353" s="556">
        <f t="shared" si="322"/>
        <v>0</v>
      </c>
    </row>
    <row r="9354" spans="3:10" hidden="1" x14ac:dyDescent="0.25">
      <c r="F9354" s="369">
        <v>415</v>
      </c>
      <c r="G9354" s="360" t="s">
        <v>4141</v>
      </c>
      <c r="J9354" s="556">
        <f t="shared" si="322"/>
        <v>0</v>
      </c>
    </row>
    <row r="9355" spans="3:10" hidden="1" x14ac:dyDescent="0.25">
      <c r="F9355" s="369">
        <v>416</v>
      </c>
      <c r="G9355" s="360" t="s">
        <v>4142</v>
      </c>
      <c r="J9355" s="556">
        <f t="shared" si="322"/>
        <v>0</v>
      </c>
    </row>
    <row r="9356" spans="3:10" hidden="1" x14ac:dyDescent="0.25">
      <c r="F9356" s="369">
        <v>417</v>
      </c>
      <c r="G9356" s="360" t="s">
        <v>4143</v>
      </c>
      <c r="J9356" s="556">
        <f t="shared" si="322"/>
        <v>0</v>
      </c>
    </row>
    <row r="9357" spans="3:10" hidden="1" x14ac:dyDescent="0.25">
      <c r="F9357" s="369">
        <v>418</v>
      </c>
      <c r="G9357" s="360" t="s">
        <v>3775</v>
      </c>
      <c r="J9357" s="556">
        <f t="shared" si="322"/>
        <v>0</v>
      </c>
    </row>
    <row r="9358" spans="3:10" hidden="1" x14ac:dyDescent="0.25">
      <c r="F9358" s="369">
        <v>421</v>
      </c>
      <c r="G9358" s="360" t="s">
        <v>3779</v>
      </c>
      <c r="J9358" s="556">
        <f t="shared" si="322"/>
        <v>0</v>
      </c>
    </row>
    <row r="9359" spans="3:10" hidden="1" x14ac:dyDescent="0.25">
      <c r="F9359" s="369">
        <v>422</v>
      </c>
      <c r="G9359" s="360" t="s">
        <v>3780</v>
      </c>
      <c r="J9359" s="556">
        <f>SUM(H9359:I9359)</f>
        <v>0</v>
      </c>
    </row>
    <row r="9360" spans="3:10" hidden="1" x14ac:dyDescent="0.25">
      <c r="F9360" s="369">
        <v>423</v>
      </c>
      <c r="G9360" s="360" t="s">
        <v>3781</v>
      </c>
      <c r="J9360" s="556">
        <f t="shared" ref="J9360:J9409" si="323">SUM(H9360:I9360)</f>
        <v>0</v>
      </c>
    </row>
    <row r="9361" spans="6:10" hidden="1" x14ac:dyDescent="0.25">
      <c r="F9361" s="369">
        <v>424</v>
      </c>
      <c r="G9361" s="360" t="s">
        <v>3783</v>
      </c>
      <c r="J9361" s="556">
        <f t="shared" si="323"/>
        <v>0</v>
      </c>
    </row>
    <row r="9362" spans="6:10" hidden="1" x14ac:dyDescent="0.25">
      <c r="F9362" s="369">
        <v>425</v>
      </c>
      <c r="G9362" s="360" t="s">
        <v>4144</v>
      </c>
      <c r="J9362" s="556">
        <f t="shared" si="323"/>
        <v>0</v>
      </c>
    </row>
    <row r="9363" spans="6:10" hidden="1" x14ac:dyDescent="0.25">
      <c r="F9363" s="369">
        <v>426</v>
      </c>
      <c r="G9363" s="360" t="s">
        <v>3787</v>
      </c>
      <c r="J9363" s="556">
        <f t="shared" si="323"/>
        <v>0</v>
      </c>
    </row>
    <row r="9364" spans="6:10" hidden="1" x14ac:dyDescent="0.25">
      <c r="F9364" s="369">
        <v>431</v>
      </c>
      <c r="G9364" s="360" t="s">
        <v>4145</v>
      </c>
      <c r="J9364" s="556">
        <f t="shared" si="323"/>
        <v>0</v>
      </c>
    </row>
    <row r="9365" spans="6:10" hidden="1" x14ac:dyDescent="0.25">
      <c r="F9365" s="369">
        <v>432</v>
      </c>
      <c r="G9365" s="360" t="s">
        <v>4146</v>
      </c>
      <c r="J9365" s="556">
        <f t="shared" si="323"/>
        <v>0</v>
      </c>
    </row>
    <row r="9366" spans="6:10" hidden="1" x14ac:dyDescent="0.25">
      <c r="F9366" s="369">
        <v>433</v>
      </c>
      <c r="G9366" s="360" t="s">
        <v>4147</v>
      </c>
      <c r="J9366" s="556">
        <f t="shared" si="323"/>
        <v>0</v>
      </c>
    </row>
    <row r="9367" spans="6:10" hidden="1" x14ac:dyDescent="0.25">
      <c r="F9367" s="369">
        <v>434</v>
      </c>
      <c r="G9367" s="360" t="s">
        <v>4148</v>
      </c>
      <c r="J9367" s="556">
        <f t="shared" si="323"/>
        <v>0</v>
      </c>
    </row>
    <row r="9368" spans="6:10" hidden="1" x14ac:dyDescent="0.25">
      <c r="F9368" s="369">
        <v>435</v>
      </c>
      <c r="G9368" s="360" t="s">
        <v>3794</v>
      </c>
      <c r="J9368" s="556">
        <f t="shared" si="323"/>
        <v>0</v>
      </c>
    </row>
    <row r="9369" spans="6:10" hidden="1" x14ac:dyDescent="0.25">
      <c r="F9369" s="369">
        <v>441</v>
      </c>
      <c r="G9369" s="360" t="s">
        <v>4149</v>
      </c>
      <c r="J9369" s="556">
        <f t="shared" si="323"/>
        <v>0</v>
      </c>
    </row>
    <row r="9370" spans="6:10" hidden="1" x14ac:dyDescent="0.25">
      <c r="F9370" s="369">
        <v>442</v>
      </c>
      <c r="G9370" s="360" t="s">
        <v>4150</v>
      </c>
      <c r="J9370" s="556">
        <f t="shared" si="323"/>
        <v>0</v>
      </c>
    </row>
    <row r="9371" spans="6:10" hidden="1" x14ac:dyDescent="0.25">
      <c r="F9371" s="369">
        <v>443</v>
      </c>
      <c r="G9371" s="360" t="s">
        <v>3799</v>
      </c>
      <c r="J9371" s="556">
        <f t="shared" si="323"/>
        <v>0</v>
      </c>
    </row>
    <row r="9372" spans="6:10" hidden="1" x14ac:dyDescent="0.25">
      <c r="F9372" s="369">
        <v>444</v>
      </c>
      <c r="G9372" s="360" t="s">
        <v>3800</v>
      </c>
      <c r="J9372" s="556">
        <f t="shared" si="323"/>
        <v>0</v>
      </c>
    </row>
    <row r="9373" spans="6:10" ht="30" hidden="1" x14ac:dyDescent="0.25">
      <c r="F9373" s="369">
        <v>4511</v>
      </c>
      <c r="G9373" s="263" t="s">
        <v>1690</v>
      </c>
      <c r="J9373" s="556">
        <f t="shared" si="323"/>
        <v>0</v>
      </c>
    </row>
    <row r="9374" spans="6:10" ht="30" hidden="1" x14ac:dyDescent="0.25">
      <c r="F9374" s="369">
        <v>4512</v>
      </c>
      <c r="G9374" s="263" t="s">
        <v>1699</v>
      </c>
      <c r="J9374" s="556">
        <f t="shared" si="323"/>
        <v>0</v>
      </c>
    </row>
    <row r="9375" spans="6:10" hidden="1" x14ac:dyDescent="0.25">
      <c r="F9375" s="369">
        <v>452</v>
      </c>
      <c r="G9375" s="360" t="s">
        <v>4151</v>
      </c>
      <c r="J9375" s="556">
        <f t="shared" si="323"/>
        <v>0</v>
      </c>
    </row>
    <row r="9376" spans="6:10" hidden="1" x14ac:dyDescent="0.25">
      <c r="F9376" s="369">
        <v>453</v>
      </c>
      <c r="G9376" s="360" t="s">
        <v>4152</v>
      </c>
      <c r="J9376" s="556">
        <f t="shared" si="323"/>
        <v>0</v>
      </c>
    </row>
    <row r="9377" spans="6:10" hidden="1" x14ac:dyDescent="0.25">
      <c r="F9377" s="369">
        <v>454</v>
      </c>
      <c r="G9377" s="360" t="s">
        <v>3805</v>
      </c>
      <c r="J9377" s="556">
        <f t="shared" si="323"/>
        <v>0</v>
      </c>
    </row>
    <row r="9378" spans="6:10" hidden="1" x14ac:dyDescent="0.25">
      <c r="F9378" s="369">
        <v>461</v>
      </c>
      <c r="G9378" s="360" t="s">
        <v>4133</v>
      </c>
      <c r="J9378" s="556">
        <f t="shared" si="323"/>
        <v>0</v>
      </c>
    </row>
    <row r="9379" spans="6:10" hidden="1" x14ac:dyDescent="0.25">
      <c r="F9379" s="369">
        <v>462</v>
      </c>
      <c r="G9379" s="360" t="s">
        <v>3808</v>
      </c>
      <c r="J9379" s="556">
        <f t="shared" si="323"/>
        <v>0</v>
      </c>
    </row>
    <row r="9380" spans="6:10" hidden="1" x14ac:dyDescent="0.25">
      <c r="F9380" s="369">
        <v>4631</v>
      </c>
      <c r="G9380" s="360" t="s">
        <v>3809</v>
      </c>
      <c r="J9380" s="556">
        <f t="shared" si="323"/>
        <v>0</v>
      </c>
    </row>
    <row r="9381" spans="6:10" hidden="1" x14ac:dyDescent="0.25">
      <c r="F9381" s="369">
        <v>4632</v>
      </c>
      <c r="G9381" s="360" t="s">
        <v>3810</v>
      </c>
      <c r="J9381" s="556">
        <f t="shared" si="323"/>
        <v>0</v>
      </c>
    </row>
    <row r="9382" spans="6:10" hidden="1" x14ac:dyDescent="0.25">
      <c r="F9382" s="369">
        <v>464</v>
      </c>
      <c r="G9382" s="360" t="s">
        <v>3811</v>
      </c>
      <c r="J9382" s="556">
        <f t="shared" si="323"/>
        <v>0</v>
      </c>
    </row>
    <row r="9383" spans="6:10" hidden="1" x14ac:dyDescent="0.25">
      <c r="F9383" s="369">
        <v>465</v>
      </c>
      <c r="G9383" s="360" t="s">
        <v>4134</v>
      </c>
      <c r="J9383" s="556">
        <f t="shared" si="323"/>
        <v>0</v>
      </c>
    </row>
    <row r="9384" spans="6:10" hidden="1" x14ac:dyDescent="0.25">
      <c r="F9384" s="369">
        <v>472</v>
      </c>
      <c r="G9384" s="360" t="s">
        <v>3815</v>
      </c>
      <c r="J9384" s="556">
        <f t="shared" si="323"/>
        <v>0</v>
      </c>
    </row>
    <row r="9385" spans="6:10" hidden="1" x14ac:dyDescent="0.25">
      <c r="F9385" s="369">
        <v>481</v>
      </c>
      <c r="G9385" s="360" t="s">
        <v>4153</v>
      </c>
      <c r="J9385" s="556">
        <f t="shared" si="323"/>
        <v>0</v>
      </c>
    </row>
    <row r="9386" spans="6:10" hidden="1" x14ac:dyDescent="0.25">
      <c r="F9386" s="369">
        <v>482</v>
      </c>
      <c r="G9386" s="360" t="s">
        <v>4154</v>
      </c>
      <c r="J9386" s="556">
        <f t="shared" si="323"/>
        <v>0</v>
      </c>
    </row>
    <row r="9387" spans="6:10" hidden="1" x14ac:dyDescent="0.25">
      <c r="F9387" s="369">
        <v>483</v>
      </c>
      <c r="G9387" s="365" t="s">
        <v>4155</v>
      </c>
      <c r="J9387" s="556">
        <f t="shared" si="323"/>
        <v>0</v>
      </c>
    </row>
    <row r="9388" spans="6:10" ht="30" hidden="1" x14ac:dyDescent="0.25">
      <c r="F9388" s="369">
        <v>484</v>
      </c>
      <c r="G9388" s="360" t="s">
        <v>4156</v>
      </c>
      <c r="J9388" s="556">
        <f t="shared" si="323"/>
        <v>0</v>
      </c>
    </row>
    <row r="9389" spans="6:10" ht="30" hidden="1" x14ac:dyDescent="0.25">
      <c r="F9389" s="369">
        <v>485</v>
      </c>
      <c r="G9389" s="360" t="s">
        <v>4157</v>
      </c>
      <c r="J9389" s="556">
        <f t="shared" si="323"/>
        <v>0</v>
      </c>
    </row>
    <row r="9390" spans="6:10" ht="30" hidden="1" x14ac:dyDescent="0.25">
      <c r="F9390" s="369">
        <v>489</v>
      </c>
      <c r="G9390" s="360" t="s">
        <v>3823</v>
      </c>
      <c r="J9390" s="556">
        <f t="shared" si="323"/>
        <v>0</v>
      </c>
    </row>
    <row r="9391" spans="6:10" hidden="1" x14ac:dyDescent="0.25">
      <c r="F9391" s="369">
        <v>494</v>
      </c>
      <c r="G9391" s="360" t="s">
        <v>4135</v>
      </c>
      <c r="J9391" s="556">
        <f t="shared" si="323"/>
        <v>0</v>
      </c>
    </row>
    <row r="9392" spans="6:10" ht="30" hidden="1" x14ac:dyDescent="0.25">
      <c r="F9392" s="369">
        <v>495</v>
      </c>
      <c r="G9392" s="360" t="s">
        <v>4136</v>
      </c>
      <c r="J9392" s="556">
        <f t="shared" si="323"/>
        <v>0</v>
      </c>
    </row>
    <row r="9393" spans="6:10" ht="30" hidden="1" x14ac:dyDescent="0.25">
      <c r="F9393" s="369">
        <v>496</v>
      </c>
      <c r="G9393" s="360" t="s">
        <v>4137</v>
      </c>
      <c r="J9393" s="556">
        <f t="shared" si="323"/>
        <v>0</v>
      </c>
    </row>
    <row r="9394" spans="6:10" ht="30" hidden="1" x14ac:dyDescent="0.25">
      <c r="F9394" s="369">
        <v>499</v>
      </c>
      <c r="G9394" s="360" t="s">
        <v>4138</v>
      </c>
      <c r="J9394" s="556">
        <f t="shared" si="323"/>
        <v>0</v>
      </c>
    </row>
    <row r="9395" spans="6:10" hidden="1" x14ac:dyDescent="0.25">
      <c r="F9395" s="369">
        <v>511</v>
      </c>
      <c r="G9395" s="365" t="s">
        <v>4158</v>
      </c>
      <c r="J9395" s="556">
        <f t="shared" si="323"/>
        <v>0</v>
      </c>
    </row>
    <row r="9396" spans="6:10" hidden="1" x14ac:dyDescent="0.25">
      <c r="F9396" s="369">
        <v>512</v>
      </c>
      <c r="G9396" s="365" t="s">
        <v>4159</v>
      </c>
      <c r="J9396" s="556">
        <f t="shared" si="323"/>
        <v>0</v>
      </c>
    </row>
    <row r="9397" spans="6:10" hidden="1" x14ac:dyDescent="0.25">
      <c r="F9397" s="369">
        <v>513</v>
      </c>
      <c r="G9397" s="365" t="s">
        <v>4160</v>
      </c>
      <c r="J9397" s="556">
        <f t="shared" si="323"/>
        <v>0</v>
      </c>
    </row>
    <row r="9398" spans="6:10" hidden="1" x14ac:dyDescent="0.25">
      <c r="F9398" s="369">
        <v>514</v>
      </c>
      <c r="G9398" s="360" t="s">
        <v>4161</v>
      </c>
      <c r="J9398" s="556">
        <f t="shared" si="323"/>
        <v>0</v>
      </c>
    </row>
    <row r="9399" spans="6:10" hidden="1" x14ac:dyDescent="0.25">
      <c r="F9399" s="369">
        <v>515</v>
      </c>
      <c r="G9399" s="360" t="s">
        <v>3834</v>
      </c>
      <c r="J9399" s="556">
        <f t="shared" si="323"/>
        <v>0</v>
      </c>
    </row>
    <row r="9400" spans="6:10" hidden="1" x14ac:dyDescent="0.25">
      <c r="F9400" s="369">
        <v>521</v>
      </c>
      <c r="G9400" s="360" t="s">
        <v>4162</v>
      </c>
      <c r="J9400" s="556">
        <f t="shared" si="323"/>
        <v>0</v>
      </c>
    </row>
    <row r="9401" spans="6:10" hidden="1" x14ac:dyDescent="0.25">
      <c r="F9401" s="369">
        <v>522</v>
      </c>
      <c r="G9401" s="360" t="s">
        <v>4163</v>
      </c>
      <c r="J9401" s="556">
        <f t="shared" si="323"/>
        <v>0</v>
      </c>
    </row>
    <row r="9402" spans="6:10" hidden="1" x14ac:dyDescent="0.25">
      <c r="F9402" s="369">
        <v>523</v>
      </c>
      <c r="G9402" s="360" t="s">
        <v>3839</v>
      </c>
      <c r="J9402" s="556">
        <f t="shared" si="323"/>
        <v>0</v>
      </c>
    </row>
    <row r="9403" spans="6:10" hidden="1" x14ac:dyDescent="0.25">
      <c r="F9403" s="369">
        <v>531</v>
      </c>
      <c r="G9403" s="358" t="s">
        <v>4139</v>
      </c>
      <c r="J9403" s="556">
        <f t="shared" si="323"/>
        <v>0</v>
      </c>
    </row>
    <row r="9404" spans="6:10" hidden="1" x14ac:dyDescent="0.25">
      <c r="F9404" s="369">
        <v>541</v>
      </c>
      <c r="G9404" s="360" t="s">
        <v>4164</v>
      </c>
      <c r="J9404" s="556">
        <f t="shared" si="323"/>
        <v>0</v>
      </c>
    </row>
    <row r="9405" spans="6:10" hidden="1" x14ac:dyDescent="0.25">
      <c r="F9405" s="369">
        <v>542</v>
      </c>
      <c r="G9405" s="360" t="s">
        <v>4165</v>
      </c>
      <c r="J9405" s="556">
        <f t="shared" si="323"/>
        <v>0</v>
      </c>
    </row>
    <row r="9406" spans="6:10" hidden="1" x14ac:dyDescent="0.25">
      <c r="F9406" s="369">
        <v>543</v>
      </c>
      <c r="G9406" s="360" t="s">
        <v>3844</v>
      </c>
      <c r="J9406" s="556">
        <f t="shared" si="323"/>
        <v>0</v>
      </c>
    </row>
    <row r="9407" spans="6:10" ht="30" hidden="1" x14ac:dyDescent="0.25">
      <c r="F9407" s="369">
        <v>551</v>
      </c>
      <c r="G9407" s="360" t="s">
        <v>4140</v>
      </c>
      <c r="J9407" s="556">
        <f t="shared" si="323"/>
        <v>0</v>
      </c>
    </row>
    <row r="9408" spans="6:10" hidden="1" x14ac:dyDescent="0.25">
      <c r="F9408" s="370">
        <v>611</v>
      </c>
      <c r="G9408" s="368" t="s">
        <v>3850</v>
      </c>
      <c r="J9408" s="556">
        <f t="shared" si="323"/>
        <v>0</v>
      </c>
    </row>
    <row r="9409" spans="5:10" hidden="1" x14ac:dyDescent="0.25">
      <c r="F9409" s="370">
        <v>620</v>
      </c>
      <c r="G9409" s="368" t="s">
        <v>88</v>
      </c>
      <c r="J9409" s="556">
        <f t="shared" si="323"/>
        <v>0</v>
      </c>
    </row>
    <row r="9410" spans="5:10" hidden="1" x14ac:dyDescent="0.25">
      <c r="E9410" s="489"/>
      <c r="F9410" s="370"/>
      <c r="G9410" s="343" t="s">
        <v>4329</v>
      </c>
      <c r="H9410" s="557"/>
      <c r="I9410" s="583"/>
      <c r="J9410" s="558"/>
    </row>
    <row r="9411" spans="5:10" hidden="1" x14ac:dyDescent="0.25">
      <c r="E9411" s="693"/>
      <c r="F9411" s="284" t="s">
        <v>234</v>
      </c>
      <c r="G9411" s="287" t="s">
        <v>235</v>
      </c>
      <c r="H9411" s="559">
        <f>SUM(H9350:H9409)</f>
        <v>0</v>
      </c>
      <c r="I9411" s="560"/>
      <c r="J9411" s="560">
        <f t="shared" ref="J9411:J9426" si="324">SUM(H9411:I9411)</f>
        <v>0</v>
      </c>
    </row>
    <row r="9412" spans="5:10" hidden="1" x14ac:dyDescent="0.25">
      <c r="F9412" s="284" t="s">
        <v>236</v>
      </c>
      <c r="G9412" s="287" t="s">
        <v>237</v>
      </c>
      <c r="J9412" s="560">
        <f t="shared" si="324"/>
        <v>0</v>
      </c>
    </row>
    <row r="9413" spans="5:10" hidden="1" x14ac:dyDescent="0.25">
      <c r="F9413" s="284" t="s">
        <v>238</v>
      </c>
      <c r="G9413" s="287" t="s">
        <v>239</v>
      </c>
      <c r="J9413" s="560">
        <f t="shared" si="324"/>
        <v>0</v>
      </c>
    </row>
    <row r="9414" spans="5:10" hidden="1" x14ac:dyDescent="0.25">
      <c r="F9414" s="284" t="s">
        <v>240</v>
      </c>
      <c r="G9414" s="287" t="s">
        <v>241</v>
      </c>
      <c r="J9414" s="560">
        <f t="shared" si="324"/>
        <v>0</v>
      </c>
    </row>
    <row r="9415" spans="5:10" hidden="1" x14ac:dyDescent="0.25">
      <c r="F9415" s="284" t="s">
        <v>242</v>
      </c>
      <c r="G9415" s="287" t="s">
        <v>243</v>
      </c>
      <c r="J9415" s="560">
        <f t="shared" si="324"/>
        <v>0</v>
      </c>
    </row>
    <row r="9416" spans="5:10" hidden="1" x14ac:dyDescent="0.25">
      <c r="F9416" s="284" t="s">
        <v>244</v>
      </c>
      <c r="G9416" s="287" t="s">
        <v>245</v>
      </c>
      <c r="J9416" s="560">
        <f t="shared" si="324"/>
        <v>0</v>
      </c>
    </row>
    <row r="9417" spans="5:10" hidden="1" x14ac:dyDescent="0.25">
      <c r="F9417" s="284" t="s">
        <v>246</v>
      </c>
      <c r="G9417" s="598" t="s">
        <v>4996</v>
      </c>
      <c r="J9417" s="560">
        <f t="shared" si="324"/>
        <v>0</v>
      </c>
    </row>
    <row r="9418" spans="5:10" hidden="1" x14ac:dyDescent="0.25">
      <c r="F9418" s="284" t="s">
        <v>247</v>
      </c>
      <c r="G9418" s="598" t="s">
        <v>4995</v>
      </c>
      <c r="J9418" s="560">
        <f t="shared" si="324"/>
        <v>0</v>
      </c>
    </row>
    <row r="9419" spans="5:10" hidden="1" x14ac:dyDescent="0.25">
      <c r="F9419" s="284" t="s">
        <v>248</v>
      </c>
      <c r="G9419" s="287" t="s">
        <v>57</v>
      </c>
      <c r="J9419" s="560">
        <f t="shared" si="324"/>
        <v>0</v>
      </c>
    </row>
    <row r="9420" spans="5:10" hidden="1" x14ac:dyDescent="0.25">
      <c r="F9420" s="284" t="s">
        <v>249</v>
      </c>
      <c r="G9420" s="287" t="s">
        <v>250</v>
      </c>
      <c r="J9420" s="560">
        <f t="shared" si="324"/>
        <v>0</v>
      </c>
    </row>
    <row r="9421" spans="5:10" hidden="1" x14ac:dyDescent="0.25">
      <c r="F9421" s="284" t="s">
        <v>251</v>
      </c>
      <c r="G9421" s="287" t="s">
        <v>252</v>
      </c>
      <c r="J9421" s="560">
        <f t="shared" si="324"/>
        <v>0</v>
      </c>
    </row>
    <row r="9422" spans="5:10" ht="30" hidden="1" x14ac:dyDescent="0.25">
      <c r="F9422" s="284" t="s">
        <v>253</v>
      </c>
      <c r="G9422" s="287" t="s">
        <v>254</v>
      </c>
      <c r="J9422" s="560">
        <f t="shared" si="324"/>
        <v>0</v>
      </c>
    </row>
    <row r="9423" spans="5:10" hidden="1" x14ac:dyDescent="0.25">
      <c r="F9423" s="284" t="s">
        <v>255</v>
      </c>
      <c r="G9423" s="287" t="s">
        <v>256</v>
      </c>
      <c r="J9423" s="560">
        <f t="shared" si="324"/>
        <v>0</v>
      </c>
    </row>
    <row r="9424" spans="5:10" ht="30" hidden="1" x14ac:dyDescent="0.25">
      <c r="F9424" s="284" t="s">
        <v>257</v>
      </c>
      <c r="G9424" s="287" t="s">
        <v>258</v>
      </c>
      <c r="J9424" s="560">
        <f t="shared" si="324"/>
        <v>0</v>
      </c>
    </row>
    <row r="9425" spans="5:10" hidden="1" x14ac:dyDescent="0.25">
      <c r="F9425" s="284" t="s">
        <v>259</v>
      </c>
      <c r="G9425" s="287" t="s">
        <v>260</v>
      </c>
      <c r="J9425" s="560">
        <f t="shared" si="324"/>
        <v>0</v>
      </c>
    </row>
    <row r="9426" spans="5:10" hidden="1" x14ac:dyDescent="0.25">
      <c r="F9426" s="284" t="s">
        <v>261</v>
      </c>
      <c r="G9426" s="287" t="s">
        <v>262</v>
      </c>
      <c r="H9426" s="559"/>
      <c r="I9426" s="560"/>
      <c r="J9426" s="560">
        <f t="shared" si="324"/>
        <v>0</v>
      </c>
    </row>
    <row r="9427" spans="5:10" ht="15.75" hidden="1" thickBot="1" x14ac:dyDescent="0.3">
      <c r="G9427" s="268" t="s">
        <v>4330</v>
      </c>
      <c r="H9427" s="561">
        <f>SUM(H9411:H9426)</f>
        <v>0</v>
      </c>
      <c r="I9427" s="562">
        <f>SUM(I9412:I9426)</f>
        <v>0</v>
      </c>
      <c r="J9427" s="562">
        <f>SUM(J9411:J9426)</f>
        <v>0</v>
      </c>
    </row>
    <row r="9428" spans="5:10" hidden="1" x14ac:dyDescent="0.25">
      <c r="E9428" s="489"/>
      <c r="F9428" s="370"/>
      <c r="G9428" s="270" t="s">
        <v>4949</v>
      </c>
      <c r="H9428" s="563"/>
      <c r="I9428" s="584"/>
      <c r="J9428" s="564"/>
    </row>
    <row r="9429" spans="5:10" hidden="1" x14ac:dyDescent="0.25">
      <c r="E9429" s="693"/>
      <c r="F9429" s="284" t="s">
        <v>234</v>
      </c>
      <c r="G9429" s="287" t="s">
        <v>235</v>
      </c>
      <c r="H9429" s="559">
        <f>SUM(H9350:H9409)</f>
        <v>0</v>
      </c>
      <c r="I9429" s="560"/>
      <c r="J9429" s="560">
        <f>SUM(H9429:I9429)</f>
        <v>0</v>
      </c>
    </row>
    <row r="9430" spans="5:10" hidden="1" x14ac:dyDescent="0.25">
      <c r="F9430" s="284" t="s">
        <v>236</v>
      </c>
      <c r="G9430" s="287" t="s">
        <v>237</v>
      </c>
      <c r="J9430" s="560">
        <f t="shared" ref="J9430:J9444" si="325">SUM(H9430:I9430)</f>
        <v>0</v>
      </c>
    </row>
    <row r="9431" spans="5:10" hidden="1" x14ac:dyDescent="0.25">
      <c r="F9431" s="284" t="s">
        <v>238</v>
      </c>
      <c r="G9431" s="287" t="s">
        <v>239</v>
      </c>
      <c r="J9431" s="560">
        <f t="shared" si="325"/>
        <v>0</v>
      </c>
    </row>
    <row r="9432" spans="5:10" hidden="1" x14ac:dyDescent="0.25">
      <c r="F9432" s="284" t="s">
        <v>240</v>
      </c>
      <c r="G9432" s="287" t="s">
        <v>241</v>
      </c>
      <c r="J9432" s="560">
        <f t="shared" si="325"/>
        <v>0</v>
      </c>
    </row>
    <row r="9433" spans="5:10" hidden="1" x14ac:dyDescent="0.25">
      <c r="F9433" s="284" t="s">
        <v>242</v>
      </c>
      <c r="G9433" s="287" t="s">
        <v>243</v>
      </c>
      <c r="J9433" s="560">
        <f t="shared" si="325"/>
        <v>0</v>
      </c>
    </row>
    <row r="9434" spans="5:10" hidden="1" x14ac:dyDescent="0.25">
      <c r="F9434" s="284" t="s">
        <v>244</v>
      </c>
      <c r="G9434" s="287" t="s">
        <v>245</v>
      </c>
      <c r="J9434" s="560">
        <f t="shared" si="325"/>
        <v>0</v>
      </c>
    </row>
    <row r="9435" spans="5:10" hidden="1" x14ac:dyDescent="0.25">
      <c r="F9435" s="284" t="s">
        <v>246</v>
      </c>
      <c r="G9435" s="598" t="s">
        <v>4996</v>
      </c>
      <c r="J9435" s="560">
        <f t="shared" si="325"/>
        <v>0</v>
      </c>
    </row>
    <row r="9436" spans="5:10" hidden="1" x14ac:dyDescent="0.25">
      <c r="F9436" s="284" t="s">
        <v>247</v>
      </c>
      <c r="G9436" s="598" t="s">
        <v>4995</v>
      </c>
      <c r="J9436" s="560">
        <f t="shared" si="325"/>
        <v>0</v>
      </c>
    </row>
    <row r="9437" spans="5:10" hidden="1" x14ac:dyDescent="0.25">
      <c r="F9437" s="284" t="s">
        <v>248</v>
      </c>
      <c r="G9437" s="287" t="s">
        <v>57</v>
      </c>
      <c r="J9437" s="560">
        <f t="shared" si="325"/>
        <v>0</v>
      </c>
    </row>
    <row r="9438" spans="5:10" hidden="1" x14ac:dyDescent="0.25">
      <c r="F9438" s="284" t="s">
        <v>249</v>
      </c>
      <c r="G9438" s="287" t="s">
        <v>250</v>
      </c>
      <c r="J9438" s="560">
        <f t="shared" si="325"/>
        <v>0</v>
      </c>
    </row>
    <row r="9439" spans="5:10" hidden="1" x14ac:dyDescent="0.25">
      <c r="F9439" s="284" t="s">
        <v>251</v>
      </c>
      <c r="G9439" s="287" t="s">
        <v>252</v>
      </c>
      <c r="J9439" s="560">
        <f t="shared" si="325"/>
        <v>0</v>
      </c>
    </row>
    <row r="9440" spans="5:10" ht="30" hidden="1" x14ac:dyDescent="0.25">
      <c r="F9440" s="284" t="s">
        <v>253</v>
      </c>
      <c r="G9440" s="287" t="s">
        <v>254</v>
      </c>
      <c r="J9440" s="560">
        <f t="shared" si="325"/>
        <v>0</v>
      </c>
    </row>
    <row r="9441" spans="5:10" hidden="1" x14ac:dyDescent="0.25">
      <c r="F9441" s="284" t="s">
        <v>255</v>
      </c>
      <c r="G9441" s="287" t="s">
        <v>256</v>
      </c>
      <c r="J9441" s="560">
        <f t="shared" si="325"/>
        <v>0</v>
      </c>
    </row>
    <row r="9442" spans="5:10" ht="30" hidden="1" x14ac:dyDescent="0.25">
      <c r="F9442" s="284" t="s">
        <v>257</v>
      </c>
      <c r="G9442" s="287" t="s">
        <v>258</v>
      </c>
      <c r="J9442" s="560">
        <f t="shared" si="325"/>
        <v>0</v>
      </c>
    </row>
    <row r="9443" spans="5:10" hidden="1" x14ac:dyDescent="0.25">
      <c r="F9443" s="284" t="s">
        <v>259</v>
      </c>
      <c r="G9443" s="287" t="s">
        <v>260</v>
      </c>
      <c r="J9443" s="560">
        <f t="shared" si="325"/>
        <v>0</v>
      </c>
    </row>
    <row r="9444" spans="5:10" hidden="1" x14ac:dyDescent="0.25">
      <c r="F9444" s="284" t="s">
        <v>261</v>
      </c>
      <c r="G9444" s="287" t="s">
        <v>262</v>
      </c>
      <c r="H9444" s="559"/>
      <c r="I9444" s="560"/>
      <c r="J9444" s="560">
        <f t="shared" si="325"/>
        <v>0</v>
      </c>
    </row>
    <row r="9445" spans="5:10" ht="15.75" hidden="1" thickBot="1" x14ac:dyDescent="0.3">
      <c r="G9445" s="268" t="s">
        <v>4915</v>
      </c>
      <c r="H9445" s="561">
        <f>SUM(H9429:H9444)</f>
        <v>0</v>
      </c>
      <c r="I9445" s="562">
        <f>SUM(I9430:I9444)</f>
        <v>0</v>
      </c>
      <c r="J9445" s="562">
        <f>SUM(J9429:J9444)</f>
        <v>0</v>
      </c>
    </row>
    <row r="9446" spans="5:10" hidden="1" x14ac:dyDescent="0.25"/>
    <row r="9447" spans="5:10" hidden="1" x14ac:dyDescent="0.25">
      <c r="E9447" s="489"/>
      <c r="F9447" s="370"/>
      <c r="G9447" s="285" t="s">
        <v>4246</v>
      </c>
      <c r="H9447" s="567"/>
      <c r="I9447" s="585"/>
      <c r="J9447" s="568"/>
    </row>
    <row r="9448" spans="5:10" hidden="1" x14ac:dyDescent="0.25">
      <c r="E9448" s="693"/>
      <c r="F9448" s="284" t="s">
        <v>234</v>
      </c>
      <c r="G9448" s="287" t="s">
        <v>235</v>
      </c>
      <c r="H9448" s="559">
        <f>SUM(H9429,H9330,H9231)</f>
        <v>0</v>
      </c>
      <c r="I9448" s="560"/>
      <c r="J9448" s="560">
        <f>SUM(H9448:I9448)</f>
        <v>0</v>
      </c>
    </row>
    <row r="9449" spans="5:10" hidden="1" x14ac:dyDescent="0.25">
      <c r="F9449" s="284" t="s">
        <v>236</v>
      </c>
      <c r="G9449" s="287" t="s">
        <v>237</v>
      </c>
      <c r="J9449" s="560">
        <f t="shared" ref="J9449:J9463" si="326">SUM(H9449:I9449)</f>
        <v>0</v>
      </c>
    </row>
    <row r="9450" spans="5:10" hidden="1" x14ac:dyDescent="0.25">
      <c r="F9450" s="284" t="s">
        <v>238</v>
      </c>
      <c r="G9450" s="287" t="s">
        <v>239</v>
      </c>
      <c r="J9450" s="560">
        <f t="shared" si="326"/>
        <v>0</v>
      </c>
    </row>
    <row r="9451" spans="5:10" hidden="1" x14ac:dyDescent="0.25">
      <c r="F9451" s="284" t="s">
        <v>240</v>
      </c>
      <c r="G9451" s="287" t="s">
        <v>241</v>
      </c>
      <c r="J9451" s="560">
        <f t="shared" si="326"/>
        <v>0</v>
      </c>
    </row>
    <row r="9452" spans="5:10" hidden="1" x14ac:dyDescent="0.25">
      <c r="F9452" s="284" t="s">
        <v>242</v>
      </c>
      <c r="G9452" s="287" t="s">
        <v>243</v>
      </c>
      <c r="J9452" s="560">
        <f t="shared" si="326"/>
        <v>0</v>
      </c>
    </row>
    <row r="9453" spans="5:10" hidden="1" x14ac:dyDescent="0.25">
      <c r="F9453" s="284" t="s">
        <v>244</v>
      </c>
      <c r="G9453" s="287" t="s">
        <v>245</v>
      </c>
      <c r="J9453" s="560">
        <f t="shared" si="326"/>
        <v>0</v>
      </c>
    </row>
    <row r="9454" spans="5:10" hidden="1" x14ac:dyDescent="0.25">
      <c r="F9454" s="284" t="s">
        <v>246</v>
      </c>
      <c r="G9454" s="598" t="s">
        <v>4996</v>
      </c>
      <c r="J9454" s="560">
        <f t="shared" si="326"/>
        <v>0</v>
      </c>
    </row>
    <row r="9455" spans="5:10" hidden="1" x14ac:dyDescent="0.25">
      <c r="F9455" s="284" t="s">
        <v>247</v>
      </c>
      <c r="G9455" s="598" t="s">
        <v>4995</v>
      </c>
      <c r="J9455" s="560">
        <f t="shared" si="326"/>
        <v>0</v>
      </c>
    </row>
    <row r="9456" spans="5:10" hidden="1" x14ac:dyDescent="0.25">
      <c r="F9456" s="284" t="s">
        <v>248</v>
      </c>
      <c r="G9456" s="287" t="s">
        <v>57</v>
      </c>
      <c r="J9456" s="560">
        <f t="shared" si="326"/>
        <v>0</v>
      </c>
    </row>
    <row r="9457" spans="1:25" hidden="1" x14ac:dyDescent="0.25">
      <c r="F9457" s="284" t="s">
        <v>249</v>
      </c>
      <c r="G9457" s="287" t="s">
        <v>250</v>
      </c>
      <c r="J9457" s="560">
        <f t="shared" si="326"/>
        <v>0</v>
      </c>
    </row>
    <row r="9458" spans="1:25" hidden="1" x14ac:dyDescent="0.25">
      <c r="F9458" s="284" t="s">
        <v>251</v>
      </c>
      <c r="G9458" s="287" t="s">
        <v>252</v>
      </c>
      <c r="J9458" s="560">
        <f t="shared" si="326"/>
        <v>0</v>
      </c>
    </row>
    <row r="9459" spans="1:25" ht="30" hidden="1" x14ac:dyDescent="0.25">
      <c r="F9459" s="284" t="s">
        <v>253</v>
      </c>
      <c r="G9459" s="287" t="s">
        <v>254</v>
      </c>
      <c r="J9459" s="560">
        <f t="shared" si="326"/>
        <v>0</v>
      </c>
    </row>
    <row r="9460" spans="1:25" hidden="1" x14ac:dyDescent="0.25">
      <c r="F9460" s="284" t="s">
        <v>255</v>
      </c>
      <c r="G9460" s="287" t="s">
        <v>256</v>
      </c>
      <c r="J9460" s="560">
        <f t="shared" si="326"/>
        <v>0</v>
      </c>
    </row>
    <row r="9461" spans="1:25" ht="30" hidden="1" x14ac:dyDescent="0.25">
      <c r="F9461" s="284" t="s">
        <v>257</v>
      </c>
      <c r="G9461" s="287" t="s">
        <v>258</v>
      </c>
      <c r="J9461" s="560">
        <f t="shared" si="326"/>
        <v>0</v>
      </c>
    </row>
    <row r="9462" spans="1:25" hidden="1" x14ac:dyDescent="0.25">
      <c r="F9462" s="284" t="s">
        <v>259</v>
      </c>
      <c r="G9462" s="287" t="s">
        <v>260</v>
      </c>
      <c r="J9462" s="560">
        <f t="shared" si="326"/>
        <v>0</v>
      </c>
    </row>
    <row r="9463" spans="1:25" hidden="1" x14ac:dyDescent="0.25">
      <c r="F9463" s="284" t="s">
        <v>261</v>
      </c>
      <c r="G9463" s="287" t="s">
        <v>262</v>
      </c>
      <c r="H9463" s="559"/>
      <c r="I9463" s="560"/>
      <c r="J9463" s="560">
        <f t="shared" si="326"/>
        <v>0</v>
      </c>
    </row>
    <row r="9464" spans="1:25" ht="15.75" hidden="1" thickBot="1" x14ac:dyDescent="0.3">
      <c r="G9464" s="268" t="s">
        <v>4247</v>
      </c>
      <c r="H9464" s="561">
        <f>SUM(H9448:H9463)</f>
        <v>0</v>
      </c>
      <c r="I9464" s="562">
        <f>SUM(I9449:I9463)</f>
        <v>0</v>
      </c>
      <c r="J9464" s="562">
        <f>SUM(J9448:J9463)</f>
        <v>0</v>
      </c>
    </row>
    <row r="9465" spans="1:25" hidden="1" x14ac:dyDescent="0.25">
      <c r="G9465" s="312"/>
      <c r="H9465" s="565"/>
      <c r="I9465" s="566"/>
      <c r="J9465" s="566"/>
    </row>
    <row r="9466" spans="1:25" s="88" customFormat="1" hidden="1" x14ac:dyDescent="0.25">
      <c r="A9466" s="258"/>
      <c r="B9466" s="288"/>
      <c r="C9466" s="334"/>
      <c r="D9466" s="286"/>
      <c r="E9466" s="876"/>
      <c r="F9466" s="370"/>
      <c r="G9466" s="285" t="s">
        <v>4256</v>
      </c>
      <c r="H9466" s="567"/>
      <c r="I9466" s="585"/>
      <c r="J9466" s="568"/>
      <c r="K9466" s="505"/>
      <c r="L9466" s="505"/>
      <c r="M9466" s="505"/>
      <c r="N9466" s="505"/>
      <c r="O9466" s="505"/>
      <c r="P9466" s="505"/>
      <c r="Q9466" s="505"/>
      <c r="R9466" s="505"/>
      <c r="S9466" s="505"/>
      <c r="T9466" s="505"/>
      <c r="U9466" s="505"/>
      <c r="V9466" s="505"/>
      <c r="W9466" s="505"/>
      <c r="X9466" s="505"/>
      <c r="Y9466" s="505"/>
    </row>
    <row r="9467" spans="1:25" s="88" customFormat="1" hidden="1" x14ac:dyDescent="0.25">
      <c r="A9467" s="364"/>
      <c r="B9467" s="288"/>
      <c r="C9467" s="334"/>
      <c r="D9467" s="286"/>
      <c r="E9467" s="876"/>
      <c r="F9467" s="284" t="s">
        <v>234</v>
      </c>
      <c r="G9467" s="287" t="s">
        <v>235</v>
      </c>
      <c r="H9467" s="559">
        <f>SUM(H9448)</f>
        <v>0</v>
      </c>
      <c r="I9467" s="560"/>
      <c r="J9467" s="560">
        <f>SUM(H9467:I9467)</f>
        <v>0</v>
      </c>
      <c r="K9467" s="505"/>
      <c r="L9467" s="505"/>
      <c r="M9467" s="505"/>
      <c r="N9467" s="505"/>
      <c r="O9467" s="505"/>
      <c r="P9467" s="505"/>
      <c r="Q9467" s="505"/>
      <c r="R9467" s="505"/>
      <c r="S9467" s="505"/>
      <c r="T9467" s="505"/>
      <c r="U9467" s="505"/>
      <c r="V9467" s="505"/>
      <c r="W9467" s="505"/>
      <c r="X9467" s="505"/>
      <c r="Y9467" s="505"/>
    </row>
    <row r="9468" spans="1:25" s="88" customFormat="1" hidden="1" x14ac:dyDescent="0.25">
      <c r="A9468" s="364"/>
      <c r="B9468" s="288"/>
      <c r="C9468" s="334"/>
      <c r="D9468" s="286"/>
      <c r="E9468" s="876"/>
      <c r="F9468" s="284" t="s">
        <v>236</v>
      </c>
      <c r="G9468" s="287" t="s">
        <v>237</v>
      </c>
      <c r="H9468" s="555"/>
      <c r="I9468" s="556"/>
      <c r="J9468" s="560">
        <f t="shared" ref="J9468:J9482" si="327">SUM(H9468:I9468)</f>
        <v>0</v>
      </c>
      <c r="K9468" s="505"/>
      <c r="L9468" s="505"/>
      <c r="M9468" s="505"/>
      <c r="N9468" s="505"/>
      <c r="O9468" s="505"/>
      <c r="P9468" s="505"/>
      <c r="Q9468" s="505"/>
      <c r="R9468" s="505"/>
      <c r="S9468" s="505"/>
      <c r="T9468" s="505"/>
      <c r="U9468" s="505"/>
      <c r="V9468" s="505"/>
      <c r="W9468" s="505"/>
      <c r="X9468" s="505"/>
      <c r="Y9468" s="505"/>
    </row>
    <row r="9469" spans="1:25" s="88" customFormat="1" hidden="1" x14ac:dyDescent="0.25">
      <c r="A9469" s="364"/>
      <c r="B9469" s="288"/>
      <c r="C9469" s="334"/>
      <c r="D9469" s="286"/>
      <c r="E9469" s="876"/>
      <c r="F9469" s="284" t="s">
        <v>238</v>
      </c>
      <c r="G9469" s="287" t="s">
        <v>239</v>
      </c>
      <c r="H9469" s="555"/>
      <c r="I9469" s="556"/>
      <c r="J9469" s="560">
        <f t="shared" si="327"/>
        <v>0</v>
      </c>
      <c r="K9469" s="505"/>
      <c r="L9469" s="505"/>
      <c r="M9469" s="505"/>
      <c r="N9469" s="505"/>
      <c r="O9469" s="505"/>
      <c r="P9469" s="505"/>
      <c r="Q9469" s="505"/>
      <c r="R9469" s="505"/>
      <c r="S9469" s="505"/>
      <c r="T9469" s="505"/>
      <c r="U9469" s="505"/>
      <c r="V9469" s="505"/>
      <c r="W9469" s="505"/>
      <c r="X9469" s="505"/>
      <c r="Y9469" s="505"/>
    </row>
    <row r="9470" spans="1:25" s="88" customFormat="1" hidden="1" x14ac:dyDescent="0.25">
      <c r="A9470" s="364"/>
      <c r="B9470" s="288"/>
      <c r="C9470" s="334"/>
      <c r="D9470" s="286"/>
      <c r="E9470" s="876"/>
      <c r="F9470" s="284" t="s">
        <v>240</v>
      </c>
      <c r="G9470" s="287" t="s">
        <v>241</v>
      </c>
      <c r="H9470" s="555"/>
      <c r="I9470" s="556"/>
      <c r="J9470" s="560">
        <f t="shared" si="327"/>
        <v>0</v>
      </c>
      <c r="K9470" s="505"/>
      <c r="L9470" s="505"/>
      <c r="M9470" s="505"/>
      <c r="N9470" s="505"/>
      <c r="O9470" s="505"/>
      <c r="P9470" s="505"/>
      <c r="Q9470" s="505"/>
      <c r="R9470" s="505"/>
      <c r="S9470" s="505"/>
      <c r="T9470" s="505"/>
      <c r="U9470" s="505"/>
      <c r="V9470" s="505"/>
      <c r="W9470" s="505"/>
      <c r="X9470" s="505"/>
      <c r="Y9470" s="505"/>
    </row>
    <row r="9471" spans="1:25" s="88" customFormat="1" hidden="1" x14ac:dyDescent="0.25">
      <c r="A9471" s="364"/>
      <c r="B9471" s="288"/>
      <c r="C9471" s="334"/>
      <c r="D9471" s="286"/>
      <c r="E9471" s="876"/>
      <c r="F9471" s="284" t="s">
        <v>242</v>
      </c>
      <c r="G9471" s="287" t="s">
        <v>243</v>
      </c>
      <c r="H9471" s="555"/>
      <c r="I9471" s="556"/>
      <c r="J9471" s="560">
        <f t="shared" si="327"/>
        <v>0</v>
      </c>
      <c r="K9471" s="505"/>
      <c r="L9471" s="505"/>
      <c r="M9471" s="505"/>
      <c r="N9471" s="505"/>
      <c r="O9471" s="505"/>
      <c r="P9471" s="505"/>
      <c r="Q9471" s="505"/>
      <c r="R9471" s="505"/>
      <c r="S9471" s="505"/>
      <c r="T9471" s="505"/>
      <c r="U9471" s="505"/>
      <c r="V9471" s="505"/>
      <c r="W9471" s="505"/>
      <c r="X9471" s="505"/>
      <c r="Y9471" s="505"/>
    </row>
    <row r="9472" spans="1:25" s="88" customFormat="1" hidden="1" x14ac:dyDescent="0.25">
      <c r="A9472" s="364"/>
      <c r="B9472" s="288"/>
      <c r="C9472" s="334"/>
      <c r="D9472" s="286"/>
      <c r="E9472" s="876"/>
      <c r="F9472" s="284" t="s">
        <v>244</v>
      </c>
      <c r="G9472" s="287" t="s">
        <v>245</v>
      </c>
      <c r="H9472" s="555"/>
      <c r="I9472" s="556"/>
      <c r="J9472" s="560">
        <f t="shared" si="327"/>
        <v>0</v>
      </c>
      <c r="K9472" s="505"/>
      <c r="L9472" s="505"/>
      <c r="M9472" s="505"/>
      <c r="N9472" s="505"/>
      <c r="O9472" s="505"/>
      <c r="P9472" s="505"/>
      <c r="Q9472" s="505"/>
      <c r="R9472" s="505"/>
      <c r="S9472" s="505"/>
      <c r="T9472" s="505"/>
      <c r="U9472" s="505"/>
      <c r="V9472" s="505"/>
      <c r="W9472" s="505"/>
      <c r="X9472" s="505"/>
      <c r="Y9472" s="505"/>
    </row>
    <row r="9473" spans="1:25" s="88" customFormat="1" hidden="1" x14ac:dyDescent="0.25">
      <c r="A9473" s="364"/>
      <c r="B9473" s="288"/>
      <c r="C9473" s="334"/>
      <c r="D9473" s="286"/>
      <c r="E9473" s="876"/>
      <c r="F9473" s="284" t="s">
        <v>246</v>
      </c>
      <c r="G9473" s="598" t="s">
        <v>4996</v>
      </c>
      <c r="H9473" s="555"/>
      <c r="I9473" s="556"/>
      <c r="J9473" s="560">
        <f t="shared" si="327"/>
        <v>0</v>
      </c>
      <c r="K9473" s="505"/>
      <c r="L9473" s="505"/>
      <c r="M9473" s="505"/>
      <c r="N9473" s="505"/>
      <c r="O9473" s="505"/>
      <c r="P9473" s="505"/>
      <c r="Q9473" s="505"/>
      <c r="R9473" s="505"/>
      <c r="S9473" s="505"/>
      <c r="T9473" s="505"/>
      <c r="U9473" s="505"/>
      <c r="V9473" s="505"/>
      <c r="W9473" s="505"/>
      <c r="X9473" s="505"/>
      <c r="Y9473" s="505"/>
    </row>
    <row r="9474" spans="1:25" s="88" customFormat="1" hidden="1" x14ac:dyDescent="0.25">
      <c r="A9474" s="364"/>
      <c r="B9474" s="288"/>
      <c r="C9474" s="334"/>
      <c r="D9474" s="286"/>
      <c r="E9474" s="876"/>
      <c r="F9474" s="284" t="s">
        <v>247</v>
      </c>
      <c r="G9474" s="598" t="s">
        <v>4995</v>
      </c>
      <c r="H9474" s="555"/>
      <c r="I9474" s="556"/>
      <c r="J9474" s="560">
        <f t="shared" si="327"/>
        <v>0</v>
      </c>
      <c r="K9474" s="505"/>
      <c r="L9474" s="505"/>
      <c r="M9474" s="505"/>
      <c r="N9474" s="505"/>
      <c r="O9474" s="505"/>
      <c r="P9474" s="505"/>
      <c r="Q9474" s="505"/>
      <c r="R9474" s="505"/>
      <c r="S9474" s="505"/>
      <c r="T9474" s="505"/>
      <c r="U9474" s="505"/>
      <c r="V9474" s="505"/>
      <c r="W9474" s="505"/>
      <c r="X9474" s="505"/>
      <c r="Y9474" s="505"/>
    </row>
    <row r="9475" spans="1:25" s="88" customFormat="1" hidden="1" x14ac:dyDescent="0.25">
      <c r="A9475" s="364"/>
      <c r="B9475" s="288"/>
      <c r="C9475" s="334"/>
      <c r="D9475" s="286"/>
      <c r="E9475" s="876"/>
      <c r="F9475" s="284" t="s">
        <v>248</v>
      </c>
      <c r="G9475" s="287" t="s">
        <v>57</v>
      </c>
      <c r="H9475" s="555"/>
      <c r="I9475" s="556"/>
      <c r="J9475" s="560">
        <f t="shared" si="327"/>
        <v>0</v>
      </c>
      <c r="K9475" s="505"/>
      <c r="L9475" s="505"/>
      <c r="M9475" s="505"/>
      <c r="N9475" s="505"/>
      <c r="O9475" s="505"/>
      <c r="P9475" s="505"/>
      <c r="Q9475" s="505"/>
      <c r="R9475" s="505"/>
      <c r="S9475" s="505"/>
      <c r="T9475" s="505"/>
      <c r="U9475" s="505"/>
      <c r="V9475" s="505"/>
      <c r="W9475" s="505"/>
      <c r="X9475" s="505"/>
      <c r="Y9475" s="505"/>
    </row>
    <row r="9476" spans="1:25" s="88" customFormat="1" hidden="1" x14ac:dyDescent="0.25">
      <c r="A9476" s="364"/>
      <c r="B9476" s="288"/>
      <c r="C9476" s="334"/>
      <c r="D9476" s="286"/>
      <c r="E9476" s="876"/>
      <c r="F9476" s="284" t="s">
        <v>249</v>
      </c>
      <c r="G9476" s="287" t="s">
        <v>250</v>
      </c>
      <c r="H9476" s="555"/>
      <c r="I9476" s="556"/>
      <c r="J9476" s="560">
        <f t="shared" si="327"/>
        <v>0</v>
      </c>
      <c r="K9476" s="505"/>
      <c r="L9476" s="505"/>
      <c r="M9476" s="505"/>
      <c r="N9476" s="505"/>
      <c r="O9476" s="505"/>
      <c r="P9476" s="505"/>
      <c r="Q9476" s="505"/>
      <c r="R9476" s="505"/>
      <c r="S9476" s="505"/>
      <c r="T9476" s="505"/>
      <c r="U9476" s="505"/>
      <c r="V9476" s="505"/>
      <c r="W9476" s="505"/>
      <c r="X9476" s="505"/>
      <c r="Y9476" s="505"/>
    </row>
    <row r="9477" spans="1:25" s="88" customFormat="1" hidden="1" x14ac:dyDescent="0.25">
      <c r="A9477" s="364"/>
      <c r="B9477" s="288"/>
      <c r="C9477" s="334"/>
      <c r="D9477" s="286"/>
      <c r="E9477" s="876"/>
      <c r="F9477" s="284" t="s">
        <v>251</v>
      </c>
      <c r="G9477" s="287" t="s">
        <v>252</v>
      </c>
      <c r="H9477" s="555"/>
      <c r="I9477" s="556"/>
      <c r="J9477" s="560">
        <f t="shared" si="327"/>
        <v>0</v>
      </c>
      <c r="K9477" s="505"/>
      <c r="L9477" s="505"/>
      <c r="M9477" s="505"/>
      <c r="N9477" s="505"/>
      <c r="O9477" s="505"/>
      <c r="P9477" s="505"/>
      <c r="Q9477" s="505"/>
      <c r="R9477" s="505"/>
      <c r="S9477" s="505"/>
      <c r="T9477" s="505"/>
      <c r="U9477" s="505"/>
      <c r="V9477" s="505"/>
      <c r="W9477" s="505"/>
      <c r="X9477" s="505"/>
      <c r="Y9477" s="505"/>
    </row>
    <row r="9478" spans="1:25" s="88" customFormat="1" ht="30" hidden="1" x14ac:dyDescent="0.25">
      <c r="A9478" s="364"/>
      <c r="B9478" s="288"/>
      <c r="C9478" s="334"/>
      <c r="D9478" s="286"/>
      <c r="E9478" s="876"/>
      <c r="F9478" s="284" t="s">
        <v>253</v>
      </c>
      <c r="G9478" s="287" t="s">
        <v>254</v>
      </c>
      <c r="H9478" s="555"/>
      <c r="I9478" s="556"/>
      <c r="J9478" s="560">
        <f t="shared" si="327"/>
        <v>0</v>
      </c>
      <c r="K9478" s="505"/>
      <c r="L9478" s="505"/>
      <c r="M9478" s="505"/>
      <c r="N9478" s="505"/>
      <c r="O9478" s="505"/>
      <c r="P9478" s="505"/>
      <c r="Q9478" s="505"/>
      <c r="R9478" s="505"/>
      <c r="S9478" s="505"/>
      <c r="T9478" s="505"/>
      <c r="U9478" s="505"/>
      <c r="V9478" s="505"/>
      <c r="W9478" s="505"/>
      <c r="X9478" s="505"/>
      <c r="Y9478" s="505"/>
    </row>
    <row r="9479" spans="1:25" s="88" customFormat="1" hidden="1" x14ac:dyDescent="0.25">
      <c r="A9479" s="364"/>
      <c r="B9479" s="288"/>
      <c r="C9479" s="334"/>
      <c r="D9479" s="286"/>
      <c r="E9479" s="876"/>
      <c r="F9479" s="284" t="s">
        <v>255</v>
      </c>
      <c r="G9479" s="287" t="s">
        <v>256</v>
      </c>
      <c r="H9479" s="555"/>
      <c r="I9479" s="556"/>
      <c r="J9479" s="560">
        <f t="shared" si="327"/>
        <v>0</v>
      </c>
      <c r="K9479" s="505"/>
      <c r="L9479" s="505"/>
      <c r="M9479" s="505"/>
      <c r="N9479" s="505"/>
      <c r="O9479" s="505"/>
      <c r="P9479" s="505"/>
      <c r="Q9479" s="505"/>
      <c r="R9479" s="505"/>
      <c r="S9479" s="505"/>
      <c r="T9479" s="505"/>
      <c r="U9479" s="505"/>
      <c r="V9479" s="505"/>
      <c r="W9479" s="505"/>
      <c r="X9479" s="505"/>
      <c r="Y9479" s="505"/>
    </row>
    <row r="9480" spans="1:25" s="88" customFormat="1" ht="30" hidden="1" x14ac:dyDescent="0.25">
      <c r="A9480" s="364"/>
      <c r="B9480" s="288"/>
      <c r="C9480" s="334"/>
      <c r="D9480" s="286"/>
      <c r="E9480" s="876"/>
      <c r="F9480" s="284" t="s">
        <v>257</v>
      </c>
      <c r="G9480" s="287" t="s">
        <v>258</v>
      </c>
      <c r="H9480" s="555"/>
      <c r="I9480" s="556"/>
      <c r="J9480" s="560">
        <f t="shared" si="327"/>
        <v>0</v>
      </c>
      <c r="K9480" s="505"/>
      <c r="L9480" s="505"/>
      <c r="M9480" s="505"/>
      <c r="N9480" s="505"/>
      <c r="O9480" s="505"/>
      <c r="P9480" s="505"/>
      <c r="Q9480" s="505"/>
      <c r="R9480" s="505"/>
      <c r="S9480" s="505"/>
      <c r="T9480" s="505"/>
      <c r="U9480" s="505"/>
      <c r="V9480" s="505"/>
      <c r="W9480" s="505"/>
      <c r="X9480" s="505"/>
      <c r="Y9480" s="505"/>
    </row>
    <row r="9481" spans="1:25" s="88" customFormat="1" hidden="1" x14ac:dyDescent="0.25">
      <c r="A9481" s="364"/>
      <c r="B9481" s="288"/>
      <c r="C9481" s="334"/>
      <c r="D9481" s="286"/>
      <c r="E9481" s="876"/>
      <c r="F9481" s="284" t="s">
        <v>259</v>
      </c>
      <c r="G9481" s="287" t="s">
        <v>260</v>
      </c>
      <c r="H9481" s="555"/>
      <c r="I9481" s="556"/>
      <c r="J9481" s="560">
        <f t="shared" si="327"/>
        <v>0</v>
      </c>
      <c r="K9481" s="505"/>
      <c r="L9481" s="505"/>
      <c r="M9481" s="505"/>
      <c r="N9481" s="505"/>
      <c r="O9481" s="505"/>
      <c r="P9481" s="505"/>
      <c r="Q9481" s="505"/>
      <c r="R9481" s="505"/>
      <c r="S9481" s="505"/>
      <c r="T9481" s="505"/>
      <c r="U9481" s="505"/>
      <c r="V9481" s="505"/>
      <c r="W9481" s="505"/>
      <c r="X9481" s="505"/>
      <c r="Y9481" s="505"/>
    </row>
    <row r="9482" spans="1:25" s="88" customFormat="1" hidden="1" x14ac:dyDescent="0.25">
      <c r="A9482" s="364"/>
      <c r="B9482" s="288"/>
      <c r="C9482" s="334"/>
      <c r="D9482" s="286"/>
      <c r="E9482" s="876"/>
      <c r="F9482" s="284" t="s">
        <v>261</v>
      </c>
      <c r="G9482" s="287" t="s">
        <v>262</v>
      </c>
      <c r="H9482" s="559"/>
      <c r="I9482" s="560"/>
      <c r="J9482" s="560">
        <f t="shared" si="327"/>
        <v>0</v>
      </c>
      <c r="K9482" s="505"/>
      <c r="L9482" s="505"/>
      <c r="M9482" s="505"/>
      <c r="N9482" s="505"/>
      <c r="O9482" s="505"/>
      <c r="P9482" s="505"/>
      <c r="Q9482" s="505"/>
      <c r="R9482" s="505"/>
      <c r="S9482" s="505"/>
      <c r="T9482" s="505"/>
      <c r="U9482" s="505"/>
      <c r="V9482" s="505"/>
      <c r="W9482" s="505"/>
      <c r="X9482" s="505"/>
      <c r="Y9482" s="505"/>
    </row>
    <row r="9483" spans="1:25" s="88" customFormat="1" ht="15.75" hidden="1" thickBot="1" x14ac:dyDescent="0.3">
      <c r="A9483" s="364"/>
      <c r="B9483" s="288"/>
      <c r="C9483" s="334"/>
      <c r="D9483" s="286"/>
      <c r="E9483" s="876"/>
      <c r="F9483" s="258"/>
      <c r="G9483" s="268" t="s">
        <v>4355</v>
      </c>
      <c r="H9483" s="561">
        <f>SUM(H9467:H9482)</f>
        <v>0</v>
      </c>
      <c r="I9483" s="562">
        <f>SUM(I9468:I9482)</f>
        <v>0</v>
      </c>
      <c r="J9483" s="562">
        <f>SUM(J9467:J9482)</f>
        <v>0</v>
      </c>
      <c r="K9483" s="505"/>
      <c r="L9483" s="505"/>
      <c r="M9483" s="505"/>
      <c r="N9483" s="505"/>
      <c r="O9483" s="505"/>
      <c r="P9483" s="505"/>
      <c r="Q9483" s="505"/>
      <c r="R9483" s="505"/>
      <c r="S9483" s="505"/>
      <c r="T9483" s="505"/>
      <c r="U9483" s="505"/>
      <c r="V9483" s="505"/>
      <c r="W9483" s="505"/>
      <c r="X9483" s="505"/>
      <c r="Y9483" s="505"/>
    </row>
    <row r="9484" spans="1:25" s="88" customFormat="1" hidden="1" x14ac:dyDescent="0.25">
      <c r="A9484" s="364"/>
      <c r="B9484" s="288"/>
      <c r="C9484" s="334"/>
      <c r="D9484" s="286"/>
      <c r="E9484" s="876"/>
      <c r="F9484" s="258"/>
      <c r="G9484" s="312"/>
      <c r="H9484" s="565"/>
      <c r="I9484" s="566"/>
      <c r="J9484" s="566"/>
      <c r="K9484" s="505"/>
      <c r="L9484" s="505"/>
      <c r="M9484" s="505"/>
      <c r="N9484" s="505"/>
      <c r="O9484" s="505"/>
      <c r="P9484" s="505"/>
      <c r="Q9484" s="505"/>
      <c r="R9484" s="505"/>
      <c r="S9484" s="505"/>
      <c r="T9484" s="505"/>
      <c r="U9484" s="505"/>
      <c r="V9484" s="505"/>
      <c r="W9484" s="505"/>
      <c r="X9484" s="505"/>
      <c r="Y9484" s="505"/>
    </row>
    <row r="9485" spans="1:25" hidden="1" x14ac:dyDescent="0.25">
      <c r="A9485" s="481"/>
    </row>
    <row r="9486" spans="1:25" hidden="1" x14ac:dyDescent="0.25">
      <c r="B9486" s="383">
        <v>7</v>
      </c>
      <c r="C9486" s="374"/>
      <c r="D9486" s="375"/>
      <c r="E9486" s="893"/>
      <c r="F9486" s="378"/>
      <c r="G9486" s="379" t="s">
        <v>4248</v>
      </c>
      <c r="H9486" s="586"/>
      <c r="I9486" s="592"/>
      <c r="J9486" s="578"/>
      <c r="K9486" s="505"/>
    </row>
    <row r="9487" spans="1:25" s="88" customFormat="1" hidden="1" x14ac:dyDescent="0.25">
      <c r="A9487" s="374">
        <v>4</v>
      </c>
      <c r="B9487" s="288"/>
      <c r="C9487" s="294" t="s">
        <v>3557</v>
      </c>
      <c r="D9487" s="258"/>
      <c r="E9487" s="679"/>
      <c r="F9487" s="258"/>
      <c r="G9487" s="329" t="s">
        <v>4189</v>
      </c>
      <c r="H9487" s="588"/>
      <c r="I9487" s="571"/>
      <c r="J9487" s="589"/>
      <c r="K9487" s="505"/>
      <c r="L9487" s="505"/>
      <c r="M9487" s="505"/>
      <c r="N9487" s="505"/>
      <c r="O9487" s="505"/>
      <c r="P9487" s="505"/>
      <c r="Q9487" s="505"/>
      <c r="R9487" s="505"/>
      <c r="S9487" s="505"/>
      <c r="T9487" s="505"/>
      <c r="U9487" s="505"/>
      <c r="V9487" s="505"/>
      <c r="W9487" s="505"/>
      <c r="X9487" s="505"/>
      <c r="Y9487" s="505"/>
    </row>
    <row r="9488" spans="1:25" s="88" customFormat="1" hidden="1" x14ac:dyDescent="0.25">
      <c r="A9488" s="376"/>
      <c r="B9488" s="288"/>
      <c r="C9488" s="302" t="s">
        <v>4392</v>
      </c>
      <c r="D9488" s="259"/>
      <c r="E9488" s="702"/>
      <c r="F9488" s="303"/>
      <c r="G9488" s="330" t="s">
        <v>4043</v>
      </c>
      <c r="H9488" s="588"/>
      <c r="I9488" s="571"/>
      <c r="J9488" s="589"/>
      <c r="K9488" s="505"/>
      <c r="L9488" s="505"/>
      <c r="M9488" s="505"/>
      <c r="N9488" s="505"/>
      <c r="O9488" s="505"/>
      <c r="P9488" s="505"/>
      <c r="Q9488" s="505"/>
      <c r="R9488" s="505"/>
      <c r="S9488" s="505"/>
      <c r="T9488" s="505"/>
      <c r="U9488" s="505"/>
      <c r="V9488" s="505"/>
      <c r="W9488" s="505"/>
      <c r="X9488" s="505"/>
      <c r="Y9488" s="505"/>
    </row>
    <row r="9489" spans="1:10" hidden="1" x14ac:dyDescent="0.25">
      <c r="A9489" s="376"/>
      <c r="C9489" s="267"/>
      <c r="D9489" s="331">
        <v>620</v>
      </c>
      <c r="E9489" s="869"/>
      <c r="F9489" s="331"/>
      <c r="G9489" s="332" t="s">
        <v>182</v>
      </c>
    </row>
    <row r="9490" spans="1:10" hidden="1" x14ac:dyDescent="0.25">
      <c r="F9490" s="381">
        <v>411</v>
      </c>
      <c r="G9490" s="373" t="s">
        <v>4131</v>
      </c>
      <c r="J9490" s="556">
        <f>SUM(H9490:I9490)</f>
        <v>0</v>
      </c>
    </row>
    <row r="9491" spans="1:10" hidden="1" x14ac:dyDescent="0.25">
      <c r="F9491" s="381">
        <v>412</v>
      </c>
      <c r="G9491" s="372" t="s">
        <v>3766</v>
      </c>
      <c r="J9491" s="556">
        <f t="shared" ref="J9491:J9549" si="328">SUM(H9491:I9491)</f>
        <v>0</v>
      </c>
    </row>
    <row r="9492" spans="1:10" hidden="1" x14ac:dyDescent="0.25">
      <c r="F9492" s="381">
        <v>413</v>
      </c>
      <c r="G9492" s="373" t="s">
        <v>4132</v>
      </c>
      <c r="J9492" s="556">
        <f t="shared" si="328"/>
        <v>0</v>
      </c>
    </row>
    <row r="9493" spans="1:10" hidden="1" x14ac:dyDescent="0.25">
      <c r="F9493" s="381">
        <v>414</v>
      </c>
      <c r="G9493" s="373" t="s">
        <v>3769</v>
      </c>
      <c r="J9493" s="556">
        <f t="shared" si="328"/>
        <v>0</v>
      </c>
    </row>
    <row r="9494" spans="1:10" hidden="1" x14ac:dyDescent="0.25">
      <c r="F9494" s="381">
        <v>415</v>
      </c>
      <c r="G9494" s="373" t="s">
        <v>4141</v>
      </c>
      <c r="J9494" s="556">
        <f t="shared" si="328"/>
        <v>0</v>
      </c>
    </row>
    <row r="9495" spans="1:10" hidden="1" x14ac:dyDescent="0.25">
      <c r="F9495" s="381">
        <v>416</v>
      </c>
      <c r="G9495" s="373" t="s">
        <v>4142</v>
      </c>
      <c r="J9495" s="556">
        <f t="shared" si="328"/>
        <v>0</v>
      </c>
    </row>
    <row r="9496" spans="1:10" hidden="1" x14ac:dyDescent="0.25">
      <c r="F9496" s="381">
        <v>417</v>
      </c>
      <c r="G9496" s="373" t="s">
        <v>4143</v>
      </c>
      <c r="J9496" s="556">
        <f t="shared" si="328"/>
        <v>0</v>
      </c>
    </row>
    <row r="9497" spans="1:10" hidden="1" x14ac:dyDescent="0.25">
      <c r="F9497" s="381">
        <v>418</v>
      </c>
      <c r="G9497" s="373" t="s">
        <v>3775</v>
      </c>
      <c r="J9497" s="556">
        <f t="shared" si="328"/>
        <v>0</v>
      </c>
    </row>
    <row r="9498" spans="1:10" hidden="1" x14ac:dyDescent="0.25">
      <c r="F9498" s="381">
        <v>421</v>
      </c>
      <c r="G9498" s="373" t="s">
        <v>3779</v>
      </c>
      <c r="J9498" s="556">
        <f t="shared" si="328"/>
        <v>0</v>
      </c>
    </row>
    <row r="9499" spans="1:10" hidden="1" x14ac:dyDescent="0.25">
      <c r="F9499" s="381">
        <v>422</v>
      </c>
      <c r="G9499" s="373" t="s">
        <v>3780</v>
      </c>
      <c r="J9499" s="556">
        <f t="shared" si="328"/>
        <v>0</v>
      </c>
    </row>
    <row r="9500" spans="1:10" hidden="1" x14ac:dyDescent="0.25">
      <c r="F9500" s="381">
        <v>423</v>
      </c>
      <c r="G9500" s="373" t="s">
        <v>3781</v>
      </c>
      <c r="J9500" s="556">
        <f t="shared" si="328"/>
        <v>0</v>
      </c>
    </row>
    <row r="9501" spans="1:10" hidden="1" x14ac:dyDescent="0.25">
      <c r="F9501" s="381">
        <v>424</v>
      </c>
      <c r="G9501" s="373" t="s">
        <v>3783</v>
      </c>
      <c r="J9501" s="556">
        <f t="shared" si="328"/>
        <v>0</v>
      </c>
    </row>
    <row r="9502" spans="1:10" hidden="1" x14ac:dyDescent="0.25">
      <c r="F9502" s="381">
        <v>425</v>
      </c>
      <c r="G9502" s="373" t="s">
        <v>4144</v>
      </c>
      <c r="J9502" s="556">
        <f t="shared" si="328"/>
        <v>0</v>
      </c>
    </row>
    <row r="9503" spans="1:10" hidden="1" x14ac:dyDescent="0.25">
      <c r="F9503" s="381">
        <v>426</v>
      </c>
      <c r="G9503" s="373" t="s">
        <v>3787</v>
      </c>
      <c r="J9503" s="556">
        <f t="shared" si="328"/>
        <v>0</v>
      </c>
    </row>
    <row r="9504" spans="1:10" hidden="1" x14ac:dyDescent="0.25">
      <c r="F9504" s="381">
        <v>431</v>
      </c>
      <c r="G9504" s="373" t="s">
        <v>4145</v>
      </c>
      <c r="J9504" s="556">
        <f t="shared" si="328"/>
        <v>0</v>
      </c>
    </row>
    <row r="9505" spans="6:10" hidden="1" x14ac:dyDescent="0.25">
      <c r="F9505" s="381">
        <v>432</v>
      </c>
      <c r="G9505" s="373" t="s">
        <v>4146</v>
      </c>
      <c r="J9505" s="556">
        <f t="shared" si="328"/>
        <v>0</v>
      </c>
    </row>
    <row r="9506" spans="6:10" hidden="1" x14ac:dyDescent="0.25">
      <c r="F9506" s="381">
        <v>433</v>
      </c>
      <c r="G9506" s="373" t="s">
        <v>4147</v>
      </c>
      <c r="J9506" s="556">
        <f t="shared" si="328"/>
        <v>0</v>
      </c>
    </row>
    <row r="9507" spans="6:10" hidden="1" x14ac:dyDescent="0.25">
      <c r="F9507" s="381">
        <v>434</v>
      </c>
      <c r="G9507" s="373" t="s">
        <v>4148</v>
      </c>
      <c r="J9507" s="556">
        <f t="shared" si="328"/>
        <v>0</v>
      </c>
    </row>
    <row r="9508" spans="6:10" hidden="1" x14ac:dyDescent="0.25">
      <c r="F9508" s="381">
        <v>435</v>
      </c>
      <c r="G9508" s="373" t="s">
        <v>3794</v>
      </c>
      <c r="J9508" s="556">
        <f t="shared" si="328"/>
        <v>0</v>
      </c>
    </row>
    <row r="9509" spans="6:10" hidden="1" x14ac:dyDescent="0.25">
      <c r="F9509" s="381">
        <v>441</v>
      </c>
      <c r="G9509" s="373" t="s">
        <v>4149</v>
      </c>
      <c r="J9509" s="556">
        <f t="shared" si="328"/>
        <v>0</v>
      </c>
    </row>
    <row r="9510" spans="6:10" hidden="1" x14ac:dyDescent="0.25">
      <c r="F9510" s="381">
        <v>442</v>
      </c>
      <c r="G9510" s="373" t="s">
        <v>4150</v>
      </c>
      <c r="J9510" s="556">
        <f t="shared" si="328"/>
        <v>0</v>
      </c>
    </row>
    <row r="9511" spans="6:10" hidden="1" x14ac:dyDescent="0.25">
      <c r="F9511" s="381">
        <v>443</v>
      </c>
      <c r="G9511" s="373" t="s">
        <v>3799</v>
      </c>
      <c r="J9511" s="556">
        <f t="shared" si="328"/>
        <v>0</v>
      </c>
    </row>
    <row r="9512" spans="6:10" hidden="1" x14ac:dyDescent="0.25">
      <c r="F9512" s="381">
        <v>444</v>
      </c>
      <c r="G9512" s="373" t="s">
        <v>3800</v>
      </c>
      <c r="J9512" s="556">
        <f t="shared" si="328"/>
        <v>0</v>
      </c>
    </row>
    <row r="9513" spans="6:10" ht="30" hidden="1" x14ac:dyDescent="0.25">
      <c r="F9513" s="381">
        <v>4511</v>
      </c>
      <c r="G9513" s="263" t="s">
        <v>1690</v>
      </c>
      <c r="J9513" s="556">
        <f t="shared" si="328"/>
        <v>0</v>
      </c>
    </row>
    <row r="9514" spans="6:10" ht="19.5" hidden="1" customHeight="1" x14ac:dyDescent="0.25">
      <c r="F9514" s="381">
        <v>4512</v>
      </c>
      <c r="G9514" s="263" t="s">
        <v>1699</v>
      </c>
      <c r="J9514" s="556">
        <f t="shared" si="328"/>
        <v>0</v>
      </c>
    </row>
    <row r="9515" spans="6:10" hidden="1" x14ac:dyDescent="0.25">
      <c r="F9515" s="381">
        <v>452</v>
      </c>
      <c r="G9515" s="373" t="s">
        <v>4151</v>
      </c>
      <c r="J9515" s="556">
        <f t="shared" si="328"/>
        <v>0</v>
      </c>
    </row>
    <row r="9516" spans="6:10" hidden="1" x14ac:dyDescent="0.25">
      <c r="F9516" s="381">
        <v>453</v>
      </c>
      <c r="G9516" s="373" t="s">
        <v>4152</v>
      </c>
      <c r="J9516" s="556">
        <f t="shared" si="328"/>
        <v>0</v>
      </c>
    </row>
    <row r="9517" spans="6:10" hidden="1" x14ac:dyDescent="0.25">
      <c r="F9517" s="381">
        <v>454</v>
      </c>
      <c r="G9517" s="373" t="s">
        <v>3805</v>
      </c>
      <c r="J9517" s="556">
        <f t="shared" si="328"/>
        <v>0</v>
      </c>
    </row>
    <row r="9518" spans="6:10" hidden="1" x14ac:dyDescent="0.25">
      <c r="F9518" s="381">
        <v>461</v>
      </c>
      <c r="G9518" s="373" t="s">
        <v>4133</v>
      </c>
      <c r="J9518" s="556">
        <f t="shared" si="328"/>
        <v>0</v>
      </c>
    </row>
    <row r="9519" spans="6:10" hidden="1" x14ac:dyDescent="0.25">
      <c r="F9519" s="381">
        <v>462</v>
      </c>
      <c r="G9519" s="373" t="s">
        <v>3808</v>
      </c>
      <c r="J9519" s="556">
        <f t="shared" si="328"/>
        <v>0</v>
      </c>
    </row>
    <row r="9520" spans="6:10" hidden="1" x14ac:dyDescent="0.25">
      <c r="F9520" s="381">
        <v>4631</v>
      </c>
      <c r="G9520" s="373" t="s">
        <v>3809</v>
      </c>
      <c r="J9520" s="556">
        <f t="shared" si="328"/>
        <v>0</v>
      </c>
    </row>
    <row r="9521" spans="6:10" hidden="1" x14ac:dyDescent="0.25">
      <c r="F9521" s="381">
        <v>4632</v>
      </c>
      <c r="G9521" s="373" t="s">
        <v>3810</v>
      </c>
      <c r="J9521" s="556">
        <f t="shared" si="328"/>
        <v>0</v>
      </c>
    </row>
    <row r="9522" spans="6:10" hidden="1" x14ac:dyDescent="0.25">
      <c r="F9522" s="381">
        <v>464</v>
      </c>
      <c r="G9522" s="373" t="s">
        <v>3811</v>
      </c>
      <c r="J9522" s="556">
        <f t="shared" si="328"/>
        <v>0</v>
      </c>
    </row>
    <row r="9523" spans="6:10" hidden="1" x14ac:dyDescent="0.25">
      <c r="F9523" s="381">
        <v>465</v>
      </c>
      <c r="G9523" s="373" t="s">
        <v>4134</v>
      </c>
      <c r="J9523" s="556">
        <f t="shared" si="328"/>
        <v>0</v>
      </c>
    </row>
    <row r="9524" spans="6:10" hidden="1" x14ac:dyDescent="0.25">
      <c r="F9524" s="381">
        <v>472</v>
      </c>
      <c r="G9524" s="373" t="s">
        <v>3815</v>
      </c>
      <c r="J9524" s="556">
        <f t="shared" si="328"/>
        <v>0</v>
      </c>
    </row>
    <row r="9525" spans="6:10" hidden="1" x14ac:dyDescent="0.25">
      <c r="F9525" s="381">
        <v>481</v>
      </c>
      <c r="G9525" s="373" t="s">
        <v>4153</v>
      </c>
      <c r="J9525" s="556">
        <f t="shared" si="328"/>
        <v>0</v>
      </c>
    </row>
    <row r="9526" spans="6:10" hidden="1" x14ac:dyDescent="0.25">
      <c r="F9526" s="381">
        <v>482</v>
      </c>
      <c r="G9526" s="373" t="s">
        <v>4154</v>
      </c>
      <c r="J9526" s="556">
        <f t="shared" si="328"/>
        <v>0</v>
      </c>
    </row>
    <row r="9527" spans="6:10" hidden="1" x14ac:dyDescent="0.25">
      <c r="F9527" s="381">
        <v>483</v>
      </c>
      <c r="G9527" s="377" t="s">
        <v>4155</v>
      </c>
      <c r="J9527" s="556">
        <f t="shared" si="328"/>
        <v>0</v>
      </c>
    </row>
    <row r="9528" spans="6:10" ht="30" hidden="1" x14ac:dyDescent="0.25">
      <c r="F9528" s="381">
        <v>484</v>
      </c>
      <c r="G9528" s="373" t="s">
        <v>4156</v>
      </c>
      <c r="J9528" s="556">
        <f t="shared" si="328"/>
        <v>0</v>
      </c>
    </row>
    <row r="9529" spans="6:10" ht="30" hidden="1" x14ac:dyDescent="0.25">
      <c r="F9529" s="381">
        <v>485</v>
      </c>
      <c r="G9529" s="373" t="s">
        <v>4157</v>
      </c>
      <c r="J9529" s="556">
        <f t="shared" si="328"/>
        <v>0</v>
      </c>
    </row>
    <row r="9530" spans="6:10" ht="30" hidden="1" x14ac:dyDescent="0.25">
      <c r="F9530" s="381">
        <v>489</v>
      </c>
      <c r="G9530" s="373" t="s">
        <v>3823</v>
      </c>
      <c r="J9530" s="556">
        <f t="shared" si="328"/>
        <v>0</v>
      </c>
    </row>
    <row r="9531" spans="6:10" hidden="1" x14ac:dyDescent="0.25">
      <c r="F9531" s="381">
        <v>494</v>
      </c>
      <c r="G9531" s="373" t="s">
        <v>4135</v>
      </c>
      <c r="J9531" s="556">
        <f t="shared" si="328"/>
        <v>0</v>
      </c>
    </row>
    <row r="9532" spans="6:10" ht="30" hidden="1" x14ac:dyDescent="0.25">
      <c r="F9532" s="381">
        <v>495</v>
      </c>
      <c r="G9532" s="373" t="s">
        <v>4136</v>
      </c>
      <c r="J9532" s="556">
        <f t="shared" si="328"/>
        <v>0</v>
      </c>
    </row>
    <row r="9533" spans="6:10" ht="30" hidden="1" x14ac:dyDescent="0.25">
      <c r="F9533" s="381">
        <v>496</v>
      </c>
      <c r="G9533" s="373" t="s">
        <v>4137</v>
      </c>
      <c r="J9533" s="556">
        <f t="shared" si="328"/>
        <v>0</v>
      </c>
    </row>
    <row r="9534" spans="6:10" ht="30" hidden="1" x14ac:dyDescent="0.25">
      <c r="F9534" s="381">
        <v>499</v>
      </c>
      <c r="G9534" s="373" t="s">
        <v>4138</v>
      </c>
      <c r="J9534" s="556">
        <f t="shared" si="328"/>
        <v>0</v>
      </c>
    </row>
    <row r="9535" spans="6:10" hidden="1" x14ac:dyDescent="0.25">
      <c r="F9535" s="381">
        <v>511</v>
      </c>
      <c r="G9535" s="377" t="s">
        <v>4158</v>
      </c>
      <c r="J9535" s="556">
        <f t="shared" si="328"/>
        <v>0</v>
      </c>
    </row>
    <row r="9536" spans="6:10" hidden="1" x14ac:dyDescent="0.25">
      <c r="F9536" s="381">
        <v>512</v>
      </c>
      <c r="G9536" s="377" t="s">
        <v>4159</v>
      </c>
      <c r="J9536" s="556">
        <f t="shared" si="328"/>
        <v>0</v>
      </c>
    </row>
    <row r="9537" spans="5:10" hidden="1" x14ac:dyDescent="0.25">
      <c r="F9537" s="381">
        <v>513</v>
      </c>
      <c r="G9537" s="377" t="s">
        <v>4160</v>
      </c>
      <c r="J9537" s="556">
        <f t="shared" si="328"/>
        <v>0</v>
      </c>
    </row>
    <row r="9538" spans="5:10" hidden="1" x14ac:dyDescent="0.25">
      <c r="F9538" s="381">
        <v>514</v>
      </c>
      <c r="G9538" s="373" t="s">
        <v>4161</v>
      </c>
      <c r="J9538" s="556">
        <f t="shared" si="328"/>
        <v>0</v>
      </c>
    </row>
    <row r="9539" spans="5:10" hidden="1" x14ac:dyDescent="0.25">
      <c r="F9539" s="381">
        <v>515</v>
      </c>
      <c r="G9539" s="373" t="s">
        <v>3834</v>
      </c>
      <c r="J9539" s="556">
        <f t="shared" si="328"/>
        <v>0</v>
      </c>
    </row>
    <row r="9540" spans="5:10" hidden="1" x14ac:dyDescent="0.25">
      <c r="F9540" s="381">
        <v>521</v>
      </c>
      <c r="G9540" s="373" t="s">
        <v>4162</v>
      </c>
      <c r="J9540" s="556">
        <f t="shared" si="328"/>
        <v>0</v>
      </c>
    </row>
    <row r="9541" spans="5:10" hidden="1" x14ac:dyDescent="0.25">
      <c r="F9541" s="381">
        <v>522</v>
      </c>
      <c r="G9541" s="373" t="s">
        <v>4163</v>
      </c>
      <c r="J9541" s="556">
        <f t="shared" si="328"/>
        <v>0</v>
      </c>
    </row>
    <row r="9542" spans="5:10" hidden="1" x14ac:dyDescent="0.25">
      <c r="F9542" s="381">
        <v>523</v>
      </c>
      <c r="G9542" s="373" t="s">
        <v>3839</v>
      </c>
      <c r="J9542" s="556">
        <f t="shared" si="328"/>
        <v>0</v>
      </c>
    </row>
    <row r="9543" spans="5:10" hidden="1" x14ac:dyDescent="0.25">
      <c r="F9543" s="381">
        <v>531</v>
      </c>
      <c r="G9543" s="372" t="s">
        <v>4139</v>
      </c>
      <c r="J9543" s="556">
        <f t="shared" si="328"/>
        <v>0</v>
      </c>
    </row>
    <row r="9544" spans="5:10" hidden="1" x14ac:dyDescent="0.25">
      <c r="F9544" s="381">
        <v>541</v>
      </c>
      <c r="G9544" s="373" t="s">
        <v>4164</v>
      </c>
      <c r="J9544" s="556">
        <f t="shared" si="328"/>
        <v>0</v>
      </c>
    </row>
    <row r="9545" spans="5:10" hidden="1" x14ac:dyDescent="0.25">
      <c r="F9545" s="381">
        <v>542</v>
      </c>
      <c r="G9545" s="373" t="s">
        <v>4165</v>
      </c>
      <c r="J9545" s="556">
        <f t="shared" si="328"/>
        <v>0</v>
      </c>
    </row>
    <row r="9546" spans="5:10" hidden="1" x14ac:dyDescent="0.25">
      <c r="F9546" s="381">
        <v>543</v>
      </c>
      <c r="G9546" s="373" t="s">
        <v>3844</v>
      </c>
      <c r="J9546" s="556">
        <f t="shared" si="328"/>
        <v>0</v>
      </c>
    </row>
    <row r="9547" spans="5:10" ht="30" hidden="1" x14ac:dyDescent="0.25">
      <c r="F9547" s="381">
        <v>551</v>
      </c>
      <c r="G9547" s="373" t="s">
        <v>4140</v>
      </c>
      <c r="J9547" s="556">
        <f t="shared" si="328"/>
        <v>0</v>
      </c>
    </row>
    <row r="9548" spans="5:10" hidden="1" x14ac:dyDescent="0.25">
      <c r="F9548" s="382">
        <v>611</v>
      </c>
      <c r="G9548" s="380" t="s">
        <v>3850</v>
      </c>
      <c r="J9548" s="556">
        <f t="shared" si="328"/>
        <v>0</v>
      </c>
    </row>
    <row r="9549" spans="5:10" hidden="1" x14ac:dyDescent="0.25">
      <c r="F9549" s="382">
        <v>620</v>
      </c>
      <c r="G9549" s="380" t="s">
        <v>88</v>
      </c>
      <c r="J9549" s="556">
        <f t="shared" si="328"/>
        <v>0</v>
      </c>
    </row>
    <row r="9550" spans="5:10" hidden="1" x14ac:dyDescent="0.25">
      <c r="E9550" s="489"/>
      <c r="F9550" s="382"/>
      <c r="G9550" s="343" t="s">
        <v>4289</v>
      </c>
      <c r="H9550" s="557"/>
      <c r="I9550" s="583"/>
      <c r="J9550" s="558"/>
    </row>
    <row r="9551" spans="5:10" hidden="1" x14ac:dyDescent="0.25">
      <c r="E9551" s="693"/>
      <c r="F9551" s="284" t="s">
        <v>234</v>
      </c>
      <c r="G9551" s="287" t="s">
        <v>235</v>
      </c>
      <c r="H9551" s="559">
        <f>SUM(H9490:H9549)</f>
        <v>0</v>
      </c>
      <c r="I9551" s="560"/>
      <c r="J9551" s="560">
        <f t="shared" ref="J9551:J9566" si="329">SUM(H9551:I9551)</f>
        <v>0</v>
      </c>
    </row>
    <row r="9552" spans="5:10" hidden="1" x14ac:dyDescent="0.25">
      <c r="F9552" s="284" t="s">
        <v>236</v>
      </c>
      <c r="G9552" s="287" t="s">
        <v>237</v>
      </c>
      <c r="J9552" s="560">
        <f t="shared" si="329"/>
        <v>0</v>
      </c>
    </row>
    <row r="9553" spans="5:10" hidden="1" x14ac:dyDescent="0.25">
      <c r="F9553" s="284" t="s">
        <v>238</v>
      </c>
      <c r="G9553" s="287" t="s">
        <v>239</v>
      </c>
      <c r="J9553" s="560">
        <f t="shared" si="329"/>
        <v>0</v>
      </c>
    </row>
    <row r="9554" spans="5:10" hidden="1" x14ac:dyDescent="0.25">
      <c r="F9554" s="284" t="s">
        <v>240</v>
      </c>
      <c r="G9554" s="287" t="s">
        <v>241</v>
      </c>
      <c r="J9554" s="560">
        <f t="shared" si="329"/>
        <v>0</v>
      </c>
    </row>
    <row r="9555" spans="5:10" hidden="1" x14ac:dyDescent="0.25">
      <c r="F9555" s="284" t="s">
        <v>242</v>
      </c>
      <c r="G9555" s="287" t="s">
        <v>243</v>
      </c>
      <c r="J9555" s="560">
        <f t="shared" si="329"/>
        <v>0</v>
      </c>
    </row>
    <row r="9556" spans="5:10" hidden="1" x14ac:dyDescent="0.25">
      <c r="F9556" s="284" t="s">
        <v>244</v>
      </c>
      <c r="G9556" s="287" t="s">
        <v>245</v>
      </c>
      <c r="J9556" s="560">
        <f t="shared" si="329"/>
        <v>0</v>
      </c>
    </row>
    <row r="9557" spans="5:10" hidden="1" x14ac:dyDescent="0.25">
      <c r="F9557" s="284" t="s">
        <v>246</v>
      </c>
      <c r="G9557" s="598" t="s">
        <v>4996</v>
      </c>
      <c r="J9557" s="560">
        <f t="shared" si="329"/>
        <v>0</v>
      </c>
    </row>
    <row r="9558" spans="5:10" hidden="1" x14ac:dyDescent="0.25">
      <c r="F9558" s="284" t="s">
        <v>247</v>
      </c>
      <c r="G9558" s="598" t="s">
        <v>4995</v>
      </c>
      <c r="J9558" s="560">
        <f t="shared" si="329"/>
        <v>0</v>
      </c>
    </row>
    <row r="9559" spans="5:10" hidden="1" x14ac:dyDescent="0.25">
      <c r="F9559" s="284" t="s">
        <v>248</v>
      </c>
      <c r="G9559" s="287" t="s">
        <v>57</v>
      </c>
      <c r="J9559" s="560">
        <f t="shared" si="329"/>
        <v>0</v>
      </c>
    </row>
    <row r="9560" spans="5:10" hidden="1" x14ac:dyDescent="0.25">
      <c r="F9560" s="284" t="s">
        <v>249</v>
      </c>
      <c r="G9560" s="287" t="s">
        <v>250</v>
      </c>
      <c r="J9560" s="560">
        <f t="shared" si="329"/>
        <v>0</v>
      </c>
    </row>
    <row r="9561" spans="5:10" hidden="1" x14ac:dyDescent="0.25">
      <c r="F9561" s="284" t="s">
        <v>251</v>
      </c>
      <c r="G9561" s="287" t="s">
        <v>252</v>
      </c>
      <c r="J9561" s="560">
        <f t="shared" si="329"/>
        <v>0</v>
      </c>
    </row>
    <row r="9562" spans="5:10" ht="30" hidden="1" x14ac:dyDescent="0.25">
      <c r="F9562" s="284" t="s">
        <v>253</v>
      </c>
      <c r="G9562" s="287" t="s">
        <v>254</v>
      </c>
      <c r="J9562" s="560">
        <f t="shared" si="329"/>
        <v>0</v>
      </c>
    </row>
    <row r="9563" spans="5:10" hidden="1" x14ac:dyDescent="0.25">
      <c r="F9563" s="284" t="s">
        <v>255</v>
      </c>
      <c r="G9563" s="287" t="s">
        <v>256</v>
      </c>
      <c r="J9563" s="560">
        <f t="shared" si="329"/>
        <v>0</v>
      </c>
    </row>
    <row r="9564" spans="5:10" ht="30" hidden="1" x14ac:dyDescent="0.25">
      <c r="F9564" s="284" t="s">
        <v>257</v>
      </c>
      <c r="G9564" s="287" t="s">
        <v>258</v>
      </c>
      <c r="J9564" s="560">
        <f t="shared" si="329"/>
        <v>0</v>
      </c>
    </row>
    <row r="9565" spans="5:10" hidden="1" x14ac:dyDescent="0.25">
      <c r="F9565" s="284" t="s">
        <v>259</v>
      </c>
      <c r="G9565" s="287" t="s">
        <v>260</v>
      </c>
      <c r="J9565" s="560">
        <f t="shared" si="329"/>
        <v>0</v>
      </c>
    </row>
    <row r="9566" spans="5:10" hidden="1" x14ac:dyDescent="0.25">
      <c r="F9566" s="284" t="s">
        <v>261</v>
      </c>
      <c r="G9566" s="287" t="s">
        <v>262</v>
      </c>
      <c r="H9566" s="559"/>
      <c r="I9566" s="560"/>
      <c r="J9566" s="560">
        <f t="shared" si="329"/>
        <v>0</v>
      </c>
    </row>
    <row r="9567" spans="5:10" ht="15.75" hidden="1" thickBot="1" x14ac:dyDescent="0.3">
      <c r="G9567" s="268" t="s">
        <v>4290</v>
      </c>
      <c r="H9567" s="561">
        <f>SUM(H9551:H9566)</f>
        <v>0</v>
      </c>
      <c r="I9567" s="562">
        <f>SUM(I9552:I9566)</f>
        <v>0</v>
      </c>
      <c r="J9567" s="562">
        <f>SUM(J9551:J9566)</f>
        <v>0</v>
      </c>
    </row>
    <row r="9568" spans="5:10" ht="28.5" hidden="1" collapsed="1" x14ac:dyDescent="0.25">
      <c r="E9568" s="489"/>
      <c r="F9568" s="382"/>
      <c r="G9568" s="270" t="s">
        <v>4333</v>
      </c>
      <c r="H9568" s="563"/>
      <c r="I9568" s="584"/>
      <c r="J9568" s="564"/>
    </row>
    <row r="9569" spans="5:10" hidden="1" x14ac:dyDescent="0.25">
      <c r="E9569" s="693"/>
      <c r="F9569" s="284" t="s">
        <v>234</v>
      </c>
      <c r="G9569" s="287" t="s">
        <v>235</v>
      </c>
      <c r="H9569" s="559">
        <f>SUM(H9490:H9549)</f>
        <v>0</v>
      </c>
      <c r="I9569" s="560"/>
      <c r="J9569" s="560">
        <f>SUM(H9569:I9569)</f>
        <v>0</v>
      </c>
    </row>
    <row r="9570" spans="5:10" hidden="1" x14ac:dyDescent="0.25">
      <c r="F9570" s="284" t="s">
        <v>236</v>
      </c>
      <c r="G9570" s="287" t="s">
        <v>237</v>
      </c>
      <c r="J9570" s="560">
        <f t="shared" ref="J9570:J9584" si="330">SUM(H9570:I9570)</f>
        <v>0</v>
      </c>
    </row>
    <row r="9571" spans="5:10" hidden="1" x14ac:dyDescent="0.25">
      <c r="F9571" s="284" t="s">
        <v>238</v>
      </c>
      <c r="G9571" s="287" t="s">
        <v>239</v>
      </c>
      <c r="J9571" s="560">
        <f t="shared" si="330"/>
        <v>0</v>
      </c>
    </row>
    <row r="9572" spans="5:10" hidden="1" x14ac:dyDescent="0.25">
      <c r="F9572" s="284" t="s">
        <v>240</v>
      </c>
      <c r="G9572" s="287" t="s">
        <v>241</v>
      </c>
      <c r="J9572" s="560">
        <f t="shared" si="330"/>
        <v>0</v>
      </c>
    </row>
    <row r="9573" spans="5:10" hidden="1" x14ac:dyDescent="0.25">
      <c r="F9573" s="284" t="s">
        <v>242</v>
      </c>
      <c r="G9573" s="287" t="s">
        <v>243</v>
      </c>
      <c r="J9573" s="560">
        <f t="shared" si="330"/>
        <v>0</v>
      </c>
    </row>
    <row r="9574" spans="5:10" hidden="1" x14ac:dyDescent="0.25">
      <c r="F9574" s="284" t="s">
        <v>244</v>
      </c>
      <c r="G9574" s="287" t="s">
        <v>245</v>
      </c>
      <c r="J9574" s="560">
        <f t="shared" si="330"/>
        <v>0</v>
      </c>
    </row>
    <row r="9575" spans="5:10" hidden="1" x14ac:dyDescent="0.25">
      <c r="F9575" s="284" t="s">
        <v>246</v>
      </c>
      <c r="G9575" s="598" t="s">
        <v>4996</v>
      </c>
      <c r="J9575" s="560">
        <f t="shared" si="330"/>
        <v>0</v>
      </c>
    </row>
    <row r="9576" spans="5:10" hidden="1" x14ac:dyDescent="0.25">
      <c r="F9576" s="284" t="s">
        <v>247</v>
      </c>
      <c r="G9576" s="598" t="s">
        <v>4995</v>
      </c>
      <c r="J9576" s="560">
        <f t="shared" si="330"/>
        <v>0</v>
      </c>
    </row>
    <row r="9577" spans="5:10" hidden="1" x14ac:dyDescent="0.25">
      <c r="F9577" s="284" t="s">
        <v>248</v>
      </c>
      <c r="G9577" s="287" t="s">
        <v>57</v>
      </c>
      <c r="J9577" s="560">
        <f t="shared" si="330"/>
        <v>0</v>
      </c>
    </row>
    <row r="9578" spans="5:10" hidden="1" x14ac:dyDescent="0.25">
      <c r="F9578" s="284" t="s">
        <v>249</v>
      </c>
      <c r="G9578" s="287" t="s">
        <v>250</v>
      </c>
      <c r="J9578" s="560">
        <f t="shared" si="330"/>
        <v>0</v>
      </c>
    </row>
    <row r="9579" spans="5:10" hidden="1" x14ac:dyDescent="0.25">
      <c r="F9579" s="284" t="s">
        <v>251</v>
      </c>
      <c r="G9579" s="287" t="s">
        <v>252</v>
      </c>
      <c r="J9579" s="560">
        <f t="shared" si="330"/>
        <v>0</v>
      </c>
    </row>
    <row r="9580" spans="5:10" ht="30" hidden="1" x14ac:dyDescent="0.25">
      <c r="F9580" s="284" t="s">
        <v>253</v>
      </c>
      <c r="G9580" s="287" t="s">
        <v>254</v>
      </c>
      <c r="J9580" s="560">
        <f t="shared" si="330"/>
        <v>0</v>
      </c>
    </row>
    <row r="9581" spans="5:10" hidden="1" x14ac:dyDescent="0.25">
      <c r="F9581" s="284" t="s">
        <v>255</v>
      </c>
      <c r="G9581" s="287" t="s">
        <v>256</v>
      </c>
      <c r="J9581" s="560">
        <f t="shared" si="330"/>
        <v>0</v>
      </c>
    </row>
    <row r="9582" spans="5:10" ht="30" hidden="1" x14ac:dyDescent="0.25">
      <c r="F9582" s="284" t="s">
        <v>257</v>
      </c>
      <c r="G9582" s="287" t="s">
        <v>258</v>
      </c>
      <c r="J9582" s="560">
        <f t="shared" si="330"/>
        <v>0</v>
      </c>
    </row>
    <row r="9583" spans="5:10" hidden="1" x14ac:dyDescent="0.25">
      <c r="F9583" s="284" t="s">
        <v>259</v>
      </c>
      <c r="G9583" s="287" t="s">
        <v>260</v>
      </c>
      <c r="J9583" s="560">
        <f t="shared" si="330"/>
        <v>0</v>
      </c>
    </row>
    <row r="9584" spans="5:10" hidden="1" x14ac:dyDescent="0.25">
      <c r="F9584" s="284" t="s">
        <v>261</v>
      </c>
      <c r="G9584" s="287" t="s">
        <v>262</v>
      </c>
      <c r="H9584" s="559"/>
      <c r="I9584" s="560"/>
      <c r="J9584" s="560">
        <f t="shared" si="330"/>
        <v>0</v>
      </c>
    </row>
    <row r="9585" spans="1:25" ht="15.75" hidden="1" collapsed="1" thickBot="1" x14ac:dyDescent="0.3">
      <c r="G9585" s="268" t="s">
        <v>4334</v>
      </c>
      <c r="H9585" s="561">
        <f>SUM(H9569:H9584)</f>
        <v>0</v>
      </c>
      <c r="I9585" s="562">
        <f>SUM(I9570:I9584)</f>
        <v>0</v>
      </c>
      <c r="J9585" s="562">
        <f>SUM(J9569:J9584)</f>
        <v>0</v>
      </c>
    </row>
    <row r="9586" spans="1:25" hidden="1" x14ac:dyDescent="0.25"/>
    <row r="9587" spans="1:25" s="88" customFormat="1" hidden="1" x14ac:dyDescent="0.25">
      <c r="A9587" s="258"/>
      <c r="B9587" s="288"/>
      <c r="C9587" s="302" t="s">
        <v>4250</v>
      </c>
      <c r="D9587" s="259"/>
      <c r="E9587" s="702"/>
      <c r="F9587" s="303"/>
      <c r="G9587" s="304" t="s">
        <v>4043</v>
      </c>
      <c r="H9587" s="588"/>
      <c r="I9587" s="571"/>
      <c r="J9587" s="589"/>
      <c r="K9587" s="505"/>
      <c r="L9587" s="505"/>
      <c r="M9587" s="505"/>
      <c r="N9587" s="505"/>
      <c r="O9587" s="505"/>
      <c r="P9587" s="505"/>
      <c r="Q9587" s="505"/>
      <c r="R9587" s="505"/>
      <c r="S9587" s="505"/>
      <c r="T9587" s="505"/>
      <c r="U9587" s="505"/>
      <c r="V9587" s="505"/>
      <c r="W9587" s="505"/>
      <c r="X9587" s="505"/>
      <c r="Y9587" s="505"/>
    </row>
    <row r="9588" spans="1:25" hidden="1" x14ac:dyDescent="0.25">
      <c r="A9588" s="376"/>
      <c r="C9588" s="267"/>
      <c r="D9588" s="331">
        <v>620</v>
      </c>
      <c r="E9588" s="869"/>
      <c r="F9588" s="331"/>
      <c r="G9588" s="332" t="s">
        <v>182</v>
      </c>
    </row>
    <row r="9589" spans="1:25" hidden="1" x14ac:dyDescent="0.25">
      <c r="F9589" s="381">
        <v>411</v>
      </c>
      <c r="G9589" s="373" t="s">
        <v>4131</v>
      </c>
      <c r="J9589" s="556">
        <f>SUM(H9589:I9589)</f>
        <v>0</v>
      </c>
    </row>
    <row r="9590" spans="1:25" hidden="1" x14ac:dyDescent="0.25">
      <c r="F9590" s="381">
        <v>412</v>
      </c>
      <c r="G9590" s="372" t="s">
        <v>3766</v>
      </c>
      <c r="J9590" s="556">
        <f t="shared" ref="J9590:J9648" si="331">SUM(H9590:I9590)</f>
        <v>0</v>
      </c>
    </row>
    <row r="9591" spans="1:25" hidden="1" x14ac:dyDescent="0.25">
      <c r="F9591" s="381">
        <v>413</v>
      </c>
      <c r="G9591" s="373" t="s">
        <v>4132</v>
      </c>
      <c r="J9591" s="556">
        <f t="shared" si="331"/>
        <v>0</v>
      </c>
    </row>
    <row r="9592" spans="1:25" hidden="1" x14ac:dyDescent="0.25">
      <c r="F9592" s="381">
        <v>414</v>
      </c>
      <c r="G9592" s="373" t="s">
        <v>3769</v>
      </c>
      <c r="J9592" s="556">
        <f t="shared" si="331"/>
        <v>0</v>
      </c>
    </row>
    <row r="9593" spans="1:25" hidden="1" x14ac:dyDescent="0.25">
      <c r="F9593" s="381">
        <v>415</v>
      </c>
      <c r="G9593" s="373" t="s">
        <v>4141</v>
      </c>
      <c r="J9593" s="556">
        <f t="shared" si="331"/>
        <v>0</v>
      </c>
    </row>
    <row r="9594" spans="1:25" hidden="1" x14ac:dyDescent="0.25">
      <c r="F9594" s="381">
        <v>416</v>
      </c>
      <c r="G9594" s="373" t="s">
        <v>4142</v>
      </c>
      <c r="J9594" s="556">
        <f t="shared" si="331"/>
        <v>0</v>
      </c>
    </row>
    <row r="9595" spans="1:25" hidden="1" x14ac:dyDescent="0.25">
      <c r="F9595" s="381">
        <v>417</v>
      </c>
      <c r="G9595" s="373" t="s">
        <v>4143</v>
      </c>
      <c r="J9595" s="556">
        <f t="shared" si="331"/>
        <v>0</v>
      </c>
    </row>
    <row r="9596" spans="1:25" hidden="1" x14ac:dyDescent="0.25">
      <c r="F9596" s="381">
        <v>418</v>
      </c>
      <c r="G9596" s="373" t="s">
        <v>3775</v>
      </c>
      <c r="J9596" s="556">
        <f t="shared" si="331"/>
        <v>0</v>
      </c>
    </row>
    <row r="9597" spans="1:25" hidden="1" x14ac:dyDescent="0.25">
      <c r="F9597" s="381">
        <v>421</v>
      </c>
      <c r="G9597" s="373" t="s">
        <v>3779</v>
      </c>
      <c r="J9597" s="556">
        <f t="shared" si="331"/>
        <v>0</v>
      </c>
    </row>
    <row r="9598" spans="1:25" hidden="1" x14ac:dyDescent="0.25">
      <c r="F9598" s="381">
        <v>422</v>
      </c>
      <c r="G9598" s="373" t="s">
        <v>3780</v>
      </c>
      <c r="J9598" s="556">
        <f t="shared" si="331"/>
        <v>0</v>
      </c>
    </row>
    <row r="9599" spans="1:25" hidden="1" x14ac:dyDescent="0.25">
      <c r="F9599" s="381">
        <v>423</v>
      </c>
      <c r="G9599" s="373" t="s">
        <v>3781</v>
      </c>
      <c r="J9599" s="556">
        <f t="shared" si="331"/>
        <v>0</v>
      </c>
    </row>
    <row r="9600" spans="1:25" hidden="1" x14ac:dyDescent="0.25">
      <c r="F9600" s="381">
        <v>424</v>
      </c>
      <c r="G9600" s="373" t="s">
        <v>3783</v>
      </c>
      <c r="J9600" s="556">
        <f t="shared" si="331"/>
        <v>0</v>
      </c>
    </row>
    <row r="9601" spans="6:10" hidden="1" x14ac:dyDescent="0.25">
      <c r="F9601" s="381">
        <v>425</v>
      </c>
      <c r="G9601" s="373" t="s">
        <v>4144</v>
      </c>
      <c r="J9601" s="556">
        <f t="shared" si="331"/>
        <v>0</v>
      </c>
    </row>
    <row r="9602" spans="6:10" hidden="1" x14ac:dyDescent="0.25">
      <c r="F9602" s="381">
        <v>426</v>
      </c>
      <c r="G9602" s="373" t="s">
        <v>3787</v>
      </c>
      <c r="J9602" s="556">
        <f t="shared" si="331"/>
        <v>0</v>
      </c>
    </row>
    <row r="9603" spans="6:10" hidden="1" x14ac:dyDescent="0.25">
      <c r="F9603" s="381">
        <v>431</v>
      </c>
      <c r="G9603" s="373" t="s">
        <v>4145</v>
      </c>
      <c r="J9603" s="556">
        <f t="shared" si="331"/>
        <v>0</v>
      </c>
    </row>
    <row r="9604" spans="6:10" hidden="1" x14ac:dyDescent="0.25">
      <c r="F9604" s="381">
        <v>432</v>
      </c>
      <c r="G9604" s="373" t="s">
        <v>4146</v>
      </c>
      <c r="J9604" s="556">
        <f t="shared" si="331"/>
        <v>0</v>
      </c>
    </row>
    <row r="9605" spans="6:10" hidden="1" x14ac:dyDescent="0.25">
      <c r="F9605" s="381">
        <v>433</v>
      </c>
      <c r="G9605" s="373" t="s">
        <v>4147</v>
      </c>
      <c r="J9605" s="556">
        <f t="shared" si="331"/>
        <v>0</v>
      </c>
    </row>
    <row r="9606" spans="6:10" hidden="1" x14ac:dyDescent="0.25">
      <c r="F9606" s="381">
        <v>434</v>
      </c>
      <c r="G9606" s="373" t="s">
        <v>4148</v>
      </c>
      <c r="J9606" s="556">
        <f t="shared" si="331"/>
        <v>0</v>
      </c>
    </row>
    <row r="9607" spans="6:10" hidden="1" x14ac:dyDescent="0.25">
      <c r="F9607" s="381">
        <v>435</v>
      </c>
      <c r="G9607" s="373" t="s">
        <v>3794</v>
      </c>
      <c r="J9607" s="556">
        <f t="shared" si="331"/>
        <v>0</v>
      </c>
    </row>
    <row r="9608" spans="6:10" hidden="1" x14ac:dyDescent="0.25">
      <c r="F9608" s="381">
        <v>441</v>
      </c>
      <c r="G9608" s="373" t="s">
        <v>4149</v>
      </c>
      <c r="J9608" s="556">
        <f t="shared" si="331"/>
        <v>0</v>
      </c>
    </row>
    <row r="9609" spans="6:10" hidden="1" x14ac:dyDescent="0.25">
      <c r="F9609" s="381">
        <v>442</v>
      </c>
      <c r="G9609" s="373" t="s">
        <v>4150</v>
      </c>
      <c r="J9609" s="556">
        <f t="shared" si="331"/>
        <v>0</v>
      </c>
    </row>
    <row r="9610" spans="6:10" hidden="1" x14ac:dyDescent="0.25">
      <c r="F9610" s="381">
        <v>443</v>
      </c>
      <c r="G9610" s="373" t="s">
        <v>3799</v>
      </c>
      <c r="J9610" s="556">
        <f t="shared" si="331"/>
        <v>0</v>
      </c>
    </row>
    <row r="9611" spans="6:10" hidden="1" x14ac:dyDescent="0.25">
      <c r="F9611" s="381">
        <v>444</v>
      </c>
      <c r="G9611" s="373" t="s">
        <v>3800</v>
      </c>
      <c r="J9611" s="556">
        <f t="shared" si="331"/>
        <v>0</v>
      </c>
    </row>
    <row r="9612" spans="6:10" ht="30" hidden="1" x14ac:dyDescent="0.25">
      <c r="F9612" s="381">
        <v>4511</v>
      </c>
      <c r="G9612" s="263" t="s">
        <v>1690</v>
      </c>
      <c r="J9612" s="556">
        <f t="shared" si="331"/>
        <v>0</v>
      </c>
    </row>
    <row r="9613" spans="6:10" ht="19.5" hidden="1" customHeight="1" x14ac:dyDescent="0.25">
      <c r="F9613" s="381">
        <v>4512</v>
      </c>
      <c r="G9613" s="263" t="s">
        <v>1699</v>
      </c>
      <c r="J9613" s="556">
        <f t="shared" si="331"/>
        <v>0</v>
      </c>
    </row>
    <row r="9614" spans="6:10" hidden="1" x14ac:dyDescent="0.25">
      <c r="F9614" s="381">
        <v>452</v>
      </c>
      <c r="G9614" s="373" t="s">
        <v>4151</v>
      </c>
      <c r="J9614" s="556">
        <f t="shared" si="331"/>
        <v>0</v>
      </c>
    </row>
    <row r="9615" spans="6:10" hidden="1" x14ac:dyDescent="0.25">
      <c r="F9615" s="381">
        <v>453</v>
      </c>
      <c r="G9615" s="373" t="s">
        <v>4152</v>
      </c>
      <c r="J9615" s="556">
        <f t="shared" si="331"/>
        <v>0</v>
      </c>
    </row>
    <row r="9616" spans="6:10" hidden="1" x14ac:dyDescent="0.25">
      <c r="F9616" s="381">
        <v>454</v>
      </c>
      <c r="G9616" s="373" t="s">
        <v>3805</v>
      </c>
      <c r="J9616" s="556">
        <f t="shared" si="331"/>
        <v>0</v>
      </c>
    </row>
    <row r="9617" spans="6:10" hidden="1" x14ac:dyDescent="0.25">
      <c r="F9617" s="381">
        <v>461</v>
      </c>
      <c r="G9617" s="373" t="s">
        <v>4133</v>
      </c>
      <c r="J9617" s="556">
        <f t="shared" si="331"/>
        <v>0</v>
      </c>
    </row>
    <row r="9618" spans="6:10" hidden="1" x14ac:dyDescent="0.25">
      <c r="F9618" s="381">
        <v>462</v>
      </c>
      <c r="G9618" s="373" t="s">
        <v>3808</v>
      </c>
      <c r="J9618" s="556">
        <f t="shared" si="331"/>
        <v>0</v>
      </c>
    </row>
    <row r="9619" spans="6:10" hidden="1" x14ac:dyDescent="0.25">
      <c r="F9619" s="381">
        <v>4631</v>
      </c>
      <c r="G9619" s="373" t="s">
        <v>3809</v>
      </c>
      <c r="J9619" s="556">
        <f t="shared" si="331"/>
        <v>0</v>
      </c>
    </row>
    <row r="9620" spans="6:10" hidden="1" x14ac:dyDescent="0.25">
      <c r="F9620" s="381">
        <v>4632</v>
      </c>
      <c r="G9620" s="373" t="s">
        <v>3810</v>
      </c>
      <c r="J9620" s="556">
        <f t="shared" si="331"/>
        <v>0</v>
      </c>
    </row>
    <row r="9621" spans="6:10" hidden="1" x14ac:dyDescent="0.25">
      <c r="F9621" s="381">
        <v>464</v>
      </c>
      <c r="G9621" s="373" t="s">
        <v>3811</v>
      </c>
      <c r="J9621" s="556">
        <f t="shared" si="331"/>
        <v>0</v>
      </c>
    </row>
    <row r="9622" spans="6:10" hidden="1" x14ac:dyDescent="0.25">
      <c r="F9622" s="381">
        <v>465</v>
      </c>
      <c r="G9622" s="373" t="s">
        <v>4134</v>
      </c>
      <c r="J9622" s="556">
        <f t="shared" si="331"/>
        <v>0</v>
      </c>
    </row>
    <row r="9623" spans="6:10" hidden="1" x14ac:dyDescent="0.25">
      <c r="F9623" s="381">
        <v>472</v>
      </c>
      <c r="G9623" s="373" t="s">
        <v>3815</v>
      </c>
      <c r="J9623" s="556">
        <f t="shared" si="331"/>
        <v>0</v>
      </c>
    </row>
    <row r="9624" spans="6:10" hidden="1" x14ac:dyDescent="0.25">
      <c r="F9624" s="381">
        <v>481</v>
      </c>
      <c r="G9624" s="373" t="s">
        <v>4153</v>
      </c>
      <c r="J9624" s="556">
        <f t="shared" si="331"/>
        <v>0</v>
      </c>
    </row>
    <row r="9625" spans="6:10" hidden="1" x14ac:dyDescent="0.25">
      <c r="F9625" s="381">
        <v>482</v>
      </c>
      <c r="G9625" s="373" t="s">
        <v>4154</v>
      </c>
      <c r="J9625" s="556">
        <f t="shared" si="331"/>
        <v>0</v>
      </c>
    </row>
    <row r="9626" spans="6:10" hidden="1" x14ac:dyDescent="0.25">
      <c r="F9626" s="381">
        <v>483</v>
      </c>
      <c r="G9626" s="377" t="s">
        <v>4155</v>
      </c>
      <c r="J9626" s="556">
        <f t="shared" si="331"/>
        <v>0</v>
      </c>
    </row>
    <row r="9627" spans="6:10" ht="30" hidden="1" x14ac:dyDescent="0.25">
      <c r="F9627" s="381">
        <v>484</v>
      </c>
      <c r="G9627" s="373" t="s">
        <v>4156</v>
      </c>
      <c r="J9627" s="556">
        <f t="shared" si="331"/>
        <v>0</v>
      </c>
    </row>
    <row r="9628" spans="6:10" ht="30" hidden="1" x14ac:dyDescent="0.25">
      <c r="F9628" s="381">
        <v>485</v>
      </c>
      <c r="G9628" s="373" t="s">
        <v>4157</v>
      </c>
      <c r="J9628" s="556">
        <f t="shared" si="331"/>
        <v>0</v>
      </c>
    </row>
    <row r="9629" spans="6:10" ht="30" hidden="1" x14ac:dyDescent="0.25">
      <c r="F9629" s="381">
        <v>489</v>
      </c>
      <c r="G9629" s="373" t="s">
        <v>3823</v>
      </c>
      <c r="J9629" s="556">
        <f t="shared" si="331"/>
        <v>0</v>
      </c>
    </row>
    <row r="9630" spans="6:10" hidden="1" x14ac:dyDescent="0.25">
      <c r="F9630" s="381">
        <v>494</v>
      </c>
      <c r="G9630" s="373" t="s">
        <v>4135</v>
      </c>
      <c r="J9630" s="556">
        <f t="shared" si="331"/>
        <v>0</v>
      </c>
    </row>
    <row r="9631" spans="6:10" ht="30" hidden="1" x14ac:dyDescent="0.25">
      <c r="F9631" s="381">
        <v>495</v>
      </c>
      <c r="G9631" s="373" t="s">
        <v>4136</v>
      </c>
      <c r="J9631" s="556">
        <f t="shared" si="331"/>
        <v>0</v>
      </c>
    </row>
    <row r="9632" spans="6:10" ht="30" hidden="1" x14ac:dyDescent="0.25">
      <c r="F9632" s="381">
        <v>496</v>
      </c>
      <c r="G9632" s="373" t="s">
        <v>4137</v>
      </c>
      <c r="J9632" s="556">
        <f t="shared" si="331"/>
        <v>0</v>
      </c>
    </row>
    <row r="9633" spans="6:10" ht="30" hidden="1" x14ac:dyDescent="0.25">
      <c r="F9633" s="381">
        <v>499</v>
      </c>
      <c r="G9633" s="373" t="s">
        <v>4138</v>
      </c>
      <c r="J9633" s="556">
        <f t="shared" si="331"/>
        <v>0</v>
      </c>
    </row>
    <row r="9634" spans="6:10" hidden="1" x14ac:dyDescent="0.25">
      <c r="F9634" s="381">
        <v>511</v>
      </c>
      <c r="G9634" s="377" t="s">
        <v>4158</v>
      </c>
      <c r="J9634" s="556">
        <f t="shared" si="331"/>
        <v>0</v>
      </c>
    </row>
    <row r="9635" spans="6:10" hidden="1" x14ac:dyDescent="0.25">
      <c r="F9635" s="381">
        <v>512</v>
      </c>
      <c r="G9635" s="377" t="s">
        <v>4159</v>
      </c>
      <c r="J9635" s="556">
        <f t="shared" si="331"/>
        <v>0</v>
      </c>
    </row>
    <row r="9636" spans="6:10" hidden="1" x14ac:dyDescent="0.25">
      <c r="F9636" s="381">
        <v>513</v>
      </c>
      <c r="G9636" s="377" t="s">
        <v>4160</v>
      </c>
      <c r="J9636" s="556">
        <f t="shared" si="331"/>
        <v>0</v>
      </c>
    </row>
    <row r="9637" spans="6:10" hidden="1" x14ac:dyDescent="0.25">
      <c r="F9637" s="381">
        <v>514</v>
      </c>
      <c r="G9637" s="373" t="s">
        <v>4161</v>
      </c>
      <c r="J9637" s="556">
        <f t="shared" si="331"/>
        <v>0</v>
      </c>
    </row>
    <row r="9638" spans="6:10" hidden="1" x14ac:dyDescent="0.25">
      <c r="F9638" s="381">
        <v>515</v>
      </c>
      <c r="G9638" s="373" t="s">
        <v>3834</v>
      </c>
      <c r="J9638" s="556">
        <f t="shared" si="331"/>
        <v>0</v>
      </c>
    </row>
    <row r="9639" spans="6:10" hidden="1" x14ac:dyDescent="0.25">
      <c r="F9639" s="381">
        <v>521</v>
      </c>
      <c r="G9639" s="373" t="s">
        <v>4162</v>
      </c>
      <c r="J9639" s="556">
        <f t="shared" si="331"/>
        <v>0</v>
      </c>
    </row>
    <row r="9640" spans="6:10" hidden="1" x14ac:dyDescent="0.25">
      <c r="F9640" s="381">
        <v>522</v>
      </c>
      <c r="G9640" s="373" t="s">
        <v>4163</v>
      </c>
      <c r="J9640" s="556">
        <f t="shared" si="331"/>
        <v>0</v>
      </c>
    </row>
    <row r="9641" spans="6:10" hidden="1" x14ac:dyDescent="0.25">
      <c r="F9641" s="381">
        <v>523</v>
      </c>
      <c r="G9641" s="373" t="s">
        <v>3839</v>
      </c>
      <c r="J9641" s="556">
        <f t="shared" si="331"/>
        <v>0</v>
      </c>
    </row>
    <row r="9642" spans="6:10" hidden="1" x14ac:dyDescent="0.25">
      <c r="F9642" s="381">
        <v>531</v>
      </c>
      <c r="G9642" s="372" t="s">
        <v>4139</v>
      </c>
      <c r="J9642" s="556">
        <f t="shared" si="331"/>
        <v>0</v>
      </c>
    </row>
    <row r="9643" spans="6:10" hidden="1" x14ac:dyDescent="0.25">
      <c r="F9643" s="381">
        <v>541</v>
      </c>
      <c r="G9643" s="373" t="s">
        <v>4164</v>
      </c>
      <c r="J9643" s="556">
        <f t="shared" si="331"/>
        <v>0</v>
      </c>
    </row>
    <row r="9644" spans="6:10" hidden="1" x14ac:dyDescent="0.25">
      <c r="F9644" s="381">
        <v>542</v>
      </c>
      <c r="G9644" s="373" t="s">
        <v>4165</v>
      </c>
      <c r="J9644" s="556">
        <f t="shared" si="331"/>
        <v>0</v>
      </c>
    </row>
    <row r="9645" spans="6:10" hidden="1" x14ac:dyDescent="0.25">
      <c r="F9645" s="381">
        <v>543</v>
      </c>
      <c r="G9645" s="373" t="s">
        <v>3844</v>
      </c>
      <c r="J9645" s="556">
        <f t="shared" si="331"/>
        <v>0</v>
      </c>
    </row>
    <row r="9646" spans="6:10" ht="30" hidden="1" x14ac:dyDescent="0.25">
      <c r="F9646" s="381">
        <v>551</v>
      </c>
      <c r="G9646" s="373" t="s">
        <v>4140</v>
      </c>
      <c r="J9646" s="556">
        <f t="shared" si="331"/>
        <v>0</v>
      </c>
    </row>
    <row r="9647" spans="6:10" hidden="1" x14ac:dyDescent="0.25">
      <c r="F9647" s="382">
        <v>611</v>
      </c>
      <c r="G9647" s="380" t="s">
        <v>3850</v>
      </c>
      <c r="J9647" s="556">
        <f t="shared" si="331"/>
        <v>0</v>
      </c>
    </row>
    <row r="9648" spans="6:10" hidden="1" x14ac:dyDescent="0.25">
      <c r="F9648" s="382">
        <v>620</v>
      </c>
      <c r="G9648" s="380" t="s">
        <v>88</v>
      </c>
      <c r="J9648" s="556">
        <f t="shared" si="331"/>
        <v>0</v>
      </c>
    </row>
    <row r="9649" spans="5:10" hidden="1" x14ac:dyDescent="0.25">
      <c r="E9649" s="489"/>
      <c r="F9649" s="382"/>
      <c r="G9649" s="343" t="s">
        <v>4289</v>
      </c>
      <c r="H9649" s="557"/>
      <c r="I9649" s="583"/>
      <c r="J9649" s="558"/>
    </row>
    <row r="9650" spans="5:10" hidden="1" x14ac:dyDescent="0.25">
      <c r="E9650" s="693"/>
      <c r="F9650" s="284" t="s">
        <v>234</v>
      </c>
      <c r="G9650" s="287" t="s">
        <v>235</v>
      </c>
      <c r="H9650" s="559">
        <f>SUM(H9589:H9648)</f>
        <v>0</v>
      </c>
      <c r="I9650" s="560"/>
      <c r="J9650" s="560">
        <f t="shared" ref="J9650:J9665" si="332">SUM(H9650:I9650)</f>
        <v>0</v>
      </c>
    </row>
    <row r="9651" spans="5:10" hidden="1" x14ac:dyDescent="0.25">
      <c r="F9651" s="284" t="s">
        <v>236</v>
      </c>
      <c r="G9651" s="287" t="s">
        <v>237</v>
      </c>
      <c r="J9651" s="560">
        <f t="shared" si="332"/>
        <v>0</v>
      </c>
    </row>
    <row r="9652" spans="5:10" hidden="1" x14ac:dyDescent="0.25">
      <c r="F9652" s="284" t="s">
        <v>238</v>
      </c>
      <c r="G9652" s="287" t="s">
        <v>239</v>
      </c>
      <c r="J9652" s="560">
        <f t="shared" si="332"/>
        <v>0</v>
      </c>
    </row>
    <row r="9653" spans="5:10" hidden="1" x14ac:dyDescent="0.25">
      <c r="F9653" s="284" t="s">
        <v>240</v>
      </c>
      <c r="G9653" s="287" t="s">
        <v>241</v>
      </c>
      <c r="J9653" s="560">
        <f t="shared" si="332"/>
        <v>0</v>
      </c>
    </row>
    <row r="9654" spans="5:10" hidden="1" x14ac:dyDescent="0.25">
      <c r="F9654" s="284" t="s">
        <v>242</v>
      </c>
      <c r="G9654" s="287" t="s">
        <v>243</v>
      </c>
      <c r="J9654" s="560">
        <f t="shared" si="332"/>
        <v>0</v>
      </c>
    </row>
    <row r="9655" spans="5:10" hidden="1" x14ac:dyDescent="0.25">
      <c r="F9655" s="284" t="s">
        <v>244</v>
      </c>
      <c r="G9655" s="287" t="s">
        <v>245</v>
      </c>
      <c r="J9655" s="560">
        <f t="shared" si="332"/>
        <v>0</v>
      </c>
    </row>
    <row r="9656" spans="5:10" hidden="1" x14ac:dyDescent="0.25">
      <c r="F9656" s="284" t="s">
        <v>246</v>
      </c>
      <c r="G9656" s="598" t="s">
        <v>4996</v>
      </c>
      <c r="J9656" s="560">
        <f t="shared" si="332"/>
        <v>0</v>
      </c>
    </row>
    <row r="9657" spans="5:10" hidden="1" x14ac:dyDescent="0.25">
      <c r="F9657" s="284" t="s">
        <v>247</v>
      </c>
      <c r="G9657" s="598" t="s">
        <v>4995</v>
      </c>
      <c r="J9657" s="560">
        <f t="shared" si="332"/>
        <v>0</v>
      </c>
    </row>
    <row r="9658" spans="5:10" hidden="1" x14ac:dyDescent="0.25">
      <c r="F9658" s="284" t="s">
        <v>248</v>
      </c>
      <c r="G9658" s="287" t="s">
        <v>57</v>
      </c>
      <c r="J9658" s="560">
        <f t="shared" si="332"/>
        <v>0</v>
      </c>
    </row>
    <row r="9659" spans="5:10" hidden="1" x14ac:dyDescent="0.25">
      <c r="F9659" s="284" t="s">
        <v>249</v>
      </c>
      <c r="G9659" s="287" t="s">
        <v>250</v>
      </c>
      <c r="J9659" s="560">
        <f t="shared" si="332"/>
        <v>0</v>
      </c>
    </row>
    <row r="9660" spans="5:10" hidden="1" x14ac:dyDescent="0.25">
      <c r="F9660" s="284" t="s">
        <v>251</v>
      </c>
      <c r="G9660" s="287" t="s">
        <v>252</v>
      </c>
      <c r="J9660" s="560">
        <f t="shared" si="332"/>
        <v>0</v>
      </c>
    </row>
    <row r="9661" spans="5:10" ht="30" hidden="1" x14ac:dyDescent="0.25">
      <c r="F9661" s="284" t="s">
        <v>253</v>
      </c>
      <c r="G9661" s="287" t="s">
        <v>254</v>
      </c>
      <c r="J9661" s="560">
        <f t="shared" si="332"/>
        <v>0</v>
      </c>
    </row>
    <row r="9662" spans="5:10" hidden="1" x14ac:dyDescent="0.25">
      <c r="F9662" s="284" t="s">
        <v>255</v>
      </c>
      <c r="G9662" s="287" t="s">
        <v>256</v>
      </c>
      <c r="J9662" s="560">
        <f t="shared" si="332"/>
        <v>0</v>
      </c>
    </row>
    <row r="9663" spans="5:10" ht="30" hidden="1" x14ac:dyDescent="0.25">
      <c r="F9663" s="284" t="s">
        <v>257</v>
      </c>
      <c r="G9663" s="287" t="s">
        <v>258</v>
      </c>
      <c r="J9663" s="560">
        <f t="shared" si="332"/>
        <v>0</v>
      </c>
    </row>
    <row r="9664" spans="5:10" hidden="1" x14ac:dyDescent="0.25">
      <c r="F9664" s="284" t="s">
        <v>259</v>
      </c>
      <c r="G9664" s="287" t="s">
        <v>260</v>
      </c>
      <c r="J9664" s="560">
        <f t="shared" si="332"/>
        <v>0</v>
      </c>
    </row>
    <row r="9665" spans="5:10" hidden="1" x14ac:dyDescent="0.25">
      <c r="F9665" s="284" t="s">
        <v>261</v>
      </c>
      <c r="G9665" s="287" t="s">
        <v>262</v>
      </c>
      <c r="H9665" s="559"/>
      <c r="I9665" s="560"/>
      <c r="J9665" s="560">
        <f t="shared" si="332"/>
        <v>0</v>
      </c>
    </row>
    <row r="9666" spans="5:10" ht="15.75" hidden="1" thickBot="1" x14ac:dyDescent="0.3">
      <c r="G9666" s="268" t="s">
        <v>4290</v>
      </c>
      <c r="H9666" s="561">
        <f>SUM(H9650:H9665)</f>
        <v>0</v>
      </c>
      <c r="I9666" s="562">
        <f>SUM(I9651:I9665)</f>
        <v>0</v>
      </c>
      <c r="J9666" s="562">
        <f>SUM(J9650:J9665)</f>
        <v>0</v>
      </c>
    </row>
    <row r="9667" spans="5:10" ht="28.5" hidden="1" collapsed="1" x14ac:dyDescent="0.25">
      <c r="E9667" s="489"/>
      <c r="F9667" s="382"/>
      <c r="G9667" s="270" t="s">
        <v>4333</v>
      </c>
      <c r="H9667" s="563"/>
      <c r="I9667" s="584"/>
      <c r="J9667" s="564"/>
    </row>
    <row r="9668" spans="5:10" hidden="1" x14ac:dyDescent="0.25">
      <c r="E9668" s="693"/>
      <c r="F9668" s="284" t="s">
        <v>234</v>
      </c>
      <c r="G9668" s="287" t="s">
        <v>235</v>
      </c>
      <c r="H9668" s="559">
        <f>SUM(H9589:H9648)</f>
        <v>0</v>
      </c>
      <c r="I9668" s="560"/>
      <c r="J9668" s="560">
        <f>SUM(H9668:I9668)</f>
        <v>0</v>
      </c>
    </row>
    <row r="9669" spans="5:10" hidden="1" x14ac:dyDescent="0.25">
      <c r="F9669" s="284" t="s">
        <v>236</v>
      </c>
      <c r="G9669" s="287" t="s">
        <v>237</v>
      </c>
      <c r="J9669" s="560">
        <f t="shared" ref="J9669:J9683" si="333">SUM(H9669:I9669)</f>
        <v>0</v>
      </c>
    </row>
    <row r="9670" spans="5:10" hidden="1" x14ac:dyDescent="0.25">
      <c r="F9670" s="284" t="s">
        <v>238</v>
      </c>
      <c r="G9670" s="287" t="s">
        <v>239</v>
      </c>
      <c r="J9670" s="560">
        <f t="shared" si="333"/>
        <v>0</v>
      </c>
    </row>
    <row r="9671" spans="5:10" hidden="1" x14ac:dyDescent="0.25">
      <c r="F9671" s="284" t="s">
        <v>240</v>
      </c>
      <c r="G9671" s="287" t="s">
        <v>241</v>
      </c>
      <c r="J9671" s="560">
        <f t="shared" si="333"/>
        <v>0</v>
      </c>
    </row>
    <row r="9672" spans="5:10" hidden="1" x14ac:dyDescent="0.25">
      <c r="F9672" s="284" t="s">
        <v>242</v>
      </c>
      <c r="G9672" s="287" t="s">
        <v>243</v>
      </c>
      <c r="J9672" s="560">
        <f t="shared" si="333"/>
        <v>0</v>
      </c>
    </row>
    <row r="9673" spans="5:10" hidden="1" x14ac:dyDescent="0.25">
      <c r="F9673" s="284" t="s">
        <v>244</v>
      </c>
      <c r="G9673" s="287" t="s">
        <v>245</v>
      </c>
      <c r="J9673" s="560">
        <f t="shared" si="333"/>
        <v>0</v>
      </c>
    </row>
    <row r="9674" spans="5:10" hidden="1" x14ac:dyDescent="0.25">
      <c r="F9674" s="284" t="s">
        <v>246</v>
      </c>
      <c r="G9674" s="598" t="s">
        <v>4996</v>
      </c>
      <c r="J9674" s="560">
        <f t="shared" si="333"/>
        <v>0</v>
      </c>
    </row>
    <row r="9675" spans="5:10" hidden="1" x14ac:dyDescent="0.25">
      <c r="F9675" s="284" t="s">
        <v>247</v>
      </c>
      <c r="G9675" s="598" t="s">
        <v>4995</v>
      </c>
      <c r="J9675" s="560">
        <f t="shared" si="333"/>
        <v>0</v>
      </c>
    </row>
    <row r="9676" spans="5:10" hidden="1" x14ac:dyDescent="0.25">
      <c r="F9676" s="284" t="s">
        <v>248</v>
      </c>
      <c r="G9676" s="287" t="s">
        <v>57</v>
      </c>
      <c r="J9676" s="560">
        <f t="shared" si="333"/>
        <v>0</v>
      </c>
    </row>
    <row r="9677" spans="5:10" hidden="1" x14ac:dyDescent="0.25">
      <c r="F9677" s="284" t="s">
        <v>249</v>
      </c>
      <c r="G9677" s="287" t="s">
        <v>250</v>
      </c>
      <c r="J9677" s="560">
        <f t="shared" si="333"/>
        <v>0</v>
      </c>
    </row>
    <row r="9678" spans="5:10" hidden="1" x14ac:dyDescent="0.25">
      <c r="F9678" s="284" t="s">
        <v>251</v>
      </c>
      <c r="G9678" s="287" t="s">
        <v>252</v>
      </c>
      <c r="J9678" s="560">
        <f t="shared" si="333"/>
        <v>0</v>
      </c>
    </row>
    <row r="9679" spans="5:10" ht="30" hidden="1" x14ac:dyDescent="0.25">
      <c r="F9679" s="284" t="s">
        <v>253</v>
      </c>
      <c r="G9679" s="287" t="s">
        <v>254</v>
      </c>
      <c r="J9679" s="560">
        <f t="shared" si="333"/>
        <v>0</v>
      </c>
    </row>
    <row r="9680" spans="5:10" hidden="1" x14ac:dyDescent="0.25">
      <c r="F9680" s="284" t="s">
        <v>255</v>
      </c>
      <c r="G9680" s="287" t="s">
        <v>256</v>
      </c>
      <c r="J9680" s="560">
        <f t="shared" si="333"/>
        <v>0</v>
      </c>
    </row>
    <row r="9681" spans="5:10" ht="30" hidden="1" x14ac:dyDescent="0.25">
      <c r="F9681" s="284" t="s">
        <v>257</v>
      </c>
      <c r="G9681" s="287" t="s">
        <v>258</v>
      </c>
      <c r="J9681" s="560">
        <f t="shared" si="333"/>
        <v>0</v>
      </c>
    </row>
    <row r="9682" spans="5:10" hidden="1" x14ac:dyDescent="0.25">
      <c r="F9682" s="284" t="s">
        <v>259</v>
      </c>
      <c r="G9682" s="287" t="s">
        <v>260</v>
      </c>
      <c r="J9682" s="560">
        <f t="shared" si="333"/>
        <v>0</v>
      </c>
    </row>
    <row r="9683" spans="5:10" hidden="1" x14ac:dyDescent="0.25">
      <c r="F9683" s="284" t="s">
        <v>261</v>
      </c>
      <c r="G9683" s="287" t="s">
        <v>262</v>
      </c>
      <c r="H9683" s="559"/>
      <c r="I9683" s="560"/>
      <c r="J9683" s="560">
        <f t="shared" si="333"/>
        <v>0</v>
      </c>
    </row>
    <row r="9684" spans="5:10" ht="15.75" hidden="1" collapsed="1" thickBot="1" x14ac:dyDescent="0.3">
      <c r="G9684" s="268" t="s">
        <v>4334</v>
      </c>
      <c r="H9684" s="561">
        <f>SUM(H9668:H9683)</f>
        <v>0</v>
      </c>
      <c r="I9684" s="562">
        <f>SUM(I9669:I9683)</f>
        <v>0</v>
      </c>
      <c r="J9684" s="562">
        <f>SUM(J9668:J9683)</f>
        <v>0</v>
      </c>
    </row>
    <row r="9685" spans="5:10" hidden="1" x14ac:dyDescent="0.25">
      <c r="G9685" s="312"/>
      <c r="H9685" s="565"/>
      <c r="I9685" s="566"/>
      <c r="J9685" s="566"/>
    </row>
    <row r="9686" spans="5:10" hidden="1" x14ac:dyDescent="0.25">
      <c r="E9686" s="489"/>
      <c r="F9686" s="500"/>
      <c r="G9686" s="285" t="s">
        <v>4190</v>
      </c>
      <c r="H9686" s="567"/>
      <c r="I9686" s="585"/>
      <c r="J9686" s="568"/>
    </row>
    <row r="9687" spans="5:10" hidden="1" x14ac:dyDescent="0.25">
      <c r="E9687" s="693"/>
      <c r="F9687" s="284" t="s">
        <v>234</v>
      </c>
      <c r="G9687" s="287" t="s">
        <v>235</v>
      </c>
      <c r="H9687" s="559">
        <f>SUM(H9668,H9569)</f>
        <v>0</v>
      </c>
      <c r="I9687" s="560"/>
      <c r="J9687" s="560">
        <f>SUM(H9687:I9687)</f>
        <v>0</v>
      </c>
    </row>
    <row r="9688" spans="5:10" hidden="1" x14ac:dyDescent="0.25">
      <c r="F9688" s="284" t="s">
        <v>236</v>
      </c>
      <c r="G9688" s="287" t="s">
        <v>237</v>
      </c>
      <c r="J9688" s="560">
        <f t="shared" ref="J9688:J9702" si="334">SUM(H9688:I9688)</f>
        <v>0</v>
      </c>
    </row>
    <row r="9689" spans="5:10" hidden="1" x14ac:dyDescent="0.25">
      <c r="F9689" s="284" t="s">
        <v>238</v>
      </c>
      <c r="G9689" s="287" t="s">
        <v>239</v>
      </c>
      <c r="J9689" s="560">
        <f t="shared" si="334"/>
        <v>0</v>
      </c>
    </row>
    <row r="9690" spans="5:10" hidden="1" x14ac:dyDescent="0.25">
      <c r="F9690" s="284" t="s">
        <v>240</v>
      </c>
      <c r="G9690" s="287" t="s">
        <v>241</v>
      </c>
      <c r="J9690" s="560">
        <f t="shared" si="334"/>
        <v>0</v>
      </c>
    </row>
    <row r="9691" spans="5:10" hidden="1" x14ac:dyDescent="0.25">
      <c r="F9691" s="284" t="s">
        <v>242</v>
      </c>
      <c r="G9691" s="287" t="s">
        <v>243</v>
      </c>
      <c r="J9691" s="560">
        <f t="shared" si="334"/>
        <v>0</v>
      </c>
    </row>
    <row r="9692" spans="5:10" hidden="1" x14ac:dyDescent="0.25">
      <c r="F9692" s="284" t="s">
        <v>244</v>
      </c>
      <c r="G9692" s="287" t="s">
        <v>245</v>
      </c>
      <c r="J9692" s="560">
        <f t="shared" si="334"/>
        <v>0</v>
      </c>
    </row>
    <row r="9693" spans="5:10" hidden="1" x14ac:dyDescent="0.25">
      <c r="F9693" s="284" t="s">
        <v>246</v>
      </c>
      <c r="G9693" s="598" t="s">
        <v>4996</v>
      </c>
      <c r="J9693" s="560">
        <f t="shared" si="334"/>
        <v>0</v>
      </c>
    </row>
    <row r="9694" spans="5:10" hidden="1" x14ac:dyDescent="0.25">
      <c r="F9694" s="284" t="s">
        <v>247</v>
      </c>
      <c r="G9694" s="598" t="s">
        <v>4995</v>
      </c>
      <c r="J9694" s="560">
        <f t="shared" si="334"/>
        <v>0</v>
      </c>
    </row>
    <row r="9695" spans="5:10" hidden="1" x14ac:dyDescent="0.25">
      <c r="F9695" s="284" t="s">
        <v>248</v>
      </c>
      <c r="G9695" s="287" t="s">
        <v>57</v>
      </c>
      <c r="J9695" s="560">
        <f t="shared" si="334"/>
        <v>0</v>
      </c>
    </row>
    <row r="9696" spans="5:10" hidden="1" x14ac:dyDescent="0.25">
      <c r="F9696" s="284" t="s">
        <v>249</v>
      </c>
      <c r="G9696" s="287" t="s">
        <v>250</v>
      </c>
      <c r="J9696" s="560">
        <f t="shared" si="334"/>
        <v>0</v>
      </c>
    </row>
    <row r="9697" spans="1:25" hidden="1" x14ac:dyDescent="0.25">
      <c r="F9697" s="284" t="s">
        <v>251</v>
      </c>
      <c r="G9697" s="287" t="s">
        <v>252</v>
      </c>
      <c r="J9697" s="560">
        <f t="shared" si="334"/>
        <v>0</v>
      </c>
    </row>
    <row r="9698" spans="1:25" ht="30" hidden="1" x14ac:dyDescent="0.25">
      <c r="F9698" s="284" t="s">
        <v>253</v>
      </c>
      <c r="G9698" s="287" t="s">
        <v>254</v>
      </c>
      <c r="J9698" s="560">
        <f t="shared" si="334"/>
        <v>0</v>
      </c>
    </row>
    <row r="9699" spans="1:25" hidden="1" x14ac:dyDescent="0.25">
      <c r="F9699" s="284" t="s">
        <v>255</v>
      </c>
      <c r="G9699" s="287" t="s">
        <v>256</v>
      </c>
      <c r="J9699" s="560">
        <f t="shared" si="334"/>
        <v>0</v>
      </c>
    </row>
    <row r="9700" spans="1:25" ht="30" hidden="1" x14ac:dyDescent="0.25">
      <c r="F9700" s="284" t="s">
        <v>257</v>
      </c>
      <c r="G9700" s="287" t="s">
        <v>258</v>
      </c>
      <c r="J9700" s="560">
        <f t="shared" si="334"/>
        <v>0</v>
      </c>
    </row>
    <row r="9701" spans="1:25" hidden="1" x14ac:dyDescent="0.25">
      <c r="F9701" s="284" t="s">
        <v>259</v>
      </c>
      <c r="G9701" s="287" t="s">
        <v>260</v>
      </c>
      <c r="J9701" s="560">
        <f t="shared" si="334"/>
        <v>0</v>
      </c>
    </row>
    <row r="9702" spans="1:25" hidden="1" x14ac:dyDescent="0.25">
      <c r="F9702" s="284" t="s">
        <v>261</v>
      </c>
      <c r="G9702" s="287" t="s">
        <v>262</v>
      </c>
      <c r="H9702" s="559"/>
      <c r="I9702" s="560"/>
      <c r="J9702" s="560">
        <f t="shared" si="334"/>
        <v>0</v>
      </c>
    </row>
    <row r="9703" spans="1:25" ht="15.75" hidden="1" thickBot="1" x14ac:dyDescent="0.3">
      <c r="G9703" s="268" t="s">
        <v>4191</v>
      </c>
      <c r="H9703" s="561">
        <f>SUM(H9687:H9702)</f>
        <v>0</v>
      </c>
      <c r="I9703" s="562">
        <f>SUM(I9688:I9702)</f>
        <v>0</v>
      </c>
      <c r="J9703" s="562">
        <f>SUM(J9687:J9702)</f>
        <v>0</v>
      </c>
    </row>
    <row r="9704" spans="1:25" hidden="1" x14ac:dyDescent="0.25">
      <c r="G9704" s="312"/>
      <c r="H9704" s="565"/>
      <c r="I9704" s="566"/>
      <c r="J9704" s="566"/>
    </row>
    <row r="9705" spans="1:25" hidden="1" x14ac:dyDescent="0.25"/>
    <row r="9706" spans="1:25" hidden="1" x14ac:dyDescent="0.25">
      <c r="B9706" s="84"/>
      <c r="C9706" s="84"/>
      <c r="D9706" s="84"/>
      <c r="E9706" s="878"/>
      <c r="F9706" s="84"/>
      <c r="G9706" s="84"/>
      <c r="H9706" s="84"/>
      <c r="I9706" s="84"/>
      <c r="J9706" s="84"/>
    </row>
    <row r="9707" spans="1:25" s="88" customFormat="1" hidden="1" x14ac:dyDescent="0.25">
      <c r="A9707" s="84"/>
      <c r="E9707" s="877"/>
      <c r="K9707" s="505"/>
      <c r="L9707" s="505"/>
      <c r="M9707" s="505"/>
      <c r="N9707" s="505"/>
      <c r="O9707" s="505"/>
      <c r="P9707" s="505"/>
      <c r="Q9707" s="505"/>
      <c r="R9707" s="505"/>
      <c r="S9707" s="505"/>
      <c r="T9707" s="505"/>
      <c r="U9707" s="505"/>
      <c r="V9707" s="505"/>
      <c r="W9707" s="505"/>
      <c r="X9707" s="505"/>
      <c r="Y9707" s="505"/>
    </row>
    <row r="9708" spans="1:25" hidden="1" x14ac:dyDescent="0.25">
      <c r="A9708" s="88"/>
      <c r="B9708" s="84"/>
      <c r="C9708" s="84"/>
      <c r="D9708" s="84"/>
      <c r="E9708" s="878"/>
      <c r="F9708" s="84"/>
      <c r="G9708" s="84"/>
      <c r="H9708" s="84"/>
      <c r="I9708" s="84"/>
      <c r="J9708" s="84"/>
    </row>
    <row r="9709" spans="1:25" hidden="1" x14ac:dyDescent="0.25">
      <c r="A9709" s="84"/>
      <c r="B9709" s="84"/>
      <c r="C9709" s="84"/>
      <c r="D9709" s="84"/>
      <c r="E9709" s="878"/>
      <c r="F9709" s="84"/>
      <c r="G9709" s="84"/>
      <c r="H9709" s="84"/>
      <c r="I9709" s="84"/>
      <c r="J9709" s="84"/>
    </row>
    <row r="9710" spans="1:25" hidden="1" x14ac:dyDescent="0.25">
      <c r="A9710" s="84"/>
      <c r="B9710" s="84"/>
      <c r="C9710" s="84"/>
      <c r="D9710" s="84"/>
      <c r="E9710" s="878"/>
      <c r="F9710" s="84"/>
      <c r="G9710" s="84"/>
      <c r="H9710" s="84"/>
      <c r="I9710" s="84"/>
      <c r="J9710" s="84"/>
    </row>
    <row r="9711" spans="1:25" hidden="1" x14ac:dyDescent="0.25">
      <c r="A9711" s="84"/>
      <c r="B9711" s="84"/>
      <c r="C9711" s="84"/>
      <c r="D9711" s="84"/>
      <c r="E9711" s="878"/>
      <c r="F9711" s="84"/>
      <c r="G9711" s="84"/>
      <c r="H9711" s="84"/>
      <c r="I9711" s="84"/>
      <c r="J9711" s="84"/>
    </row>
    <row r="9712" spans="1:25" hidden="1" x14ac:dyDescent="0.25">
      <c r="A9712" s="84"/>
      <c r="B9712" s="84"/>
      <c r="C9712" s="84"/>
      <c r="D9712" s="84"/>
      <c r="E9712" s="878"/>
      <c r="F9712" s="84"/>
      <c r="G9712" s="84"/>
      <c r="H9712" s="84"/>
      <c r="I9712" s="84"/>
      <c r="J9712" s="84"/>
    </row>
    <row r="9713" spans="1:10" hidden="1" x14ac:dyDescent="0.25">
      <c r="A9713" s="84"/>
      <c r="B9713" s="84"/>
      <c r="C9713" s="84"/>
      <c r="D9713" s="84"/>
      <c r="E9713" s="878"/>
      <c r="F9713" s="84"/>
      <c r="G9713" s="84"/>
      <c r="H9713" s="84"/>
      <c r="I9713" s="84"/>
      <c r="J9713" s="84"/>
    </row>
    <row r="9714" spans="1:10" hidden="1" x14ac:dyDescent="0.25">
      <c r="A9714" s="84"/>
      <c r="B9714" s="84"/>
      <c r="C9714" s="84"/>
      <c r="D9714" s="84"/>
      <c r="E9714" s="878"/>
      <c r="F9714" s="84"/>
      <c r="G9714" s="84"/>
      <c r="H9714" s="84"/>
      <c r="I9714" s="84"/>
      <c r="J9714" s="84"/>
    </row>
    <row r="9715" spans="1:10" hidden="1" x14ac:dyDescent="0.25">
      <c r="A9715" s="84"/>
      <c r="B9715" s="84"/>
      <c r="C9715" s="84"/>
      <c r="D9715" s="84"/>
      <c r="E9715" s="878"/>
      <c r="F9715" s="84"/>
      <c r="G9715" s="84"/>
      <c r="H9715" s="84"/>
      <c r="I9715" s="84"/>
      <c r="J9715" s="84"/>
    </row>
    <row r="9716" spans="1:10" hidden="1" x14ac:dyDescent="0.25">
      <c r="A9716" s="84"/>
      <c r="B9716" s="84"/>
      <c r="C9716" s="84"/>
      <c r="D9716" s="84"/>
      <c r="E9716" s="878"/>
      <c r="F9716" s="84"/>
      <c r="G9716" s="84"/>
      <c r="H9716" s="84"/>
      <c r="I9716" s="84"/>
      <c r="J9716" s="84"/>
    </row>
    <row r="9717" spans="1:10" hidden="1" x14ac:dyDescent="0.25">
      <c r="A9717" s="84"/>
      <c r="B9717" s="84"/>
      <c r="C9717" s="84"/>
      <c r="D9717" s="84"/>
      <c r="E9717" s="878"/>
      <c r="F9717" s="84"/>
      <c r="G9717" s="84"/>
      <c r="H9717" s="84"/>
      <c r="I9717" s="84"/>
      <c r="J9717" s="84"/>
    </row>
    <row r="9718" spans="1:10" hidden="1" x14ac:dyDescent="0.25">
      <c r="A9718" s="84"/>
      <c r="B9718" s="84"/>
      <c r="C9718" s="84"/>
      <c r="D9718" s="84"/>
      <c r="E9718" s="878"/>
      <c r="F9718" s="84"/>
      <c r="G9718" s="84"/>
      <c r="H9718" s="84"/>
      <c r="I9718" s="84"/>
      <c r="J9718" s="84"/>
    </row>
    <row r="9719" spans="1:10" hidden="1" x14ac:dyDescent="0.25">
      <c r="A9719" s="84"/>
      <c r="B9719" s="84"/>
      <c r="C9719" s="84"/>
      <c r="D9719" s="84"/>
      <c r="E9719" s="878"/>
      <c r="F9719" s="84"/>
      <c r="G9719" s="84"/>
      <c r="H9719" s="84"/>
      <c r="I9719" s="84"/>
      <c r="J9719" s="84"/>
    </row>
    <row r="9720" spans="1:10" hidden="1" x14ac:dyDescent="0.25">
      <c r="A9720" s="84"/>
      <c r="B9720" s="84"/>
      <c r="C9720" s="84"/>
      <c r="D9720" s="84"/>
      <c r="E9720" s="878"/>
      <c r="F9720" s="84"/>
      <c r="G9720" s="84"/>
      <c r="H9720" s="84"/>
      <c r="I9720" s="84"/>
      <c r="J9720" s="84"/>
    </row>
    <row r="9721" spans="1:10" hidden="1" x14ac:dyDescent="0.25">
      <c r="A9721" s="84"/>
      <c r="B9721" s="84"/>
      <c r="C9721" s="84"/>
      <c r="D9721" s="84"/>
      <c r="E9721" s="878"/>
      <c r="F9721" s="84"/>
      <c r="G9721" s="84"/>
      <c r="H9721" s="84"/>
      <c r="I9721" s="84"/>
      <c r="J9721" s="84"/>
    </row>
    <row r="9722" spans="1:10" hidden="1" x14ac:dyDescent="0.25">
      <c r="A9722" s="84"/>
      <c r="B9722" s="84"/>
      <c r="C9722" s="84"/>
      <c r="D9722" s="84"/>
      <c r="E9722" s="878"/>
      <c r="F9722" s="84"/>
      <c r="G9722" s="84"/>
      <c r="H9722" s="84"/>
      <c r="I9722" s="84"/>
      <c r="J9722" s="84"/>
    </row>
    <row r="9723" spans="1:10" hidden="1" x14ac:dyDescent="0.25">
      <c r="A9723" s="84"/>
      <c r="B9723" s="84"/>
      <c r="C9723" s="84"/>
      <c r="D9723" s="84"/>
      <c r="E9723" s="878"/>
      <c r="F9723" s="84"/>
      <c r="G9723" s="84"/>
      <c r="H9723" s="84"/>
      <c r="I9723" s="84"/>
      <c r="J9723" s="84"/>
    </row>
    <row r="9724" spans="1:10" hidden="1" x14ac:dyDescent="0.25">
      <c r="A9724" s="84"/>
      <c r="B9724" s="84"/>
      <c r="C9724" s="84"/>
      <c r="D9724" s="84"/>
      <c r="E9724" s="878"/>
      <c r="F9724" s="84"/>
      <c r="G9724" s="84"/>
      <c r="H9724" s="84"/>
      <c r="I9724" s="84"/>
      <c r="J9724" s="84"/>
    </row>
    <row r="9725" spans="1:10" hidden="1" x14ac:dyDescent="0.25">
      <c r="A9725" s="84"/>
      <c r="B9725" s="84"/>
      <c r="C9725" s="84"/>
      <c r="D9725" s="84"/>
      <c r="E9725" s="878"/>
      <c r="F9725" s="84"/>
      <c r="G9725" s="84"/>
      <c r="H9725" s="84"/>
      <c r="I9725" s="84"/>
      <c r="J9725" s="84"/>
    </row>
    <row r="9726" spans="1:10" hidden="1" x14ac:dyDescent="0.25">
      <c r="A9726" s="84"/>
      <c r="B9726" s="84"/>
      <c r="C9726" s="84"/>
      <c r="D9726" s="84"/>
      <c r="E9726" s="878"/>
      <c r="F9726" s="84"/>
      <c r="G9726" s="84"/>
      <c r="H9726" s="84"/>
      <c r="I9726" s="84"/>
      <c r="J9726" s="84"/>
    </row>
    <row r="9727" spans="1:10" hidden="1" x14ac:dyDescent="0.25">
      <c r="A9727" s="84"/>
      <c r="B9727" s="84"/>
      <c r="C9727" s="84"/>
      <c r="D9727" s="84"/>
      <c r="E9727" s="878"/>
      <c r="F9727" s="84"/>
      <c r="G9727" s="84"/>
      <c r="H9727" s="84"/>
      <c r="I9727" s="84"/>
      <c r="J9727" s="84"/>
    </row>
    <row r="9728" spans="1:10" hidden="1" x14ac:dyDescent="0.25">
      <c r="A9728" s="84"/>
      <c r="B9728" s="84"/>
      <c r="C9728" s="84"/>
      <c r="D9728" s="84"/>
      <c r="E9728" s="878"/>
      <c r="F9728" s="84"/>
      <c r="G9728" s="84"/>
      <c r="H9728" s="84"/>
      <c r="I9728" s="84"/>
      <c r="J9728" s="84"/>
    </row>
    <row r="9729" spans="1:10" hidden="1" x14ac:dyDescent="0.25">
      <c r="A9729" s="84"/>
      <c r="B9729" s="84"/>
      <c r="C9729" s="84"/>
      <c r="D9729" s="84"/>
      <c r="E9729" s="878"/>
      <c r="F9729" s="84"/>
      <c r="G9729" s="84"/>
      <c r="H9729" s="84"/>
      <c r="I9729" s="84"/>
      <c r="J9729" s="84"/>
    </row>
    <row r="9730" spans="1:10" hidden="1" x14ac:dyDescent="0.25">
      <c r="A9730" s="84"/>
      <c r="B9730" s="84"/>
      <c r="C9730" s="84"/>
      <c r="D9730" s="84"/>
      <c r="E9730" s="878"/>
      <c r="F9730" s="84"/>
      <c r="G9730" s="84"/>
      <c r="H9730" s="84"/>
      <c r="I9730" s="84"/>
      <c r="J9730" s="84"/>
    </row>
    <row r="9731" spans="1:10" hidden="1" x14ac:dyDescent="0.25">
      <c r="A9731" s="84"/>
      <c r="B9731" s="84"/>
      <c r="C9731" s="84"/>
      <c r="D9731" s="84"/>
      <c r="E9731" s="878"/>
      <c r="F9731" s="84"/>
      <c r="G9731" s="84"/>
      <c r="H9731" s="84"/>
      <c r="I9731" s="84"/>
      <c r="J9731" s="84"/>
    </row>
    <row r="9732" spans="1:10" hidden="1" x14ac:dyDescent="0.25">
      <c r="A9732" s="84"/>
      <c r="B9732" s="84"/>
      <c r="C9732" s="84"/>
      <c r="D9732" s="84"/>
      <c r="E9732" s="878"/>
      <c r="F9732" s="84"/>
      <c r="G9732" s="84"/>
      <c r="H9732" s="84"/>
      <c r="I9732" s="84"/>
      <c r="J9732" s="84"/>
    </row>
    <row r="9733" spans="1:10" ht="19.5" hidden="1" customHeight="1" x14ac:dyDescent="0.25">
      <c r="A9733" s="84"/>
      <c r="B9733" s="84"/>
      <c r="C9733" s="84"/>
      <c r="D9733" s="84"/>
      <c r="E9733" s="878"/>
      <c r="F9733" s="84"/>
      <c r="G9733" s="84"/>
      <c r="H9733" s="84"/>
      <c r="I9733" s="84"/>
      <c r="J9733" s="84"/>
    </row>
    <row r="9734" spans="1:10" hidden="1" x14ac:dyDescent="0.25">
      <c r="A9734" s="84"/>
      <c r="B9734" s="84"/>
      <c r="C9734" s="84"/>
      <c r="D9734" s="84"/>
      <c r="E9734" s="878"/>
      <c r="F9734" s="84"/>
      <c r="G9734" s="84"/>
      <c r="H9734" s="84"/>
      <c r="I9734" s="84"/>
      <c r="J9734" s="84"/>
    </row>
    <row r="9735" spans="1:10" hidden="1" x14ac:dyDescent="0.25">
      <c r="A9735" s="84"/>
      <c r="B9735" s="84"/>
      <c r="C9735" s="84"/>
      <c r="D9735" s="84"/>
      <c r="E9735" s="878"/>
      <c r="F9735" s="84"/>
      <c r="G9735" s="84"/>
      <c r="H9735" s="84"/>
      <c r="I9735" s="84"/>
      <c r="J9735" s="84"/>
    </row>
    <row r="9736" spans="1:10" hidden="1" x14ac:dyDescent="0.25">
      <c r="A9736" s="84"/>
      <c r="B9736" s="84"/>
      <c r="C9736" s="84"/>
      <c r="D9736" s="84"/>
      <c r="E9736" s="878"/>
      <c r="F9736" s="84"/>
      <c r="G9736" s="84"/>
      <c r="H9736" s="84"/>
      <c r="I9736" s="84"/>
      <c r="J9736" s="84"/>
    </row>
    <row r="9737" spans="1:10" hidden="1" x14ac:dyDescent="0.25">
      <c r="A9737" s="84"/>
      <c r="B9737" s="84"/>
      <c r="C9737" s="84"/>
      <c r="D9737" s="84"/>
      <c r="E9737" s="878"/>
      <c r="F9737" s="84"/>
      <c r="G9737" s="84"/>
      <c r="H9737" s="84"/>
      <c r="I9737" s="84"/>
      <c r="J9737" s="84"/>
    </row>
    <row r="9738" spans="1:10" hidden="1" x14ac:dyDescent="0.25">
      <c r="A9738" s="84"/>
      <c r="B9738" s="84"/>
      <c r="C9738" s="84"/>
      <c r="D9738" s="84"/>
      <c r="E9738" s="878"/>
      <c r="F9738" s="84"/>
      <c r="G9738" s="84"/>
      <c r="H9738" s="84"/>
      <c r="I9738" s="84"/>
      <c r="J9738" s="84"/>
    </row>
    <row r="9739" spans="1:10" hidden="1" x14ac:dyDescent="0.25">
      <c r="A9739" s="84"/>
      <c r="B9739" s="84"/>
      <c r="C9739" s="84"/>
      <c r="D9739" s="84"/>
      <c r="E9739" s="878"/>
      <c r="F9739" s="84"/>
      <c r="G9739" s="84"/>
      <c r="H9739" s="84"/>
      <c r="I9739" s="84"/>
      <c r="J9739" s="84"/>
    </row>
    <row r="9740" spans="1:10" hidden="1" x14ac:dyDescent="0.25">
      <c r="A9740" s="84"/>
      <c r="B9740" s="84"/>
      <c r="C9740" s="84"/>
      <c r="D9740" s="84"/>
      <c r="E9740" s="878"/>
      <c r="F9740" s="84"/>
      <c r="G9740" s="84"/>
      <c r="H9740" s="84"/>
      <c r="I9740" s="84"/>
      <c r="J9740" s="84"/>
    </row>
    <row r="9741" spans="1:10" hidden="1" x14ac:dyDescent="0.25">
      <c r="A9741" s="84"/>
      <c r="B9741" s="84"/>
      <c r="C9741" s="84"/>
      <c r="D9741" s="84"/>
      <c r="E9741" s="878"/>
      <c r="F9741" s="84"/>
      <c r="G9741" s="84"/>
      <c r="H9741" s="84"/>
      <c r="I9741" s="84"/>
      <c r="J9741" s="84"/>
    </row>
    <row r="9742" spans="1:10" hidden="1" x14ac:dyDescent="0.25">
      <c r="A9742" s="84"/>
      <c r="B9742" s="84"/>
      <c r="C9742" s="84"/>
      <c r="D9742" s="84"/>
      <c r="E9742" s="878"/>
      <c r="F9742" s="84"/>
      <c r="G9742" s="84"/>
      <c r="H9742" s="84"/>
      <c r="I9742" s="84"/>
      <c r="J9742" s="84"/>
    </row>
    <row r="9743" spans="1:10" hidden="1" x14ac:dyDescent="0.25">
      <c r="A9743" s="84"/>
      <c r="B9743" s="84"/>
      <c r="C9743" s="84"/>
      <c r="D9743" s="84"/>
      <c r="E9743" s="878"/>
      <c r="F9743" s="84"/>
      <c r="G9743" s="84"/>
      <c r="H9743" s="84"/>
      <c r="I9743" s="84"/>
      <c r="J9743" s="84"/>
    </row>
    <row r="9744" spans="1:10" hidden="1" x14ac:dyDescent="0.25">
      <c r="A9744" s="84"/>
      <c r="B9744" s="84"/>
      <c r="C9744" s="84"/>
      <c r="D9744" s="84"/>
      <c r="E9744" s="878"/>
      <c r="F9744" s="84"/>
      <c r="G9744" s="84"/>
      <c r="H9744" s="84"/>
      <c r="I9744" s="84"/>
      <c r="J9744" s="84"/>
    </row>
    <row r="9745" spans="1:10" hidden="1" x14ac:dyDescent="0.25">
      <c r="A9745" s="84"/>
      <c r="B9745" s="84"/>
      <c r="C9745" s="84"/>
      <c r="D9745" s="84"/>
      <c r="E9745" s="878"/>
      <c r="F9745" s="84"/>
      <c r="G9745" s="84"/>
      <c r="H9745" s="84"/>
      <c r="I9745" s="84"/>
      <c r="J9745" s="84"/>
    </row>
    <row r="9746" spans="1:10" hidden="1" x14ac:dyDescent="0.25">
      <c r="A9746" s="84"/>
      <c r="B9746" s="84"/>
      <c r="C9746" s="84"/>
      <c r="D9746" s="84"/>
      <c r="E9746" s="878"/>
      <c r="F9746" s="84"/>
      <c r="G9746" s="84"/>
      <c r="H9746" s="84"/>
      <c r="I9746" s="84"/>
      <c r="J9746" s="84"/>
    </row>
    <row r="9747" spans="1:10" hidden="1" x14ac:dyDescent="0.25">
      <c r="A9747" s="84"/>
      <c r="B9747" s="84"/>
      <c r="C9747" s="84"/>
      <c r="D9747" s="84"/>
      <c r="E9747" s="878"/>
      <c r="F9747" s="84"/>
      <c r="G9747" s="84"/>
      <c r="H9747" s="84"/>
      <c r="I9747" s="84"/>
      <c r="J9747" s="84"/>
    </row>
    <row r="9748" spans="1:10" hidden="1" x14ac:dyDescent="0.25">
      <c r="A9748" s="84"/>
      <c r="B9748" s="84"/>
      <c r="C9748" s="84"/>
      <c r="D9748" s="84"/>
      <c r="E9748" s="878"/>
      <c r="F9748" s="84"/>
      <c r="G9748" s="84"/>
      <c r="H9748" s="84"/>
      <c r="I9748" s="84"/>
      <c r="J9748" s="84"/>
    </row>
    <row r="9749" spans="1:10" hidden="1" x14ac:dyDescent="0.25">
      <c r="A9749" s="84"/>
      <c r="B9749" s="84"/>
      <c r="C9749" s="84"/>
      <c r="D9749" s="84"/>
      <c r="E9749" s="878"/>
      <c r="F9749" s="84"/>
      <c r="G9749" s="84"/>
      <c r="H9749" s="84"/>
      <c r="I9749" s="84"/>
      <c r="J9749" s="84"/>
    </row>
    <row r="9750" spans="1:10" hidden="1" x14ac:dyDescent="0.25">
      <c r="A9750" s="84"/>
      <c r="B9750" s="84"/>
      <c r="C9750" s="84"/>
      <c r="D9750" s="84"/>
      <c r="E9750" s="878"/>
      <c r="F9750" s="84"/>
      <c r="G9750" s="84"/>
      <c r="H9750" s="84"/>
      <c r="I9750" s="84"/>
      <c r="J9750" s="84"/>
    </row>
    <row r="9751" spans="1:10" hidden="1" x14ac:dyDescent="0.25">
      <c r="A9751" s="84"/>
      <c r="B9751" s="84"/>
      <c r="C9751" s="84"/>
      <c r="D9751" s="84"/>
      <c r="E9751" s="878"/>
      <c r="F9751" s="84"/>
      <c r="G9751" s="84"/>
      <c r="H9751" s="84"/>
      <c r="I9751" s="84"/>
      <c r="J9751" s="84"/>
    </row>
    <row r="9752" spans="1:10" hidden="1" x14ac:dyDescent="0.25">
      <c r="A9752" s="84"/>
      <c r="B9752" s="84"/>
      <c r="C9752" s="84"/>
      <c r="D9752" s="84"/>
      <c r="E9752" s="878"/>
      <c r="F9752" s="84"/>
      <c r="G9752" s="84"/>
      <c r="H9752" s="84"/>
      <c r="I9752" s="84"/>
      <c r="J9752" s="84"/>
    </row>
    <row r="9753" spans="1:10" hidden="1" x14ac:dyDescent="0.25">
      <c r="A9753" s="84"/>
      <c r="B9753" s="84"/>
      <c r="C9753" s="84"/>
      <c r="D9753" s="84"/>
      <c r="E9753" s="878"/>
      <c r="F9753" s="84"/>
      <c r="G9753" s="84"/>
      <c r="H9753" s="84"/>
      <c r="I9753" s="84"/>
      <c r="J9753" s="84"/>
    </row>
    <row r="9754" spans="1:10" hidden="1" x14ac:dyDescent="0.25">
      <c r="A9754" s="84"/>
      <c r="B9754" s="84"/>
      <c r="C9754" s="84"/>
      <c r="D9754" s="84"/>
      <c r="E9754" s="878"/>
      <c r="F9754" s="84"/>
      <c r="G9754" s="84"/>
      <c r="H9754" s="84"/>
      <c r="I9754" s="84"/>
      <c r="J9754" s="84"/>
    </row>
    <row r="9755" spans="1:10" hidden="1" x14ac:dyDescent="0.25">
      <c r="A9755" s="84"/>
      <c r="B9755" s="84"/>
      <c r="C9755" s="84"/>
      <c r="D9755" s="84"/>
      <c r="E9755" s="878"/>
      <c r="F9755" s="84"/>
      <c r="G9755" s="84"/>
      <c r="H9755" s="84"/>
      <c r="I9755" s="84"/>
      <c r="J9755" s="84"/>
    </row>
    <row r="9756" spans="1:10" hidden="1" x14ac:dyDescent="0.25">
      <c r="A9756" s="84"/>
      <c r="B9756" s="84"/>
      <c r="C9756" s="84"/>
      <c r="D9756" s="84"/>
      <c r="E9756" s="878"/>
      <c r="F9756" s="84"/>
      <c r="G9756" s="84"/>
      <c r="H9756" s="84"/>
      <c r="I9756" s="84"/>
      <c r="J9756" s="84"/>
    </row>
    <row r="9757" spans="1:10" hidden="1" x14ac:dyDescent="0.25">
      <c r="A9757" s="84"/>
      <c r="B9757" s="84"/>
      <c r="C9757" s="84"/>
      <c r="D9757" s="84"/>
      <c r="E9757" s="878"/>
      <c r="F9757" s="84"/>
      <c r="G9757" s="84"/>
      <c r="H9757" s="84"/>
      <c r="I9757" s="84"/>
      <c r="J9757" s="84"/>
    </row>
    <row r="9758" spans="1:10" hidden="1" x14ac:dyDescent="0.25">
      <c r="A9758" s="84"/>
      <c r="B9758" s="84"/>
      <c r="C9758" s="84"/>
      <c r="D9758" s="84"/>
      <c r="E9758" s="878"/>
      <c r="F9758" s="84"/>
      <c r="G9758" s="84"/>
      <c r="H9758" s="84"/>
      <c r="I9758" s="84"/>
      <c r="J9758" s="84"/>
    </row>
    <row r="9759" spans="1:10" hidden="1" x14ac:dyDescent="0.25">
      <c r="A9759" s="84"/>
      <c r="B9759" s="84"/>
      <c r="C9759" s="84"/>
      <c r="D9759" s="84"/>
      <c r="E9759" s="878"/>
      <c r="F9759" s="84"/>
      <c r="G9759" s="84"/>
      <c r="H9759" s="84"/>
      <c r="I9759" s="84"/>
      <c r="J9759" s="84"/>
    </row>
    <row r="9760" spans="1:10" hidden="1" x14ac:dyDescent="0.25">
      <c r="A9760" s="84"/>
      <c r="B9760" s="84"/>
      <c r="C9760" s="84"/>
      <c r="D9760" s="84"/>
      <c r="E9760" s="878"/>
      <c r="F9760" s="84"/>
      <c r="G9760" s="84"/>
      <c r="H9760" s="84"/>
      <c r="I9760" s="84"/>
      <c r="J9760" s="84"/>
    </row>
    <row r="9761" spans="1:10" hidden="1" x14ac:dyDescent="0.25">
      <c r="A9761" s="84"/>
      <c r="B9761" s="84"/>
      <c r="C9761" s="84"/>
      <c r="D9761" s="84"/>
      <c r="E9761" s="878"/>
      <c r="F9761" s="84"/>
      <c r="G9761" s="84"/>
      <c r="H9761" s="84"/>
      <c r="I9761" s="84"/>
      <c r="J9761" s="84"/>
    </row>
    <row r="9762" spans="1:10" hidden="1" x14ac:dyDescent="0.25">
      <c r="A9762" s="84"/>
      <c r="B9762" s="84"/>
      <c r="C9762" s="84"/>
      <c r="D9762" s="84"/>
      <c r="E9762" s="878"/>
      <c r="F9762" s="84"/>
      <c r="G9762" s="84"/>
      <c r="H9762" s="84"/>
      <c r="I9762" s="84"/>
      <c r="J9762" s="84"/>
    </row>
    <row r="9763" spans="1:10" hidden="1" x14ac:dyDescent="0.25">
      <c r="A9763" s="84"/>
      <c r="B9763" s="84"/>
      <c r="C9763" s="84"/>
      <c r="D9763" s="84"/>
      <c r="E9763" s="878"/>
      <c r="F9763" s="84"/>
      <c r="G9763" s="84"/>
      <c r="H9763" s="84"/>
      <c r="I9763" s="84"/>
      <c r="J9763" s="84"/>
    </row>
    <row r="9764" spans="1:10" hidden="1" x14ac:dyDescent="0.25">
      <c r="A9764" s="84"/>
      <c r="B9764" s="84"/>
      <c r="C9764" s="84"/>
      <c r="D9764" s="84"/>
      <c r="E9764" s="878"/>
      <c r="F9764" s="84"/>
      <c r="G9764" s="84"/>
      <c r="H9764" s="84"/>
      <c r="I9764" s="84"/>
      <c r="J9764" s="84"/>
    </row>
    <row r="9765" spans="1:10" hidden="1" x14ac:dyDescent="0.25">
      <c r="A9765" s="84"/>
      <c r="B9765" s="84"/>
      <c r="C9765" s="84"/>
      <c r="D9765" s="84"/>
      <c r="E9765" s="878"/>
      <c r="F9765" s="84"/>
      <c r="G9765" s="84"/>
      <c r="H9765" s="84"/>
      <c r="I9765" s="84"/>
      <c r="J9765" s="84"/>
    </row>
    <row r="9766" spans="1:10" hidden="1" x14ac:dyDescent="0.25">
      <c r="A9766" s="84"/>
      <c r="B9766" s="84"/>
      <c r="C9766" s="84"/>
      <c r="D9766" s="84"/>
      <c r="E9766" s="878"/>
      <c r="F9766" s="84"/>
      <c r="G9766" s="84"/>
      <c r="H9766" s="84"/>
      <c r="I9766" s="84"/>
      <c r="J9766" s="84"/>
    </row>
    <row r="9767" spans="1:10" hidden="1" x14ac:dyDescent="0.25">
      <c r="A9767" s="84"/>
      <c r="B9767" s="84"/>
      <c r="C9767" s="84"/>
      <c r="D9767" s="84"/>
      <c r="E9767" s="878"/>
      <c r="F9767" s="84"/>
      <c r="G9767" s="84"/>
      <c r="H9767" s="84"/>
      <c r="I9767" s="84"/>
      <c r="J9767" s="84"/>
    </row>
    <row r="9768" spans="1:10" hidden="1" x14ac:dyDescent="0.25">
      <c r="A9768" s="84"/>
      <c r="B9768" s="84"/>
      <c r="C9768" s="84"/>
      <c r="D9768" s="84"/>
      <c r="E9768" s="878"/>
      <c r="F9768" s="84"/>
      <c r="G9768" s="84"/>
      <c r="H9768" s="84"/>
      <c r="I9768" s="84"/>
      <c r="J9768" s="84"/>
    </row>
    <row r="9769" spans="1:10" hidden="1" x14ac:dyDescent="0.25">
      <c r="A9769" s="84"/>
      <c r="B9769" s="84"/>
      <c r="C9769" s="84"/>
      <c r="D9769" s="84"/>
      <c r="E9769" s="878"/>
      <c r="F9769" s="84"/>
      <c r="G9769" s="84"/>
      <c r="H9769" s="84"/>
      <c r="I9769" s="84"/>
      <c r="J9769" s="84"/>
    </row>
    <row r="9770" spans="1:10" hidden="1" x14ac:dyDescent="0.25">
      <c r="A9770" s="84"/>
      <c r="B9770" s="84"/>
      <c r="C9770" s="84"/>
      <c r="D9770" s="84"/>
      <c r="E9770" s="878"/>
      <c r="F9770" s="84"/>
      <c r="G9770" s="84"/>
      <c r="H9770" s="84"/>
      <c r="I9770" s="84"/>
      <c r="J9770" s="84"/>
    </row>
    <row r="9771" spans="1:10" hidden="1" x14ac:dyDescent="0.25">
      <c r="A9771" s="84"/>
      <c r="B9771" s="84"/>
      <c r="C9771" s="84"/>
      <c r="D9771" s="84"/>
      <c r="E9771" s="878"/>
      <c r="F9771" s="84"/>
      <c r="G9771" s="84"/>
      <c r="H9771" s="84"/>
      <c r="I9771" s="84"/>
      <c r="J9771" s="84"/>
    </row>
    <row r="9772" spans="1:10" hidden="1" x14ac:dyDescent="0.25">
      <c r="A9772" s="84"/>
      <c r="B9772" s="84"/>
      <c r="C9772" s="84"/>
      <c r="D9772" s="84"/>
      <c r="E9772" s="878"/>
      <c r="F9772" s="84"/>
      <c r="G9772" s="84"/>
      <c r="H9772" s="84"/>
      <c r="I9772" s="84"/>
      <c r="J9772" s="84"/>
    </row>
    <row r="9773" spans="1:10" hidden="1" x14ac:dyDescent="0.25">
      <c r="A9773" s="84"/>
      <c r="B9773" s="84"/>
      <c r="C9773" s="84"/>
      <c r="D9773" s="84"/>
      <c r="E9773" s="878"/>
      <c r="F9773" s="84"/>
      <c r="G9773" s="84"/>
      <c r="H9773" s="84"/>
      <c r="I9773" s="84"/>
      <c r="J9773" s="84"/>
    </row>
    <row r="9774" spans="1:10" hidden="1" x14ac:dyDescent="0.25">
      <c r="A9774" s="84"/>
      <c r="B9774" s="84"/>
      <c r="C9774" s="84"/>
      <c r="D9774" s="84"/>
      <c r="E9774" s="878"/>
      <c r="F9774" s="84"/>
      <c r="G9774" s="84"/>
      <c r="H9774" s="84"/>
      <c r="I9774" s="84"/>
      <c r="J9774" s="84"/>
    </row>
    <row r="9775" spans="1:10" hidden="1" x14ac:dyDescent="0.25">
      <c r="A9775" s="84"/>
      <c r="B9775" s="84"/>
      <c r="C9775" s="84"/>
      <c r="D9775" s="84"/>
      <c r="E9775" s="878"/>
      <c r="F9775" s="84"/>
      <c r="G9775" s="84"/>
      <c r="H9775" s="84"/>
      <c r="I9775" s="84"/>
      <c r="J9775" s="84"/>
    </row>
    <row r="9776" spans="1:10" hidden="1" x14ac:dyDescent="0.25">
      <c r="A9776" s="84"/>
      <c r="B9776" s="84"/>
      <c r="C9776" s="84"/>
      <c r="D9776" s="84"/>
      <c r="E9776" s="878"/>
      <c r="F9776" s="84"/>
      <c r="G9776" s="84"/>
      <c r="H9776" s="84"/>
      <c r="I9776" s="84"/>
      <c r="J9776" s="84"/>
    </row>
    <row r="9777" spans="1:10" hidden="1" x14ac:dyDescent="0.25">
      <c r="A9777" s="84"/>
      <c r="B9777" s="84"/>
      <c r="C9777" s="84"/>
      <c r="D9777" s="84"/>
      <c r="E9777" s="878"/>
      <c r="F9777" s="84"/>
      <c r="G9777" s="84"/>
      <c r="H9777" s="84"/>
      <c r="I9777" s="84"/>
      <c r="J9777" s="84"/>
    </row>
    <row r="9778" spans="1:10" hidden="1" x14ac:dyDescent="0.25">
      <c r="A9778" s="84"/>
      <c r="B9778" s="84"/>
      <c r="C9778" s="84"/>
      <c r="D9778" s="84"/>
      <c r="E9778" s="878"/>
      <c r="F9778" s="84"/>
      <c r="G9778" s="84"/>
      <c r="H9778" s="84"/>
      <c r="I9778" s="84"/>
      <c r="J9778" s="84"/>
    </row>
    <row r="9779" spans="1:10" hidden="1" x14ac:dyDescent="0.25">
      <c r="A9779" s="84"/>
      <c r="B9779" s="84"/>
      <c r="C9779" s="84"/>
      <c r="D9779" s="84"/>
      <c r="E9779" s="878"/>
      <c r="F9779" s="84"/>
      <c r="G9779" s="84"/>
      <c r="H9779" s="84"/>
      <c r="I9779" s="84"/>
      <c r="J9779" s="84"/>
    </row>
    <row r="9780" spans="1:10" hidden="1" x14ac:dyDescent="0.25">
      <c r="A9780" s="84"/>
      <c r="B9780" s="84"/>
      <c r="C9780" s="84"/>
      <c r="D9780" s="84"/>
      <c r="E9780" s="878"/>
      <c r="F9780" s="84"/>
      <c r="G9780" s="84"/>
      <c r="H9780" s="84"/>
      <c r="I9780" s="84"/>
      <c r="J9780" s="84"/>
    </row>
    <row r="9781" spans="1:10" hidden="1" x14ac:dyDescent="0.25">
      <c r="A9781" s="84"/>
      <c r="B9781" s="84"/>
      <c r="C9781" s="84"/>
      <c r="D9781" s="84"/>
      <c r="E9781" s="878"/>
      <c r="F9781" s="84"/>
      <c r="G9781" s="84"/>
      <c r="H9781" s="84"/>
      <c r="I9781" s="84"/>
      <c r="J9781" s="84"/>
    </row>
    <row r="9782" spans="1:10" hidden="1" x14ac:dyDescent="0.25">
      <c r="A9782" s="84"/>
      <c r="B9782" s="84"/>
      <c r="C9782" s="84"/>
      <c r="D9782" s="84"/>
      <c r="E9782" s="878"/>
      <c r="F9782" s="84"/>
      <c r="G9782" s="84"/>
      <c r="H9782" s="84"/>
      <c r="I9782" s="84"/>
      <c r="J9782" s="84"/>
    </row>
    <row r="9783" spans="1:10" hidden="1" x14ac:dyDescent="0.25">
      <c r="A9783" s="84"/>
      <c r="B9783" s="84"/>
      <c r="C9783" s="84"/>
      <c r="D9783" s="84"/>
      <c r="E9783" s="878"/>
      <c r="F9783" s="84"/>
      <c r="G9783" s="84"/>
      <c r="H9783" s="84"/>
      <c r="I9783" s="84"/>
      <c r="J9783" s="84"/>
    </row>
    <row r="9784" spans="1:10" hidden="1" x14ac:dyDescent="0.25">
      <c r="A9784" s="84"/>
      <c r="B9784" s="84"/>
      <c r="C9784" s="84"/>
      <c r="D9784" s="84"/>
      <c r="E9784" s="878"/>
      <c r="F9784" s="84"/>
      <c r="G9784" s="84"/>
      <c r="H9784" s="84"/>
      <c r="I9784" s="84"/>
      <c r="J9784" s="84"/>
    </row>
    <row r="9785" spans="1:10" hidden="1" x14ac:dyDescent="0.25">
      <c r="A9785" s="84"/>
      <c r="B9785" s="84"/>
      <c r="C9785" s="84"/>
      <c r="D9785" s="84"/>
      <c r="E9785" s="878"/>
      <c r="F9785" s="84"/>
      <c r="G9785" s="84"/>
      <c r="H9785" s="84"/>
      <c r="I9785" s="84"/>
      <c r="J9785" s="84"/>
    </row>
    <row r="9786" spans="1:10" hidden="1" x14ac:dyDescent="0.25">
      <c r="A9786" s="84"/>
      <c r="B9786" s="84"/>
      <c r="C9786" s="84"/>
      <c r="D9786" s="84"/>
      <c r="E9786" s="878"/>
      <c r="F9786" s="84"/>
      <c r="G9786" s="84"/>
      <c r="H9786" s="84"/>
      <c r="I9786" s="84"/>
      <c r="J9786" s="84"/>
    </row>
    <row r="9787" spans="1:10" hidden="1" collapsed="1" x14ac:dyDescent="0.25">
      <c r="A9787" s="84"/>
      <c r="B9787" s="84"/>
      <c r="C9787" s="84"/>
      <c r="D9787" s="84"/>
      <c r="E9787" s="878"/>
      <c r="F9787" s="84"/>
      <c r="G9787" s="84"/>
      <c r="H9787" s="84"/>
      <c r="I9787" s="84"/>
      <c r="J9787" s="84"/>
    </row>
    <row r="9788" spans="1:10" hidden="1" x14ac:dyDescent="0.25">
      <c r="A9788" s="84"/>
      <c r="B9788" s="84"/>
      <c r="C9788" s="84"/>
      <c r="D9788" s="84"/>
      <c r="E9788" s="878"/>
      <c r="F9788" s="84"/>
      <c r="G9788" s="84"/>
      <c r="H9788" s="84"/>
      <c r="I9788" s="84"/>
      <c r="J9788" s="84"/>
    </row>
    <row r="9789" spans="1:10" hidden="1" x14ac:dyDescent="0.25">
      <c r="A9789" s="84"/>
      <c r="B9789" s="84"/>
      <c r="C9789" s="84"/>
      <c r="D9789" s="84"/>
      <c r="E9789" s="878"/>
      <c r="F9789" s="84"/>
      <c r="G9789" s="84"/>
      <c r="H9789" s="84"/>
      <c r="I9789" s="84"/>
      <c r="J9789" s="84"/>
    </row>
    <row r="9790" spans="1:10" hidden="1" x14ac:dyDescent="0.25">
      <c r="A9790" s="84"/>
      <c r="B9790" s="84"/>
      <c r="C9790" s="84"/>
      <c r="D9790" s="84"/>
      <c r="E9790" s="878"/>
      <c r="F9790" s="84"/>
      <c r="G9790" s="84"/>
      <c r="H9790" s="84"/>
      <c r="I9790" s="84"/>
      <c r="J9790" s="84"/>
    </row>
    <row r="9791" spans="1:10" hidden="1" x14ac:dyDescent="0.25">
      <c r="A9791" s="84"/>
      <c r="B9791" s="84"/>
      <c r="C9791" s="84"/>
      <c r="D9791" s="84"/>
      <c r="E9791" s="878"/>
      <c r="F9791" s="84"/>
      <c r="G9791" s="84"/>
      <c r="H9791" s="84"/>
      <c r="I9791" s="84"/>
      <c r="J9791" s="84"/>
    </row>
    <row r="9792" spans="1:10" hidden="1" x14ac:dyDescent="0.25">
      <c r="A9792" s="84"/>
      <c r="B9792" s="84"/>
      <c r="C9792" s="84"/>
      <c r="D9792" s="84"/>
      <c r="E9792" s="878"/>
      <c r="F9792" s="84"/>
      <c r="G9792" s="84"/>
      <c r="H9792" s="84"/>
      <c r="I9792" s="84"/>
      <c r="J9792" s="84"/>
    </row>
    <row r="9793" spans="1:25" hidden="1" x14ac:dyDescent="0.25">
      <c r="A9793" s="84"/>
      <c r="B9793" s="84"/>
      <c r="C9793" s="84"/>
      <c r="D9793" s="84"/>
      <c r="E9793" s="878"/>
      <c r="F9793" s="84"/>
      <c r="G9793" s="84"/>
      <c r="H9793" s="84"/>
      <c r="I9793" s="84"/>
      <c r="J9793" s="84"/>
    </row>
    <row r="9794" spans="1:25" hidden="1" x14ac:dyDescent="0.25">
      <c r="A9794" s="84"/>
      <c r="B9794" s="84"/>
      <c r="C9794" s="84"/>
      <c r="D9794" s="84"/>
      <c r="E9794" s="878"/>
      <c r="F9794" s="84"/>
      <c r="G9794" s="84"/>
      <c r="H9794" s="84"/>
      <c r="I9794" s="84"/>
      <c r="J9794" s="84"/>
    </row>
    <row r="9795" spans="1:25" hidden="1" x14ac:dyDescent="0.25">
      <c r="A9795" s="84"/>
      <c r="B9795" s="84"/>
      <c r="C9795" s="84"/>
      <c r="D9795" s="84"/>
      <c r="E9795" s="878"/>
      <c r="F9795" s="84"/>
      <c r="G9795" s="84"/>
      <c r="H9795" s="84"/>
      <c r="I9795" s="84"/>
      <c r="J9795" s="84"/>
    </row>
    <row r="9796" spans="1:25" hidden="1" x14ac:dyDescent="0.25">
      <c r="A9796" s="84"/>
      <c r="B9796" s="84"/>
      <c r="C9796" s="84"/>
      <c r="D9796" s="84"/>
      <c r="E9796" s="878"/>
      <c r="F9796" s="84"/>
      <c r="G9796" s="84"/>
      <c r="H9796" s="84"/>
      <c r="I9796" s="84"/>
      <c r="J9796" s="84"/>
    </row>
    <row r="9797" spans="1:25" hidden="1" x14ac:dyDescent="0.25">
      <c r="A9797" s="84"/>
      <c r="B9797" s="84"/>
      <c r="C9797" s="84"/>
      <c r="D9797" s="84"/>
      <c r="E9797" s="878"/>
      <c r="F9797" s="84"/>
      <c r="G9797" s="84"/>
      <c r="H9797" s="84"/>
      <c r="I9797" s="84"/>
      <c r="J9797" s="84"/>
    </row>
    <row r="9798" spans="1:25" hidden="1" x14ac:dyDescent="0.25">
      <c r="A9798" s="84"/>
      <c r="B9798" s="84"/>
      <c r="C9798" s="84"/>
      <c r="D9798" s="84"/>
      <c r="E9798" s="878"/>
      <c r="F9798" s="84"/>
      <c r="G9798" s="84"/>
      <c r="H9798" s="84"/>
      <c r="I9798" s="84"/>
      <c r="J9798" s="84"/>
    </row>
    <row r="9799" spans="1:25" hidden="1" x14ac:dyDescent="0.25">
      <c r="A9799" s="84"/>
      <c r="B9799" s="84"/>
      <c r="C9799" s="84"/>
      <c r="D9799" s="84"/>
      <c r="E9799" s="878"/>
      <c r="F9799" s="84"/>
      <c r="G9799" s="84"/>
      <c r="H9799" s="84"/>
      <c r="I9799" s="84"/>
      <c r="J9799" s="84"/>
    </row>
    <row r="9800" spans="1:25" hidden="1" x14ac:dyDescent="0.25">
      <c r="A9800" s="84"/>
      <c r="B9800" s="84"/>
      <c r="C9800" s="84"/>
      <c r="D9800" s="84"/>
      <c r="E9800" s="878"/>
      <c r="F9800" s="84"/>
      <c r="G9800" s="84"/>
      <c r="H9800" s="84"/>
      <c r="I9800" s="84"/>
      <c r="J9800" s="84"/>
    </row>
    <row r="9801" spans="1:25" hidden="1" x14ac:dyDescent="0.25">
      <c r="A9801" s="84"/>
      <c r="B9801" s="84"/>
      <c r="C9801" s="84"/>
      <c r="D9801" s="84"/>
      <c r="E9801" s="878"/>
      <c r="F9801" s="84"/>
      <c r="G9801" s="84"/>
      <c r="H9801" s="84"/>
      <c r="I9801" s="84"/>
      <c r="J9801" s="84"/>
    </row>
    <row r="9802" spans="1:25" hidden="1" x14ac:dyDescent="0.25">
      <c r="A9802" s="84"/>
      <c r="B9802" s="84"/>
      <c r="C9802" s="84"/>
      <c r="D9802" s="84"/>
      <c r="E9802" s="878"/>
      <c r="F9802" s="84"/>
      <c r="G9802" s="84"/>
      <c r="H9802" s="84"/>
      <c r="I9802" s="84"/>
      <c r="J9802" s="84"/>
    </row>
    <row r="9803" spans="1:25" hidden="1" x14ac:dyDescent="0.25">
      <c r="A9803" s="84"/>
      <c r="B9803" s="84"/>
      <c r="C9803" s="84"/>
      <c r="D9803" s="84"/>
      <c r="E9803" s="878"/>
      <c r="F9803" s="84"/>
      <c r="G9803" s="84"/>
      <c r="H9803" s="84"/>
      <c r="I9803" s="84"/>
      <c r="J9803" s="84"/>
    </row>
    <row r="9804" spans="1:25" hidden="1" collapsed="1" x14ac:dyDescent="0.25">
      <c r="A9804" s="84"/>
      <c r="B9804" s="84"/>
      <c r="C9804" s="84"/>
      <c r="D9804" s="84"/>
      <c r="E9804" s="878"/>
      <c r="F9804" s="84"/>
      <c r="G9804" s="84"/>
      <c r="H9804" s="84"/>
      <c r="I9804" s="84"/>
      <c r="J9804" s="84"/>
    </row>
    <row r="9805" spans="1:25" hidden="1" x14ac:dyDescent="0.25">
      <c r="A9805" s="84"/>
    </row>
    <row r="9806" spans="1:25" s="88" customFormat="1" hidden="1" x14ac:dyDescent="0.25">
      <c r="A9806" s="258"/>
      <c r="E9806" s="877"/>
      <c r="K9806" s="505"/>
      <c r="L9806" s="505"/>
      <c r="M9806" s="505"/>
      <c r="N9806" s="505"/>
      <c r="O9806" s="505"/>
      <c r="P9806" s="505"/>
      <c r="Q9806" s="505"/>
      <c r="R9806" s="505"/>
      <c r="S9806" s="505"/>
      <c r="T9806" s="505"/>
      <c r="U9806" s="505"/>
      <c r="V9806" s="505"/>
      <c r="W9806" s="505"/>
      <c r="X9806" s="505"/>
      <c r="Y9806" s="505"/>
    </row>
    <row r="9807" spans="1:25" hidden="1" x14ac:dyDescent="0.25">
      <c r="A9807" s="88"/>
      <c r="B9807" s="84"/>
      <c r="C9807" s="84"/>
      <c r="D9807" s="84"/>
      <c r="E9807" s="878"/>
      <c r="F9807" s="84"/>
      <c r="G9807" s="84"/>
      <c r="H9807" s="84"/>
      <c r="I9807" s="84"/>
      <c r="J9807" s="84"/>
    </row>
    <row r="9808" spans="1:25" hidden="1" x14ac:dyDescent="0.25">
      <c r="A9808" s="84"/>
      <c r="B9808" s="84"/>
      <c r="C9808" s="84"/>
      <c r="D9808" s="84"/>
      <c r="E9808" s="878"/>
      <c r="F9808" s="84"/>
      <c r="G9808" s="84"/>
      <c r="H9808" s="84"/>
      <c r="I9808" s="84"/>
      <c r="J9808" s="84"/>
    </row>
    <row r="9809" spans="1:10" hidden="1" x14ac:dyDescent="0.25">
      <c r="A9809" s="84"/>
      <c r="B9809" s="84"/>
      <c r="C9809" s="84"/>
      <c r="D9809" s="84"/>
      <c r="E9809" s="878"/>
      <c r="F9809" s="84"/>
      <c r="G9809" s="84"/>
      <c r="H9809" s="84"/>
      <c r="I9809" s="84"/>
      <c r="J9809" s="84"/>
    </row>
    <row r="9810" spans="1:10" hidden="1" x14ac:dyDescent="0.25">
      <c r="A9810" s="84"/>
      <c r="B9810" s="84"/>
      <c r="C9810" s="84"/>
      <c r="D9810" s="84"/>
      <c r="E9810" s="878"/>
      <c r="F9810" s="84"/>
      <c r="G9810" s="84"/>
      <c r="H9810" s="84"/>
      <c r="I9810" s="84"/>
      <c r="J9810" s="84"/>
    </row>
    <row r="9811" spans="1:10" hidden="1" x14ac:dyDescent="0.25">
      <c r="A9811" s="84"/>
      <c r="B9811" s="84"/>
      <c r="C9811" s="84"/>
      <c r="D9811" s="84"/>
      <c r="E9811" s="878"/>
      <c r="F9811" s="84"/>
      <c r="G9811" s="84"/>
      <c r="H9811" s="84"/>
      <c r="I9811" s="84"/>
      <c r="J9811" s="84"/>
    </row>
    <row r="9812" spans="1:10" hidden="1" x14ac:dyDescent="0.25">
      <c r="A9812" s="84"/>
      <c r="B9812" s="84"/>
      <c r="C9812" s="84"/>
      <c r="D9812" s="84"/>
      <c r="E9812" s="878"/>
      <c r="F9812" s="84"/>
      <c r="G9812" s="84"/>
      <c r="H9812" s="84"/>
      <c r="I9812" s="84"/>
      <c r="J9812" s="84"/>
    </row>
    <row r="9813" spans="1:10" hidden="1" x14ac:dyDescent="0.25">
      <c r="A9813" s="84"/>
      <c r="B9813" s="84"/>
      <c r="C9813" s="84"/>
      <c r="D9813" s="84"/>
      <c r="E9813" s="878"/>
      <c r="F9813" s="84"/>
      <c r="G9813" s="84"/>
      <c r="H9813" s="84"/>
      <c r="I9813" s="84"/>
      <c r="J9813" s="84"/>
    </row>
    <row r="9814" spans="1:10" hidden="1" x14ac:dyDescent="0.25">
      <c r="A9814" s="84"/>
      <c r="B9814" s="84"/>
      <c r="C9814" s="84"/>
      <c r="D9814" s="84"/>
      <c r="E9814" s="878"/>
      <c r="F9814" s="84"/>
      <c r="G9814" s="84"/>
      <c r="H9814" s="84"/>
      <c r="I9814" s="84"/>
      <c r="J9814" s="84"/>
    </row>
    <row r="9815" spans="1:10" hidden="1" x14ac:dyDescent="0.25">
      <c r="A9815" s="84"/>
      <c r="B9815" s="84"/>
      <c r="C9815" s="84"/>
      <c r="D9815" s="84"/>
      <c r="E9815" s="878"/>
      <c r="F9815" s="84"/>
      <c r="G9815" s="84"/>
      <c r="H9815" s="84"/>
      <c r="I9815" s="84"/>
      <c r="J9815" s="84"/>
    </row>
    <row r="9816" spans="1:10" hidden="1" x14ac:dyDescent="0.25">
      <c r="A9816" s="84"/>
      <c r="B9816" s="84"/>
      <c r="C9816" s="84"/>
      <c r="D9816" s="84"/>
      <c r="E9816" s="878"/>
      <c r="F9816" s="84"/>
      <c r="G9816" s="84"/>
      <c r="H9816" s="84"/>
      <c r="I9816" s="84"/>
      <c r="J9816" s="84"/>
    </row>
    <row r="9817" spans="1:10" hidden="1" x14ac:dyDescent="0.25">
      <c r="A9817" s="84"/>
      <c r="B9817" s="84"/>
      <c r="C9817" s="84"/>
      <c r="D9817" s="84"/>
      <c r="E9817" s="878"/>
      <c r="F9817" s="84"/>
      <c r="G9817" s="84"/>
      <c r="H9817" s="84"/>
      <c r="I9817" s="84"/>
      <c r="J9817" s="84"/>
    </row>
    <row r="9818" spans="1:10" hidden="1" x14ac:dyDescent="0.25">
      <c r="A9818" s="84"/>
      <c r="B9818" s="84"/>
      <c r="C9818" s="84"/>
      <c r="D9818" s="84"/>
      <c r="E9818" s="878"/>
      <c r="F9818" s="84"/>
      <c r="G9818" s="84"/>
      <c r="H9818" s="84"/>
      <c r="I9818" s="84"/>
      <c r="J9818" s="84"/>
    </row>
    <row r="9819" spans="1:10" hidden="1" x14ac:dyDescent="0.25">
      <c r="A9819" s="84"/>
      <c r="B9819" s="84"/>
      <c r="C9819" s="84"/>
      <c r="D9819" s="84"/>
      <c r="E9819" s="878"/>
      <c r="F9819" s="84"/>
      <c r="G9819" s="84"/>
      <c r="H9819" s="84"/>
      <c r="I9819" s="84"/>
      <c r="J9819" s="84"/>
    </row>
    <row r="9820" spans="1:10" hidden="1" x14ac:dyDescent="0.25">
      <c r="A9820" s="84"/>
      <c r="B9820" s="84"/>
      <c r="C9820" s="84"/>
      <c r="D9820" s="84"/>
      <c r="E9820" s="878"/>
      <c r="F9820" s="84"/>
      <c r="G9820" s="84"/>
      <c r="H9820" s="84"/>
      <c r="I9820" s="84"/>
      <c r="J9820" s="84"/>
    </row>
    <row r="9821" spans="1:10" hidden="1" x14ac:dyDescent="0.25">
      <c r="A9821" s="84"/>
      <c r="B9821" s="84"/>
      <c r="C9821" s="84"/>
      <c r="D9821" s="84"/>
      <c r="E9821" s="878"/>
      <c r="F9821" s="84"/>
      <c r="G9821" s="84"/>
      <c r="H9821" s="84"/>
      <c r="I9821" s="84"/>
      <c r="J9821" s="84"/>
    </row>
    <row r="9822" spans="1:10" hidden="1" x14ac:dyDescent="0.25">
      <c r="A9822" s="84"/>
      <c r="B9822" s="84"/>
      <c r="C9822" s="84"/>
      <c r="D9822" s="84"/>
      <c r="E9822" s="878"/>
      <c r="F9822" s="84"/>
      <c r="G9822" s="84"/>
      <c r="H9822" s="84"/>
      <c r="I9822" s="84"/>
      <c r="J9822" s="84"/>
    </row>
    <row r="9823" spans="1:10" hidden="1" x14ac:dyDescent="0.25">
      <c r="A9823" s="84"/>
      <c r="B9823" s="84"/>
      <c r="C9823" s="84"/>
      <c r="D9823" s="84"/>
      <c r="E9823" s="878"/>
      <c r="F9823" s="84"/>
      <c r="G9823" s="84"/>
      <c r="H9823" s="84"/>
      <c r="I9823" s="84"/>
      <c r="J9823" s="84"/>
    </row>
    <row r="9824" spans="1:10" hidden="1" x14ac:dyDescent="0.25">
      <c r="A9824" s="84"/>
      <c r="B9824" s="84"/>
      <c r="C9824" s="84"/>
      <c r="D9824" s="84"/>
      <c r="E9824" s="878"/>
      <c r="F9824" s="84"/>
      <c r="G9824" s="84"/>
      <c r="H9824" s="84"/>
      <c r="I9824" s="84"/>
      <c r="J9824" s="84"/>
    </row>
    <row r="9825" spans="1:10" hidden="1" x14ac:dyDescent="0.25">
      <c r="A9825" s="84"/>
      <c r="B9825" s="84"/>
      <c r="C9825" s="84"/>
      <c r="D9825" s="84"/>
      <c r="E9825" s="878"/>
      <c r="F9825" s="84"/>
      <c r="G9825" s="84"/>
      <c r="H9825" s="84"/>
      <c r="I9825" s="84"/>
      <c r="J9825" s="84"/>
    </row>
    <row r="9826" spans="1:10" hidden="1" x14ac:dyDescent="0.25">
      <c r="A9826" s="84"/>
      <c r="B9826" s="84"/>
      <c r="C9826" s="84"/>
      <c r="D9826" s="84"/>
      <c r="E9826" s="878"/>
      <c r="F9826" s="84"/>
      <c r="G9826" s="84"/>
      <c r="H9826" s="84"/>
      <c r="I9826" s="84"/>
      <c r="J9826" s="84"/>
    </row>
    <row r="9827" spans="1:10" hidden="1" x14ac:dyDescent="0.25">
      <c r="A9827" s="84"/>
      <c r="B9827" s="84"/>
      <c r="C9827" s="84"/>
      <c r="D9827" s="84"/>
      <c r="E9827" s="878"/>
      <c r="F9827" s="84"/>
      <c r="G9827" s="84"/>
      <c r="H9827" s="84"/>
      <c r="I9827" s="84"/>
      <c r="J9827" s="84"/>
    </row>
    <row r="9828" spans="1:10" hidden="1" x14ac:dyDescent="0.25">
      <c r="A9828" s="84"/>
      <c r="B9828" s="84"/>
      <c r="C9828" s="84"/>
      <c r="D9828" s="84"/>
      <c r="E9828" s="878"/>
      <c r="F9828" s="84"/>
      <c r="G9828" s="84"/>
      <c r="H9828" s="84"/>
      <c r="I9828" s="84"/>
      <c r="J9828" s="84"/>
    </row>
    <row r="9829" spans="1:10" hidden="1" x14ac:dyDescent="0.25">
      <c r="A9829" s="84"/>
      <c r="B9829" s="84"/>
      <c r="C9829" s="84"/>
      <c r="D9829" s="84"/>
      <c r="E9829" s="878"/>
      <c r="F9829" s="84"/>
      <c r="G9829" s="84"/>
      <c r="H9829" s="84"/>
      <c r="I9829" s="84"/>
      <c r="J9829" s="84"/>
    </row>
    <row r="9830" spans="1:10" hidden="1" x14ac:dyDescent="0.25">
      <c r="A9830" s="84"/>
      <c r="B9830" s="84"/>
      <c r="C9830" s="84"/>
      <c r="D9830" s="84"/>
      <c r="E9830" s="878"/>
      <c r="F9830" s="84"/>
      <c r="G9830" s="84"/>
      <c r="H9830" s="84"/>
      <c r="I9830" s="84"/>
      <c r="J9830" s="84"/>
    </row>
    <row r="9831" spans="1:10" hidden="1" x14ac:dyDescent="0.25">
      <c r="A9831" s="84"/>
      <c r="B9831" s="84"/>
      <c r="C9831" s="84"/>
      <c r="D9831" s="84"/>
      <c r="E9831" s="878"/>
      <c r="F9831" s="84"/>
      <c r="G9831" s="84"/>
      <c r="H9831" s="84"/>
      <c r="I9831" s="84"/>
      <c r="J9831" s="84"/>
    </row>
    <row r="9832" spans="1:10" ht="19.5" hidden="1" customHeight="1" x14ac:dyDescent="0.25">
      <c r="A9832" s="84"/>
      <c r="B9832" s="84"/>
      <c r="C9832" s="84"/>
      <c r="D9832" s="84"/>
      <c r="E9832" s="878"/>
      <c r="F9832" s="84"/>
      <c r="G9832" s="84"/>
      <c r="H9832" s="84"/>
      <c r="I9832" s="84"/>
      <c r="J9832" s="84"/>
    </row>
    <row r="9833" spans="1:10" hidden="1" x14ac:dyDescent="0.25">
      <c r="A9833" s="84"/>
      <c r="B9833" s="84"/>
      <c r="C9833" s="84"/>
      <c r="D9833" s="84"/>
      <c r="E9833" s="878"/>
      <c r="F9833" s="84"/>
      <c r="G9833" s="84"/>
      <c r="H9833" s="84"/>
      <c r="I9833" s="84"/>
      <c r="J9833" s="84"/>
    </row>
    <row r="9834" spans="1:10" hidden="1" x14ac:dyDescent="0.25">
      <c r="A9834" s="84"/>
      <c r="B9834" s="84"/>
      <c r="C9834" s="84"/>
      <c r="D9834" s="84"/>
      <c r="E9834" s="878"/>
      <c r="F9834" s="84"/>
      <c r="G9834" s="84"/>
      <c r="H9834" s="84"/>
      <c r="I9834" s="84"/>
      <c r="J9834" s="84"/>
    </row>
    <row r="9835" spans="1:10" hidden="1" x14ac:dyDescent="0.25">
      <c r="A9835" s="84"/>
      <c r="B9835" s="84"/>
      <c r="C9835" s="84"/>
      <c r="D9835" s="84"/>
      <c r="E9835" s="878"/>
      <c r="F9835" s="84"/>
      <c r="G9835" s="84"/>
      <c r="H9835" s="84"/>
      <c r="I9835" s="84"/>
      <c r="J9835" s="84"/>
    </row>
    <row r="9836" spans="1:10" hidden="1" x14ac:dyDescent="0.25">
      <c r="A9836" s="84"/>
      <c r="B9836" s="84"/>
      <c r="C9836" s="84"/>
      <c r="D9836" s="84"/>
      <c r="E9836" s="878"/>
      <c r="F9836" s="84"/>
      <c r="G9836" s="84"/>
      <c r="H9836" s="84"/>
      <c r="I9836" s="84"/>
      <c r="J9836" s="84"/>
    </row>
    <row r="9837" spans="1:10" hidden="1" x14ac:dyDescent="0.25">
      <c r="A9837" s="84"/>
      <c r="B9837" s="84"/>
      <c r="C9837" s="84"/>
      <c r="D9837" s="84"/>
      <c r="E9837" s="878"/>
      <c r="F9837" s="84"/>
      <c r="G9837" s="84"/>
      <c r="H9837" s="84"/>
      <c r="I9837" s="84"/>
      <c r="J9837" s="84"/>
    </row>
    <row r="9838" spans="1:10" hidden="1" x14ac:dyDescent="0.25">
      <c r="A9838" s="84"/>
      <c r="B9838" s="84"/>
      <c r="C9838" s="84"/>
      <c r="D9838" s="84"/>
      <c r="E9838" s="878"/>
      <c r="F9838" s="84"/>
      <c r="G9838" s="84"/>
      <c r="H9838" s="84"/>
      <c r="I9838" s="84"/>
      <c r="J9838" s="84"/>
    </row>
    <row r="9839" spans="1:10" hidden="1" x14ac:dyDescent="0.25">
      <c r="A9839" s="84"/>
      <c r="B9839" s="84"/>
      <c r="C9839" s="84"/>
      <c r="D9839" s="84"/>
      <c r="E9839" s="878"/>
      <c r="F9839" s="84"/>
      <c r="G9839" s="84"/>
      <c r="H9839" s="84"/>
      <c r="I9839" s="84"/>
      <c r="J9839" s="84"/>
    </row>
    <row r="9840" spans="1:10" hidden="1" x14ac:dyDescent="0.25">
      <c r="A9840" s="84"/>
      <c r="B9840" s="84"/>
      <c r="C9840" s="84"/>
      <c r="D9840" s="84"/>
      <c r="E9840" s="878"/>
      <c r="F9840" s="84"/>
      <c r="G9840" s="84"/>
      <c r="H9840" s="84"/>
      <c r="I9840" s="84"/>
      <c r="J9840" s="84"/>
    </row>
    <row r="9841" spans="1:10" hidden="1" x14ac:dyDescent="0.25">
      <c r="A9841" s="84"/>
      <c r="B9841" s="84"/>
      <c r="C9841" s="84"/>
      <c r="D9841" s="84"/>
      <c r="E9841" s="878"/>
      <c r="F9841" s="84"/>
      <c r="G9841" s="84"/>
      <c r="H9841" s="84"/>
      <c r="I9841" s="84"/>
      <c r="J9841" s="84"/>
    </row>
    <row r="9842" spans="1:10" hidden="1" x14ac:dyDescent="0.25">
      <c r="A9842" s="84"/>
      <c r="B9842" s="84"/>
      <c r="C9842" s="84"/>
      <c r="D9842" s="84"/>
      <c r="E9842" s="878"/>
      <c r="F9842" s="84"/>
      <c r="G9842" s="84"/>
      <c r="H9842" s="84"/>
      <c r="I9842" s="84"/>
      <c r="J9842" s="84"/>
    </row>
    <row r="9843" spans="1:10" hidden="1" x14ac:dyDescent="0.25">
      <c r="A9843" s="84"/>
      <c r="B9843" s="84"/>
      <c r="C9843" s="84"/>
      <c r="D9843" s="84"/>
      <c r="E9843" s="878"/>
      <c r="F9843" s="84"/>
      <c r="G9843" s="84"/>
      <c r="H9843" s="84"/>
      <c r="I9843" s="84"/>
      <c r="J9843" s="84"/>
    </row>
    <row r="9844" spans="1:10" hidden="1" x14ac:dyDescent="0.25">
      <c r="A9844" s="84"/>
      <c r="B9844" s="84"/>
      <c r="C9844" s="84"/>
      <c r="D9844" s="84"/>
      <c r="E9844" s="878"/>
      <c r="F9844" s="84"/>
      <c r="G9844" s="84"/>
      <c r="H9844" s="84"/>
      <c r="I9844" s="84"/>
      <c r="J9844" s="84"/>
    </row>
    <row r="9845" spans="1:10" hidden="1" x14ac:dyDescent="0.25">
      <c r="A9845" s="84"/>
      <c r="B9845" s="84"/>
      <c r="C9845" s="84"/>
      <c r="D9845" s="84"/>
      <c r="E9845" s="878"/>
      <c r="F9845" s="84"/>
      <c r="G9845" s="84"/>
      <c r="H9845" s="84"/>
      <c r="I9845" s="84"/>
      <c r="J9845" s="84"/>
    </row>
    <row r="9846" spans="1:10" hidden="1" x14ac:dyDescent="0.25">
      <c r="A9846" s="84"/>
      <c r="B9846" s="84"/>
      <c r="C9846" s="84"/>
      <c r="D9846" s="84"/>
      <c r="E9846" s="878"/>
      <c r="F9846" s="84"/>
      <c r="G9846" s="84"/>
      <c r="H9846" s="84"/>
      <c r="I9846" s="84"/>
      <c r="J9846" s="84"/>
    </row>
    <row r="9847" spans="1:10" hidden="1" x14ac:dyDescent="0.25">
      <c r="A9847" s="84"/>
      <c r="B9847" s="84"/>
      <c r="C9847" s="84"/>
      <c r="D9847" s="84"/>
      <c r="E9847" s="878"/>
      <c r="F9847" s="84"/>
      <c r="G9847" s="84"/>
      <c r="H9847" s="84"/>
      <c r="I9847" s="84"/>
      <c r="J9847" s="84"/>
    </row>
    <row r="9848" spans="1:10" hidden="1" x14ac:dyDescent="0.25">
      <c r="A9848" s="84"/>
      <c r="B9848" s="84"/>
      <c r="C9848" s="84"/>
      <c r="D9848" s="84"/>
      <c r="E9848" s="878"/>
      <c r="F9848" s="84"/>
      <c r="G9848" s="84"/>
      <c r="H9848" s="84"/>
      <c r="I9848" s="84"/>
      <c r="J9848" s="84"/>
    </row>
    <row r="9849" spans="1:10" hidden="1" x14ac:dyDescent="0.25">
      <c r="A9849" s="84"/>
      <c r="B9849" s="84"/>
      <c r="C9849" s="84"/>
      <c r="D9849" s="84"/>
      <c r="E9849" s="878"/>
      <c r="F9849" s="84"/>
      <c r="G9849" s="84"/>
      <c r="H9849" s="84"/>
      <c r="I9849" s="84"/>
      <c r="J9849" s="84"/>
    </row>
    <row r="9850" spans="1:10" hidden="1" x14ac:dyDescent="0.25">
      <c r="A9850" s="84"/>
      <c r="B9850" s="84"/>
      <c r="C9850" s="84"/>
      <c r="D9850" s="84"/>
      <c r="E9850" s="878"/>
      <c r="F9850" s="84"/>
      <c r="G9850" s="84"/>
      <c r="H9850" s="84"/>
      <c r="I9850" s="84"/>
      <c r="J9850" s="84"/>
    </row>
    <row r="9851" spans="1:10" hidden="1" x14ac:dyDescent="0.25">
      <c r="A9851" s="84"/>
      <c r="B9851" s="84"/>
      <c r="C9851" s="84"/>
      <c r="D9851" s="84"/>
      <c r="E9851" s="878"/>
      <c r="F9851" s="84"/>
      <c r="G9851" s="84"/>
      <c r="H9851" s="84"/>
      <c r="I9851" s="84"/>
      <c r="J9851" s="84"/>
    </row>
    <row r="9852" spans="1:10" hidden="1" x14ac:dyDescent="0.25">
      <c r="A9852" s="84"/>
      <c r="B9852" s="84"/>
      <c r="C9852" s="84"/>
      <c r="D9852" s="84"/>
      <c r="E9852" s="878"/>
      <c r="F9852" s="84"/>
      <c r="G9852" s="84"/>
      <c r="H9852" s="84"/>
      <c r="I9852" s="84"/>
      <c r="J9852" s="84"/>
    </row>
    <row r="9853" spans="1:10" hidden="1" x14ac:dyDescent="0.25">
      <c r="A9853" s="84"/>
      <c r="B9853" s="84"/>
      <c r="C9853" s="84"/>
      <c r="D9853" s="84"/>
      <c r="E9853" s="878"/>
      <c r="F9853" s="84"/>
      <c r="G9853" s="84"/>
      <c r="H9853" s="84"/>
      <c r="I9853" s="84"/>
      <c r="J9853" s="84"/>
    </row>
    <row r="9854" spans="1:10" hidden="1" x14ac:dyDescent="0.25">
      <c r="A9854" s="84"/>
      <c r="B9854" s="84"/>
      <c r="C9854" s="84"/>
      <c r="D9854" s="84"/>
      <c r="E9854" s="878"/>
      <c r="F9854" s="84"/>
      <c r="G9854" s="84"/>
      <c r="H9854" s="84"/>
      <c r="I9854" s="84"/>
      <c r="J9854" s="84"/>
    </row>
    <row r="9855" spans="1:10" hidden="1" x14ac:dyDescent="0.25">
      <c r="A9855" s="84"/>
      <c r="B9855" s="84"/>
      <c r="C9855" s="84"/>
      <c r="D9855" s="84"/>
      <c r="E9855" s="878"/>
      <c r="F9855" s="84"/>
      <c r="G9855" s="84"/>
      <c r="H9855" s="84"/>
      <c r="I9855" s="84"/>
      <c r="J9855" s="84"/>
    </row>
    <row r="9856" spans="1:10" hidden="1" x14ac:dyDescent="0.25">
      <c r="A9856" s="84"/>
      <c r="B9856" s="84"/>
      <c r="C9856" s="84"/>
      <c r="D9856" s="84"/>
      <c r="E9856" s="878"/>
      <c r="F9856" s="84"/>
      <c r="G9856" s="84"/>
      <c r="H9856" s="84"/>
      <c r="I9856" s="84"/>
      <c r="J9856" s="84"/>
    </row>
    <row r="9857" spans="1:10" hidden="1" x14ac:dyDescent="0.25">
      <c r="A9857" s="84"/>
      <c r="B9857" s="84"/>
      <c r="C9857" s="84"/>
      <c r="D9857" s="84"/>
      <c r="E9857" s="878"/>
      <c r="F9857" s="84"/>
      <c r="G9857" s="84"/>
      <c r="H9857" s="84"/>
      <c r="I9857" s="84"/>
      <c r="J9857" s="84"/>
    </row>
    <row r="9858" spans="1:10" hidden="1" x14ac:dyDescent="0.25">
      <c r="A9858" s="84"/>
      <c r="B9858" s="84"/>
      <c r="C9858" s="84"/>
      <c r="D9858" s="84"/>
      <c r="E9858" s="878"/>
      <c r="F9858" s="84"/>
      <c r="G9858" s="84"/>
      <c r="H9858" s="84"/>
      <c r="I9858" s="84"/>
      <c r="J9858" s="84"/>
    </row>
    <row r="9859" spans="1:10" hidden="1" x14ac:dyDescent="0.25">
      <c r="A9859" s="84"/>
      <c r="B9859" s="84"/>
      <c r="C9859" s="84"/>
      <c r="D9859" s="84"/>
      <c r="E9859" s="878"/>
      <c r="F9859" s="84"/>
      <c r="G9859" s="84"/>
      <c r="H9859" s="84"/>
      <c r="I9859" s="84"/>
      <c r="J9859" s="84"/>
    </row>
    <row r="9860" spans="1:10" hidden="1" x14ac:dyDescent="0.25">
      <c r="A9860" s="84"/>
      <c r="B9860" s="84"/>
      <c r="C9860" s="84"/>
      <c r="D9860" s="84"/>
      <c r="E9860" s="878"/>
      <c r="F9860" s="84"/>
      <c r="G9860" s="84"/>
      <c r="H9860" s="84"/>
      <c r="I9860" s="84"/>
      <c r="J9860" s="84"/>
    </row>
    <row r="9861" spans="1:10" hidden="1" x14ac:dyDescent="0.25">
      <c r="A9861" s="84"/>
      <c r="B9861" s="84"/>
      <c r="C9861" s="84"/>
      <c r="D9861" s="84"/>
      <c r="E9861" s="878"/>
      <c r="F9861" s="84"/>
      <c r="G9861" s="84"/>
      <c r="H9861" s="84"/>
      <c r="I9861" s="84"/>
      <c r="J9861" s="84"/>
    </row>
    <row r="9862" spans="1:10" hidden="1" x14ac:dyDescent="0.25">
      <c r="A9862" s="84"/>
      <c r="B9862" s="84"/>
      <c r="C9862" s="84"/>
      <c r="D9862" s="84"/>
      <c r="E9862" s="878"/>
      <c r="F9862" s="84"/>
      <c r="G9862" s="84"/>
      <c r="H9862" s="84"/>
      <c r="I9862" s="84"/>
      <c r="J9862" s="84"/>
    </row>
    <row r="9863" spans="1:10" hidden="1" x14ac:dyDescent="0.25">
      <c r="A9863" s="84"/>
      <c r="B9863" s="84"/>
      <c r="C9863" s="84"/>
      <c r="D9863" s="84"/>
      <c r="E9863" s="878"/>
      <c r="F9863" s="84"/>
      <c r="G9863" s="84"/>
      <c r="H9863" s="84"/>
      <c r="I9863" s="84"/>
      <c r="J9863" s="84"/>
    </row>
    <row r="9864" spans="1:10" hidden="1" x14ac:dyDescent="0.25">
      <c r="A9864" s="84"/>
      <c r="B9864" s="84"/>
      <c r="C9864" s="84"/>
      <c r="D9864" s="84"/>
      <c r="E9864" s="878"/>
      <c r="F9864" s="84"/>
      <c r="G9864" s="84"/>
      <c r="H9864" s="84"/>
      <c r="I9864" s="84"/>
      <c r="J9864" s="84"/>
    </row>
    <row r="9865" spans="1:10" hidden="1" x14ac:dyDescent="0.25">
      <c r="A9865" s="84"/>
      <c r="B9865" s="84"/>
      <c r="C9865" s="84"/>
      <c r="D9865" s="84"/>
      <c r="E9865" s="878"/>
      <c r="F9865" s="84"/>
      <c r="G9865" s="84"/>
      <c r="H9865" s="84"/>
      <c r="I9865" s="84"/>
      <c r="J9865" s="84"/>
    </row>
    <row r="9866" spans="1:10" hidden="1" x14ac:dyDescent="0.25">
      <c r="A9866" s="84"/>
      <c r="B9866" s="84"/>
      <c r="C9866" s="84"/>
      <c r="D9866" s="84"/>
      <c r="E9866" s="878"/>
      <c r="F9866" s="84"/>
      <c r="G9866" s="84"/>
      <c r="H9866" s="84"/>
      <c r="I9866" s="84"/>
      <c r="J9866" s="84"/>
    </row>
    <row r="9867" spans="1:10" hidden="1" x14ac:dyDescent="0.25">
      <c r="A9867" s="84"/>
      <c r="B9867" s="84"/>
      <c r="C9867" s="84"/>
      <c r="D9867" s="84"/>
      <c r="E9867" s="878"/>
      <c r="F9867" s="84"/>
      <c r="G9867" s="84"/>
      <c r="H9867" s="84"/>
      <c r="I9867" s="84"/>
      <c r="J9867" s="84"/>
    </row>
    <row r="9868" spans="1:10" hidden="1" x14ac:dyDescent="0.25">
      <c r="A9868" s="84"/>
      <c r="B9868" s="84"/>
      <c r="C9868" s="84"/>
      <c r="D9868" s="84"/>
      <c r="E9868" s="878"/>
      <c r="F9868" s="84"/>
      <c r="G9868" s="84"/>
      <c r="H9868" s="84"/>
      <c r="I9868" s="84"/>
      <c r="J9868" s="84"/>
    </row>
    <row r="9869" spans="1:10" hidden="1" x14ac:dyDescent="0.25">
      <c r="A9869" s="84"/>
      <c r="B9869" s="84"/>
      <c r="C9869" s="84"/>
      <c r="D9869" s="84"/>
      <c r="E9869" s="878"/>
      <c r="F9869" s="84"/>
      <c r="G9869" s="84"/>
      <c r="H9869" s="84"/>
      <c r="I9869" s="84"/>
      <c r="J9869" s="84"/>
    </row>
    <row r="9870" spans="1:10" hidden="1" x14ac:dyDescent="0.25">
      <c r="A9870" s="84"/>
      <c r="B9870" s="84"/>
      <c r="C9870" s="84"/>
      <c r="D9870" s="84"/>
      <c r="E9870" s="878"/>
      <c r="F9870" s="84"/>
      <c r="G9870" s="84"/>
      <c r="H9870" s="84"/>
      <c r="I9870" s="84"/>
      <c r="J9870" s="84"/>
    </row>
    <row r="9871" spans="1:10" hidden="1" x14ac:dyDescent="0.25">
      <c r="A9871" s="84"/>
      <c r="B9871" s="84"/>
      <c r="C9871" s="84"/>
      <c r="D9871" s="84"/>
      <c r="E9871" s="878"/>
      <c r="F9871" s="84"/>
      <c r="G9871" s="84"/>
      <c r="H9871" s="84"/>
      <c r="I9871" s="84"/>
      <c r="J9871" s="84"/>
    </row>
    <row r="9872" spans="1:10" hidden="1" x14ac:dyDescent="0.25">
      <c r="A9872" s="84"/>
      <c r="B9872" s="84"/>
      <c r="C9872" s="84"/>
      <c r="D9872" s="84"/>
      <c r="E9872" s="878"/>
      <c r="F9872" s="84"/>
      <c r="G9872" s="84"/>
      <c r="H9872" s="84"/>
      <c r="I9872" s="84"/>
      <c r="J9872" s="84"/>
    </row>
    <row r="9873" spans="1:10" hidden="1" x14ac:dyDescent="0.25">
      <c r="A9873" s="84"/>
      <c r="B9873" s="84"/>
      <c r="C9873" s="84"/>
      <c r="D9873" s="84"/>
      <c r="E9873" s="878"/>
      <c r="F9873" s="84"/>
      <c r="G9873" s="84"/>
      <c r="H9873" s="84"/>
      <c r="I9873" s="84"/>
      <c r="J9873" s="84"/>
    </row>
    <row r="9874" spans="1:10" hidden="1" x14ac:dyDescent="0.25">
      <c r="A9874" s="84"/>
      <c r="B9874" s="84"/>
      <c r="C9874" s="84"/>
      <c r="D9874" s="84"/>
      <c r="E9874" s="878"/>
      <c r="F9874" s="84"/>
      <c r="G9874" s="84"/>
      <c r="H9874" s="84"/>
      <c r="I9874" s="84"/>
      <c r="J9874" s="84"/>
    </row>
    <row r="9875" spans="1:10" hidden="1" x14ac:dyDescent="0.25">
      <c r="A9875" s="84"/>
      <c r="B9875" s="84"/>
      <c r="C9875" s="84"/>
      <c r="D9875" s="84"/>
      <c r="E9875" s="878"/>
      <c r="F9875" s="84"/>
      <c r="G9875" s="84"/>
      <c r="H9875" s="84"/>
      <c r="I9875" s="84"/>
      <c r="J9875" s="84"/>
    </row>
    <row r="9876" spans="1:10" hidden="1" x14ac:dyDescent="0.25">
      <c r="A9876" s="84"/>
      <c r="B9876" s="84"/>
      <c r="C9876" s="84"/>
      <c r="D9876" s="84"/>
      <c r="E9876" s="878"/>
      <c r="F9876" s="84"/>
      <c r="G9876" s="84"/>
      <c r="H9876" s="84"/>
      <c r="I9876" s="84"/>
      <c r="J9876" s="84"/>
    </row>
    <row r="9877" spans="1:10" hidden="1" x14ac:dyDescent="0.25">
      <c r="A9877" s="84"/>
      <c r="B9877" s="84"/>
      <c r="C9877" s="84"/>
      <c r="D9877" s="84"/>
      <c r="E9877" s="878"/>
      <c r="F9877" s="84"/>
      <c r="G9877" s="84"/>
      <c r="H9877" s="84"/>
      <c r="I9877" s="84"/>
      <c r="J9877" s="84"/>
    </row>
    <row r="9878" spans="1:10" hidden="1" x14ac:dyDescent="0.25">
      <c r="A9878" s="84"/>
      <c r="B9878" s="84"/>
      <c r="C9878" s="84"/>
      <c r="D9878" s="84"/>
      <c r="E9878" s="878"/>
      <c r="F9878" s="84"/>
      <c r="G9878" s="84"/>
      <c r="H9878" s="84"/>
      <c r="I9878" s="84"/>
      <c r="J9878" s="84"/>
    </row>
    <row r="9879" spans="1:10" hidden="1" x14ac:dyDescent="0.25">
      <c r="A9879" s="84"/>
      <c r="B9879" s="84"/>
      <c r="C9879" s="84"/>
      <c r="D9879" s="84"/>
      <c r="E9879" s="878"/>
      <c r="F9879" s="84"/>
      <c r="G9879" s="84"/>
      <c r="H9879" s="84"/>
      <c r="I9879" s="84"/>
      <c r="J9879" s="84"/>
    </row>
    <row r="9880" spans="1:10" hidden="1" x14ac:dyDescent="0.25">
      <c r="A9880" s="84"/>
      <c r="B9880" s="84"/>
      <c r="C9880" s="84"/>
      <c r="D9880" s="84"/>
      <c r="E9880" s="878"/>
      <c r="F9880" s="84"/>
      <c r="G9880" s="84"/>
      <c r="H9880" s="84"/>
      <c r="I9880" s="84"/>
      <c r="J9880" s="84"/>
    </row>
    <row r="9881" spans="1:10" hidden="1" x14ac:dyDescent="0.25">
      <c r="A9881" s="84"/>
      <c r="B9881" s="84"/>
      <c r="C9881" s="84"/>
      <c r="D9881" s="84"/>
      <c r="E9881" s="878"/>
      <c r="F9881" s="84"/>
      <c r="G9881" s="84"/>
      <c r="H9881" s="84"/>
      <c r="I9881" s="84"/>
      <c r="J9881" s="84"/>
    </row>
    <row r="9882" spans="1:10" hidden="1" x14ac:dyDescent="0.25">
      <c r="A9882" s="84"/>
      <c r="B9882" s="84"/>
      <c r="C9882" s="84"/>
      <c r="D9882" s="84"/>
      <c r="E9882" s="878"/>
      <c r="F9882" s="84"/>
      <c r="G9882" s="84"/>
      <c r="H9882" s="84"/>
      <c r="I9882" s="84"/>
      <c r="J9882" s="84"/>
    </row>
    <row r="9883" spans="1:10" hidden="1" x14ac:dyDescent="0.25">
      <c r="A9883" s="84"/>
      <c r="B9883" s="84"/>
      <c r="C9883" s="84"/>
      <c r="D9883" s="84"/>
      <c r="E9883" s="878"/>
      <c r="F9883" s="84"/>
      <c r="G9883" s="84"/>
      <c r="H9883" s="84"/>
      <c r="I9883" s="84"/>
      <c r="J9883" s="84"/>
    </row>
    <row r="9884" spans="1:10" hidden="1" x14ac:dyDescent="0.25">
      <c r="A9884" s="84"/>
      <c r="B9884" s="84"/>
      <c r="C9884" s="84"/>
      <c r="D9884" s="84"/>
      <c r="E9884" s="878"/>
      <c r="F9884" s="84"/>
      <c r="G9884" s="84"/>
      <c r="H9884" s="84"/>
      <c r="I9884" s="84"/>
      <c r="J9884" s="84"/>
    </row>
    <row r="9885" spans="1:10" hidden="1" x14ac:dyDescent="0.25">
      <c r="A9885" s="84"/>
      <c r="B9885" s="84"/>
      <c r="C9885" s="84"/>
      <c r="D9885" s="84"/>
      <c r="E9885" s="878"/>
      <c r="F9885" s="84"/>
      <c r="G9885" s="84"/>
      <c r="H9885" s="84"/>
      <c r="I9885" s="84"/>
      <c r="J9885" s="84"/>
    </row>
    <row r="9886" spans="1:10" hidden="1" collapsed="1" x14ac:dyDescent="0.25">
      <c r="A9886" s="84"/>
      <c r="B9886" s="84"/>
      <c r="C9886" s="84"/>
      <c r="D9886" s="84"/>
      <c r="E9886" s="878"/>
      <c r="F9886" s="84"/>
      <c r="G9886" s="84"/>
      <c r="H9886" s="84"/>
      <c r="I9886" s="84"/>
      <c r="J9886" s="84"/>
    </row>
    <row r="9887" spans="1:10" hidden="1" x14ac:dyDescent="0.25">
      <c r="A9887" s="84"/>
      <c r="B9887" s="84"/>
      <c r="C9887" s="84"/>
      <c r="D9887" s="84"/>
      <c r="E9887" s="878"/>
      <c r="F9887" s="84"/>
      <c r="G9887" s="84"/>
      <c r="H9887" s="84"/>
      <c r="I9887" s="84"/>
      <c r="J9887" s="84"/>
    </row>
    <row r="9888" spans="1:10" hidden="1" x14ac:dyDescent="0.25">
      <c r="A9888" s="84"/>
      <c r="B9888" s="84"/>
      <c r="C9888" s="84"/>
      <c r="D9888" s="84"/>
      <c r="E9888" s="878"/>
      <c r="F9888" s="84"/>
      <c r="G9888" s="84"/>
      <c r="H9888" s="84"/>
      <c r="I9888" s="84"/>
      <c r="J9888" s="84"/>
    </row>
    <row r="9889" spans="1:10" hidden="1" x14ac:dyDescent="0.25">
      <c r="A9889" s="84"/>
      <c r="B9889" s="84"/>
      <c r="C9889" s="84"/>
      <c r="D9889" s="84"/>
      <c r="E9889" s="878"/>
      <c r="F9889" s="84"/>
      <c r="G9889" s="84"/>
      <c r="H9889" s="84"/>
      <c r="I9889" s="84"/>
      <c r="J9889" s="84"/>
    </row>
    <row r="9890" spans="1:10" hidden="1" x14ac:dyDescent="0.25">
      <c r="A9890" s="84"/>
      <c r="B9890" s="84"/>
      <c r="C9890" s="84"/>
      <c r="D9890" s="84"/>
      <c r="E9890" s="878"/>
      <c r="F9890" s="84"/>
      <c r="G9890" s="84"/>
      <c r="H9890" s="84"/>
      <c r="I9890" s="84"/>
      <c r="J9890" s="84"/>
    </row>
    <row r="9891" spans="1:10" hidden="1" x14ac:dyDescent="0.25">
      <c r="A9891" s="84"/>
      <c r="B9891" s="84"/>
      <c r="C9891" s="84"/>
      <c r="D9891" s="84"/>
      <c r="E9891" s="878"/>
      <c r="F9891" s="84"/>
      <c r="G9891" s="84"/>
      <c r="H9891" s="84"/>
      <c r="I9891" s="84"/>
      <c r="J9891" s="84"/>
    </row>
    <row r="9892" spans="1:10" hidden="1" x14ac:dyDescent="0.25">
      <c r="A9892" s="84"/>
      <c r="B9892" s="84"/>
      <c r="C9892" s="84"/>
      <c r="D9892" s="84"/>
      <c r="E9892" s="878"/>
      <c r="F9892" s="84"/>
      <c r="G9892" s="84"/>
      <c r="H9892" s="84"/>
      <c r="I9892" s="84"/>
      <c r="J9892" s="84"/>
    </row>
    <row r="9893" spans="1:10" hidden="1" x14ac:dyDescent="0.25">
      <c r="A9893" s="84"/>
      <c r="B9893" s="84"/>
      <c r="C9893" s="84"/>
      <c r="D9893" s="84"/>
      <c r="E9893" s="878"/>
      <c r="F9893" s="84"/>
      <c r="G9893" s="84"/>
      <c r="H9893" s="84"/>
      <c r="I9893" s="84"/>
      <c r="J9893" s="84"/>
    </row>
    <row r="9894" spans="1:10" hidden="1" x14ac:dyDescent="0.25">
      <c r="A9894" s="84"/>
      <c r="B9894" s="84"/>
      <c r="C9894" s="84"/>
      <c r="D9894" s="84"/>
      <c r="E9894" s="878"/>
      <c r="F9894" s="84"/>
      <c r="G9894" s="84"/>
      <c r="H9894" s="84"/>
      <c r="I9894" s="84"/>
      <c r="J9894" s="84"/>
    </row>
    <row r="9895" spans="1:10" hidden="1" x14ac:dyDescent="0.25">
      <c r="A9895" s="84"/>
      <c r="B9895" s="84"/>
      <c r="C9895" s="84"/>
      <c r="D9895" s="84"/>
      <c r="E9895" s="878"/>
      <c r="F9895" s="84"/>
      <c r="G9895" s="84"/>
      <c r="H9895" s="84"/>
      <c r="I9895" s="84"/>
      <c r="J9895" s="84"/>
    </row>
    <row r="9896" spans="1:10" hidden="1" x14ac:dyDescent="0.25">
      <c r="A9896" s="84"/>
      <c r="B9896" s="84"/>
      <c r="C9896" s="84"/>
      <c r="D9896" s="84"/>
      <c r="E9896" s="878"/>
      <c r="F9896" s="84"/>
      <c r="G9896" s="84"/>
      <c r="H9896" s="84"/>
      <c r="I9896" s="84"/>
      <c r="J9896" s="84"/>
    </row>
    <row r="9897" spans="1:10" hidden="1" x14ac:dyDescent="0.25">
      <c r="A9897" s="84"/>
      <c r="B9897" s="84"/>
      <c r="C9897" s="84"/>
      <c r="D9897" s="84"/>
      <c r="E9897" s="878"/>
      <c r="F9897" s="84"/>
      <c r="G9897" s="84"/>
      <c r="H9897" s="84"/>
      <c r="I9897" s="84"/>
      <c r="J9897" s="84"/>
    </row>
    <row r="9898" spans="1:10" hidden="1" x14ac:dyDescent="0.25">
      <c r="A9898" s="84"/>
      <c r="B9898" s="84"/>
      <c r="C9898" s="84"/>
      <c r="D9898" s="84"/>
      <c r="E9898" s="878"/>
      <c r="F9898" s="84"/>
      <c r="G9898" s="84"/>
      <c r="H9898" s="84"/>
      <c r="I9898" s="84"/>
      <c r="J9898" s="84"/>
    </row>
    <row r="9899" spans="1:10" hidden="1" x14ac:dyDescent="0.25">
      <c r="A9899" s="84"/>
      <c r="B9899" s="84"/>
      <c r="C9899" s="84"/>
      <c r="D9899" s="84"/>
      <c r="E9899" s="878"/>
      <c r="F9899" s="84"/>
      <c r="G9899" s="84"/>
      <c r="H9899" s="84"/>
      <c r="I9899" s="84"/>
      <c r="J9899" s="84"/>
    </row>
    <row r="9900" spans="1:10" hidden="1" x14ac:dyDescent="0.25">
      <c r="A9900" s="84"/>
      <c r="B9900" s="84"/>
      <c r="C9900" s="84"/>
      <c r="D9900" s="84"/>
      <c r="E9900" s="878"/>
      <c r="F9900" s="84"/>
      <c r="G9900" s="84"/>
      <c r="H9900" s="84"/>
      <c r="I9900" s="84"/>
      <c r="J9900" s="84"/>
    </row>
    <row r="9901" spans="1:10" hidden="1" x14ac:dyDescent="0.25">
      <c r="A9901" s="84"/>
      <c r="B9901" s="84"/>
      <c r="C9901" s="84"/>
      <c r="D9901" s="84"/>
      <c r="E9901" s="878"/>
      <c r="F9901" s="84"/>
      <c r="G9901" s="84"/>
      <c r="H9901" s="84"/>
      <c r="I9901" s="84"/>
      <c r="J9901" s="84"/>
    </row>
    <row r="9902" spans="1:10" hidden="1" x14ac:dyDescent="0.25">
      <c r="A9902" s="84"/>
      <c r="B9902" s="84"/>
      <c r="C9902" s="84"/>
      <c r="D9902" s="84"/>
      <c r="E9902" s="878"/>
      <c r="F9902" s="84"/>
      <c r="G9902" s="84"/>
      <c r="H9902" s="84"/>
      <c r="I9902" s="84"/>
      <c r="J9902" s="84"/>
    </row>
    <row r="9903" spans="1:10" hidden="1" collapsed="1" x14ac:dyDescent="0.25">
      <c r="A9903" s="84"/>
      <c r="B9903" s="84"/>
      <c r="C9903" s="84"/>
      <c r="D9903" s="84"/>
      <c r="E9903" s="878"/>
      <c r="F9903" s="84"/>
      <c r="G9903" s="84"/>
      <c r="H9903" s="84"/>
      <c r="I9903" s="84"/>
      <c r="J9903" s="84"/>
    </row>
    <row r="9904" spans="1:10" hidden="1" x14ac:dyDescent="0.25">
      <c r="A9904" s="84"/>
    </row>
    <row r="9905" spans="1:25" s="88" customFormat="1" hidden="1" x14ac:dyDescent="0.25">
      <c r="A9905" s="258"/>
      <c r="B9905" s="288"/>
      <c r="C9905" s="302" t="s">
        <v>4339</v>
      </c>
      <c r="D9905" s="259"/>
      <c r="E9905" s="702"/>
      <c r="F9905" s="303"/>
      <c r="G9905" s="304" t="s">
        <v>4045</v>
      </c>
      <c r="H9905" s="588"/>
      <c r="I9905" s="571"/>
      <c r="J9905" s="589"/>
      <c r="K9905" s="505"/>
      <c r="L9905" s="505"/>
      <c r="M9905" s="505"/>
      <c r="N9905" s="505"/>
      <c r="O9905" s="505"/>
      <c r="P9905" s="505"/>
      <c r="Q9905" s="505"/>
      <c r="R9905" s="505"/>
      <c r="S9905" s="505"/>
      <c r="T9905" s="505"/>
      <c r="U9905" s="505"/>
      <c r="V9905" s="505"/>
      <c r="W9905" s="505"/>
      <c r="X9905" s="505"/>
      <c r="Y9905" s="505"/>
    </row>
    <row r="9906" spans="1:25" hidden="1" x14ac:dyDescent="0.25">
      <c r="A9906" s="386"/>
      <c r="C9906" s="267"/>
      <c r="D9906" s="331">
        <v>451</v>
      </c>
      <c r="E9906" s="869"/>
      <c r="F9906" s="331"/>
      <c r="G9906" s="332" t="s">
        <v>153</v>
      </c>
    </row>
    <row r="9907" spans="1:25" hidden="1" x14ac:dyDescent="0.25">
      <c r="F9907" s="389">
        <v>411</v>
      </c>
      <c r="G9907" s="385" t="s">
        <v>4131</v>
      </c>
      <c r="J9907" s="556">
        <f>SUM(H9907:I9907)</f>
        <v>0</v>
      </c>
    </row>
    <row r="9908" spans="1:25" hidden="1" x14ac:dyDescent="0.25">
      <c r="F9908" s="389">
        <v>412</v>
      </c>
      <c r="G9908" s="384" t="s">
        <v>3766</v>
      </c>
      <c r="J9908" s="556">
        <f t="shared" ref="J9908:J9966" si="335">SUM(H9908:I9908)</f>
        <v>0</v>
      </c>
    </row>
    <row r="9909" spans="1:25" hidden="1" x14ac:dyDescent="0.25">
      <c r="F9909" s="389">
        <v>413</v>
      </c>
      <c r="G9909" s="385" t="s">
        <v>4132</v>
      </c>
      <c r="J9909" s="556">
        <f t="shared" si="335"/>
        <v>0</v>
      </c>
    </row>
    <row r="9910" spans="1:25" hidden="1" x14ac:dyDescent="0.25">
      <c r="F9910" s="389">
        <v>414</v>
      </c>
      <c r="G9910" s="385" t="s">
        <v>3769</v>
      </c>
      <c r="J9910" s="556">
        <f t="shared" si="335"/>
        <v>0</v>
      </c>
    </row>
    <row r="9911" spans="1:25" hidden="1" x14ac:dyDescent="0.25">
      <c r="F9911" s="389">
        <v>415</v>
      </c>
      <c r="G9911" s="385" t="s">
        <v>4141</v>
      </c>
      <c r="J9911" s="556">
        <f t="shared" si="335"/>
        <v>0</v>
      </c>
    </row>
    <row r="9912" spans="1:25" hidden="1" x14ac:dyDescent="0.25">
      <c r="F9912" s="389">
        <v>416</v>
      </c>
      <c r="G9912" s="385" t="s">
        <v>4142</v>
      </c>
      <c r="J9912" s="556">
        <f t="shared" si="335"/>
        <v>0</v>
      </c>
    </row>
    <row r="9913" spans="1:25" hidden="1" x14ac:dyDescent="0.25">
      <c r="F9913" s="389">
        <v>417</v>
      </c>
      <c r="G9913" s="385" t="s">
        <v>4143</v>
      </c>
      <c r="J9913" s="556">
        <f t="shared" si="335"/>
        <v>0</v>
      </c>
    </row>
    <row r="9914" spans="1:25" hidden="1" x14ac:dyDescent="0.25">
      <c r="F9914" s="389">
        <v>418</v>
      </c>
      <c r="G9914" s="385" t="s">
        <v>3775</v>
      </c>
      <c r="J9914" s="556">
        <f t="shared" si="335"/>
        <v>0</v>
      </c>
    </row>
    <row r="9915" spans="1:25" hidden="1" x14ac:dyDescent="0.25">
      <c r="F9915" s="389">
        <v>421</v>
      </c>
      <c r="G9915" s="385" t="s">
        <v>3779</v>
      </c>
      <c r="J9915" s="556">
        <f t="shared" si="335"/>
        <v>0</v>
      </c>
    </row>
    <row r="9916" spans="1:25" hidden="1" x14ac:dyDescent="0.25">
      <c r="F9916" s="389">
        <v>422</v>
      </c>
      <c r="G9916" s="385" t="s">
        <v>3780</v>
      </c>
      <c r="J9916" s="556">
        <f t="shared" si="335"/>
        <v>0</v>
      </c>
    </row>
    <row r="9917" spans="1:25" hidden="1" x14ac:dyDescent="0.25">
      <c r="F9917" s="389">
        <v>423</v>
      </c>
      <c r="G9917" s="385" t="s">
        <v>3781</v>
      </c>
      <c r="J9917" s="556">
        <f t="shared" si="335"/>
        <v>0</v>
      </c>
    </row>
    <row r="9918" spans="1:25" hidden="1" x14ac:dyDescent="0.25">
      <c r="F9918" s="389">
        <v>424</v>
      </c>
      <c r="G9918" s="385" t="s">
        <v>3783</v>
      </c>
      <c r="J9918" s="556">
        <f t="shared" si="335"/>
        <v>0</v>
      </c>
    </row>
    <row r="9919" spans="1:25" hidden="1" x14ac:dyDescent="0.25">
      <c r="F9919" s="389">
        <v>425</v>
      </c>
      <c r="G9919" s="385" t="s">
        <v>4144</v>
      </c>
      <c r="J9919" s="556">
        <f t="shared" si="335"/>
        <v>0</v>
      </c>
    </row>
    <row r="9920" spans="1:25" hidden="1" x14ac:dyDescent="0.25">
      <c r="F9920" s="389">
        <v>426</v>
      </c>
      <c r="G9920" s="385" t="s">
        <v>3787</v>
      </c>
      <c r="J9920" s="556">
        <f t="shared" si="335"/>
        <v>0</v>
      </c>
    </row>
    <row r="9921" spans="6:10" hidden="1" x14ac:dyDescent="0.25">
      <c r="F9921" s="389">
        <v>431</v>
      </c>
      <c r="G9921" s="385" t="s">
        <v>4145</v>
      </c>
      <c r="J9921" s="556">
        <f t="shared" si="335"/>
        <v>0</v>
      </c>
    </row>
    <row r="9922" spans="6:10" hidden="1" x14ac:dyDescent="0.25">
      <c r="F9922" s="389">
        <v>432</v>
      </c>
      <c r="G9922" s="385" t="s">
        <v>4146</v>
      </c>
      <c r="J9922" s="556">
        <f t="shared" si="335"/>
        <v>0</v>
      </c>
    </row>
    <row r="9923" spans="6:10" hidden="1" x14ac:dyDescent="0.25">
      <c r="F9923" s="389">
        <v>433</v>
      </c>
      <c r="G9923" s="385" t="s">
        <v>4147</v>
      </c>
      <c r="J9923" s="556">
        <f t="shared" si="335"/>
        <v>0</v>
      </c>
    </row>
    <row r="9924" spans="6:10" hidden="1" x14ac:dyDescent="0.25">
      <c r="F9924" s="389">
        <v>434</v>
      </c>
      <c r="G9924" s="385" t="s">
        <v>4148</v>
      </c>
      <c r="J9924" s="556">
        <f t="shared" si="335"/>
        <v>0</v>
      </c>
    </row>
    <row r="9925" spans="6:10" hidden="1" x14ac:dyDescent="0.25">
      <c r="F9925" s="389">
        <v>435</v>
      </c>
      <c r="G9925" s="385" t="s">
        <v>3794</v>
      </c>
      <c r="J9925" s="556">
        <f t="shared" si="335"/>
        <v>0</v>
      </c>
    </row>
    <row r="9926" spans="6:10" hidden="1" x14ac:dyDescent="0.25">
      <c r="F9926" s="389">
        <v>441</v>
      </c>
      <c r="G9926" s="385" t="s">
        <v>4149</v>
      </c>
      <c r="J9926" s="556">
        <f t="shared" si="335"/>
        <v>0</v>
      </c>
    </row>
    <row r="9927" spans="6:10" hidden="1" x14ac:dyDescent="0.25">
      <c r="F9927" s="389">
        <v>442</v>
      </c>
      <c r="G9927" s="385" t="s">
        <v>4150</v>
      </c>
      <c r="J9927" s="556">
        <f t="shared" si="335"/>
        <v>0</v>
      </c>
    </row>
    <row r="9928" spans="6:10" hidden="1" x14ac:dyDescent="0.25">
      <c r="F9928" s="389">
        <v>443</v>
      </c>
      <c r="G9928" s="385" t="s">
        <v>3799</v>
      </c>
      <c r="J9928" s="556">
        <f t="shared" si="335"/>
        <v>0</v>
      </c>
    </row>
    <row r="9929" spans="6:10" hidden="1" x14ac:dyDescent="0.25">
      <c r="F9929" s="389">
        <v>444</v>
      </c>
      <c r="G9929" s="385" t="s">
        <v>3800</v>
      </c>
      <c r="J9929" s="556">
        <f t="shared" si="335"/>
        <v>0</v>
      </c>
    </row>
    <row r="9930" spans="6:10" ht="30" hidden="1" x14ac:dyDescent="0.25">
      <c r="F9930" s="389">
        <v>4511</v>
      </c>
      <c r="G9930" s="263" t="s">
        <v>1690</v>
      </c>
      <c r="J9930" s="556">
        <f t="shared" si="335"/>
        <v>0</v>
      </c>
    </row>
    <row r="9931" spans="6:10" ht="19.5" hidden="1" customHeight="1" x14ac:dyDescent="0.25">
      <c r="F9931" s="389">
        <v>4512</v>
      </c>
      <c r="G9931" s="263" t="s">
        <v>1699</v>
      </c>
      <c r="J9931" s="556">
        <f t="shared" si="335"/>
        <v>0</v>
      </c>
    </row>
    <row r="9932" spans="6:10" hidden="1" x14ac:dyDescent="0.25">
      <c r="F9932" s="389">
        <v>452</v>
      </c>
      <c r="G9932" s="385" t="s">
        <v>4151</v>
      </c>
      <c r="J9932" s="556">
        <f t="shared" si="335"/>
        <v>0</v>
      </c>
    </row>
    <row r="9933" spans="6:10" hidden="1" x14ac:dyDescent="0.25">
      <c r="F9933" s="389">
        <v>453</v>
      </c>
      <c r="G9933" s="385" t="s">
        <v>4152</v>
      </c>
      <c r="J9933" s="556">
        <f t="shared" si="335"/>
        <v>0</v>
      </c>
    </row>
    <row r="9934" spans="6:10" hidden="1" x14ac:dyDescent="0.25">
      <c r="F9934" s="389">
        <v>454</v>
      </c>
      <c r="G9934" s="385" t="s">
        <v>3805</v>
      </c>
      <c r="J9934" s="556">
        <f t="shared" si="335"/>
        <v>0</v>
      </c>
    </row>
    <row r="9935" spans="6:10" hidden="1" x14ac:dyDescent="0.25">
      <c r="F9935" s="389">
        <v>461</v>
      </c>
      <c r="G9935" s="385" t="s">
        <v>4133</v>
      </c>
      <c r="J9935" s="556">
        <f t="shared" si="335"/>
        <v>0</v>
      </c>
    </row>
    <row r="9936" spans="6:10" hidden="1" x14ac:dyDescent="0.25">
      <c r="F9936" s="389">
        <v>462</v>
      </c>
      <c r="G9936" s="385" t="s">
        <v>3808</v>
      </c>
      <c r="J9936" s="556">
        <f t="shared" si="335"/>
        <v>0</v>
      </c>
    </row>
    <row r="9937" spans="6:10" hidden="1" x14ac:dyDescent="0.25">
      <c r="F9937" s="389">
        <v>4631</v>
      </c>
      <c r="G9937" s="385" t="s">
        <v>3809</v>
      </c>
      <c r="J9937" s="556">
        <f t="shared" si="335"/>
        <v>0</v>
      </c>
    </row>
    <row r="9938" spans="6:10" hidden="1" x14ac:dyDescent="0.25">
      <c r="F9938" s="389">
        <v>4632</v>
      </c>
      <c r="G9938" s="385" t="s">
        <v>3810</v>
      </c>
      <c r="J9938" s="556">
        <f t="shared" si="335"/>
        <v>0</v>
      </c>
    </row>
    <row r="9939" spans="6:10" hidden="1" x14ac:dyDescent="0.25">
      <c r="F9939" s="389">
        <v>464</v>
      </c>
      <c r="G9939" s="385" t="s">
        <v>3811</v>
      </c>
      <c r="J9939" s="556">
        <f t="shared" si="335"/>
        <v>0</v>
      </c>
    </row>
    <row r="9940" spans="6:10" hidden="1" x14ac:dyDescent="0.25">
      <c r="F9940" s="389">
        <v>465</v>
      </c>
      <c r="G9940" s="385" t="s">
        <v>4134</v>
      </c>
      <c r="J9940" s="556">
        <f t="shared" si="335"/>
        <v>0</v>
      </c>
    </row>
    <row r="9941" spans="6:10" hidden="1" x14ac:dyDescent="0.25">
      <c r="F9941" s="389">
        <v>472</v>
      </c>
      <c r="G9941" s="385" t="s">
        <v>3815</v>
      </c>
      <c r="J9941" s="556">
        <f t="shared" si="335"/>
        <v>0</v>
      </c>
    </row>
    <row r="9942" spans="6:10" hidden="1" x14ac:dyDescent="0.25">
      <c r="F9942" s="389">
        <v>481</v>
      </c>
      <c r="G9942" s="385" t="s">
        <v>4153</v>
      </c>
      <c r="J9942" s="556">
        <f t="shared" si="335"/>
        <v>0</v>
      </c>
    </row>
    <row r="9943" spans="6:10" hidden="1" x14ac:dyDescent="0.25">
      <c r="F9943" s="389">
        <v>482</v>
      </c>
      <c r="G9943" s="385" t="s">
        <v>4154</v>
      </c>
      <c r="J9943" s="556">
        <f t="shared" si="335"/>
        <v>0</v>
      </c>
    </row>
    <row r="9944" spans="6:10" hidden="1" x14ac:dyDescent="0.25">
      <c r="F9944" s="389">
        <v>483</v>
      </c>
      <c r="G9944" s="387" t="s">
        <v>4155</v>
      </c>
      <c r="J9944" s="556">
        <f t="shared" si="335"/>
        <v>0</v>
      </c>
    </row>
    <row r="9945" spans="6:10" ht="30" hidden="1" x14ac:dyDescent="0.25">
      <c r="F9945" s="389">
        <v>484</v>
      </c>
      <c r="G9945" s="385" t="s">
        <v>4156</v>
      </c>
      <c r="J9945" s="556">
        <f t="shared" si="335"/>
        <v>0</v>
      </c>
    </row>
    <row r="9946" spans="6:10" ht="30" hidden="1" x14ac:dyDescent="0.25">
      <c r="F9946" s="389">
        <v>485</v>
      </c>
      <c r="G9946" s="385" t="s">
        <v>4157</v>
      </c>
      <c r="J9946" s="556">
        <f t="shared" si="335"/>
        <v>0</v>
      </c>
    </row>
    <row r="9947" spans="6:10" ht="30" hidden="1" x14ac:dyDescent="0.25">
      <c r="F9947" s="389">
        <v>489</v>
      </c>
      <c r="G9947" s="385" t="s">
        <v>3823</v>
      </c>
      <c r="J9947" s="556">
        <f t="shared" si="335"/>
        <v>0</v>
      </c>
    </row>
    <row r="9948" spans="6:10" hidden="1" x14ac:dyDescent="0.25">
      <c r="F9948" s="389">
        <v>494</v>
      </c>
      <c r="G9948" s="385" t="s">
        <v>4135</v>
      </c>
      <c r="J9948" s="556">
        <f t="shared" si="335"/>
        <v>0</v>
      </c>
    </row>
    <row r="9949" spans="6:10" ht="30" hidden="1" x14ac:dyDescent="0.25">
      <c r="F9949" s="389">
        <v>495</v>
      </c>
      <c r="G9949" s="385" t="s">
        <v>4136</v>
      </c>
      <c r="J9949" s="556">
        <f t="shared" si="335"/>
        <v>0</v>
      </c>
    </row>
    <row r="9950" spans="6:10" ht="30" hidden="1" x14ac:dyDescent="0.25">
      <c r="F9950" s="389">
        <v>496</v>
      </c>
      <c r="G9950" s="385" t="s">
        <v>4137</v>
      </c>
      <c r="J9950" s="556">
        <f t="shared" si="335"/>
        <v>0</v>
      </c>
    </row>
    <row r="9951" spans="6:10" ht="30" hidden="1" x14ac:dyDescent="0.25">
      <c r="F9951" s="389">
        <v>499</v>
      </c>
      <c r="G9951" s="385" t="s">
        <v>4138</v>
      </c>
      <c r="J9951" s="556">
        <f t="shared" si="335"/>
        <v>0</v>
      </c>
    </row>
    <row r="9952" spans="6:10" hidden="1" x14ac:dyDescent="0.25">
      <c r="F9952" s="389">
        <v>511</v>
      </c>
      <c r="G9952" s="387" t="s">
        <v>4158</v>
      </c>
      <c r="J9952" s="556">
        <f t="shared" si="335"/>
        <v>0</v>
      </c>
    </row>
    <row r="9953" spans="5:10" hidden="1" x14ac:dyDescent="0.25">
      <c r="F9953" s="389">
        <v>512</v>
      </c>
      <c r="G9953" s="387" t="s">
        <v>4159</v>
      </c>
      <c r="J9953" s="556">
        <f t="shared" si="335"/>
        <v>0</v>
      </c>
    </row>
    <row r="9954" spans="5:10" hidden="1" x14ac:dyDescent="0.25">
      <c r="F9954" s="389">
        <v>513</v>
      </c>
      <c r="G9954" s="387" t="s">
        <v>4160</v>
      </c>
      <c r="J9954" s="556">
        <f t="shared" si="335"/>
        <v>0</v>
      </c>
    </row>
    <row r="9955" spans="5:10" hidden="1" x14ac:dyDescent="0.25">
      <c r="F9955" s="389">
        <v>514</v>
      </c>
      <c r="G9955" s="385" t="s">
        <v>4161</v>
      </c>
      <c r="J9955" s="556">
        <f t="shared" si="335"/>
        <v>0</v>
      </c>
    </row>
    <row r="9956" spans="5:10" hidden="1" x14ac:dyDescent="0.25">
      <c r="F9956" s="389">
        <v>515</v>
      </c>
      <c r="G9956" s="385" t="s">
        <v>3834</v>
      </c>
      <c r="J9956" s="556">
        <f t="shared" si="335"/>
        <v>0</v>
      </c>
    </row>
    <row r="9957" spans="5:10" hidden="1" x14ac:dyDescent="0.25">
      <c r="F9957" s="389">
        <v>521</v>
      </c>
      <c r="G9957" s="385" t="s">
        <v>4162</v>
      </c>
      <c r="J9957" s="556">
        <f t="shared" si="335"/>
        <v>0</v>
      </c>
    </row>
    <row r="9958" spans="5:10" hidden="1" x14ac:dyDescent="0.25">
      <c r="F9958" s="389">
        <v>522</v>
      </c>
      <c r="G9958" s="385" t="s">
        <v>4163</v>
      </c>
      <c r="J9958" s="556">
        <f t="shared" si="335"/>
        <v>0</v>
      </c>
    </row>
    <row r="9959" spans="5:10" hidden="1" x14ac:dyDescent="0.25">
      <c r="F9959" s="389">
        <v>523</v>
      </c>
      <c r="G9959" s="385" t="s">
        <v>3839</v>
      </c>
      <c r="J9959" s="556">
        <f t="shared" si="335"/>
        <v>0</v>
      </c>
    </row>
    <row r="9960" spans="5:10" hidden="1" x14ac:dyDescent="0.25">
      <c r="F9960" s="389">
        <v>531</v>
      </c>
      <c r="G9960" s="384" t="s">
        <v>4139</v>
      </c>
      <c r="J9960" s="556">
        <f t="shared" si="335"/>
        <v>0</v>
      </c>
    </row>
    <row r="9961" spans="5:10" hidden="1" x14ac:dyDescent="0.25">
      <c r="F9961" s="389">
        <v>541</v>
      </c>
      <c r="G9961" s="385" t="s">
        <v>4164</v>
      </c>
      <c r="J9961" s="556">
        <f t="shared" si="335"/>
        <v>0</v>
      </c>
    </row>
    <row r="9962" spans="5:10" hidden="1" x14ac:dyDescent="0.25">
      <c r="F9962" s="389">
        <v>542</v>
      </c>
      <c r="G9962" s="385" t="s">
        <v>4165</v>
      </c>
      <c r="J9962" s="556">
        <f t="shared" si="335"/>
        <v>0</v>
      </c>
    </row>
    <row r="9963" spans="5:10" hidden="1" x14ac:dyDescent="0.25">
      <c r="F9963" s="389">
        <v>543</v>
      </c>
      <c r="G9963" s="385" t="s">
        <v>3844</v>
      </c>
      <c r="J9963" s="556">
        <f t="shared" si="335"/>
        <v>0</v>
      </c>
    </row>
    <row r="9964" spans="5:10" ht="30" hidden="1" x14ac:dyDescent="0.25">
      <c r="F9964" s="389">
        <v>551</v>
      </c>
      <c r="G9964" s="385" t="s">
        <v>4140</v>
      </c>
      <c r="J9964" s="556">
        <f t="shared" si="335"/>
        <v>0</v>
      </c>
    </row>
    <row r="9965" spans="5:10" hidden="1" x14ac:dyDescent="0.25">
      <c r="F9965" s="390">
        <v>611</v>
      </c>
      <c r="G9965" s="388" t="s">
        <v>3850</v>
      </c>
      <c r="J9965" s="556">
        <f t="shared" si="335"/>
        <v>0</v>
      </c>
    </row>
    <row r="9966" spans="5:10" hidden="1" x14ac:dyDescent="0.25">
      <c r="F9966" s="390">
        <v>620</v>
      </c>
      <c r="G9966" s="388" t="s">
        <v>88</v>
      </c>
      <c r="J9966" s="556">
        <f t="shared" si="335"/>
        <v>0</v>
      </c>
    </row>
    <row r="9967" spans="5:10" hidden="1" x14ac:dyDescent="0.25">
      <c r="E9967" s="489"/>
      <c r="F9967" s="390"/>
      <c r="G9967" s="343" t="s">
        <v>4300</v>
      </c>
      <c r="H9967" s="557"/>
      <c r="I9967" s="583"/>
      <c r="J9967" s="558"/>
    </row>
    <row r="9968" spans="5:10" hidden="1" x14ac:dyDescent="0.25">
      <c r="E9968" s="693"/>
      <c r="F9968" s="284" t="s">
        <v>234</v>
      </c>
      <c r="G9968" s="287" t="s">
        <v>235</v>
      </c>
      <c r="H9968" s="559">
        <f>SUM(H9907:H9966)</f>
        <v>0</v>
      </c>
      <c r="I9968" s="560"/>
      <c r="J9968" s="560">
        <f t="shared" ref="J9968:J9983" si="336">SUM(H9968:I9968)</f>
        <v>0</v>
      </c>
    </row>
    <row r="9969" spans="6:10" hidden="1" x14ac:dyDescent="0.25">
      <c r="F9969" s="284" t="s">
        <v>236</v>
      </c>
      <c r="G9969" s="287" t="s">
        <v>237</v>
      </c>
      <c r="J9969" s="560">
        <f t="shared" si="336"/>
        <v>0</v>
      </c>
    </row>
    <row r="9970" spans="6:10" hidden="1" x14ac:dyDescent="0.25">
      <c r="F9970" s="284" t="s">
        <v>238</v>
      </c>
      <c r="G9970" s="287" t="s">
        <v>239</v>
      </c>
      <c r="J9970" s="560">
        <f t="shared" si="336"/>
        <v>0</v>
      </c>
    </row>
    <row r="9971" spans="6:10" hidden="1" x14ac:dyDescent="0.25">
      <c r="F9971" s="284" t="s">
        <v>240</v>
      </c>
      <c r="G9971" s="287" t="s">
        <v>241</v>
      </c>
      <c r="J9971" s="560">
        <f t="shared" si="336"/>
        <v>0</v>
      </c>
    </row>
    <row r="9972" spans="6:10" hidden="1" x14ac:dyDescent="0.25">
      <c r="F9972" s="284" t="s">
        <v>242</v>
      </c>
      <c r="G9972" s="287" t="s">
        <v>243</v>
      </c>
      <c r="J9972" s="560">
        <f t="shared" si="336"/>
        <v>0</v>
      </c>
    </row>
    <row r="9973" spans="6:10" hidden="1" x14ac:dyDescent="0.25">
      <c r="F9973" s="284" t="s">
        <v>244</v>
      </c>
      <c r="G9973" s="287" t="s">
        <v>245</v>
      </c>
      <c r="J9973" s="560">
        <f t="shared" si="336"/>
        <v>0</v>
      </c>
    </row>
    <row r="9974" spans="6:10" hidden="1" x14ac:dyDescent="0.25">
      <c r="F9974" s="284" t="s">
        <v>246</v>
      </c>
      <c r="G9974" s="598" t="s">
        <v>4996</v>
      </c>
      <c r="J9974" s="560">
        <f t="shared" si="336"/>
        <v>0</v>
      </c>
    </row>
    <row r="9975" spans="6:10" hidden="1" x14ac:dyDescent="0.25">
      <c r="F9975" s="284" t="s">
        <v>247</v>
      </c>
      <c r="G9975" s="598" t="s">
        <v>4995</v>
      </c>
      <c r="J9975" s="560">
        <f t="shared" si="336"/>
        <v>0</v>
      </c>
    </row>
    <row r="9976" spans="6:10" hidden="1" x14ac:dyDescent="0.25">
      <c r="F9976" s="284" t="s">
        <v>248</v>
      </c>
      <c r="G9976" s="287" t="s">
        <v>57</v>
      </c>
      <c r="J9976" s="560">
        <f t="shared" si="336"/>
        <v>0</v>
      </c>
    </row>
    <row r="9977" spans="6:10" hidden="1" x14ac:dyDescent="0.25">
      <c r="F9977" s="284" t="s">
        <v>249</v>
      </c>
      <c r="G9977" s="287" t="s">
        <v>250</v>
      </c>
      <c r="J9977" s="560">
        <f t="shared" si="336"/>
        <v>0</v>
      </c>
    </row>
    <row r="9978" spans="6:10" hidden="1" x14ac:dyDescent="0.25">
      <c r="F9978" s="284" t="s">
        <v>251</v>
      </c>
      <c r="G9978" s="287" t="s">
        <v>252</v>
      </c>
      <c r="J9978" s="560">
        <f t="shared" si="336"/>
        <v>0</v>
      </c>
    </row>
    <row r="9979" spans="6:10" ht="30" hidden="1" x14ac:dyDescent="0.25">
      <c r="F9979" s="284" t="s">
        <v>253</v>
      </c>
      <c r="G9979" s="287" t="s">
        <v>254</v>
      </c>
      <c r="J9979" s="560">
        <f t="shared" si="336"/>
        <v>0</v>
      </c>
    </row>
    <row r="9980" spans="6:10" hidden="1" x14ac:dyDescent="0.25">
      <c r="F9980" s="284" t="s">
        <v>255</v>
      </c>
      <c r="G9980" s="287" t="s">
        <v>256</v>
      </c>
      <c r="J9980" s="560">
        <f t="shared" si="336"/>
        <v>0</v>
      </c>
    </row>
    <row r="9981" spans="6:10" ht="30" hidden="1" x14ac:dyDescent="0.25">
      <c r="F9981" s="284" t="s">
        <v>257</v>
      </c>
      <c r="G9981" s="287" t="s">
        <v>258</v>
      </c>
      <c r="J9981" s="560">
        <f t="shared" si="336"/>
        <v>0</v>
      </c>
    </row>
    <row r="9982" spans="6:10" hidden="1" x14ac:dyDescent="0.25">
      <c r="F9982" s="284" t="s">
        <v>259</v>
      </c>
      <c r="G9982" s="287" t="s">
        <v>260</v>
      </c>
      <c r="J9982" s="560">
        <f t="shared" si="336"/>
        <v>0</v>
      </c>
    </row>
    <row r="9983" spans="6:10" hidden="1" x14ac:dyDescent="0.25">
      <c r="F9983" s="284" t="s">
        <v>261</v>
      </c>
      <c r="G9983" s="287" t="s">
        <v>262</v>
      </c>
      <c r="H9983" s="559"/>
      <c r="I9983" s="560"/>
      <c r="J9983" s="560">
        <f t="shared" si="336"/>
        <v>0</v>
      </c>
    </row>
    <row r="9984" spans="6:10" ht="15.75" hidden="1" thickBot="1" x14ac:dyDescent="0.3">
      <c r="G9984" s="268" t="s">
        <v>4299</v>
      </c>
      <c r="H9984" s="561">
        <f>SUM(H9968:H9983)</f>
        <v>0</v>
      </c>
      <c r="I9984" s="562">
        <f>SUM(I9969:I9983)</f>
        <v>0</v>
      </c>
      <c r="J9984" s="562">
        <f>SUM(J9968:J9983)</f>
        <v>0</v>
      </c>
    </row>
    <row r="9985" spans="5:10" ht="28.5" hidden="1" collapsed="1" x14ac:dyDescent="0.25">
      <c r="E9985" s="489"/>
      <c r="F9985" s="390"/>
      <c r="G9985" s="270" t="s">
        <v>4340</v>
      </c>
      <c r="H9985" s="563"/>
      <c r="I9985" s="584"/>
      <c r="J9985" s="564"/>
    </row>
    <row r="9986" spans="5:10" hidden="1" x14ac:dyDescent="0.25">
      <c r="E9986" s="693"/>
      <c r="F9986" s="284" t="s">
        <v>234</v>
      </c>
      <c r="G9986" s="287" t="s">
        <v>235</v>
      </c>
      <c r="H9986" s="559">
        <f>SUM(H9907:H9966)</f>
        <v>0</v>
      </c>
      <c r="I9986" s="560"/>
      <c r="J9986" s="560">
        <f>SUM(H9986:I9986)</f>
        <v>0</v>
      </c>
    </row>
    <row r="9987" spans="5:10" hidden="1" x14ac:dyDescent="0.25">
      <c r="F9987" s="284" t="s">
        <v>236</v>
      </c>
      <c r="G9987" s="287" t="s">
        <v>237</v>
      </c>
      <c r="J9987" s="560">
        <f t="shared" ref="J9987:J10001" si="337">SUM(H9987:I9987)</f>
        <v>0</v>
      </c>
    </row>
    <row r="9988" spans="5:10" hidden="1" x14ac:dyDescent="0.25">
      <c r="F9988" s="284" t="s">
        <v>238</v>
      </c>
      <c r="G9988" s="287" t="s">
        <v>239</v>
      </c>
      <c r="J9988" s="560">
        <f t="shared" si="337"/>
        <v>0</v>
      </c>
    </row>
    <row r="9989" spans="5:10" hidden="1" x14ac:dyDescent="0.25">
      <c r="F9989" s="284" t="s">
        <v>240</v>
      </c>
      <c r="G9989" s="287" t="s">
        <v>241</v>
      </c>
      <c r="J9989" s="560">
        <f t="shared" si="337"/>
        <v>0</v>
      </c>
    </row>
    <row r="9990" spans="5:10" hidden="1" x14ac:dyDescent="0.25">
      <c r="F9990" s="284" t="s">
        <v>242</v>
      </c>
      <c r="G9990" s="287" t="s">
        <v>243</v>
      </c>
      <c r="J9990" s="560">
        <f t="shared" si="337"/>
        <v>0</v>
      </c>
    </row>
    <row r="9991" spans="5:10" hidden="1" x14ac:dyDescent="0.25">
      <c r="F9991" s="284" t="s">
        <v>244</v>
      </c>
      <c r="G9991" s="287" t="s">
        <v>245</v>
      </c>
      <c r="J9991" s="560">
        <f t="shared" si="337"/>
        <v>0</v>
      </c>
    </row>
    <row r="9992" spans="5:10" hidden="1" x14ac:dyDescent="0.25">
      <c r="F9992" s="284" t="s">
        <v>246</v>
      </c>
      <c r="G9992" s="598" t="s">
        <v>4996</v>
      </c>
      <c r="J9992" s="560">
        <f t="shared" si="337"/>
        <v>0</v>
      </c>
    </row>
    <row r="9993" spans="5:10" hidden="1" x14ac:dyDescent="0.25">
      <c r="F9993" s="284" t="s">
        <v>247</v>
      </c>
      <c r="G9993" s="598" t="s">
        <v>4995</v>
      </c>
      <c r="J9993" s="560">
        <f t="shared" si="337"/>
        <v>0</v>
      </c>
    </row>
    <row r="9994" spans="5:10" hidden="1" x14ac:dyDescent="0.25">
      <c r="F9994" s="284" t="s">
        <v>248</v>
      </c>
      <c r="G9994" s="287" t="s">
        <v>57</v>
      </c>
      <c r="J9994" s="560">
        <f t="shared" si="337"/>
        <v>0</v>
      </c>
    </row>
    <row r="9995" spans="5:10" hidden="1" x14ac:dyDescent="0.25">
      <c r="F9995" s="284" t="s">
        <v>249</v>
      </c>
      <c r="G9995" s="287" t="s">
        <v>250</v>
      </c>
      <c r="J9995" s="560">
        <f t="shared" si="337"/>
        <v>0</v>
      </c>
    </row>
    <row r="9996" spans="5:10" hidden="1" x14ac:dyDescent="0.25">
      <c r="F9996" s="284" t="s">
        <v>251</v>
      </c>
      <c r="G9996" s="287" t="s">
        <v>252</v>
      </c>
      <c r="J9996" s="560">
        <f t="shared" si="337"/>
        <v>0</v>
      </c>
    </row>
    <row r="9997" spans="5:10" ht="30" hidden="1" x14ac:dyDescent="0.25">
      <c r="F9997" s="284" t="s">
        <v>253</v>
      </c>
      <c r="G9997" s="287" t="s">
        <v>254</v>
      </c>
      <c r="J9997" s="560">
        <f t="shared" si="337"/>
        <v>0</v>
      </c>
    </row>
    <row r="9998" spans="5:10" hidden="1" x14ac:dyDescent="0.25">
      <c r="F9998" s="284" t="s">
        <v>255</v>
      </c>
      <c r="G9998" s="287" t="s">
        <v>256</v>
      </c>
      <c r="J9998" s="560">
        <f t="shared" si="337"/>
        <v>0</v>
      </c>
    </row>
    <row r="9999" spans="5:10" ht="30" hidden="1" x14ac:dyDescent="0.25">
      <c r="F9999" s="284" t="s">
        <v>257</v>
      </c>
      <c r="G9999" s="287" t="s">
        <v>258</v>
      </c>
      <c r="J9999" s="560">
        <f t="shared" si="337"/>
        <v>0</v>
      </c>
    </row>
    <row r="10000" spans="5:10" hidden="1" x14ac:dyDescent="0.25">
      <c r="F10000" s="284" t="s">
        <v>259</v>
      </c>
      <c r="G10000" s="287" t="s">
        <v>260</v>
      </c>
      <c r="J10000" s="560">
        <f t="shared" si="337"/>
        <v>0</v>
      </c>
    </row>
    <row r="10001" spans="1:25" hidden="1" x14ac:dyDescent="0.25">
      <c r="F10001" s="284" t="s">
        <v>261</v>
      </c>
      <c r="G10001" s="287" t="s">
        <v>262</v>
      </c>
      <c r="H10001" s="559"/>
      <c r="I10001" s="560"/>
      <c r="J10001" s="560">
        <f t="shared" si="337"/>
        <v>0</v>
      </c>
    </row>
    <row r="10002" spans="1:25" ht="15.75" hidden="1" collapsed="1" thickBot="1" x14ac:dyDescent="0.3">
      <c r="G10002" s="268" t="s">
        <v>4341</v>
      </c>
      <c r="H10002" s="561">
        <f>SUM(H9986:H10001)</f>
        <v>0</v>
      </c>
      <c r="I10002" s="562">
        <f>SUM(I9987:I10001)</f>
        <v>0</v>
      </c>
      <c r="J10002" s="562">
        <f>SUM(J9986:J10001)</f>
        <v>0</v>
      </c>
    </row>
    <row r="10003" spans="1:25" hidden="1" x14ac:dyDescent="0.25"/>
    <row r="10004" spans="1:25" s="88" customFormat="1" hidden="1" x14ac:dyDescent="0.25">
      <c r="A10004" s="258"/>
      <c r="B10004" s="288"/>
      <c r="C10004" s="302" t="s">
        <v>4342</v>
      </c>
      <c r="D10004" s="259"/>
      <c r="E10004" s="702"/>
      <c r="F10004" s="303"/>
      <c r="G10004" s="304" t="s">
        <v>4251</v>
      </c>
      <c r="H10004" s="588"/>
      <c r="I10004" s="571"/>
      <c r="J10004" s="589"/>
      <c r="K10004" s="505"/>
      <c r="L10004" s="505"/>
      <c r="M10004" s="505"/>
      <c r="N10004" s="505"/>
      <c r="O10004" s="505"/>
      <c r="P10004" s="505"/>
      <c r="Q10004" s="505"/>
      <c r="R10004" s="505"/>
      <c r="S10004" s="505"/>
      <c r="T10004" s="505"/>
      <c r="U10004" s="505"/>
      <c r="V10004" s="505"/>
      <c r="W10004" s="505"/>
      <c r="X10004" s="505"/>
      <c r="Y10004" s="505"/>
    </row>
    <row r="10005" spans="1:25" ht="30" hidden="1" x14ac:dyDescent="0.25">
      <c r="A10005" s="386"/>
      <c r="C10005" s="267"/>
      <c r="D10005" s="331">
        <v>660</v>
      </c>
      <c r="E10005" s="869"/>
      <c r="F10005" s="331"/>
      <c r="G10005" s="332" t="s">
        <v>186</v>
      </c>
    </row>
    <row r="10006" spans="1:25" hidden="1" x14ac:dyDescent="0.25">
      <c r="F10006" s="389">
        <v>411</v>
      </c>
      <c r="G10006" s="385" t="s">
        <v>4131</v>
      </c>
      <c r="J10006" s="556">
        <f>SUM(H10006:I10006)</f>
        <v>0</v>
      </c>
    </row>
    <row r="10007" spans="1:25" hidden="1" x14ac:dyDescent="0.25">
      <c r="F10007" s="389">
        <v>412</v>
      </c>
      <c r="G10007" s="384" t="s">
        <v>3766</v>
      </c>
      <c r="J10007" s="556">
        <f t="shared" ref="J10007:J10065" si="338">SUM(H10007:I10007)</f>
        <v>0</v>
      </c>
    </row>
    <row r="10008" spans="1:25" hidden="1" x14ac:dyDescent="0.25">
      <c r="F10008" s="389">
        <v>413</v>
      </c>
      <c r="G10008" s="385" t="s">
        <v>4132</v>
      </c>
      <c r="J10008" s="556">
        <f t="shared" si="338"/>
        <v>0</v>
      </c>
    </row>
    <row r="10009" spans="1:25" hidden="1" x14ac:dyDescent="0.25">
      <c r="F10009" s="389">
        <v>414</v>
      </c>
      <c r="G10009" s="385" t="s">
        <v>3769</v>
      </c>
      <c r="J10009" s="556">
        <f t="shared" si="338"/>
        <v>0</v>
      </c>
    </row>
    <row r="10010" spans="1:25" hidden="1" x14ac:dyDescent="0.25">
      <c r="F10010" s="389">
        <v>415</v>
      </c>
      <c r="G10010" s="385" t="s">
        <v>4141</v>
      </c>
      <c r="J10010" s="556">
        <f t="shared" si="338"/>
        <v>0</v>
      </c>
    </row>
    <row r="10011" spans="1:25" hidden="1" x14ac:dyDescent="0.25">
      <c r="F10011" s="389">
        <v>416</v>
      </c>
      <c r="G10011" s="385" t="s">
        <v>4142</v>
      </c>
      <c r="J10011" s="556">
        <f t="shared" si="338"/>
        <v>0</v>
      </c>
    </row>
    <row r="10012" spans="1:25" hidden="1" x14ac:dyDescent="0.25">
      <c r="F10012" s="389">
        <v>417</v>
      </c>
      <c r="G10012" s="385" t="s">
        <v>4143</v>
      </c>
      <c r="J10012" s="556">
        <f t="shared" si="338"/>
        <v>0</v>
      </c>
    </row>
    <row r="10013" spans="1:25" hidden="1" x14ac:dyDescent="0.25">
      <c r="F10013" s="389">
        <v>418</v>
      </c>
      <c r="G10013" s="385" t="s">
        <v>3775</v>
      </c>
      <c r="J10013" s="556">
        <f t="shared" si="338"/>
        <v>0</v>
      </c>
    </row>
    <row r="10014" spans="1:25" hidden="1" x14ac:dyDescent="0.25">
      <c r="F10014" s="389">
        <v>421</v>
      </c>
      <c r="G10014" s="385" t="s">
        <v>3779</v>
      </c>
      <c r="J10014" s="556">
        <f t="shared" si="338"/>
        <v>0</v>
      </c>
    </row>
    <row r="10015" spans="1:25" hidden="1" x14ac:dyDescent="0.25">
      <c r="F10015" s="389">
        <v>422</v>
      </c>
      <c r="G10015" s="385" t="s">
        <v>3780</v>
      </c>
      <c r="J10015" s="556">
        <f t="shared" si="338"/>
        <v>0</v>
      </c>
    </row>
    <row r="10016" spans="1:25" hidden="1" x14ac:dyDescent="0.25">
      <c r="F10016" s="389">
        <v>423</v>
      </c>
      <c r="G10016" s="385" t="s">
        <v>3781</v>
      </c>
      <c r="J10016" s="556">
        <f t="shared" si="338"/>
        <v>0</v>
      </c>
    </row>
    <row r="10017" spans="6:10" hidden="1" x14ac:dyDescent="0.25">
      <c r="F10017" s="389">
        <v>424</v>
      </c>
      <c r="G10017" s="385" t="s">
        <v>3783</v>
      </c>
      <c r="J10017" s="556">
        <f t="shared" si="338"/>
        <v>0</v>
      </c>
    </row>
    <row r="10018" spans="6:10" hidden="1" x14ac:dyDescent="0.25">
      <c r="F10018" s="389">
        <v>425</v>
      </c>
      <c r="G10018" s="385" t="s">
        <v>4144</v>
      </c>
      <c r="J10018" s="556">
        <f t="shared" si="338"/>
        <v>0</v>
      </c>
    </row>
    <row r="10019" spans="6:10" hidden="1" x14ac:dyDescent="0.25">
      <c r="F10019" s="389">
        <v>426</v>
      </c>
      <c r="G10019" s="385" t="s">
        <v>3787</v>
      </c>
      <c r="J10019" s="556">
        <f t="shared" si="338"/>
        <v>0</v>
      </c>
    </row>
    <row r="10020" spans="6:10" hidden="1" x14ac:dyDescent="0.25">
      <c r="F10020" s="389">
        <v>431</v>
      </c>
      <c r="G10020" s="385" t="s">
        <v>4145</v>
      </c>
      <c r="J10020" s="556">
        <f t="shared" si="338"/>
        <v>0</v>
      </c>
    </row>
    <row r="10021" spans="6:10" hidden="1" x14ac:dyDescent="0.25">
      <c r="F10021" s="389">
        <v>432</v>
      </c>
      <c r="G10021" s="385" t="s">
        <v>4146</v>
      </c>
      <c r="J10021" s="556">
        <f t="shared" si="338"/>
        <v>0</v>
      </c>
    </row>
    <row r="10022" spans="6:10" hidden="1" x14ac:dyDescent="0.25">
      <c r="F10022" s="389">
        <v>433</v>
      </c>
      <c r="G10022" s="385" t="s">
        <v>4147</v>
      </c>
      <c r="J10022" s="556">
        <f t="shared" si="338"/>
        <v>0</v>
      </c>
    </row>
    <row r="10023" spans="6:10" hidden="1" x14ac:dyDescent="0.25">
      <c r="F10023" s="389">
        <v>434</v>
      </c>
      <c r="G10023" s="385" t="s">
        <v>4148</v>
      </c>
      <c r="J10023" s="556">
        <f t="shared" si="338"/>
        <v>0</v>
      </c>
    </row>
    <row r="10024" spans="6:10" hidden="1" x14ac:dyDescent="0.25">
      <c r="F10024" s="389">
        <v>435</v>
      </c>
      <c r="G10024" s="385" t="s">
        <v>3794</v>
      </c>
      <c r="J10024" s="556">
        <f t="shared" si="338"/>
        <v>0</v>
      </c>
    </row>
    <row r="10025" spans="6:10" hidden="1" x14ac:dyDescent="0.25">
      <c r="F10025" s="389">
        <v>441</v>
      </c>
      <c r="G10025" s="385" t="s">
        <v>4149</v>
      </c>
      <c r="J10025" s="556">
        <f t="shared" si="338"/>
        <v>0</v>
      </c>
    </row>
    <row r="10026" spans="6:10" hidden="1" x14ac:dyDescent="0.25">
      <c r="F10026" s="389">
        <v>442</v>
      </c>
      <c r="G10026" s="385" t="s">
        <v>4150</v>
      </c>
      <c r="J10026" s="556">
        <f t="shared" si="338"/>
        <v>0</v>
      </c>
    </row>
    <row r="10027" spans="6:10" hidden="1" x14ac:dyDescent="0.25">
      <c r="F10027" s="389">
        <v>443</v>
      </c>
      <c r="G10027" s="385" t="s">
        <v>3799</v>
      </c>
      <c r="J10027" s="556">
        <f t="shared" si="338"/>
        <v>0</v>
      </c>
    </row>
    <row r="10028" spans="6:10" hidden="1" x14ac:dyDescent="0.25">
      <c r="F10028" s="389">
        <v>444</v>
      </c>
      <c r="G10028" s="385" t="s">
        <v>3800</v>
      </c>
      <c r="J10028" s="556">
        <f t="shared" si="338"/>
        <v>0</v>
      </c>
    </row>
    <row r="10029" spans="6:10" ht="30" hidden="1" x14ac:dyDescent="0.25">
      <c r="F10029" s="389">
        <v>4511</v>
      </c>
      <c r="G10029" s="263" t="s">
        <v>1690</v>
      </c>
      <c r="J10029" s="556">
        <f t="shared" si="338"/>
        <v>0</v>
      </c>
    </row>
    <row r="10030" spans="6:10" ht="19.5" hidden="1" customHeight="1" x14ac:dyDescent="0.25">
      <c r="F10030" s="389">
        <v>4512</v>
      </c>
      <c r="G10030" s="263" t="s">
        <v>1699</v>
      </c>
      <c r="J10030" s="556">
        <f t="shared" si="338"/>
        <v>0</v>
      </c>
    </row>
    <row r="10031" spans="6:10" hidden="1" x14ac:dyDescent="0.25">
      <c r="F10031" s="389">
        <v>452</v>
      </c>
      <c r="G10031" s="385" t="s">
        <v>4151</v>
      </c>
      <c r="J10031" s="556">
        <f t="shared" si="338"/>
        <v>0</v>
      </c>
    </row>
    <row r="10032" spans="6:10" hidden="1" x14ac:dyDescent="0.25">
      <c r="F10032" s="389">
        <v>453</v>
      </c>
      <c r="G10032" s="385" t="s">
        <v>4152</v>
      </c>
      <c r="J10032" s="556">
        <f t="shared" si="338"/>
        <v>0</v>
      </c>
    </row>
    <row r="10033" spans="6:10" hidden="1" x14ac:dyDescent="0.25">
      <c r="F10033" s="389">
        <v>454</v>
      </c>
      <c r="G10033" s="385" t="s">
        <v>3805</v>
      </c>
      <c r="J10033" s="556">
        <f t="shared" si="338"/>
        <v>0</v>
      </c>
    </row>
    <row r="10034" spans="6:10" hidden="1" x14ac:dyDescent="0.25">
      <c r="F10034" s="389">
        <v>461</v>
      </c>
      <c r="G10034" s="385" t="s">
        <v>4133</v>
      </c>
      <c r="J10034" s="556">
        <f t="shared" si="338"/>
        <v>0</v>
      </c>
    </row>
    <row r="10035" spans="6:10" hidden="1" x14ac:dyDescent="0.25">
      <c r="F10035" s="389">
        <v>462</v>
      </c>
      <c r="G10035" s="385" t="s">
        <v>3808</v>
      </c>
      <c r="J10035" s="556">
        <f t="shared" si="338"/>
        <v>0</v>
      </c>
    </row>
    <row r="10036" spans="6:10" hidden="1" x14ac:dyDescent="0.25">
      <c r="F10036" s="389">
        <v>4631</v>
      </c>
      <c r="G10036" s="385" t="s">
        <v>3809</v>
      </c>
      <c r="J10036" s="556">
        <f t="shared" si="338"/>
        <v>0</v>
      </c>
    </row>
    <row r="10037" spans="6:10" hidden="1" x14ac:dyDescent="0.25">
      <c r="F10037" s="389">
        <v>4632</v>
      </c>
      <c r="G10037" s="385" t="s">
        <v>3810</v>
      </c>
      <c r="J10037" s="556">
        <f t="shared" si="338"/>
        <v>0</v>
      </c>
    </row>
    <row r="10038" spans="6:10" hidden="1" x14ac:dyDescent="0.25">
      <c r="F10038" s="389">
        <v>464</v>
      </c>
      <c r="G10038" s="385" t="s">
        <v>3811</v>
      </c>
      <c r="J10038" s="556">
        <f t="shared" si="338"/>
        <v>0</v>
      </c>
    </row>
    <row r="10039" spans="6:10" hidden="1" x14ac:dyDescent="0.25">
      <c r="F10039" s="389">
        <v>465</v>
      </c>
      <c r="G10039" s="385" t="s">
        <v>4134</v>
      </c>
      <c r="J10039" s="556">
        <f t="shared" si="338"/>
        <v>0</v>
      </c>
    </row>
    <row r="10040" spans="6:10" hidden="1" x14ac:dyDescent="0.25">
      <c r="F10040" s="389">
        <v>472</v>
      </c>
      <c r="G10040" s="385" t="s">
        <v>3815</v>
      </c>
      <c r="J10040" s="556">
        <f t="shared" si="338"/>
        <v>0</v>
      </c>
    </row>
    <row r="10041" spans="6:10" hidden="1" x14ac:dyDescent="0.25">
      <c r="F10041" s="389">
        <v>481</v>
      </c>
      <c r="G10041" s="385" t="s">
        <v>4153</v>
      </c>
      <c r="J10041" s="556">
        <f t="shared" si="338"/>
        <v>0</v>
      </c>
    </row>
    <row r="10042" spans="6:10" hidden="1" x14ac:dyDescent="0.25">
      <c r="F10042" s="389">
        <v>482</v>
      </c>
      <c r="G10042" s="385" t="s">
        <v>4154</v>
      </c>
      <c r="J10042" s="556">
        <f t="shared" si="338"/>
        <v>0</v>
      </c>
    </row>
    <row r="10043" spans="6:10" hidden="1" x14ac:dyDescent="0.25">
      <c r="F10043" s="389">
        <v>483</v>
      </c>
      <c r="G10043" s="387" t="s">
        <v>4155</v>
      </c>
      <c r="J10043" s="556">
        <f t="shared" si="338"/>
        <v>0</v>
      </c>
    </row>
    <row r="10044" spans="6:10" ht="30" hidden="1" x14ac:dyDescent="0.25">
      <c r="F10044" s="389">
        <v>484</v>
      </c>
      <c r="G10044" s="385" t="s">
        <v>4156</v>
      </c>
      <c r="J10044" s="556">
        <f t="shared" si="338"/>
        <v>0</v>
      </c>
    </row>
    <row r="10045" spans="6:10" ht="30" hidden="1" x14ac:dyDescent="0.25">
      <c r="F10045" s="389">
        <v>485</v>
      </c>
      <c r="G10045" s="385" t="s">
        <v>4157</v>
      </c>
      <c r="J10045" s="556">
        <f t="shared" si="338"/>
        <v>0</v>
      </c>
    </row>
    <row r="10046" spans="6:10" ht="30" hidden="1" x14ac:dyDescent="0.25">
      <c r="F10046" s="389">
        <v>489</v>
      </c>
      <c r="G10046" s="385" t="s">
        <v>3823</v>
      </c>
      <c r="J10046" s="556">
        <f t="shared" si="338"/>
        <v>0</v>
      </c>
    </row>
    <row r="10047" spans="6:10" hidden="1" x14ac:dyDescent="0.25">
      <c r="F10047" s="389">
        <v>494</v>
      </c>
      <c r="G10047" s="385" t="s">
        <v>4135</v>
      </c>
      <c r="J10047" s="556">
        <f t="shared" si="338"/>
        <v>0</v>
      </c>
    </row>
    <row r="10048" spans="6:10" ht="30" hidden="1" x14ac:dyDescent="0.25">
      <c r="F10048" s="389">
        <v>495</v>
      </c>
      <c r="G10048" s="385" t="s">
        <v>4136</v>
      </c>
      <c r="J10048" s="556">
        <f t="shared" si="338"/>
        <v>0</v>
      </c>
    </row>
    <row r="10049" spans="6:10" ht="30" hidden="1" x14ac:dyDescent="0.25">
      <c r="F10049" s="389">
        <v>496</v>
      </c>
      <c r="G10049" s="385" t="s">
        <v>4137</v>
      </c>
      <c r="J10049" s="556">
        <f t="shared" si="338"/>
        <v>0</v>
      </c>
    </row>
    <row r="10050" spans="6:10" ht="30" hidden="1" x14ac:dyDescent="0.25">
      <c r="F10050" s="389">
        <v>499</v>
      </c>
      <c r="G10050" s="385" t="s">
        <v>4138</v>
      </c>
      <c r="J10050" s="556">
        <f t="shared" si="338"/>
        <v>0</v>
      </c>
    </row>
    <row r="10051" spans="6:10" hidden="1" x14ac:dyDescent="0.25">
      <c r="F10051" s="389">
        <v>511</v>
      </c>
      <c r="G10051" s="387" t="s">
        <v>4158</v>
      </c>
      <c r="J10051" s="556">
        <f t="shared" si="338"/>
        <v>0</v>
      </c>
    </row>
    <row r="10052" spans="6:10" hidden="1" x14ac:dyDescent="0.25">
      <c r="F10052" s="389">
        <v>512</v>
      </c>
      <c r="G10052" s="387" t="s">
        <v>4159</v>
      </c>
      <c r="J10052" s="556">
        <f t="shared" si="338"/>
        <v>0</v>
      </c>
    </row>
    <row r="10053" spans="6:10" hidden="1" x14ac:dyDescent="0.25">
      <c r="F10053" s="389">
        <v>513</v>
      </c>
      <c r="G10053" s="387" t="s">
        <v>4160</v>
      </c>
      <c r="J10053" s="556">
        <f t="shared" si="338"/>
        <v>0</v>
      </c>
    </row>
    <row r="10054" spans="6:10" hidden="1" x14ac:dyDescent="0.25">
      <c r="F10054" s="389">
        <v>514</v>
      </c>
      <c r="G10054" s="385" t="s">
        <v>4161</v>
      </c>
      <c r="J10054" s="556">
        <f t="shared" si="338"/>
        <v>0</v>
      </c>
    </row>
    <row r="10055" spans="6:10" hidden="1" x14ac:dyDescent="0.25">
      <c r="F10055" s="389">
        <v>515</v>
      </c>
      <c r="G10055" s="385" t="s">
        <v>3834</v>
      </c>
      <c r="J10055" s="556">
        <f t="shared" si="338"/>
        <v>0</v>
      </c>
    </row>
    <row r="10056" spans="6:10" hidden="1" x14ac:dyDescent="0.25">
      <c r="F10056" s="389">
        <v>521</v>
      </c>
      <c r="G10056" s="385" t="s">
        <v>4162</v>
      </c>
      <c r="J10056" s="556">
        <f t="shared" si="338"/>
        <v>0</v>
      </c>
    </row>
    <row r="10057" spans="6:10" hidden="1" x14ac:dyDescent="0.25">
      <c r="F10057" s="389">
        <v>522</v>
      </c>
      <c r="G10057" s="385" t="s">
        <v>4163</v>
      </c>
      <c r="J10057" s="556">
        <f t="shared" si="338"/>
        <v>0</v>
      </c>
    </row>
    <row r="10058" spans="6:10" hidden="1" x14ac:dyDescent="0.25">
      <c r="F10058" s="389">
        <v>523</v>
      </c>
      <c r="G10058" s="385" t="s">
        <v>3839</v>
      </c>
      <c r="J10058" s="556">
        <f t="shared" si="338"/>
        <v>0</v>
      </c>
    </row>
    <row r="10059" spans="6:10" hidden="1" x14ac:dyDescent="0.25">
      <c r="F10059" s="389">
        <v>531</v>
      </c>
      <c r="G10059" s="384" t="s">
        <v>4139</v>
      </c>
      <c r="J10059" s="556">
        <f t="shared" si="338"/>
        <v>0</v>
      </c>
    </row>
    <row r="10060" spans="6:10" hidden="1" x14ac:dyDescent="0.25">
      <c r="F10060" s="389">
        <v>541</v>
      </c>
      <c r="G10060" s="385" t="s">
        <v>4164</v>
      </c>
      <c r="J10060" s="556">
        <f t="shared" si="338"/>
        <v>0</v>
      </c>
    </row>
    <row r="10061" spans="6:10" hidden="1" x14ac:dyDescent="0.25">
      <c r="F10061" s="389">
        <v>542</v>
      </c>
      <c r="G10061" s="385" t="s">
        <v>4165</v>
      </c>
      <c r="J10061" s="556">
        <f t="shared" si="338"/>
        <v>0</v>
      </c>
    </row>
    <row r="10062" spans="6:10" hidden="1" x14ac:dyDescent="0.25">
      <c r="F10062" s="389">
        <v>543</v>
      </c>
      <c r="G10062" s="385" t="s">
        <v>3844</v>
      </c>
      <c r="J10062" s="556">
        <f t="shared" si="338"/>
        <v>0</v>
      </c>
    </row>
    <row r="10063" spans="6:10" ht="30" hidden="1" x14ac:dyDescent="0.25">
      <c r="F10063" s="389">
        <v>551</v>
      </c>
      <c r="G10063" s="385" t="s">
        <v>4140</v>
      </c>
      <c r="J10063" s="556">
        <f t="shared" si="338"/>
        <v>0</v>
      </c>
    </row>
    <row r="10064" spans="6:10" hidden="1" x14ac:dyDescent="0.25">
      <c r="F10064" s="390">
        <v>611</v>
      </c>
      <c r="G10064" s="388" t="s">
        <v>3850</v>
      </c>
      <c r="J10064" s="556">
        <f t="shared" si="338"/>
        <v>0</v>
      </c>
    </row>
    <row r="10065" spans="5:10" hidden="1" x14ac:dyDescent="0.25">
      <c r="F10065" s="390">
        <v>620</v>
      </c>
      <c r="G10065" s="388" t="s">
        <v>88</v>
      </c>
      <c r="J10065" s="556">
        <f t="shared" si="338"/>
        <v>0</v>
      </c>
    </row>
    <row r="10066" spans="5:10" hidden="1" x14ac:dyDescent="0.25">
      <c r="E10066" s="489"/>
      <c r="F10066" s="390"/>
      <c r="G10066" s="343" t="s">
        <v>4337</v>
      </c>
      <c r="H10066" s="557"/>
      <c r="I10066" s="583"/>
      <c r="J10066" s="558"/>
    </row>
    <row r="10067" spans="5:10" hidden="1" x14ac:dyDescent="0.25">
      <c r="E10067" s="693"/>
      <c r="F10067" s="284" t="s">
        <v>234</v>
      </c>
      <c r="G10067" s="287" t="s">
        <v>235</v>
      </c>
      <c r="H10067" s="559">
        <f>SUM(H10006:H10065)</f>
        <v>0</v>
      </c>
      <c r="I10067" s="560"/>
      <c r="J10067" s="560">
        <f t="shared" ref="J10067:J10082" si="339">SUM(H10067:I10067)</f>
        <v>0</v>
      </c>
    </row>
    <row r="10068" spans="5:10" hidden="1" x14ac:dyDescent="0.25">
      <c r="F10068" s="284" t="s">
        <v>236</v>
      </c>
      <c r="G10068" s="287" t="s">
        <v>237</v>
      </c>
      <c r="J10068" s="560">
        <f t="shared" si="339"/>
        <v>0</v>
      </c>
    </row>
    <row r="10069" spans="5:10" hidden="1" x14ac:dyDescent="0.25">
      <c r="F10069" s="284" t="s">
        <v>238</v>
      </c>
      <c r="G10069" s="287" t="s">
        <v>239</v>
      </c>
      <c r="J10069" s="560">
        <f t="shared" si="339"/>
        <v>0</v>
      </c>
    </row>
    <row r="10070" spans="5:10" hidden="1" x14ac:dyDescent="0.25">
      <c r="F10070" s="284" t="s">
        <v>240</v>
      </c>
      <c r="G10070" s="287" t="s">
        <v>241</v>
      </c>
      <c r="J10070" s="560">
        <f t="shared" si="339"/>
        <v>0</v>
      </c>
    </row>
    <row r="10071" spans="5:10" hidden="1" x14ac:dyDescent="0.25">
      <c r="F10071" s="284" t="s">
        <v>242</v>
      </c>
      <c r="G10071" s="287" t="s">
        <v>243</v>
      </c>
      <c r="J10071" s="560">
        <f t="shared" si="339"/>
        <v>0</v>
      </c>
    </row>
    <row r="10072" spans="5:10" hidden="1" x14ac:dyDescent="0.25">
      <c r="F10072" s="284" t="s">
        <v>244</v>
      </c>
      <c r="G10072" s="287" t="s">
        <v>245</v>
      </c>
      <c r="J10072" s="560">
        <f t="shared" si="339"/>
        <v>0</v>
      </c>
    </row>
    <row r="10073" spans="5:10" hidden="1" x14ac:dyDescent="0.25">
      <c r="F10073" s="284" t="s">
        <v>246</v>
      </c>
      <c r="G10073" s="598" t="s">
        <v>4996</v>
      </c>
      <c r="J10073" s="560">
        <f t="shared" si="339"/>
        <v>0</v>
      </c>
    </row>
    <row r="10074" spans="5:10" hidden="1" x14ac:dyDescent="0.25">
      <c r="F10074" s="284" t="s">
        <v>247</v>
      </c>
      <c r="G10074" s="598" t="s">
        <v>4995</v>
      </c>
      <c r="J10074" s="560">
        <f t="shared" si="339"/>
        <v>0</v>
      </c>
    </row>
    <row r="10075" spans="5:10" hidden="1" x14ac:dyDescent="0.25">
      <c r="F10075" s="284" t="s">
        <v>248</v>
      </c>
      <c r="G10075" s="287" t="s">
        <v>57</v>
      </c>
      <c r="J10075" s="560">
        <f t="shared" si="339"/>
        <v>0</v>
      </c>
    </row>
    <row r="10076" spans="5:10" hidden="1" x14ac:dyDescent="0.25">
      <c r="F10076" s="284" t="s">
        <v>249</v>
      </c>
      <c r="G10076" s="287" t="s">
        <v>250</v>
      </c>
      <c r="J10076" s="560">
        <f t="shared" si="339"/>
        <v>0</v>
      </c>
    </row>
    <row r="10077" spans="5:10" hidden="1" x14ac:dyDescent="0.25">
      <c r="F10077" s="284" t="s">
        <v>251</v>
      </c>
      <c r="G10077" s="287" t="s">
        <v>252</v>
      </c>
      <c r="J10077" s="560">
        <f t="shared" si="339"/>
        <v>0</v>
      </c>
    </row>
    <row r="10078" spans="5:10" ht="30" hidden="1" x14ac:dyDescent="0.25">
      <c r="F10078" s="284" t="s">
        <v>253</v>
      </c>
      <c r="G10078" s="287" t="s">
        <v>254</v>
      </c>
      <c r="J10078" s="560">
        <f t="shared" si="339"/>
        <v>0</v>
      </c>
    </row>
    <row r="10079" spans="5:10" hidden="1" x14ac:dyDescent="0.25">
      <c r="F10079" s="284" t="s">
        <v>255</v>
      </c>
      <c r="G10079" s="287" t="s">
        <v>256</v>
      </c>
      <c r="J10079" s="560">
        <f t="shared" si="339"/>
        <v>0</v>
      </c>
    </row>
    <row r="10080" spans="5:10" ht="30" hidden="1" x14ac:dyDescent="0.25">
      <c r="F10080" s="284" t="s">
        <v>257</v>
      </c>
      <c r="G10080" s="287" t="s">
        <v>258</v>
      </c>
      <c r="J10080" s="560">
        <f t="shared" si="339"/>
        <v>0</v>
      </c>
    </row>
    <row r="10081" spans="5:10" hidden="1" x14ac:dyDescent="0.25">
      <c r="F10081" s="284" t="s">
        <v>259</v>
      </c>
      <c r="G10081" s="287" t="s">
        <v>260</v>
      </c>
      <c r="J10081" s="560">
        <f t="shared" si="339"/>
        <v>0</v>
      </c>
    </row>
    <row r="10082" spans="5:10" hidden="1" x14ac:dyDescent="0.25">
      <c r="F10082" s="284" t="s">
        <v>261</v>
      </c>
      <c r="G10082" s="287" t="s">
        <v>262</v>
      </c>
      <c r="H10082" s="559"/>
      <c r="I10082" s="560"/>
      <c r="J10082" s="560">
        <f t="shared" si="339"/>
        <v>0</v>
      </c>
    </row>
    <row r="10083" spans="5:10" ht="15.75" hidden="1" thickBot="1" x14ac:dyDescent="0.3">
      <c r="G10083" s="268" t="s">
        <v>4338</v>
      </c>
      <c r="H10083" s="561">
        <f>SUM(H10067:H10082)</f>
        <v>0</v>
      </c>
      <c r="I10083" s="562">
        <f>SUM(I10068:I10082)</f>
        <v>0</v>
      </c>
      <c r="J10083" s="562">
        <f>SUM(J10067:J10082)</f>
        <v>0</v>
      </c>
    </row>
    <row r="10084" spans="5:10" ht="28.5" hidden="1" collapsed="1" x14ac:dyDescent="0.25">
      <c r="E10084" s="489"/>
      <c r="F10084" s="390"/>
      <c r="G10084" s="270" t="s">
        <v>4344</v>
      </c>
      <c r="H10084" s="563"/>
      <c r="I10084" s="584"/>
      <c r="J10084" s="564"/>
    </row>
    <row r="10085" spans="5:10" hidden="1" x14ac:dyDescent="0.25">
      <c r="E10085" s="693"/>
      <c r="F10085" s="284" t="s">
        <v>234</v>
      </c>
      <c r="G10085" s="287" t="s">
        <v>235</v>
      </c>
      <c r="H10085" s="559">
        <f>SUM(H10006:H10065)</f>
        <v>0</v>
      </c>
      <c r="I10085" s="560"/>
      <c r="J10085" s="560">
        <f>SUM(H10085:I10085)</f>
        <v>0</v>
      </c>
    </row>
    <row r="10086" spans="5:10" hidden="1" x14ac:dyDescent="0.25">
      <c r="F10086" s="284" t="s">
        <v>236</v>
      </c>
      <c r="G10086" s="287" t="s">
        <v>237</v>
      </c>
      <c r="J10086" s="560">
        <f t="shared" ref="J10086:J10100" si="340">SUM(H10086:I10086)</f>
        <v>0</v>
      </c>
    </row>
    <row r="10087" spans="5:10" hidden="1" x14ac:dyDescent="0.25">
      <c r="F10087" s="284" t="s">
        <v>238</v>
      </c>
      <c r="G10087" s="287" t="s">
        <v>239</v>
      </c>
      <c r="J10087" s="560">
        <f t="shared" si="340"/>
        <v>0</v>
      </c>
    </row>
    <row r="10088" spans="5:10" hidden="1" x14ac:dyDescent="0.25">
      <c r="F10088" s="284" t="s">
        <v>240</v>
      </c>
      <c r="G10088" s="287" t="s">
        <v>241</v>
      </c>
      <c r="J10088" s="560">
        <f t="shared" si="340"/>
        <v>0</v>
      </c>
    </row>
    <row r="10089" spans="5:10" hidden="1" x14ac:dyDescent="0.25">
      <c r="F10089" s="284" t="s">
        <v>242</v>
      </c>
      <c r="G10089" s="287" t="s">
        <v>243</v>
      </c>
      <c r="J10089" s="560">
        <f t="shared" si="340"/>
        <v>0</v>
      </c>
    </row>
    <row r="10090" spans="5:10" hidden="1" x14ac:dyDescent="0.25">
      <c r="F10090" s="284" t="s">
        <v>244</v>
      </c>
      <c r="G10090" s="287" t="s">
        <v>245</v>
      </c>
      <c r="J10090" s="560">
        <f t="shared" si="340"/>
        <v>0</v>
      </c>
    </row>
    <row r="10091" spans="5:10" hidden="1" x14ac:dyDescent="0.25">
      <c r="F10091" s="284" t="s">
        <v>246</v>
      </c>
      <c r="G10091" s="598" t="s">
        <v>4996</v>
      </c>
      <c r="J10091" s="560">
        <f t="shared" si="340"/>
        <v>0</v>
      </c>
    </row>
    <row r="10092" spans="5:10" hidden="1" x14ac:dyDescent="0.25">
      <c r="F10092" s="284" t="s">
        <v>247</v>
      </c>
      <c r="G10092" s="598" t="s">
        <v>4995</v>
      </c>
      <c r="J10092" s="560">
        <f t="shared" si="340"/>
        <v>0</v>
      </c>
    </row>
    <row r="10093" spans="5:10" hidden="1" x14ac:dyDescent="0.25">
      <c r="F10093" s="284" t="s">
        <v>248</v>
      </c>
      <c r="G10093" s="287" t="s">
        <v>57</v>
      </c>
      <c r="J10093" s="560">
        <f t="shared" si="340"/>
        <v>0</v>
      </c>
    </row>
    <row r="10094" spans="5:10" hidden="1" x14ac:dyDescent="0.25">
      <c r="F10094" s="284" t="s">
        <v>249</v>
      </c>
      <c r="G10094" s="287" t="s">
        <v>250</v>
      </c>
      <c r="J10094" s="560">
        <f t="shared" si="340"/>
        <v>0</v>
      </c>
    </row>
    <row r="10095" spans="5:10" hidden="1" x14ac:dyDescent="0.25">
      <c r="F10095" s="284" t="s">
        <v>251</v>
      </c>
      <c r="G10095" s="287" t="s">
        <v>252</v>
      </c>
      <c r="J10095" s="560">
        <f t="shared" si="340"/>
        <v>0</v>
      </c>
    </row>
    <row r="10096" spans="5:10" ht="30" hidden="1" x14ac:dyDescent="0.25">
      <c r="F10096" s="284" t="s">
        <v>253</v>
      </c>
      <c r="G10096" s="287" t="s">
        <v>254</v>
      </c>
      <c r="J10096" s="560">
        <f t="shared" si="340"/>
        <v>0</v>
      </c>
    </row>
    <row r="10097" spans="1:25" hidden="1" x14ac:dyDescent="0.25">
      <c r="F10097" s="284" t="s">
        <v>255</v>
      </c>
      <c r="G10097" s="287" t="s">
        <v>256</v>
      </c>
      <c r="J10097" s="560">
        <f t="shared" si="340"/>
        <v>0</v>
      </c>
    </row>
    <row r="10098" spans="1:25" ht="30" hidden="1" x14ac:dyDescent="0.25">
      <c r="F10098" s="284" t="s">
        <v>257</v>
      </c>
      <c r="G10098" s="287" t="s">
        <v>258</v>
      </c>
      <c r="J10098" s="560">
        <f t="shared" si="340"/>
        <v>0</v>
      </c>
    </row>
    <row r="10099" spans="1:25" hidden="1" x14ac:dyDescent="0.25">
      <c r="F10099" s="284" t="s">
        <v>259</v>
      </c>
      <c r="G10099" s="287" t="s">
        <v>260</v>
      </c>
      <c r="J10099" s="560">
        <f t="shared" si="340"/>
        <v>0</v>
      </c>
    </row>
    <row r="10100" spans="1:25" hidden="1" x14ac:dyDescent="0.25">
      <c r="F10100" s="284" t="s">
        <v>261</v>
      </c>
      <c r="G10100" s="287" t="s">
        <v>262</v>
      </c>
      <c r="H10100" s="559"/>
      <c r="I10100" s="560"/>
      <c r="J10100" s="560">
        <f t="shared" si="340"/>
        <v>0</v>
      </c>
    </row>
    <row r="10101" spans="1:25" ht="15.75" hidden="1" collapsed="1" thickBot="1" x14ac:dyDescent="0.3">
      <c r="G10101" s="268" t="s">
        <v>4345</v>
      </c>
      <c r="H10101" s="561">
        <f>SUM(H10085:H10100)</f>
        <v>0</v>
      </c>
      <c r="I10101" s="562">
        <f>SUM(I10086:I10100)</f>
        <v>0</v>
      </c>
      <c r="J10101" s="562">
        <f>SUM(J10085:J10100)</f>
        <v>0</v>
      </c>
    </row>
    <row r="10102" spans="1:25" hidden="1" x14ac:dyDescent="0.25"/>
    <row r="10103" spans="1:25" s="88" customFormat="1" hidden="1" x14ac:dyDescent="0.25">
      <c r="A10103" s="258"/>
      <c r="E10103" s="877"/>
      <c r="K10103" s="505"/>
      <c r="L10103" s="505"/>
      <c r="M10103" s="505"/>
      <c r="N10103" s="505"/>
      <c r="O10103" s="505"/>
      <c r="P10103" s="505"/>
      <c r="Q10103" s="505"/>
      <c r="R10103" s="505"/>
      <c r="S10103" s="505"/>
      <c r="T10103" s="505"/>
      <c r="U10103" s="505"/>
      <c r="V10103" s="505"/>
      <c r="W10103" s="505"/>
      <c r="X10103" s="505"/>
      <c r="Y10103" s="505"/>
    </row>
    <row r="10104" spans="1:25" hidden="1" x14ac:dyDescent="0.25">
      <c r="A10104" s="88"/>
      <c r="B10104" s="84"/>
      <c r="C10104" s="84"/>
      <c r="D10104" s="84"/>
      <c r="E10104" s="878"/>
      <c r="F10104" s="84"/>
      <c r="G10104" s="84"/>
      <c r="H10104" s="84"/>
      <c r="I10104" s="84"/>
      <c r="J10104" s="84"/>
    </row>
    <row r="10105" spans="1:25" hidden="1" x14ac:dyDescent="0.25">
      <c r="A10105" s="84"/>
      <c r="B10105" s="84"/>
      <c r="C10105" s="84"/>
      <c r="D10105" s="84"/>
      <c r="E10105" s="878"/>
      <c r="F10105" s="84"/>
      <c r="G10105" s="84"/>
      <c r="H10105" s="84"/>
      <c r="I10105" s="84"/>
      <c r="J10105" s="84"/>
    </row>
    <row r="10106" spans="1:25" hidden="1" x14ac:dyDescent="0.25">
      <c r="A10106" s="84"/>
      <c r="B10106" s="84"/>
      <c r="C10106" s="84"/>
      <c r="D10106" s="84"/>
      <c r="E10106" s="878"/>
      <c r="F10106" s="84"/>
      <c r="G10106" s="84"/>
      <c r="H10106" s="84"/>
      <c r="I10106" s="84"/>
      <c r="J10106" s="84"/>
    </row>
    <row r="10107" spans="1:25" hidden="1" x14ac:dyDescent="0.25">
      <c r="A10107" s="84"/>
      <c r="B10107" s="84"/>
      <c r="C10107" s="84"/>
      <c r="D10107" s="84"/>
      <c r="E10107" s="878"/>
      <c r="F10107" s="84"/>
      <c r="G10107" s="84"/>
      <c r="H10107" s="84"/>
      <c r="I10107" s="84"/>
      <c r="J10107" s="84"/>
    </row>
    <row r="10108" spans="1:25" hidden="1" x14ac:dyDescent="0.25">
      <c r="A10108" s="84"/>
      <c r="B10108" s="84"/>
      <c r="C10108" s="84"/>
      <c r="D10108" s="84"/>
      <c r="E10108" s="878"/>
      <c r="F10108" s="84"/>
      <c r="G10108" s="84"/>
      <c r="H10108" s="84"/>
      <c r="I10108" s="84"/>
      <c r="J10108" s="84"/>
    </row>
    <row r="10109" spans="1:25" hidden="1" x14ac:dyDescent="0.25">
      <c r="A10109" s="84"/>
      <c r="B10109" s="84"/>
      <c r="C10109" s="84"/>
      <c r="D10109" s="84"/>
      <c r="E10109" s="878"/>
      <c r="F10109" s="84"/>
      <c r="G10109" s="84"/>
      <c r="H10109" s="84"/>
      <c r="I10109" s="84"/>
      <c r="J10109" s="84"/>
    </row>
    <row r="10110" spans="1:25" hidden="1" x14ac:dyDescent="0.25">
      <c r="A10110" s="84"/>
      <c r="B10110" s="84"/>
      <c r="C10110" s="84"/>
      <c r="D10110" s="84"/>
      <c r="E10110" s="878"/>
      <c r="F10110" s="84"/>
      <c r="G10110" s="84"/>
      <c r="H10110" s="84"/>
      <c r="I10110" s="84"/>
      <c r="J10110" s="84"/>
    </row>
    <row r="10111" spans="1:25" hidden="1" x14ac:dyDescent="0.25">
      <c r="A10111" s="84"/>
      <c r="B10111" s="84"/>
      <c r="C10111" s="84"/>
      <c r="D10111" s="84"/>
      <c r="E10111" s="878"/>
      <c r="F10111" s="84"/>
      <c r="G10111" s="84"/>
      <c r="H10111" s="84"/>
      <c r="I10111" s="84"/>
      <c r="J10111" s="84"/>
    </row>
    <row r="10112" spans="1:25" hidden="1" x14ac:dyDescent="0.25">
      <c r="A10112" s="84"/>
      <c r="B10112" s="84"/>
      <c r="C10112" s="84"/>
      <c r="D10112" s="84"/>
      <c r="E10112" s="878"/>
      <c r="F10112" s="84"/>
      <c r="G10112" s="84"/>
      <c r="H10112" s="84"/>
      <c r="I10112" s="84"/>
      <c r="J10112" s="84"/>
    </row>
    <row r="10113" spans="1:10" hidden="1" x14ac:dyDescent="0.25">
      <c r="A10113" s="84"/>
      <c r="B10113" s="84"/>
      <c r="C10113" s="84"/>
      <c r="D10113" s="84"/>
      <c r="E10113" s="878"/>
      <c r="F10113" s="84"/>
      <c r="G10113" s="84"/>
      <c r="H10113" s="84"/>
      <c r="I10113" s="84"/>
      <c r="J10113" s="84"/>
    </row>
    <row r="10114" spans="1:10" hidden="1" x14ac:dyDescent="0.25">
      <c r="A10114" s="84"/>
      <c r="B10114" s="84"/>
      <c r="C10114" s="84"/>
      <c r="D10114" s="84"/>
      <c r="E10114" s="878"/>
      <c r="F10114" s="84"/>
      <c r="G10114" s="84"/>
      <c r="H10114" s="84"/>
      <c r="I10114" s="84"/>
      <c r="J10114" s="84"/>
    </row>
    <row r="10115" spans="1:10" hidden="1" x14ac:dyDescent="0.25">
      <c r="A10115" s="84"/>
      <c r="B10115" s="84"/>
      <c r="C10115" s="84"/>
      <c r="D10115" s="84"/>
      <c r="E10115" s="878"/>
      <c r="F10115" s="84"/>
      <c r="G10115" s="84"/>
      <c r="H10115" s="84"/>
      <c r="I10115" s="84"/>
      <c r="J10115" s="84"/>
    </row>
    <row r="10116" spans="1:10" hidden="1" x14ac:dyDescent="0.25">
      <c r="A10116" s="84"/>
      <c r="B10116" s="84"/>
      <c r="C10116" s="84"/>
      <c r="D10116" s="84"/>
      <c r="E10116" s="878"/>
      <c r="F10116" s="84"/>
      <c r="G10116" s="84"/>
      <c r="H10116" s="84"/>
      <c r="I10116" s="84"/>
      <c r="J10116" s="84"/>
    </row>
    <row r="10117" spans="1:10" hidden="1" x14ac:dyDescent="0.25">
      <c r="A10117" s="84"/>
      <c r="B10117" s="84"/>
      <c r="C10117" s="84"/>
      <c r="D10117" s="84"/>
      <c r="E10117" s="878"/>
      <c r="F10117" s="84"/>
      <c r="G10117" s="84"/>
      <c r="H10117" s="84"/>
      <c r="I10117" s="84"/>
      <c r="J10117" s="84"/>
    </row>
    <row r="10118" spans="1:10" hidden="1" x14ac:dyDescent="0.25">
      <c r="A10118" s="84"/>
      <c r="B10118" s="84"/>
      <c r="C10118" s="84"/>
      <c r="D10118" s="84"/>
      <c r="E10118" s="878"/>
      <c r="F10118" s="84"/>
      <c r="G10118" s="84"/>
      <c r="H10118" s="84"/>
      <c r="I10118" s="84"/>
      <c r="J10118" s="84"/>
    </row>
    <row r="10119" spans="1:10" hidden="1" x14ac:dyDescent="0.25">
      <c r="A10119" s="84"/>
      <c r="B10119" s="84"/>
      <c r="C10119" s="84"/>
      <c r="D10119" s="84"/>
      <c r="E10119" s="878"/>
      <c r="F10119" s="84"/>
      <c r="G10119" s="84"/>
      <c r="H10119" s="84"/>
      <c r="I10119" s="84"/>
      <c r="J10119" s="84"/>
    </row>
    <row r="10120" spans="1:10" hidden="1" x14ac:dyDescent="0.25">
      <c r="A10120" s="84"/>
      <c r="B10120" s="84"/>
      <c r="C10120" s="84"/>
      <c r="D10120" s="84"/>
      <c r="E10120" s="878"/>
      <c r="F10120" s="84"/>
      <c r="G10120" s="84"/>
      <c r="H10120" s="84"/>
      <c r="I10120" s="84"/>
      <c r="J10120" s="84"/>
    </row>
    <row r="10121" spans="1:10" hidden="1" x14ac:dyDescent="0.25">
      <c r="A10121" s="84"/>
      <c r="B10121" s="84"/>
      <c r="C10121" s="84"/>
      <c r="D10121" s="84"/>
      <c r="E10121" s="878"/>
      <c r="F10121" s="84"/>
      <c r="G10121" s="84"/>
      <c r="H10121" s="84"/>
      <c r="I10121" s="84"/>
      <c r="J10121" s="84"/>
    </row>
    <row r="10122" spans="1:10" hidden="1" x14ac:dyDescent="0.25">
      <c r="A10122" s="84"/>
      <c r="B10122" s="84"/>
      <c r="C10122" s="84"/>
      <c r="D10122" s="84"/>
      <c r="E10122" s="878"/>
      <c r="F10122" s="84"/>
      <c r="G10122" s="84"/>
      <c r="H10122" s="84"/>
      <c r="I10122" s="84"/>
      <c r="J10122" s="84"/>
    </row>
    <row r="10123" spans="1:10" hidden="1" x14ac:dyDescent="0.25">
      <c r="A10123" s="84"/>
      <c r="B10123" s="84"/>
      <c r="C10123" s="84"/>
      <c r="D10123" s="84"/>
      <c r="E10123" s="878"/>
      <c r="F10123" s="84"/>
      <c r="G10123" s="84"/>
      <c r="H10123" s="84"/>
      <c r="I10123" s="84"/>
      <c r="J10123" s="84"/>
    </row>
    <row r="10124" spans="1:10" hidden="1" x14ac:dyDescent="0.25">
      <c r="A10124" s="84"/>
      <c r="B10124" s="84"/>
      <c r="C10124" s="84"/>
      <c r="D10124" s="84"/>
      <c r="E10124" s="878"/>
      <c r="F10124" s="84"/>
      <c r="G10124" s="84"/>
      <c r="H10124" s="84"/>
      <c r="I10124" s="84"/>
      <c r="J10124" s="84"/>
    </row>
    <row r="10125" spans="1:10" hidden="1" x14ac:dyDescent="0.25">
      <c r="A10125" s="84"/>
      <c r="B10125" s="84"/>
      <c r="C10125" s="84"/>
      <c r="D10125" s="84"/>
      <c r="E10125" s="878"/>
      <c r="F10125" s="84"/>
      <c r="G10125" s="84"/>
      <c r="H10125" s="84"/>
      <c r="I10125" s="84"/>
      <c r="J10125" s="84"/>
    </row>
    <row r="10126" spans="1:10" hidden="1" x14ac:dyDescent="0.25">
      <c r="A10126" s="84"/>
      <c r="B10126" s="84"/>
      <c r="C10126" s="84"/>
      <c r="D10126" s="84"/>
      <c r="E10126" s="878"/>
      <c r="F10126" s="84"/>
      <c r="G10126" s="84"/>
      <c r="H10126" s="84"/>
      <c r="I10126" s="84"/>
      <c r="J10126" s="84"/>
    </row>
    <row r="10127" spans="1:10" hidden="1" x14ac:dyDescent="0.25">
      <c r="A10127" s="84"/>
      <c r="B10127" s="84"/>
      <c r="C10127" s="84"/>
      <c r="D10127" s="84"/>
      <c r="E10127" s="878"/>
      <c r="F10127" s="84"/>
      <c r="G10127" s="84"/>
      <c r="H10127" s="84"/>
      <c r="I10127" s="84"/>
      <c r="J10127" s="84"/>
    </row>
    <row r="10128" spans="1:10" hidden="1" x14ac:dyDescent="0.25">
      <c r="A10128" s="84"/>
      <c r="B10128" s="84"/>
      <c r="C10128" s="84"/>
      <c r="D10128" s="84"/>
      <c r="E10128" s="878"/>
      <c r="F10128" s="84"/>
      <c r="G10128" s="84"/>
      <c r="H10128" s="84"/>
      <c r="I10128" s="84"/>
      <c r="J10128" s="84"/>
    </row>
    <row r="10129" spans="1:10" ht="19.5" hidden="1" customHeight="1" x14ac:dyDescent="0.25">
      <c r="A10129" s="84"/>
      <c r="B10129" s="84"/>
      <c r="C10129" s="84"/>
      <c r="D10129" s="84"/>
      <c r="E10129" s="878"/>
      <c r="F10129" s="84"/>
      <c r="G10129" s="84"/>
      <c r="H10129" s="84"/>
      <c r="I10129" s="84"/>
      <c r="J10129" s="84"/>
    </row>
    <row r="10130" spans="1:10" hidden="1" x14ac:dyDescent="0.25">
      <c r="A10130" s="84"/>
      <c r="B10130" s="84"/>
      <c r="C10130" s="84"/>
      <c r="D10130" s="84"/>
      <c r="E10130" s="878"/>
      <c r="F10130" s="84"/>
      <c r="G10130" s="84"/>
      <c r="H10130" s="84"/>
      <c r="I10130" s="84"/>
      <c r="J10130" s="84"/>
    </row>
    <row r="10131" spans="1:10" hidden="1" x14ac:dyDescent="0.25">
      <c r="A10131" s="84"/>
      <c r="B10131" s="84"/>
      <c r="C10131" s="84"/>
      <c r="D10131" s="84"/>
      <c r="E10131" s="878"/>
      <c r="F10131" s="84"/>
      <c r="G10131" s="84"/>
      <c r="H10131" s="84"/>
      <c r="I10131" s="84"/>
      <c r="J10131" s="84"/>
    </row>
    <row r="10132" spans="1:10" hidden="1" x14ac:dyDescent="0.25">
      <c r="A10132" s="84"/>
      <c r="B10132" s="84"/>
      <c r="C10132" s="84"/>
      <c r="D10132" s="84"/>
      <c r="E10132" s="878"/>
      <c r="F10132" s="84"/>
      <c r="G10132" s="84"/>
      <c r="H10132" s="84"/>
      <c r="I10132" s="84"/>
      <c r="J10132" s="84"/>
    </row>
    <row r="10133" spans="1:10" hidden="1" x14ac:dyDescent="0.25">
      <c r="A10133" s="84"/>
      <c r="B10133" s="84"/>
      <c r="C10133" s="84"/>
      <c r="D10133" s="84"/>
      <c r="E10133" s="878"/>
      <c r="F10133" s="84"/>
      <c r="G10133" s="84"/>
      <c r="H10133" s="84"/>
      <c r="I10133" s="84"/>
      <c r="J10133" s="84"/>
    </row>
    <row r="10134" spans="1:10" hidden="1" x14ac:dyDescent="0.25">
      <c r="A10134" s="84"/>
      <c r="B10134" s="84"/>
      <c r="C10134" s="84"/>
      <c r="D10134" s="84"/>
      <c r="E10134" s="878"/>
      <c r="F10134" s="84"/>
      <c r="G10134" s="84"/>
      <c r="H10134" s="84"/>
      <c r="I10134" s="84"/>
      <c r="J10134" s="84"/>
    </row>
    <row r="10135" spans="1:10" hidden="1" x14ac:dyDescent="0.25">
      <c r="A10135" s="84"/>
      <c r="B10135" s="84"/>
      <c r="C10135" s="84"/>
      <c r="D10135" s="84"/>
      <c r="E10135" s="878"/>
      <c r="F10135" s="84"/>
      <c r="G10135" s="84"/>
      <c r="H10135" s="84"/>
      <c r="I10135" s="84"/>
      <c r="J10135" s="84"/>
    </row>
    <row r="10136" spans="1:10" hidden="1" x14ac:dyDescent="0.25">
      <c r="A10136" s="84"/>
      <c r="B10136" s="84"/>
      <c r="C10136" s="84"/>
      <c r="D10136" s="84"/>
      <c r="E10136" s="878"/>
      <c r="F10136" s="84"/>
      <c r="G10136" s="84"/>
      <c r="H10136" s="84"/>
      <c r="I10136" s="84"/>
      <c r="J10136" s="84"/>
    </row>
    <row r="10137" spans="1:10" hidden="1" x14ac:dyDescent="0.25">
      <c r="A10137" s="84"/>
      <c r="B10137" s="84"/>
      <c r="C10137" s="84"/>
      <c r="D10137" s="84"/>
      <c r="E10137" s="878"/>
      <c r="F10137" s="84"/>
      <c r="G10137" s="84"/>
      <c r="H10137" s="84"/>
      <c r="I10137" s="84"/>
      <c r="J10137" s="84"/>
    </row>
    <row r="10138" spans="1:10" hidden="1" x14ac:dyDescent="0.25">
      <c r="A10138" s="84"/>
      <c r="B10138" s="84"/>
      <c r="C10138" s="84"/>
      <c r="D10138" s="84"/>
      <c r="E10138" s="878"/>
      <c r="F10138" s="84"/>
      <c r="G10138" s="84"/>
      <c r="H10138" s="84"/>
      <c r="I10138" s="84"/>
      <c r="J10138" s="84"/>
    </row>
    <row r="10139" spans="1:10" hidden="1" x14ac:dyDescent="0.25">
      <c r="A10139" s="84"/>
      <c r="B10139" s="84"/>
      <c r="C10139" s="84"/>
      <c r="D10139" s="84"/>
      <c r="E10139" s="878"/>
      <c r="F10139" s="84"/>
      <c r="G10139" s="84"/>
      <c r="H10139" s="84"/>
      <c r="I10139" s="84"/>
      <c r="J10139" s="84"/>
    </row>
    <row r="10140" spans="1:10" hidden="1" x14ac:dyDescent="0.25">
      <c r="A10140" s="84"/>
      <c r="B10140" s="84"/>
      <c r="C10140" s="84"/>
      <c r="D10140" s="84"/>
      <c r="E10140" s="878"/>
      <c r="F10140" s="84"/>
      <c r="G10140" s="84"/>
      <c r="H10140" s="84"/>
      <c r="I10140" s="84"/>
      <c r="J10140" s="84"/>
    </row>
    <row r="10141" spans="1:10" hidden="1" x14ac:dyDescent="0.25">
      <c r="A10141" s="84"/>
      <c r="B10141" s="84"/>
      <c r="C10141" s="84"/>
      <c r="D10141" s="84"/>
      <c r="E10141" s="878"/>
      <c r="F10141" s="84"/>
      <c r="G10141" s="84"/>
      <c r="H10141" s="84"/>
      <c r="I10141" s="84"/>
      <c r="J10141" s="84"/>
    </row>
    <row r="10142" spans="1:10" hidden="1" x14ac:dyDescent="0.25">
      <c r="A10142" s="84"/>
      <c r="B10142" s="84"/>
      <c r="C10142" s="84"/>
      <c r="D10142" s="84"/>
      <c r="E10142" s="878"/>
      <c r="F10142" s="84"/>
      <c r="G10142" s="84"/>
      <c r="H10142" s="84"/>
      <c r="I10142" s="84"/>
      <c r="J10142" s="84"/>
    </row>
    <row r="10143" spans="1:10" hidden="1" x14ac:dyDescent="0.25">
      <c r="A10143" s="84"/>
      <c r="B10143" s="84"/>
      <c r="C10143" s="84"/>
      <c r="D10143" s="84"/>
      <c r="E10143" s="878"/>
      <c r="F10143" s="84"/>
      <c r="G10143" s="84"/>
      <c r="H10143" s="84"/>
      <c r="I10143" s="84"/>
      <c r="J10143" s="84"/>
    </row>
    <row r="10144" spans="1:10" hidden="1" x14ac:dyDescent="0.25">
      <c r="A10144" s="84"/>
      <c r="B10144" s="84"/>
      <c r="C10144" s="84"/>
      <c r="D10144" s="84"/>
      <c r="E10144" s="878"/>
      <c r="F10144" s="84"/>
      <c r="G10144" s="84"/>
      <c r="H10144" s="84"/>
      <c r="I10144" s="84"/>
      <c r="J10144" s="84"/>
    </row>
    <row r="10145" spans="1:10" hidden="1" x14ac:dyDescent="0.25">
      <c r="A10145" s="84"/>
      <c r="B10145" s="84"/>
      <c r="C10145" s="84"/>
      <c r="D10145" s="84"/>
      <c r="E10145" s="878"/>
      <c r="F10145" s="84"/>
      <c r="G10145" s="84"/>
      <c r="H10145" s="84"/>
      <c r="I10145" s="84"/>
      <c r="J10145" s="84"/>
    </row>
    <row r="10146" spans="1:10" hidden="1" x14ac:dyDescent="0.25">
      <c r="A10146" s="84"/>
      <c r="B10146" s="84"/>
      <c r="C10146" s="84"/>
      <c r="D10146" s="84"/>
      <c r="E10146" s="878"/>
      <c r="F10146" s="84"/>
      <c r="G10146" s="84"/>
      <c r="H10146" s="84"/>
      <c r="I10146" s="84"/>
      <c r="J10146" s="84"/>
    </row>
    <row r="10147" spans="1:10" hidden="1" x14ac:dyDescent="0.25">
      <c r="A10147" s="84"/>
      <c r="B10147" s="84"/>
      <c r="C10147" s="84"/>
      <c r="D10147" s="84"/>
      <c r="E10147" s="878"/>
      <c r="F10147" s="84"/>
      <c r="G10147" s="84"/>
      <c r="H10147" s="84"/>
      <c r="I10147" s="84"/>
      <c r="J10147" s="84"/>
    </row>
    <row r="10148" spans="1:10" hidden="1" x14ac:dyDescent="0.25">
      <c r="A10148" s="84"/>
      <c r="B10148" s="84"/>
      <c r="C10148" s="84"/>
      <c r="D10148" s="84"/>
      <c r="E10148" s="878"/>
      <c r="F10148" s="84"/>
      <c r="G10148" s="84"/>
      <c r="H10148" s="84"/>
      <c r="I10148" s="84"/>
      <c r="J10148" s="84"/>
    </row>
    <row r="10149" spans="1:10" hidden="1" x14ac:dyDescent="0.25">
      <c r="A10149" s="84"/>
      <c r="B10149" s="84"/>
      <c r="C10149" s="84"/>
      <c r="D10149" s="84"/>
      <c r="E10149" s="878"/>
      <c r="F10149" s="84"/>
      <c r="G10149" s="84"/>
      <c r="H10149" s="84"/>
      <c r="I10149" s="84"/>
      <c r="J10149" s="84"/>
    </row>
    <row r="10150" spans="1:10" hidden="1" x14ac:dyDescent="0.25">
      <c r="A10150" s="84"/>
      <c r="B10150" s="84"/>
      <c r="C10150" s="84"/>
      <c r="D10150" s="84"/>
      <c r="E10150" s="878"/>
      <c r="F10150" s="84"/>
      <c r="G10150" s="84"/>
      <c r="H10150" s="84"/>
      <c r="I10150" s="84"/>
      <c r="J10150" s="84"/>
    </row>
    <row r="10151" spans="1:10" hidden="1" x14ac:dyDescent="0.25">
      <c r="A10151" s="84"/>
      <c r="B10151" s="84"/>
      <c r="C10151" s="84"/>
      <c r="D10151" s="84"/>
      <c r="E10151" s="878"/>
      <c r="F10151" s="84"/>
      <c r="G10151" s="84"/>
      <c r="H10151" s="84"/>
      <c r="I10151" s="84"/>
      <c r="J10151" s="84"/>
    </row>
    <row r="10152" spans="1:10" hidden="1" x14ac:dyDescent="0.25">
      <c r="A10152" s="84"/>
      <c r="B10152" s="84"/>
      <c r="C10152" s="84"/>
      <c r="D10152" s="84"/>
      <c r="E10152" s="878"/>
      <c r="F10152" s="84"/>
      <c r="G10152" s="84"/>
      <c r="H10152" s="84"/>
      <c r="I10152" s="84"/>
      <c r="J10152" s="84"/>
    </row>
    <row r="10153" spans="1:10" hidden="1" x14ac:dyDescent="0.25">
      <c r="A10153" s="84"/>
      <c r="B10153" s="84"/>
      <c r="C10153" s="84"/>
      <c r="D10153" s="84"/>
      <c r="E10153" s="878"/>
      <c r="F10153" s="84"/>
      <c r="G10153" s="84"/>
      <c r="H10153" s="84"/>
      <c r="I10153" s="84"/>
      <c r="J10153" s="84"/>
    </row>
    <row r="10154" spans="1:10" hidden="1" x14ac:dyDescent="0.25">
      <c r="A10154" s="84"/>
      <c r="B10154" s="84"/>
      <c r="C10154" s="84"/>
      <c r="D10154" s="84"/>
      <c r="E10154" s="878"/>
      <c r="F10154" s="84"/>
      <c r="G10154" s="84"/>
      <c r="H10154" s="84"/>
      <c r="I10154" s="84"/>
      <c r="J10154" s="84"/>
    </row>
    <row r="10155" spans="1:10" hidden="1" x14ac:dyDescent="0.25">
      <c r="A10155" s="84"/>
      <c r="B10155" s="84"/>
      <c r="C10155" s="84"/>
      <c r="D10155" s="84"/>
      <c r="E10155" s="878"/>
      <c r="F10155" s="84"/>
      <c r="G10155" s="84"/>
      <c r="H10155" s="84"/>
      <c r="I10155" s="84"/>
      <c r="J10155" s="84"/>
    </row>
    <row r="10156" spans="1:10" hidden="1" x14ac:dyDescent="0.25">
      <c r="A10156" s="84"/>
      <c r="B10156" s="84"/>
      <c r="C10156" s="84"/>
      <c r="D10156" s="84"/>
      <c r="E10156" s="878"/>
      <c r="F10156" s="84"/>
      <c r="G10156" s="84"/>
      <c r="H10156" s="84"/>
      <c r="I10156" s="84"/>
      <c r="J10156" s="84"/>
    </row>
    <row r="10157" spans="1:10" hidden="1" x14ac:dyDescent="0.25">
      <c r="A10157" s="84"/>
      <c r="B10157" s="84"/>
      <c r="C10157" s="84"/>
      <c r="D10157" s="84"/>
      <c r="E10157" s="878"/>
      <c r="F10157" s="84"/>
      <c r="G10157" s="84"/>
      <c r="H10157" s="84"/>
      <c r="I10157" s="84"/>
      <c r="J10157" s="84"/>
    </row>
    <row r="10158" spans="1:10" hidden="1" x14ac:dyDescent="0.25">
      <c r="A10158" s="84"/>
      <c r="B10158" s="84"/>
      <c r="C10158" s="84"/>
      <c r="D10158" s="84"/>
      <c r="E10158" s="878"/>
      <c r="F10158" s="84"/>
      <c r="G10158" s="84"/>
      <c r="H10158" s="84"/>
      <c r="I10158" s="84"/>
      <c r="J10158" s="84"/>
    </row>
    <row r="10159" spans="1:10" hidden="1" x14ac:dyDescent="0.25">
      <c r="A10159" s="84"/>
      <c r="B10159" s="84"/>
      <c r="C10159" s="84"/>
      <c r="D10159" s="84"/>
      <c r="E10159" s="878"/>
      <c r="F10159" s="84"/>
      <c r="G10159" s="84"/>
      <c r="H10159" s="84"/>
      <c r="I10159" s="84"/>
      <c r="J10159" s="84"/>
    </row>
    <row r="10160" spans="1:10" hidden="1" x14ac:dyDescent="0.25">
      <c r="A10160" s="84"/>
      <c r="B10160" s="84"/>
      <c r="C10160" s="84"/>
      <c r="D10160" s="84"/>
      <c r="E10160" s="878"/>
      <c r="F10160" s="84"/>
      <c r="G10160" s="84"/>
      <c r="H10160" s="84"/>
      <c r="I10160" s="84"/>
      <c r="J10160" s="84"/>
    </row>
    <row r="10161" spans="1:10" hidden="1" x14ac:dyDescent="0.25">
      <c r="A10161" s="84"/>
      <c r="B10161" s="84"/>
      <c r="C10161" s="84"/>
      <c r="D10161" s="84"/>
      <c r="E10161" s="878"/>
      <c r="F10161" s="84"/>
      <c r="G10161" s="84"/>
      <c r="H10161" s="84"/>
      <c r="I10161" s="84"/>
      <c r="J10161" s="84"/>
    </row>
    <row r="10162" spans="1:10" hidden="1" x14ac:dyDescent="0.25">
      <c r="A10162" s="84"/>
      <c r="B10162" s="84"/>
      <c r="C10162" s="84"/>
      <c r="D10162" s="84"/>
      <c r="E10162" s="878"/>
      <c r="F10162" s="84"/>
      <c r="G10162" s="84"/>
      <c r="H10162" s="84"/>
      <c r="I10162" s="84"/>
      <c r="J10162" s="84"/>
    </row>
    <row r="10163" spans="1:10" hidden="1" x14ac:dyDescent="0.25">
      <c r="A10163" s="84"/>
      <c r="B10163" s="84"/>
      <c r="C10163" s="84"/>
      <c r="D10163" s="84"/>
      <c r="E10163" s="878"/>
      <c r="F10163" s="84"/>
      <c r="G10163" s="84"/>
      <c r="H10163" s="84"/>
      <c r="I10163" s="84"/>
      <c r="J10163" s="84"/>
    </row>
    <row r="10164" spans="1:10" hidden="1" x14ac:dyDescent="0.25">
      <c r="A10164" s="84"/>
      <c r="B10164" s="84"/>
      <c r="C10164" s="84"/>
      <c r="D10164" s="84"/>
      <c r="E10164" s="878"/>
      <c r="F10164" s="84"/>
      <c r="G10164" s="84"/>
      <c r="H10164" s="84"/>
      <c r="I10164" s="84"/>
      <c r="J10164" s="84"/>
    </row>
    <row r="10165" spans="1:10" hidden="1" x14ac:dyDescent="0.25">
      <c r="A10165" s="84"/>
      <c r="B10165" s="84"/>
      <c r="C10165" s="84"/>
      <c r="D10165" s="84"/>
      <c r="E10165" s="878"/>
      <c r="F10165" s="84"/>
      <c r="G10165" s="84"/>
      <c r="H10165" s="84"/>
      <c r="I10165" s="84"/>
      <c r="J10165" s="84"/>
    </row>
    <row r="10166" spans="1:10" hidden="1" x14ac:dyDescent="0.25">
      <c r="A10166" s="84"/>
      <c r="B10166" s="84"/>
      <c r="C10166" s="84"/>
      <c r="D10166" s="84"/>
      <c r="E10166" s="878"/>
      <c r="F10166" s="84"/>
      <c r="G10166" s="84"/>
      <c r="H10166" s="84"/>
      <c r="I10166" s="84"/>
      <c r="J10166" s="84"/>
    </row>
    <row r="10167" spans="1:10" hidden="1" x14ac:dyDescent="0.25">
      <c r="A10167" s="84"/>
      <c r="B10167" s="84"/>
      <c r="C10167" s="84"/>
      <c r="D10167" s="84"/>
      <c r="E10167" s="878"/>
      <c r="F10167" s="84"/>
      <c r="G10167" s="84"/>
      <c r="H10167" s="84"/>
      <c r="I10167" s="84"/>
      <c r="J10167" s="84"/>
    </row>
    <row r="10168" spans="1:10" hidden="1" x14ac:dyDescent="0.25">
      <c r="A10168" s="84"/>
      <c r="B10168" s="84"/>
      <c r="C10168" s="84"/>
      <c r="D10168" s="84"/>
      <c r="E10168" s="878"/>
      <c r="F10168" s="84"/>
      <c r="G10168" s="84"/>
      <c r="H10168" s="84"/>
      <c r="I10168" s="84"/>
      <c r="J10168" s="84"/>
    </row>
    <row r="10169" spans="1:10" hidden="1" x14ac:dyDescent="0.25">
      <c r="A10169" s="84"/>
      <c r="B10169" s="84"/>
      <c r="C10169" s="84"/>
      <c r="D10169" s="84"/>
      <c r="E10169" s="878"/>
      <c r="F10169" s="84"/>
      <c r="G10169" s="84"/>
      <c r="H10169" s="84"/>
      <c r="I10169" s="84"/>
      <c r="J10169" s="84"/>
    </row>
    <row r="10170" spans="1:10" hidden="1" x14ac:dyDescent="0.25">
      <c r="A10170" s="84"/>
      <c r="B10170" s="84"/>
      <c r="C10170" s="84"/>
      <c r="D10170" s="84"/>
      <c r="E10170" s="878"/>
      <c r="F10170" s="84"/>
      <c r="G10170" s="84"/>
      <c r="H10170" s="84"/>
      <c r="I10170" s="84"/>
      <c r="J10170" s="84"/>
    </row>
    <row r="10171" spans="1:10" hidden="1" x14ac:dyDescent="0.25">
      <c r="A10171" s="84"/>
      <c r="B10171" s="84"/>
      <c r="C10171" s="84"/>
      <c r="D10171" s="84"/>
      <c r="E10171" s="878"/>
      <c r="F10171" s="84"/>
      <c r="G10171" s="84"/>
      <c r="H10171" s="84"/>
      <c r="I10171" s="84"/>
      <c r="J10171" s="84"/>
    </row>
    <row r="10172" spans="1:10" hidden="1" x14ac:dyDescent="0.25">
      <c r="A10172" s="84"/>
      <c r="B10172" s="84"/>
      <c r="C10172" s="84"/>
      <c r="D10172" s="84"/>
      <c r="E10172" s="878"/>
      <c r="F10172" s="84"/>
      <c r="G10172" s="84"/>
      <c r="H10172" s="84"/>
      <c r="I10172" s="84"/>
      <c r="J10172" s="84"/>
    </row>
    <row r="10173" spans="1:10" hidden="1" x14ac:dyDescent="0.25">
      <c r="A10173" s="84"/>
      <c r="B10173" s="84"/>
      <c r="C10173" s="84"/>
      <c r="D10173" s="84"/>
      <c r="E10173" s="878"/>
      <c r="F10173" s="84"/>
      <c r="G10173" s="84"/>
      <c r="H10173" s="84"/>
      <c r="I10173" s="84"/>
      <c r="J10173" s="84"/>
    </row>
    <row r="10174" spans="1:10" hidden="1" x14ac:dyDescent="0.25">
      <c r="A10174" s="84"/>
      <c r="B10174" s="84"/>
      <c r="C10174" s="84"/>
      <c r="D10174" s="84"/>
      <c r="E10174" s="878"/>
      <c r="F10174" s="84"/>
      <c r="G10174" s="84"/>
      <c r="H10174" s="84"/>
      <c r="I10174" s="84"/>
      <c r="J10174" s="84"/>
    </row>
    <row r="10175" spans="1:10" hidden="1" x14ac:dyDescent="0.25">
      <c r="A10175" s="84"/>
      <c r="B10175" s="84"/>
      <c r="C10175" s="84"/>
      <c r="D10175" s="84"/>
      <c r="E10175" s="878"/>
      <c r="F10175" s="84"/>
      <c r="G10175" s="84"/>
      <c r="H10175" s="84"/>
      <c r="I10175" s="84"/>
      <c r="J10175" s="84"/>
    </row>
    <row r="10176" spans="1:10" hidden="1" x14ac:dyDescent="0.25">
      <c r="A10176" s="84"/>
      <c r="B10176" s="84"/>
      <c r="C10176" s="84"/>
      <c r="D10176" s="84"/>
      <c r="E10176" s="878"/>
      <c r="F10176" s="84"/>
      <c r="G10176" s="84"/>
      <c r="H10176" s="84"/>
      <c r="I10176" s="84"/>
      <c r="J10176" s="84"/>
    </row>
    <row r="10177" spans="1:10" hidden="1" x14ac:dyDescent="0.25">
      <c r="A10177" s="84"/>
      <c r="B10177" s="84"/>
      <c r="C10177" s="84"/>
      <c r="D10177" s="84"/>
      <c r="E10177" s="878"/>
      <c r="F10177" s="84"/>
      <c r="G10177" s="84"/>
      <c r="H10177" s="84"/>
      <c r="I10177" s="84"/>
      <c r="J10177" s="84"/>
    </row>
    <row r="10178" spans="1:10" hidden="1" x14ac:dyDescent="0.25">
      <c r="A10178" s="84"/>
      <c r="B10178" s="84"/>
      <c r="C10178" s="84"/>
      <c r="D10178" s="84"/>
      <c r="E10178" s="878"/>
      <c r="F10178" s="84"/>
      <c r="G10178" s="84"/>
      <c r="H10178" s="84"/>
      <c r="I10178" s="84"/>
      <c r="J10178" s="84"/>
    </row>
    <row r="10179" spans="1:10" hidden="1" x14ac:dyDescent="0.25">
      <c r="A10179" s="84"/>
      <c r="B10179" s="84"/>
      <c r="C10179" s="84"/>
      <c r="D10179" s="84"/>
      <c r="E10179" s="878"/>
      <c r="F10179" s="84"/>
      <c r="G10179" s="84"/>
      <c r="H10179" s="84"/>
      <c r="I10179" s="84"/>
      <c r="J10179" s="84"/>
    </row>
    <row r="10180" spans="1:10" hidden="1" x14ac:dyDescent="0.25">
      <c r="A10180" s="84"/>
      <c r="B10180" s="84"/>
      <c r="C10180" s="84"/>
      <c r="D10180" s="84"/>
      <c r="E10180" s="878"/>
      <c r="F10180" s="84"/>
      <c r="G10180" s="84"/>
      <c r="H10180" s="84"/>
      <c r="I10180" s="84"/>
      <c r="J10180" s="84"/>
    </row>
    <row r="10181" spans="1:10" hidden="1" x14ac:dyDescent="0.25">
      <c r="A10181" s="84"/>
      <c r="B10181" s="84"/>
      <c r="C10181" s="84"/>
      <c r="D10181" s="84"/>
      <c r="E10181" s="878"/>
      <c r="F10181" s="84"/>
      <c r="G10181" s="84"/>
      <c r="H10181" s="84"/>
      <c r="I10181" s="84"/>
      <c r="J10181" s="84"/>
    </row>
    <row r="10182" spans="1:10" hidden="1" x14ac:dyDescent="0.25">
      <c r="A10182" s="84"/>
      <c r="B10182" s="84"/>
      <c r="C10182" s="84"/>
      <c r="D10182" s="84"/>
      <c r="E10182" s="878"/>
      <c r="F10182" s="84"/>
      <c r="G10182" s="84"/>
      <c r="H10182" s="84"/>
      <c r="I10182" s="84"/>
      <c r="J10182" s="84"/>
    </row>
    <row r="10183" spans="1:10" hidden="1" collapsed="1" x14ac:dyDescent="0.25">
      <c r="A10183" s="84"/>
      <c r="B10183" s="84"/>
      <c r="C10183" s="84"/>
      <c r="D10183" s="84"/>
      <c r="E10183" s="878"/>
      <c r="F10183" s="84"/>
      <c r="G10183" s="84"/>
      <c r="H10183" s="84"/>
      <c r="I10183" s="84"/>
      <c r="J10183" s="84"/>
    </row>
    <row r="10184" spans="1:10" hidden="1" x14ac:dyDescent="0.25">
      <c r="A10184" s="84"/>
      <c r="B10184" s="84"/>
      <c r="C10184" s="84"/>
      <c r="D10184" s="84"/>
      <c r="E10184" s="878"/>
      <c r="F10184" s="84"/>
      <c r="G10184" s="84"/>
      <c r="H10184" s="84"/>
      <c r="I10184" s="84"/>
      <c r="J10184" s="84"/>
    </row>
    <row r="10185" spans="1:10" hidden="1" x14ac:dyDescent="0.25">
      <c r="A10185" s="84"/>
      <c r="B10185" s="84"/>
      <c r="C10185" s="84"/>
      <c r="D10185" s="84"/>
      <c r="E10185" s="878"/>
      <c r="F10185" s="84"/>
      <c r="G10185" s="84"/>
      <c r="H10185" s="84"/>
      <c r="I10185" s="84"/>
      <c r="J10185" s="84"/>
    </row>
    <row r="10186" spans="1:10" hidden="1" x14ac:dyDescent="0.25">
      <c r="A10186" s="84"/>
      <c r="B10186" s="84"/>
      <c r="C10186" s="84"/>
      <c r="D10186" s="84"/>
      <c r="E10186" s="878"/>
      <c r="F10186" s="84"/>
      <c r="G10186" s="84"/>
      <c r="H10186" s="84"/>
      <c r="I10186" s="84"/>
      <c r="J10186" s="84"/>
    </row>
    <row r="10187" spans="1:10" hidden="1" x14ac:dyDescent="0.25">
      <c r="A10187" s="84"/>
      <c r="B10187" s="84"/>
      <c r="C10187" s="84"/>
      <c r="D10187" s="84"/>
      <c r="E10187" s="878"/>
      <c r="F10187" s="84"/>
      <c r="G10187" s="84"/>
      <c r="H10187" s="84"/>
      <c r="I10187" s="84"/>
      <c r="J10187" s="84"/>
    </row>
    <row r="10188" spans="1:10" hidden="1" x14ac:dyDescent="0.25">
      <c r="A10188" s="84"/>
      <c r="B10188" s="84"/>
      <c r="C10188" s="84"/>
      <c r="D10188" s="84"/>
      <c r="E10188" s="878"/>
      <c r="F10188" s="84"/>
      <c r="G10188" s="84"/>
      <c r="H10188" s="84"/>
      <c r="I10188" s="84"/>
      <c r="J10188" s="84"/>
    </row>
    <row r="10189" spans="1:10" hidden="1" x14ac:dyDescent="0.25">
      <c r="A10189" s="84"/>
      <c r="B10189" s="84"/>
      <c r="C10189" s="84"/>
      <c r="D10189" s="84"/>
      <c r="E10189" s="878"/>
      <c r="F10189" s="84"/>
      <c r="G10189" s="84"/>
      <c r="H10189" s="84"/>
      <c r="I10189" s="84"/>
      <c r="J10189" s="84"/>
    </row>
    <row r="10190" spans="1:10" hidden="1" x14ac:dyDescent="0.25">
      <c r="A10190" s="84"/>
      <c r="B10190" s="84"/>
      <c r="C10190" s="84"/>
      <c r="D10190" s="84"/>
      <c r="E10190" s="878"/>
      <c r="F10190" s="84"/>
      <c r="G10190" s="84"/>
      <c r="H10190" s="84"/>
      <c r="I10190" s="84"/>
      <c r="J10190" s="84"/>
    </row>
    <row r="10191" spans="1:10" hidden="1" x14ac:dyDescent="0.25">
      <c r="A10191" s="84"/>
      <c r="B10191" s="84"/>
      <c r="C10191" s="84"/>
      <c r="D10191" s="84"/>
      <c r="E10191" s="878"/>
      <c r="F10191" s="84"/>
      <c r="G10191" s="84"/>
      <c r="H10191" s="84"/>
      <c r="I10191" s="84"/>
      <c r="J10191" s="84"/>
    </row>
    <row r="10192" spans="1:10" hidden="1" x14ac:dyDescent="0.25">
      <c r="A10192" s="84"/>
      <c r="B10192" s="84"/>
      <c r="C10192" s="84"/>
      <c r="D10192" s="84"/>
      <c r="E10192" s="878"/>
      <c r="F10192" s="84"/>
      <c r="G10192" s="84"/>
      <c r="H10192" s="84"/>
      <c r="I10192" s="84"/>
      <c r="J10192" s="84"/>
    </row>
    <row r="10193" spans="1:25" hidden="1" x14ac:dyDescent="0.25">
      <c r="A10193" s="84"/>
      <c r="B10193" s="84"/>
      <c r="C10193" s="84"/>
      <c r="D10193" s="84"/>
      <c r="E10193" s="878"/>
      <c r="F10193" s="84"/>
      <c r="G10193" s="84"/>
      <c r="H10193" s="84"/>
      <c r="I10193" s="84"/>
      <c r="J10193" s="84"/>
    </row>
    <row r="10194" spans="1:25" hidden="1" x14ac:dyDescent="0.25">
      <c r="A10194" s="84"/>
      <c r="B10194" s="84"/>
      <c r="C10194" s="84"/>
      <c r="D10194" s="84"/>
      <c r="E10194" s="878"/>
      <c r="F10194" s="84"/>
      <c r="G10194" s="84"/>
      <c r="H10194" s="84"/>
      <c r="I10194" s="84"/>
      <c r="J10194" s="84"/>
    </row>
    <row r="10195" spans="1:25" hidden="1" x14ac:dyDescent="0.25">
      <c r="A10195" s="84"/>
      <c r="B10195" s="84"/>
      <c r="C10195" s="84"/>
      <c r="D10195" s="84"/>
      <c r="E10195" s="878"/>
      <c r="F10195" s="84"/>
      <c r="G10195" s="84"/>
      <c r="H10195" s="84"/>
      <c r="I10195" s="84"/>
      <c r="J10195" s="84"/>
    </row>
    <row r="10196" spans="1:25" hidden="1" x14ac:dyDescent="0.25">
      <c r="A10196" s="84"/>
      <c r="B10196" s="84"/>
      <c r="C10196" s="84"/>
      <c r="D10196" s="84"/>
      <c r="E10196" s="878"/>
      <c r="F10196" s="84"/>
      <c r="G10196" s="84"/>
      <c r="H10196" s="84"/>
      <c r="I10196" s="84"/>
      <c r="J10196" s="84"/>
    </row>
    <row r="10197" spans="1:25" hidden="1" x14ac:dyDescent="0.25">
      <c r="A10197" s="84"/>
      <c r="B10197" s="84"/>
      <c r="C10197" s="84"/>
      <c r="D10197" s="84"/>
      <c r="E10197" s="878"/>
      <c r="F10197" s="84"/>
      <c r="G10197" s="84"/>
      <c r="H10197" s="84"/>
      <c r="I10197" s="84"/>
      <c r="J10197" s="84"/>
    </row>
    <row r="10198" spans="1:25" hidden="1" x14ac:dyDescent="0.25">
      <c r="A10198" s="84"/>
      <c r="B10198" s="84"/>
      <c r="C10198" s="84"/>
      <c r="D10198" s="84"/>
      <c r="E10198" s="878"/>
      <c r="F10198" s="84"/>
      <c r="G10198" s="84"/>
      <c r="H10198" s="84"/>
      <c r="I10198" s="84"/>
      <c r="J10198" s="84"/>
    </row>
    <row r="10199" spans="1:25" hidden="1" x14ac:dyDescent="0.25">
      <c r="A10199" s="84"/>
      <c r="B10199" s="84"/>
      <c r="C10199" s="84"/>
      <c r="D10199" s="84"/>
      <c r="E10199" s="878"/>
      <c r="F10199" s="84"/>
      <c r="G10199" s="84"/>
      <c r="H10199" s="84"/>
      <c r="I10199" s="84"/>
      <c r="J10199" s="84"/>
    </row>
    <row r="10200" spans="1:25" hidden="1" collapsed="1" x14ac:dyDescent="0.25">
      <c r="A10200" s="84"/>
      <c r="B10200" s="84"/>
      <c r="C10200" s="84"/>
      <c r="D10200" s="84"/>
      <c r="E10200" s="878"/>
      <c r="F10200" s="84"/>
      <c r="G10200" s="84"/>
      <c r="H10200" s="84"/>
      <c r="I10200" s="84"/>
      <c r="J10200" s="84"/>
    </row>
    <row r="10201" spans="1:25" hidden="1" x14ac:dyDescent="0.25">
      <c r="A10201" s="84"/>
    </row>
    <row r="10202" spans="1:25" s="88" customFormat="1" hidden="1" x14ac:dyDescent="0.25">
      <c r="A10202" s="258"/>
      <c r="E10202" s="877"/>
      <c r="K10202" s="505"/>
      <c r="L10202" s="505"/>
      <c r="M10202" s="505"/>
      <c r="N10202" s="505"/>
      <c r="O10202" s="505"/>
      <c r="P10202" s="505"/>
      <c r="Q10202" s="505"/>
      <c r="R10202" s="505"/>
      <c r="S10202" s="505"/>
      <c r="T10202" s="505"/>
      <c r="U10202" s="505"/>
      <c r="V10202" s="505"/>
      <c r="W10202" s="505"/>
      <c r="X10202" s="505"/>
      <c r="Y10202" s="505"/>
    </row>
    <row r="10203" spans="1:25" hidden="1" x14ac:dyDescent="0.25">
      <c r="A10203" s="88"/>
      <c r="B10203" s="84"/>
      <c r="C10203" s="84"/>
      <c r="D10203" s="84"/>
      <c r="E10203" s="878"/>
      <c r="F10203" s="84"/>
      <c r="G10203" s="84"/>
      <c r="H10203" s="84"/>
      <c r="I10203" s="84"/>
      <c r="J10203" s="84"/>
    </row>
    <row r="10204" spans="1:25" hidden="1" x14ac:dyDescent="0.25">
      <c r="A10204" s="84"/>
      <c r="B10204" s="84"/>
      <c r="C10204" s="84"/>
      <c r="D10204" s="84"/>
      <c r="E10204" s="878"/>
      <c r="F10204" s="84"/>
      <c r="G10204" s="84"/>
      <c r="H10204" s="84"/>
      <c r="I10204" s="84"/>
      <c r="J10204" s="84"/>
    </row>
    <row r="10205" spans="1:25" hidden="1" x14ac:dyDescent="0.25">
      <c r="A10205" s="84"/>
      <c r="B10205" s="84"/>
      <c r="C10205" s="84"/>
      <c r="D10205" s="84"/>
      <c r="E10205" s="878"/>
      <c r="F10205" s="84"/>
      <c r="G10205" s="84"/>
      <c r="H10205" s="84"/>
      <c r="I10205" s="84"/>
      <c r="J10205" s="84"/>
    </row>
    <row r="10206" spans="1:25" hidden="1" x14ac:dyDescent="0.25">
      <c r="A10206" s="84"/>
      <c r="B10206" s="84"/>
      <c r="C10206" s="84"/>
      <c r="D10206" s="84"/>
      <c r="E10206" s="878"/>
      <c r="F10206" s="84"/>
      <c r="G10206" s="84"/>
      <c r="H10206" s="84"/>
      <c r="I10206" s="84"/>
      <c r="J10206" s="84"/>
    </row>
    <row r="10207" spans="1:25" hidden="1" x14ac:dyDescent="0.25">
      <c r="A10207" s="84"/>
      <c r="B10207" s="84"/>
      <c r="C10207" s="84"/>
      <c r="D10207" s="84"/>
      <c r="E10207" s="878"/>
      <c r="F10207" s="84"/>
      <c r="G10207" s="84"/>
      <c r="H10207" s="84"/>
      <c r="I10207" s="84"/>
      <c r="J10207" s="84"/>
    </row>
    <row r="10208" spans="1:25" hidden="1" x14ac:dyDescent="0.25">
      <c r="A10208" s="84"/>
      <c r="B10208" s="84"/>
      <c r="C10208" s="84"/>
      <c r="D10208" s="84"/>
      <c r="E10208" s="878"/>
      <c r="F10208" s="84"/>
      <c r="G10208" s="84"/>
      <c r="H10208" s="84"/>
      <c r="I10208" s="84"/>
      <c r="J10208" s="84"/>
    </row>
    <row r="10209" spans="1:10" hidden="1" x14ac:dyDescent="0.25">
      <c r="A10209" s="84"/>
      <c r="B10209" s="84"/>
      <c r="C10209" s="84"/>
      <c r="D10209" s="84"/>
      <c r="E10209" s="878"/>
      <c r="F10209" s="84"/>
      <c r="G10209" s="84"/>
      <c r="H10209" s="84"/>
      <c r="I10209" s="84"/>
      <c r="J10209" s="84"/>
    </row>
    <row r="10210" spans="1:10" hidden="1" x14ac:dyDescent="0.25">
      <c r="A10210" s="84"/>
      <c r="B10210" s="84"/>
      <c r="C10210" s="84"/>
      <c r="D10210" s="84"/>
      <c r="E10210" s="878"/>
      <c r="F10210" s="84"/>
      <c r="G10210" s="84"/>
      <c r="H10210" s="84"/>
      <c r="I10210" s="84"/>
      <c r="J10210" s="84"/>
    </row>
    <row r="10211" spans="1:10" hidden="1" x14ac:dyDescent="0.25">
      <c r="A10211" s="84"/>
      <c r="B10211" s="84"/>
      <c r="C10211" s="84"/>
      <c r="D10211" s="84"/>
      <c r="E10211" s="878"/>
      <c r="F10211" s="84"/>
      <c r="G10211" s="84"/>
      <c r="H10211" s="84"/>
      <c r="I10211" s="84"/>
      <c r="J10211" s="84"/>
    </row>
    <row r="10212" spans="1:10" hidden="1" x14ac:dyDescent="0.25">
      <c r="A10212" s="84"/>
      <c r="B10212" s="84"/>
      <c r="C10212" s="84"/>
      <c r="D10212" s="84"/>
      <c r="E10212" s="878"/>
      <c r="F10212" s="84"/>
      <c r="G10212" s="84"/>
      <c r="H10212" s="84"/>
      <c r="I10212" s="84"/>
      <c r="J10212" s="84"/>
    </row>
    <row r="10213" spans="1:10" hidden="1" x14ac:dyDescent="0.25">
      <c r="A10213" s="84"/>
      <c r="B10213" s="84"/>
      <c r="C10213" s="84"/>
      <c r="D10213" s="84"/>
      <c r="E10213" s="878"/>
      <c r="F10213" s="84"/>
      <c r="G10213" s="84"/>
      <c r="H10213" s="84"/>
      <c r="I10213" s="84"/>
      <c r="J10213" s="84"/>
    </row>
    <row r="10214" spans="1:10" hidden="1" x14ac:dyDescent="0.25">
      <c r="A10214" s="84"/>
      <c r="B10214" s="84"/>
      <c r="C10214" s="84"/>
      <c r="D10214" s="84"/>
      <c r="E10214" s="878"/>
      <c r="F10214" s="84"/>
      <c r="G10214" s="84"/>
      <c r="H10214" s="84"/>
      <c r="I10214" s="84"/>
      <c r="J10214" s="84"/>
    </row>
    <row r="10215" spans="1:10" hidden="1" x14ac:dyDescent="0.25">
      <c r="A10215" s="84"/>
      <c r="B10215" s="84"/>
      <c r="C10215" s="84"/>
      <c r="D10215" s="84"/>
      <c r="E10215" s="878"/>
      <c r="F10215" s="84"/>
      <c r="G10215" s="84"/>
      <c r="H10215" s="84"/>
      <c r="I10215" s="84"/>
      <c r="J10215" s="84"/>
    </row>
    <row r="10216" spans="1:10" hidden="1" x14ac:dyDescent="0.25">
      <c r="A10216" s="84"/>
      <c r="B10216" s="84"/>
      <c r="C10216" s="84"/>
      <c r="D10216" s="84"/>
      <c r="E10216" s="878"/>
      <c r="F10216" s="84"/>
      <c r="G10216" s="84"/>
      <c r="H10216" s="84"/>
      <c r="I10216" s="84"/>
      <c r="J10216" s="84"/>
    </row>
    <row r="10217" spans="1:10" hidden="1" x14ac:dyDescent="0.25">
      <c r="A10217" s="84"/>
      <c r="B10217" s="84"/>
      <c r="C10217" s="84"/>
      <c r="D10217" s="84"/>
      <c r="E10217" s="878"/>
      <c r="F10217" s="84"/>
      <c r="G10217" s="84"/>
      <c r="H10217" s="84"/>
      <c r="I10217" s="84"/>
      <c r="J10217" s="84"/>
    </row>
    <row r="10218" spans="1:10" hidden="1" x14ac:dyDescent="0.25">
      <c r="A10218" s="84"/>
      <c r="B10218" s="84"/>
      <c r="C10218" s="84"/>
      <c r="D10218" s="84"/>
      <c r="E10218" s="878"/>
      <c r="F10218" s="84"/>
      <c r="G10218" s="84"/>
      <c r="H10218" s="84"/>
      <c r="I10218" s="84"/>
      <c r="J10218" s="84"/>
    </row>
    <row r="10219" spans="1:10" hidden="1" x14ac:dyDescent="0.25">
      <c r="A10219" s="84"/>
      <c r="B10219" s="84"/>
      <c r="C10219" s="84"/>
      <c r="D10219" s="84"/>
      <c r="E10219" s="878"/>
      <c r="F10219" s="84"/>
      <c r="G10219" s="84"/>
      <c r="H10219" s="84"/>
      <c r="I10219" s="84"/>
      <c r="J10219" s="84"/>
    </row>
    <row r="10220" spans="1:10" hidden="1" x14ac:dyDescent="0.25">
      <c r="A10220" s="84"/>
      <c r="B10220" s="84"/>
      <c r="C10220" s="84"/>
      <c r="D10220" s="84"/>
      <c r="E10220" s="878"/>
      <c r="F10220" s="84"/>
      <c r="G10220" s="84"/>
      <c r="H10220" s="84"/>
      <c r="I10220" s="84"/>
      <c r="J10220" s="84"/>
    </row>
    <row r="10221" spans="1:10" hidden="1" x14ac:dyDescent="0.25">
      <c r="A10221" s="84"/>
      <c r="B10221" s="84"/>
      <c r="C10221" s="84"/>
      <c r="D10221" s="84"/>
      <c r="E10221" s="878"/>
      <c r="F10221" s="84"/>
      <c r="G10221" s="84"/>
      <c r="H10221" s="84"/>
      <c r="I10221" s="84"/>
      <c r="J10221" s="84"/>
    </row>
    <row r="10222" spans="1:10" hidden="1" x14ac:dyDescent="0.25">
      <c r="A10222" s="84"/>
      <c r="B10222" s="84"/>
      <c r="C10222" s="84"/>
      <c r="D10222" s="84"/>
      <c r="E10222" s="878"/>
      <c r="F10222" s="84"/>
      <c r="G10222" s="84"/>
      <c r="H10222" s="84"/>
      <c r="I10222" s="84"/>
      <c r="J10222" s="84"/>
    </row>
    <row r="10223" spans="1:10" hidden="1" x14ac:dyDescent="0.25">
      <c r="A10223" s="84"/>
      <c r="B10223" s="84"/>
      <c r="C10223" s="84"/>
      <c r="D10223" s="84"/>
      <c r="E10223" s="878"/>
      <c r="F10223" s="84"/>
      <c r="G10223" s="84"/>
      <c r="H10223" s="84"/>
      <c r="I10223" s="84"/>
      <c r="J10223" s="84"/>
    </row>
    <row r="10224" spans="1:10" hidden="1" x14ac:dyDescent="0.25">
      <c r="A10224" s="84"/>
      <c r="B10224" s="84"/>
      <c r="C10224" s="84"/>
      <c r="D10224" s="84"/>
      <c r="E10224" s="878"/>
      <c r="F10224" s="84"/>
      <c r="G10224" s="84"/>
      <c r="H10224" s="84"/>
      <c r="I10224" s="84"/>
      <c r="J10224" s="84"/>
    </row>
    <row r="10225" spans="1:10" hidden="1" x14ac:dyDescent="0.25">
      <c r="A10225" s="84"/>
      <c r="B10225" s="84"/>
      <c r="C10225" s="84"/>
      <c r="D10225" s="84"/>
      <c r="E10225" s="878"/>
      <c r="F10225" s="84"/>
      <c r="G10225" s="84"/>
      <c r="H10225" s="84"/>
      <c r="I10225" s="84"/>
      <c r="J10225" s="84"/>
    </row>
    <row r="10226" spans="1:10" hidden="1" x14ac:dyDescent="0.25">
      <c r="A10226" s="84"/>
      <c r="B10226" s="84"/>
      <c r="C10226" s="84"/>
      <c r="D10226" s="84"/>
      <c r="E10226" s="878"/>
      <c r="F10226" s="84"/>
      <c r="G10226" s="84"/>
      <c r="H10226" s="84"/>
      <c r="I10226" s="84"/>
      <c r="J10226" s="84"/>
    </row>
    <row r="10227" spans="1:10" hidden="1" x14ac:dyDescent="0.25">
      <c r="A10227" s="84"/>
      <c r="B10227" s="84"/>
      <c r="C10227" s="84"/>
      <c r="D10227" s="84"/>
      <c r="E10227" s="878"/>
      <c r="F10227" s="84"/>
      <c r="G10227" s="84"/>
      <c r="H10227" s="84"/>
      <c r="I10227" s="84"/>
      <c r="J10227" s="84"/>
    </row>
    <row r="10228" spans="1:10" ht="19.5" hidden="1" customHeight="1" x14ac:dyDescent="0.25">
      <c r="A10228" s="84"/>
      <c r="B10228" s="84"/>
      <c r="C10228" s="84"/>
      <c r="D10228" s="84"/>
      <c r="E10228" s="878"/>
      <c r="F10228" s="84"/>
      <c r="G10228" s="84"/>
      <c r="H10228" s="84"/>
      <c r="I10228" s="84"/>
      <c r="J10228" s="84"/>
    </row>
    <row r="10229" spans="1:10" hidden="1" x14ac:dyDescent="0.25">
      <c r="A10229" s="84"/>
      <c r="B10229" s="84"/>
      <c r="C10229" s="84"/>
      <c r="D10229" s="84"/>
      <c r="E10229" s="878"/>
      <c r="F10229" s="84"/>
      <c r="G10229" s="84"/>
      <c r="H10229" s="84"/>
      <c r="I10229" s="84"/>
      <c r="J10229" s="84"/>
    </row>
    <row r="10230" spans="1:10" hidden="1" x14ac:dyDescent="0.25">
      <c r="A10230" s="84"/>
      <c r="B10230" s="84"/>
      <c r="C10230" s="84"/>
      <c r="D10230" s="84"/>
      <c r="E10230" s="878"/>
      <c r="F10230" s="84"/>
      <c r="G10230" s="84"/>
      <c r="H10230" s="84"/>
      <c r="I10230" s="84"/>
      <c r="J10230" s="84"/>
    </row>
    <row r="10231" spans="1:10" hidden="1" x14ac:dyDescent="0.25">
      <c r="A10231" s="84"/>
      <c r="B10231" s="84"/>
      <c r="C10231" s="84"/>
      <c r="D10231" s="84"/>
      <c r="E10231" s="878"/>
      <c r="F10231" s="84"/>
      <c r="G10231" s="84"/>
      <c r="H10231" s="84"/>
      <c r="I10231" s="84"/>
      <c r="J10231" s="84"/>
    </row>
    <row r="10232" spans="1:10" hidden="1" x14ac:dyDescent="0.25">
      <c r="A10232" s="84"/>
      <c r="B10232" s="84"/>
      <c r="C10232" s="84"/>
      <c r="D10232" s="84"/>
      <c r="E10232" s="878"/>
      <c r="F10232" s="84"/>
      <c r="G10232" s="84"/>
      <c r="H10232" s="84"/>
      <c r="I10232" s="84"/>
      <c r="J10232" s="84"/>
    </row>
    <row r="10233" spans="1:10" hidden="1" x14ac:dyDescent="0.25">
      <c r="A10233" s="84"/>
      <c r="B10233" s="84"/>
      <c r="C10233" s="84"/>
      <c r="D10233" s="84"/>
      <c r="E10233" s="878"/>
      <c r="F10233" s="84"/>
      <c r="G10233" s="84"/>
      <c r="H10233" s="84"/>
      <c r="I10233" s="84"/>
      <c r="J10233" s="84"/>
    </row>
    <row r="10234" spans="1:10" hidden="1" x14ac:dyDescent="0.25">
      <c r="A10234" s="84"/>
      <c r="B10234" s="84"/>
      <c r="C10234" s="84"/>
      <c r="D10234" s="84"/>
      <c r="E10234" s="878"/>
      <c r="F10234" s="84"/>
      <c r="G10234" s="84"/>
      <c r="H10234" s="84"/>
      <c r="I10234" s="84"/>
      <c r="J10234" s="84"/>
    </row>
    <row r="10235" spans="1:10" hidden="1" x14ac:dyDescent="0.25">
      <c r="A10235" s="84"/>
      <c r="B10235" s="84"/>
      <c r="C10235" s="84"/>
      <c r="D10235" s="84"/>
      <c r="E10235" s="878"/>
      <c r="F10235" s="84"/>
      <c r="G10235" s="84"/>
      <c r="H10235" s="84"/>
      <c r="I10235" s="84"/>
      <c r="J10235" s="84"/>
    </row>
    <row r="10236" spans="1:10" hidden="1" x14ac:dyDescent="0.25">
      <c r="A10236" s="84"/>
      <c r="B10236" s="84"/>
      <c r="C10236" s="84"/>
      <c r="D10236" s="84"/>
      <c r="E10236" s="878"/>
      <c r="F10236" s="84"/>
      <c r="G10236" s="84"/>
      <c r="H10236" s="84"/>
      <c r="I10236" s="84"/>
      <c r="J10236" s="84"/>
    </row>
    <row r="10237" spans="1:10" hidden="1" x14ac:dyDescent="0.25">
      <c r="A10237" s="84"/>
      <c r="B10237" s="84"/>
      <c r="C10237" s="84"/>
      <c r="D10237" s="84"/>
      <c r="E10237" s="878"/>
      <c r="F10237" s="84"/>
      <c r="G10237" s="84"/>
      <c r="H10237" s="84"/>
      <c r="I10237" s="84"/>
      <c r="J10237" s="84"/>
    </row>
    <row r="10238" spans="1:10" hidden="1" x14ac:dyDescent="0.25">
      <c r="A10238" s="84"/>
      <c r="B10238" s="84"/>
      <c r="C10238" s="84"/>
      <c r="D10238" s="84"/>
      <c r="E10238" s="878"/>
      <c r="F10238" s="84"/>
      <c r="G10238" s="84"/>
      <c r="H10238" s="84"/>
      <c r="I10238" s="84"/>
      <c r="J10238" s="84"/>
    </row>
    <row r="10239" spans="1:10" hidden="1" x14ac:dyDescent="0.25">
      <c r="A10239" s="84"/>
      <c r="B10239" s="84"/>
      <c r="C10239" s="84"/>
      <c r="D10239" s="84"/>
      <c r="E10239" s="878"/>
      <c r="F10239" s="84"/>
      <c r="G10239" s="84"/>
      <c r="H10239" s="84"/>
      <c r="I10239" s="84"/>
      <c r="J10239" s="84"/>
    </row>
    <row r="10240" spans="1:10" hidden="1" x14ac:dyDescent="0.25">
      <c r="A10240" s="84"/>
      <c r="B10240" s="84"/>
      <c r="C10240" s="84"/>
      <c r="D10240" s="84"/>
      <c r="E10240" s="878"/>
      <c r="F10240" s="84"/>
      <c r="G10240" s="84"/>
      <c r="H10240" s="84"/>
      <c r="I10240" s="84"/>
      <c r="J10240" s="84"/>
    </row>
    <row r="10241" spans="1:10" hidden="1" x14ac:dyDescent="0.25">
      <c r="A10241" s="84"/>
      <c r="B10241" s="84"/>
      <c r="C10241" s="84"/>
      <c r="D10241" s="84"/>
      <c r="E10241" s="878"/>
      <c r="F10241" s="84"/>
      <c r="G10241" s="84"/>
      <c r="H10241" s="84"/>
      <c r="I10241" s="84"/>
      <c r="J10241" s="84"/>
    </row>
    <row r="10242" spans="1:10" hidden="1" x14ac:dyDescent="0.25">
      <c r="A10242" s="84"/>
      <c r="B10242" s="84"/>
      <c r="C10242" s="84"/>
      <c r="D10242" s="84"/>
      <c r="E10242" s="878"/>
      <c r="F10242" s="84"/>
      <c r="G10242" s="84"/>
      <c r="H10242" s="84"/>
      <c r="I10242" s="84"/>
      <c r="J10242" s="84"/>
    </row>
    <row r="10243" spans="1:10" hidden="1" x14ac:dyDescent="0.25">
      <c r="A10243" s="84"/>
      <c r="B10243" s="84"/>
      <c r="C10243" s="84"/>
      <c r="D10243" s="84"/>
      <c r="E10243" s="878"/>
      <c r="F10243" s="84"/>
      <c r="G10243" s="84"/>
      <c r="H10243" s="84"/>
      <c r="I10243" s="84"/>
      <c r="J10243" s="84"/>
    </row>
    <row r="10244" spans="1:10" hidden="1" x14ac:dyDescent="0.25">
      <c r="A10244" s="84"/>
      <c r="B10244" s="84"/>
      <c r="C10244" s="84"/>
      <c r="D10244" s="84"/>
      <c r="E10244" s="878"/>
      <c r="F10244" s="84"/>
      <c r="G10244" s="84"/>
      <c r="H10244" s="84"/>
      <c r="I10244" s="84"/>
      <c r="J10244" s="84"/>
    </row>
    <row r="10245" spans="1:10" hidden="1" x14ac:dyDescent="0.25">
      <c r="A10245" s="84"/>
      <c r="B10245" s="84"/>
      <c r="C10245" s="84"/>
      <c r="D10245" s="84"/>
      <c r="E10245" s="878"/>
      <c r="F10245" s="84"/>
      <c r="G10245" s="84"/>
      <c r="H10245" s="84"/>
      <c r="I10245" s="84"/>
      <c r="J10245" s="84"/>
    </row>
    <row r="10246" spans="1:10" hidden="1" x14ac:dyDescent="0.25">
      <c r="A10246" s="84"/>
      <c r="B10246" s="84"/>
      <c r="C10246" s="84"/>
      <c r="D10246" s="84"/>
      <c r="E10246" s="878"/>
      <c r="F10246" s="84"/>
      <c r="G10246" s="84"/>
      <c r="H10246" s="84"/>
      <c r="I10246" s="84"/>
      <c r="J10246" s="84"/>
    </row>
    <row r="10247" spans="1:10" hidden="1" x14ac:dyDescent="0.25">
      <c r="A10247" s="84"/>
      <c r="B10247" s="84"/>
      <c r="C10247" s="84"/>
      <c r="D10247" s="84"/>
      <c r="E10247" s="878"/>
      <c r="F10247" s="84"/>
      <c r="G10247" s="84"/>
      <c r="H10247" s="84"/>
      <c r="I10247" s="84"/>
      <c r="J10247" s="84"/>
    </row>
    <row r="10248" spans="1:10" hidden="1" x14ac:dyDescent="0.25">
      <c r="A10248" s="84"/>
      <c r="B10248" s="84"/>
      <c r="C10248" s="84"/>
      <c r="D10248" s="84"/>
      <c r="E10248" s="878"/>
      <c r="F10248" s="84"/>
      <c r="G10248" s="84"/>
      <c r="H10248" s="84"/>
      <c r="I10248" s="84"/>
      <c r="J10248" s="84"/>
    </row>
    <row r="10249" spans="1:10" hidden="1" x14ac:dyDescent="0.25">
      <c r="A10249" s="84"/>
      <c r="B10249" s="84"/>
      <c r="C10249" s="84"/>
      <c r="D10249" s="84"/>
      <c r="E10249" s="878"/>
      <c r="F10249" s="84"/>
      <c r="G10249" s="84"/>
      <c r="H10249" s="84"/>
      <c r="I10249" s="84"/>
      <c r="J10249" s="84"/>
    </row>
    <row r="10250" spans="1:10" hidden="1" x14ac:dyDescent="0.25">
      <c r="A10250" s="84"/>
      <c r="B10250" s="84"/>
      <c r="C10250" s="84"/>
      <c r="D10250" s="84"/>
      <c r="E10250" s="878"/>
      <c r="F10250" s="84"/>
      <c r="G10250" s="84"/>
      <c r="H10250" s="84"/>
      <c r="I10250" s="84"/>
      <c r="J10250" s="84"/>
    </row>
    <row r="10251" spans="1:10" hidden="1" x14ac:dyDescent="0.25">
      <c r="A10251" s="84"/>
      <c r="B10251" s="84"/>
      <c r="C10251" s="84"/>
      <c r="D10251" s="84"/>
      <c r="E10251" s="878"/>
      <c r="F10251" s="84"/>
      <c r="G10251" s="84"/>
      <c r="H10251" s="84"/>
      <c r="I10251" s="84"/>
      <c r="J10251" s="84"/>
    </row>
    <row r="10252" spans="1:10" hidden="1" x14ac:dyDescent="0.25">
      <c r="A10252" s="84"/>
      <c r="B10252" s="84"/>
      <c r="C10252" s="84"/>
      <c r="D10252" s="84"/>
      <c r="E10252" s="878"/>
      <c r="F10252" s="84"/>
      <c r="G10252" s="84"/>
      <c r="H10252" s="84"/>
      <c r="I10252" s="84"/>
      <c r="J10252" s="84"/>
    </row>
    <row r="10253" spans="1:10" hidden="1" x14ac:dyDescent="0.25">
      <c r="A10253" s="84"/>
      <c r="B10253" s="84"/>
      <c r="C10253" s="84"/>
      <c r="D10253" s="84"/>
      <c r="E10253" s="878"/>
      <c r="F10253" s="84"/>
      <c r="G10253" s="84"/>
      <c r="H10253" s="84"/>
      <c r="I10253" s="84"/>
      <c r="J10253" s="84"/>
    </row>
    <row r="10254" spans="1:10" hidden="1" x14ac:dyDescent="0.25">
      <c r="A10254" s="84"/>
      <c r="B10254" s="84"/>
      <c r="C10254" s="84"/>
      <c r="D10254" s="84"/>
      <c r="E10254" s="878"/>
      <c r="F10254" s="84"/>
      <c r="G10254" s="84"/>
      <c r="H10254" s="84"/>
      <c r="I10254" s="84"/>
      <c r="J10254" s="84"/>
    </row>
    <row r="10255" spans="1:10" hidden="1" x14ac:dyDescent="0.25">
      <c r="A10255" s="84"/>
      <c r="B10255" s="84"/>
      <c r="C10255" s="84"/>
      <c r="D10255" s="84"/>
      <c r="E10255" s="878"/>
      <c r="F10255" s="84"/>
      <c r="G10255" s="84"/>
      <c r="H10255" s="84"/>
      <c r="I10255" s="84"/>
      <c r="J10255" s="84"/>
    </row>
    <row r="10256" spans="1:10" hidden="1" x14ac:dyDescent="0.25">
      <c r="A10256" s="84"/>
      <c r="B10256" s="84"/>
      <c r="C10256" s="84"/>
      <c r="D10256" s="84"/>
      <c r="E10256" s="878"/>
      <c r="F10256" s="84"/>
      <c r="G10256" s="84"/>
      <c r="H10256" s="84"/>
      <c r="I10256" s="84"/>
      <c r="J10256" s="84"/>
    </row>
    <row r="10257" spans="1:10" hidden="1" x14ac:dyDescent="0.25">
      <c r="A10257" s="84"/>
      <c r="B10257" s="84"/>
      <c r="C10257" s="84"/>
      <c r="D10257" s="84"/>
      <c r="E10257" s="878"/>
      <c r="F10257" s="84"/>
      <c r="G10257" s="84"/>
      <c r="H10257" s="84"/>
      <c r="I10257" s="84"/>
      <c r="J10257" s="84"/>
    </row>
    <row r="10258" spans="1:10" hidden="1" x14ac:dyDescent="0.25">
      <c r="A10258" s="84"/>
      <c r="B10258" s="84"/>
      <c r="C10258" s="84"/>
      <c r="D10258" s="84"/>
      <c r="E10258" s="878"/>
      <c r="F10258" s="84"/>
      <c r="G10258" s="84"/>
      <c r="H10258" s="84"/>
      <c r="I10258" s="84"/>
      <c r="J10258" s="84"/>
    </row>
    <row r="10259" spans="1:10" hidden="1" x14ac:dyDescent="0.25">
      <c r="A10259" s="84"/>
      <c r="B10259" s="84"/>
      <c r="C10259" s="84"/>
      <c r="D10259" s="84"/>
      <c r="E10259" s="878"/>
      <c r="F10259" s="84"/>
      <c r="G10259" s="84"/>
      <c r="H10259" s="84"/>
      <c r="I10259" s="84"/>
      <c r="J10259" s="84"/>
    </row>
    <row r="10260" spans="1:10" hidden="1" x14ac:dyDescent="0.25">
      <c r="A10260" s="84"/>
      <c r="B10260" s="84"/>
      <c r="C10260" s="84"/>
      <c r="D10260" s="84"/>
      <c r="E10260" s="878"/>
      <c r="F10260" s="84"/>
      <c r="G10260" s="84"/>
      <c r="H10260" s="84"/>
      <c r="I10260" s="84"/>
      <c r="J10260" s="84"/>
    </row>
    <row r="10261" spans="1:10" hidden="1" x14ac:dyDescent="0.25">
      <c r="A10261" s="84"/>
      <c r="B10261" s="84"/>
      <c r="C10261" s="84"/>
      <c r="D10261" s="84"/>
      <c r="E10261" s="878"/>
      <c r="F10261" s="84"/>
      <c r="G10261" s="84"/>
      <c r="H10261" s="84"/>
      <c r="I10261" s="84"/>
      <c r="J10261" s="84"/>
    </row>
    <row r="10262" spans="1:10" hidden="1" x14ac:dyDescent="0.25">
      <c r="A10262" s="84"/>
      <c r="B10262" s="84"/>
      <c r="C10262" s="84"/>
      <c r="D10262" s="84"/>
      <c r="E10262" s="878"/>
      <c r="F10262" s="84"/>
      <c r="G10262" s="84"/>
      <c r="H10262" s="84"/>
      <c r="I10262" s="84"/>
      <c r="J10262" s="84"/>
    </row>
    <row r="10263" spans="1:10" hidden="1" x14ac:dyDescent="0.25">
      <c r="A10263" s="84"/>
      <c r="B10263" s="84"/>
      <c r="C10263" s="84"/>
      <c r="D10263" s="84"/>
      <c r="E10263" s="878"/>
      <c r="F10263" s="84"/>
      <c r="G10263" s="84"/>
      <c r="H10263" s="84"/>
      <c r="I10263" s="84"/>
      <c r="J10263" s="84"/>
    </row>
    <row r="10264" spans="1:10" hidden="1" x14ac:dyDescent="0.25">
      <c r="A10264" s="84"/>
      <c r="B10264" s="84"/>
      <c r="C10264" s="84"/>
      <c r="D10264" s="84"/>
      <c r="E10264" s="878"/>
      <c r="F10264" s="84"/>
      <c r="G10264" s="84"/>
      <c r="H10264" s="84"/>
      <c r="I10264" s="84"/>
      <c r="J10264" s="84"/>
    </row>
    <row r="10265" spans="1:10" hidden="1" x14ac:dyDescent="0.25">
      <c r="A10265" s="84"/>
      <c r="B10265" s="84"/>
      <c r="C10265" s="84"/>
      <c r="D10265" s="84"/>
      <c r="E10265" s="878"/>
      <c r="F10265" s="84"/>
      <c r="G10265" s="84"/>
      <c r="H10265" s="84"/>
      <c r="I10265" s="84"/>
      <c r="J10265" s="84"/>
    </row>
    <row r="10266" spans="1:10" hidden="1" x14ac:dyDescent="0.25">
      <c r="A10266" s="84"/>
      <c r="B10266" s="84"/>
      <c r="C10266" s="84"/>
      <c r="D10266" s="84"/>
      <c r="E10266" s="878"/>
      <c r="F10266" s="84"/>
      <c r="G10266" s="84"/>
      <c r="H10266" s="84"/>
      <c r="I10266" s="84"/>
      <c r="J10266" s="84"/>
    </row>
    <row r="10267" spans="1:10" hidden="1" x14ac:dyDescent="0.25">
      <c r="A10267" s="84"/>
      <c r="B10267" s="84"/>
      <c r="C10267" s="84"/>
      <c r="D10267" s="84"/>
      <c r="E10267" s="878"/>
      <c r="F10267" s="84"/>
      <c r="G10267" s="84"/>
      <c r="H10267" s="84"/>
      <c r="I10267" s="84"/>
      <c r="J10267" s="84"/>
    </row>
    <row r="10268" spans="1:10" hidden="1" x14ac:dyDescent="0.25">
      <c r="A10268" s="84"/>
      <c r="B10268" s="84"/>
      <c r="C10268" s="84"/>
      <c r="D10268" s="84"/>
      <c r="E10268" s="878"/>
      <c r="F10268" s="84"/>
      <c r="G10268" s="84"/>
      <c r="H10268" s="84"/>
      <c r="I10268" s="84"/>
      <c r="J10268" s="84"/>
    </row>
    <row r="10269" spans="1:10" hidden="1" x14ac:dyDescent="0.25">
      <c r="A10269" s="84"/>
      <c r="B10269" s="84"/>
      <c r="C10269" s="84"/>
      <c r="D10269" s="84"/>
      <c r="E10269" s="878"/>
      <c r="F10269" s="84"/>
      <c r="G10269" s="84"/>
      <c r="H10269" s="84"/>
      <c r="I10269" s="84"/>
      <c r="J10269" s="84"/>
    </row>
    <row r="10270" spans="1:10" hidden="1" x14ac:dyDescent="0.25">
      <c r="A10270" s="84"/>
      <c r="B10270" s="84"/>
      <c r="C10270" s="84"/>
      <c r="D10270" s="84"/>
      <c r="E10270" s="878"/>
      <c r="F10270" s="84"/>
      <c r="G10270" s="84"/>
      <c r="H10270" s="84"/>
      <c r="I10270" s="84"/>
      <c r="J10270" s="84"/>
    </row>
    <row r="10271" spans="1:10" hidden="1" x14ac:dyDescent="0.25">
      <c r="A10271" s="84"/>
      <c r="B10271" s="84"/>
      <c r="C10271" s="84"/>
      <c r="D10271" s="84"/>
      <c r="E10271" s="878"/>
      <c r="F10271" s="84"/>
      <c r="G10271" s="84"/>
      <c r="H10271" s="84"/>
      <c r="I10271" s="84"/>
      <c r="J10271" s="84"/>
    </row>
    <row r="10272" spans="1:10" hidden="1" x14ac:dyDescent="0.25">
      <c r="A10272" s="84"/>
      <c r="B10272" s="84"/>
      <c r="C10272" s="84"/>
      <c r="D10272" s="84"/>
      <c r="E10272" s="878"/>
      <c r="F10272" s="84"/>
      <c r="G10272" s="84"/>
      <c r="H10272" s="84"/>
      <c r="I10272" s="84"/>
      <c r="J10272" s="84"/>
    </row>
    <row r="10273" spans="1:10" hidden="1" x14ac:dyDescent="0.25">
      <c r="A10273" s="84"/>
      <c r="B10273" s="84"/>
      <c r="C10273" s="84"/>
      <c r="D10273" s="84"/>
      <c r="E10273" s="878"/>
      <c r="F10273" s="84"/>
      <c r="G10273" s="84"/>
      <c r="H10273" s="84"/>
      <c r="I10273" s="84"/>
      <c r="J10273" s="84"/>
    </row>
    <row r="10274" spans="1:10" hidden="1" x14ac:dyDescent="0.25">
      <c r="A10274" s="84"/>
      <c r="B10274" s="84"/>
      <c r="C10274" s="84"/>
      <c r="D10274" s="84"/>
      <c r="E10274" s="878"/>
      <c r="F10274" s="84"/>
      <c r="G10274" s="84"/>
      <c r="H10274" s="84"/>
      <c r="I10274" s="84"/>
      <c r="J10274" s="84"/>
    </row>
    <row r="10275" spans="1:10" hidden="1" x14ac:dyDescent="0.25">
      <c r="A10275" s="84"/>
      <c r="B10275" s="84"/>
      <c r="C10275" s="84"/>
      <c r="D10275" s="84"/>
      <c r="E10275" s="878"/>
      <c r="F10275" s="84"/>
      <c r="G10275" s="84"/>
      <c r="H10275" s="84"/>
      <c r="I10275" s="84"/>
      <c r="J10275" s="84"/>
    </row>
    <row r="10276" spans="1:10" hidden="1" x14ac:dyDescent="0.25">
      <c r="A10276" s="84"/>
      <c r="B10276" s="84"/>
      <c r="C10276" s="84"/>
      <c r="D10276" s="84"/>
      <c r="E10276" s="878"/>
      <c r="F10276" s="84"/>
      <c r="G10276" s="84"/>
      <c r="H10276" s="84"/>
      <c r="I10276" s="84"/>
      <c r="J10276" s="84"/>
    </row>
    <row r="10277" spans="1:10" hidden="1" x14ac:dyDescent="0.25">
      <c r="A10277" s="84"/>
      <c r="B10277" s="84"/>
      <c r="C10277" s="84"/>
      <c r="D10277" s="84"/>
      <c r="E10277" s="878"/>
      <c r="F10277" s="84"/>
      <c r="G10277" s="84"/>
      <c r="H10277" s="84"/>
      <c r="I10277" s="84"/>
      <c r="J10277" s="84"/>
    </row>
    <row r="10278" spans="1:10" hidden="1" x14ac:dyDescent="0.25">
      <c r="A10278" s="84"/>
      <c r="B10278" s="84"/>
      <c r="C10278" s="84"/>
      <c r="D10278" s="84"/>
      <c r="E10278" s="878"/>
      <c r="F10278" s="84"/>
      <c r="G10278" s="84"/>
      <c r="H10278" s="84"/>
      <c r="I10278" s="84"/>
      <c r="J10278" s="84"/>
    </row>
    <row r="10279" spans="1:10" hidden="1" x14ac:dyDescent="0.25">
      <c r="A10279" s="84"/>
      <c r="B10279" s="84"/>
      <c r="C10279" s="84"/>
      <c r="D10279" s="84"/>
      <c r="E10279" s="878"/>
      <c r="F10279" s="84"/>
      <c r="G10279" s="84"/>
      <c r="H10279" s="84"/>
      <c r="I10279" s="84"/>
      <c r="J10279" s="84"/>
    </row>
    <row r="10280" spans="1:10" hidden="1" x14ac:dyDescent="0.25">
      <c r="A10280" s="84"/>
      <c r="B10280" s="84"/>
      <c r="C10280" s="84"/>
      <c r="D10280" s="84"/>
      <c r="E10280" s="878"/>
      <c r="F10280" s="84"/>
      <c r="G10280" s="84"/>
      <c r="H10280" s="84"/>
      <c r="I10280" s="84"/>
      <c r="J10280" s="84"/>
    </row>
    <row r="10281" spans="1:10" hidden="1" x14ac:dyDescent="0.25">
      <c r="A10281" s="84"/>
      <c r="B10281" s="84"/>
      <c r="C10281" s="84"/>
      <c r="D10281" s="84"/>
      <c r="E10281" s="878"/>
      <c r="F10281" s="84"/>
      <c r="G10281" s="84"/>
      <c r="H10281" s="84"/>
      <c r="I10281" s="84"/>
      <c r="J10281" s="84"/>
    </row>
    <row r="10282" spans="1:10" hidden="1" collapsed="1" x14ac:dyDescent="0.25">
      <c r="A10282" s="84"/>
      <c r="B10282" s="84"/>
      <c r="C10282" s="84"/>
      <c r="D10282" s="84"/>
      <c r="E10282" s="878"/>
      <c r="F10282" s="84"/>
      <c r="G10282" s="84"/>
      <c r="H10282" s="84"/>
      <c r="I10282" s="84"/>
      <c r="J10282" s="84"/>
    </row>
    <row r="10283" spans="1:10" hidden="1" x14ac:dyDescent="0.25">
      <c r="A10283" s="84"/>
      <c r="B10283" s="84"/>
      <c r="C10283" s="84"/>
      <c r="D10283" s="84"/>
      <c r="E10283" s="878"/>
      <c r="F10283" s="84"/>
      <c r="G10283" s="84"/>
      <c r="H10283" s="84"/>
      <c r="I10283" s="84"/>
      <c r="J10283" s="84"/>
    </row>
    <row r="10284" spans="1:10" hidden="1" x14ac:dyDescent="0.25">
      <c r="A10284" s="84"/>
      <c r="B10284" s="84"/>
      <c r="C10284" s="84"/>
      <c r="D10284" s="84"/>
      <c r="E10284" s="878"/>
      <c r="F10284" s="84"/>
      <c r="G10284" s="84"/>
      <c r="H10284" s="84"/>
      <c r="I10284" s="84"/>
      <c r="J10284" s="84"/>
    </row>
    <row r="10285" spans="1:10" hidden="1" x14ac:dyDescent="0.25">
      <c r="A10285" s="84"/>
      <c r="B10285" s="84"/>
      <c r="C10285" s="84"/>
      <c r="D10285" s="84"/>
      <c r="E10285" s="878"/>
      <c r="F10285" s="84"/>
      <c r="G10285" s="84"/>
      <c r="H10285" s="84"/>
      <c r="I10285" s="84"/>
      <c r="J10285" s="84"/>
    </row>
    <row r="10286" spans="1:10" hidden="1" x14ac:dyDescent="0.25">
      <c r="A10286" s="84"/>
      <c r="B10286" s="84"/>
      <c r="C10286" s="84"/>
      <c r="D10286" s="84"/>
      <c r="E10286" s="878"/>
      <c r="F10286" s="84"/>
      <c r="G10286" s="84"/>
      <c r="H10286" s="84"/>
      <c r="I10286" s="84"/>
      <c r="J10286" s="84"/>
    </row>
    <row r="10287" spans="1:10" hidden="1" x14ac:dyDescent="0.25">
      <c r="A10287" s="84"/>
      <c r="B10287" s="84"/>
      <c r="C10287" s="84"/>
      <c r="D10287" s="84"/>
      <c r="E10287" s="878"/>
      <c r="F10287" s="84"/>
      <c r="G10287" s="84"/>
      <c r="H10287" s="84"/>
      <c r="I10287" s="84"/>
      <c r="J10287" s="84"/>
    </row>
    <row r="10288" spans="1:10" hidden="1" x14ac:dyDescent="0.25">
      <c r="A10288" s="84"/>
      <c r="B10288" s="84"/>
      <c r="C10288" s="84"/>
      <c r="D10288" s="84"/>
      <c r="E10288" s="878"/>
      <c r="F10288" s="84"/>
      <c r="G10288" s="84"/>
      <c r="H10288" s="84"/>
      <c r="I10288" s="84"/>
      <c r="J10288" s="84"/>
    </row>
    <row r="10289" spans="1:25" hidden="1" x14ac:dyDescent="0.25">
      <c r="A10289" s="84"/>
      <c r="B10289" s="84"/>
      <c r="C10289" s="84"/>
      <c r="D10289" s="84"/>
      <c r="E10289" s="878"/>
      <c r="F10289" s="84"/>
      <c r="G10289" s="84"/>
      <c r="H10289" s="84"/>
      <c r="I10289" s="84"/>
      <c r="J10289" s="84"/>
    </row>
    <row r="10290" spans="1:25" hidden="1" x14ac:dyDescent="0.25">
      <c r="A10290" s="84"/>
      <c r="B10290" s="84"/>
      <c r="C10290" s="84"/>
      <c r="D10290" s="84"/>
      <c r="E10290" s="878"/>
      <c r="F10290" s="84"/>
      <c r="G10290" s="84"/>
      <c r="H10290" s="84"/>
      <c r="I10290" s="84"/>
      <c r="J10290" s="84"/>
    </row>
    <row r="10291" spans="1:25" hidden="1" x14ac:dyDescent="0.25">
      <c r="A10291" s="84"/>
      <c r="B10291" s="84"/>
      <c r="C10291" s="84"/>
      <c r="D10291" s="84"/>
      <c r="E10291" s="878"/>
      <c r="F10291" s="84"/>
      <c r="G10291" s="84"/>
      <c r="H10291" s="84"/>
      <c r="I10291" s="84"/>
      <c r="J10291" s="84"/>
    </row>
    <row r="10292" spans="1:25" hidden="1" x14ac:dyDescent="0.25">
      <c r="A10292" s="84"/>
      <c r="B10292" s="84"/>
      <c r="C10292" s="84"/>
      <c r="D10292" s="84"/>
      <c r="E10292" s="878"/>
      <c r="F10292" s="84"/>
      <c r="G10292" s="84"/>
      <c r="H10292" s="84"/>
      <c r="I10292" s="84"/>
      <c r="J10292" s="84"/>
    </row>
    <row r="10293" spans="1:25" hidden="1" x14ac:dyDescent="0.25">
      <c r="A10293" s="84"/>
      <c r="B10293" s="84"/>
      <c r="C10293" s="84"/>
      <c r="D10293" s="84"/>
      <c r="E10293" s="878"/>
      <c r="F10293" s="84"/>
      <c r="G10293" s="84"/>
      <c r="H10293" s="84"/>
      <c r="I10293" s="84"/>
      <c r="J10293" s="84"/>
    </row>
    <row r="10294" spans="1:25" hidden="1" x14ac:dyDescent="0.25">
      <c r="A10294" s="84"/>
      <c r="B10294" s="84"/>
      <c r="C10294" s="84"/>
      <c r="D10294" s="84"/>
      <c r="E10294" s="878"/>
      <c r="F10294" s="84"/>
      <c r="G10294" s="84"/>
      <c r="H10294" s="84"/>
      <c r="I10294" s="84"/>
      <c r="J10294" s="84"/>
    </row>
    <row r="10295" spans="1:25" hidden="1" x14ac:dyDescent="0.25">
      <c r="A10295" s="84"/>
      <c r="B10295" s="84"/>
      <c r="C10295" s="84"/>
      <c r="D10295" s="84"/>
      <c r="E10295" s="878"/>
      <c r="F10295" s="84"/>
      <c r="G10295" s="84"/>
      <c r="H10295" s="84"/>
      <c r="I10295" s="84"/>
      <c r="J10295" s="84"/>
    </row>
    <row r="10296" spans="1:25" hidden="1" x14ac:dyDescent="0.25">
      <c r="A10296" s="84"/>
      <c r="B10296" s="84"/>
      <c r="C10296" s="84"/>
      <c r="D10296" s="84"/>
      <c r="E10296" s="878"/>
      <c r="F10296" s="84"/>
      <c r="G10296" s="84"/>
      <c r="H10296" s="84"/>
      <c r="I10296" s="84"/>
      <c r="J10296" s="84"/>
    </row>
    <row r="10297" spans="1:25" hidden="1" x14ac:dyDescent="0.25">
      <c r="A10297" s="84"/>
      <c r="B10297" s="84"/>
      <c r="C10297" s="84"/>
      <c r="D10297" s="84"/>
      <c r="E10297" s="878"/>
      <c r="F10297" s="84"/>
      <c r="G10297" s="84"/>
      <c r="H10297" s="84"/>
      <c r="I10297" s="84"/>
      <c r="J10297" s="84"/>
    </row>
    <row r="10298" spans="1:25" hidden="1" x14ac:dyDescent="0.25">
      <c r="A10298" s="84"/>
      <c r="B10298" s="84"/>
      <c r="C10298" s="84"/>
      <c r="D10298" s="84"/>
      <c r="E10298" s="878"/>
      <c r="F10298" s="84"/>
      <c r="G10298" s="84"/>
      <c r="H10298" s="84"/>
      <c r="I10298" s="84"/>
      <c r="J10298" s="84"/>
    </row>
    <row r="10299" spans="1:25" hidden="1" collapsed="1" x14ac:dyDescent="0.25">
      <c r="A10299" s="84"/>
      <c r="B10299" s="84"/>
      <c r="C10299" s="84"/>
      <c r="D10299" s="84"/>
      <c r="E10299" s="878"/>
      <c r="F10299" s="84"/>
      <c r="G10299" s="84"/>
      <c r="H10299" s="84"/>
      <c r="I10299" s="84"/>
      <c r="J10299" s="84"/>
    </row>
    <row r="10300" spans="1:25" hidden="1" x14ac:dyDescent="0.25">
      <c r="A10300" s="84"/>
    </row>
    <row r="10301" spans="1:25" s="88" customFormat="1" hidden="1" x14ac:dyDescent="0.25">
      <c r="A10301" s="258"/>
      <c r="B10301" s="288"/>
      <c r="C10301" s="302" t="s">
        <v>4046</v>
      </c>
      <c r="D10301" s="259"/>
      <c r="E10301" s="702"/>
      <c r="F10301" s="303"/>
      <c r="G10301" s="304" t="s">
        <v>4252</v>
      </c>
      <c r="H10301" s="588"/>
      <c r="I10301" s="571"/>
      <c r="J10301" s="589"/>
      <c r="K10301" s="505"/>
      <c r="L10301" s="505"/>
      <c r="M10301" s="505"/>
      <c r="N10301" s="505"/>
      <c r="O10301" s="505"/>
      <c r="P10301" s="505"/>
      <c r="Q10301" s="505"/>
      <c r="R10301" s="505"/>
      <c r="S10301" s="505"/>
      <c r="T10301" s="505"/>
      <c r="U10301" s="505"/>
      <c r="V10301" s="505"/>
      <c r="W10301" s="505"/>
      <c r="X10301" s="505"/>
      <c r="Y10301" s="505"/>
    </row>
    <row r="10302" spans="1:25" ht="30" hidden="1" x14ac:dyDescent="0.25">
      <c r="A10302" s="386"/>
      <c r="C10302" s="267"/>
      <c r="D10302" s="331">
        <v>660</v>
      </c>
      <c r="E10302" s="869"/>
      <c r="F10302" s="331"/>
      <c r="G10302" s="332" t="s">
        <v>186</v>
      </c>
    </row>
    <row r="10303" spans="1:25" hidden="1" x14ac:dyDescent="0.25">
      <c r="F10303" s="389">
        <v>411</v>
      </c>
      <c r="G10303" s="385" t="s">
        <v>4131</v>
      </c>
      <c r="J10303" s="556">
        <f>SUM(H10303:I10303)</f>
        <v>0</v>
      </c>
    </row>
    <row r="10304" spans="1:25" hidden="1" x14ac:dyDescent="0.25">
      <c r="F10304" s="389">
        <v>412</v>
      </c>
      <c r="G10304" s="384" t="s">
        <v>3766</v>
      </c>
      <c r="J10304" s="556">
        <f t="shared" ref="J10304:J10362" si="341">SUM(H10304:I10304)</f>
        <v>0</v>
      </c>
    </row>
    <row r="10305" spans="6:10" hidden="1" x14ac:dyDescent="0.25">
      <c r="F10305" s="389">
        <v>413</v>
      </c>
      <c r="G10305" s="385" t="s">
        <v>4132</v>
      </c>
      <c r="J10305" s="556">
        <f t="shared" si="341"/>
        <v>0</v>
      </c>
    </row>
    <row r="10306" spans="6:10" hidden="1" x14ac:dyDescent="0.25">
      <c r="F10306" s="389">
        <v>414</v>
      </c>
      <c r="G10306" s="385" t="s">
        <v>3769</v>
      </c>
      <c r="J10306" s="556">
        <f t="shared" si="341"/>
        <v>0</v>
      </c>
    </row>
    <row r="10307" spans="6:10" hidden="1" x14ac:dyDescent="0.25">
      <c r="F10307" s="389">
        <v>415</v>
      </c>
      <c r="G10307" s="385" t="s">
        <v>4141</v>
      </c>
      <c r="J10307" s="556">
        <f t="shared" si="341"/>
        <v>0</v>
      </c>
    </row>
    <row r="10308" spans="6:10" hidden="1" x14ac:dyDescent="0.25">
      <c r="F10308" s="389">
        <v>416</v>
      </c>
      <c r="G10308" s="385" t="s">
        <v>4142</v>
      </c>
      <c r="J10308" s="556">
        <f t="shared" si="341"/>
        <v>0</v>
      </c>
    </row>
    <row r="10309" spans="6:10" hidden="1" x14ac:dyDescent="0.25">
      <c r="F10309" s="389">
        <v>417</v>
      </c>
      <c r="G10309" s="385" t="s">
        <v>4143</v>
      </c>
      <c r="J10309" s="556">
        <f t="shared" si="341"/>
        <v>0</v>
      </c>
    </row>
    <row r="10310" spans="6:10" hidden="1" x14ac:dyDescent="0.25">
      <c r="F10310" s="389">
        <v>418</v>
      </c>
      <c r="G10310" s="385" t="s">
        <v>3775</v>
      </c>
      <c r="J10310" s="556">
        <f t="shared" si="341"/>
        <v>0</v>
      </c>
    </row>
    <row r="10311" spans="6:10" hidden="1" x14ac:dyDescent="0.25">
      <c r="F10311" s="389">
        <v>421</v>
      </c>
      <c r="G10311" s="385" t="s">
        <v>3779</v>
      </c>
      <c r="J10311" s="556">
        <f t="shared" si="341"/>
        <v>0</v>
      </c>
    </row>
    <row r="10312" spans="6:10" hidden="1" x14ac:dyDescent="0.25">
      <c r="F10312" s="389">
        <v>422</v>
      </c>
      <c r="G10312" s="385" t="s">
        <v>3780</v>
      </c>
      <c r="J10312" s="556">
        <f t="shared" si="341"/>
        <v>0</v>
      </c>
    </row>
    <row r="10313" spans="6:10" hidden="1" x14ac:dyDescent="0.25">
      <c r="F10313" s="389">
        <v>423</v>
      </c>
      <c r="G10313" s="385" t="s">
        <v>3781</v>
      </c>
      <c r="J10313" s="556">
        <f t="shared" si="341"/>
        <v>0</v>
      </c>
    </row>
    <row r="10314" spans="6:10" hidden="1" x14ac:dyDescent="0.25">
      <c r="F10314" s="389">
        <v>424</v>
      </c>
      <c r="G10314" s="385" t="s">
        <v>3783</v>
      </c>
      <c r="J10314" s="556">
        <f t="shared" si="341"/>
        <v>0</v>
      </c>
    </row>
    <row r="10315" spans="6:10" hidden="1" x14ac:dyDescent="0.25">
      <c r="F10315" s="389">
        <v>425</v>
      </c>
      <c r="G10315" s="385" t="s">
        <v>4144</v>
      </c>
      <c r="J10315" s="556">
        <f t="shared" si="341"/>
        <v>0</v>
      </c>
    </row>
    <row r="10316" spans="6:10" hidden="1" x14ac:dyDescent="0.25">
      <c r="F10316" s="389">
        <v>426</v>
      </c>
      <c r="G10316" s="385" t="s">
        <v>3787</v>
      </c>
      <c r="J10316" s="556">
        <f t="shared" si="341"/>
        <v>0</v>
      </c>
    </row>
    <row r="10317" spans="6:10" hidden="1" x14ac:dyDescent="0.25">
      <c r="F10317" s="389">
        <v>431</v>
      </c>
      <c r="G10317" s="385" t="s">
        <v>4145</v>
      </c>
      <c r="J10317" s="556">
        <f t="shared" si="341"/>
        <v>0</v>
      </c>
    </row>
    <row r="10318" spans="6:10" hidden="1" x14ac:dyDescent="0.25">
      <c r="F10318" s="389">
        <v>432</v>
      </c>
      <c r="G10318" s="385" t="s">
        <v>4146</v>
      </c>
      <c r="J10318" s="556">
        <f t="shared" si="341"/>
        <v>0</v>
      </c>
    </row>
    <row r="10319" spans="6:10" hidden="1" x14ac:dyDescent="0.25">
      <c r="F10319" s="389">
        <v>433</v>
      </c>
      <c r="G10319" s="385" t="s">
        <v>4147</v>
      </c>
      <c r="J10319" s="556">
        <f t="shared" si="341"/>
        <v>0</v>
      </c>
    </row>
    <row r="10320" spans="6:10" hidden="1" x14ac:dyDescent="0.25">
      <c r="F10320" s="389">
        <v>434</v>
      </c>
      <c r="G10320" s="385" t="s">
        <v>4148</v>
      </c>
      <c r="J10320" s="556">
        <f t="shared" si="341"/>
        <v>0</v>
      </c>
    </row>
    <row r="10321" spans="6:10" hidden="1" x14ac:dyDescent="0.25">
      <c r="F10321" s="389">
        <v>435</v>
      </c>
      <c r="G10321" s="385" t="s">
        <v>3794</v>
      </c>
      <c r="J10321" s="556">
        <f t="shared" si="341"/>
        <v>0</v>
      </c>
    </row>
    <row r="10322" spans="6:10" hidden="1" x14ac:dyDescent="0.25">
      <c r="F10322" s="389">
        <v>441</v>
      </c>
      <c r="G10322" s="385" t="s">
        <v>4149</v>
      </c>
      <c r="J10322" s="556">
        <f t="shared" si="341"/>
        <v>0</v>
      </c>
    </row>
    <row r="10323" spans="6:10" hidden="1" x14ac:dyDescent="0.25">
      <c r="F10323" s="389">
        <v>442</v>
      </c>
      <c r="G10323" s="385" t="s">
        <v>4150</v>
      </c>
      <c r="J10323" s="556">
        <f t="shared" si="341"/>
        <v>0</v>
      </c>
    </row>
    <row r="10324" spans="6:10" hidden="1" x14ac:dyDescent="0.25">
      <c r="F10324" s="389">
        <v>443</v>
      </c>
      <c r="G10324" s="385" t="s">
        <v>3799</v>
      </c>
      <c r="J10324" s="556">
        <f t="shared" si="341"/>
        <v>0</v>
      </c>
    </row>
    <row r="10325" spans="6:10" hidden="1" x14ac:dyDescent="0.25">
      <c r="F10325" s="389">
        <v>444</v>
      </c>
      <c r="G10325" s="385" t="s">
        <v>3800</v>
      </c>
      <c r="J10325" s="556">
        <f t="shared" si="341"/>
        <v>0</v>
      </c>
    </row>
    <row r="10326" spans="6:10" ht="30" hidden="1" x14ac:dyDescent="0.25">
      <c r="F10326" s="389">
        <v>4511</v>
      </c>
      <c r="G10326" s="263" t="s">
        <v>1690</v>
      </c>
      <c r="J10326" s="556">
        <f t="shared" si="341"/>
        <v>0</v>
      </c>
    </row>
    <row r="10327" spans="6:10" ht="19.5" hidden="1" customHeight="1" x14ac:dyDescent="0.25">
      <c r="F10327" s="389">
        <v>4512</v>
      </c>
      <c r="G10327" s="263" t="s">
        <v>1699</v>
      </c>
      <c r="J10327" s="556">
        <f t="shared" si="341"/>
        <v>0</v>
      </c>
    </row>
    <row r="10328" spans="6:10" hidden="1" x14ac:dyDescent="0.25">
      <c r="F10328" s="389">
        <v>452</v>
      </c>
      <c r="G10328" s="385" t="s">
        <v>4151</v>
      </c>
      <c r="J10328" s="556">
        <f t="shared" si="341"/>
        <v>0</v>
      </c>
    </row>
    <row r="10329" spans="6:10" hidden="1" x14ac:dyDescent="0.25">
      <c r="F10329" s="389">
        <v>453</v>
      </c>
      <c r="G10329" s="385" t="s">
        <v>4152</v>
      </c>
      <c r="J10329" s="556">
        <f t="shared" si="341"/>
        <v>0</v>
      </c>
    </row>
    <row r="10330" spans="6:10" hidden="1" x14ac:dyDescent="0.25">
      <c r="F10330" s="389">
        <v>454</v>
      </c>
      <c r="G10330" s="385" t="s">
        <v>3805</v>
      </c>
      <c r="J10330" s="556">
        <f t="shared" si="341"/>
        <v>0</v>
      </c>
    </row>
    <row r="10331" spans="6:10" hidden="1" x14ac:dyDescent="0.25">
      <c r="F10331" s="389">
        <v>461</v>
      </c>
      <c r="G10331" s="385" t="s">
        <v>4133</v>
      </c>
      <c r="J10331" s="556">
        <f t="shared" si="341"/>
        <v>0</v>
      </c>
    </row>
    <row r="10332" spans="6:10" hidden="1" x14ac:dyDescent="0.25">
      <c r="F10332" s="389">
        <v>462</v>
      </c>
      <c r="G10332" s="385" t="s">
        <v>3808</v>
      </c>
      <c r="J10332" s="556">
        <f t="shared" si="341"/>
        <v>0</v>
      </c>
    </row>
    <row r="10333" spans="6:10" hidden="1" x14ac:dyDescent="0.25">
      <c r="F10333" s="389">
        <v>4631</v>
      </c>
      <c r="G10333" s="385" t="s">
        <v>3809</v>
      </c>
      <c r="J10333" s="556">
        <f t="shared" si="341"/>
        <v>0</v>
      </c>
    </row>
    <row r="10334" spans="6:10" hidden="1" x14ac:dyDescent="0.25">
      <c r="F10334" s="389">
        <v>4632</v>
      </c>
      <c r="G10334" s="385" t="s">
        <v>3810</v>
      </c>
      <c r="J10334" s="556">
        <f t="shared" si="341"/>
        <v>0</v>
      </c>
    </row>
    <row r="10335" spans="6:10" hidden="1" x14ac:dyDescent="0.25">
      <c r="F10335" s="389">
        <v>464</v>
      </c>
      <c r="G10335" s="385" t="s">
        <v>3811</v>
      </c>
      <c r="J10335" s="556">
        <f t="shared" si="341"/>
        <v>0</v>
      </c>
    </row>
    <row r="10336" spans="6:10" hidden="1" x14ac:dyDescent="0.25">
      <c r="F10336" s="389">
        <v>465</v>
      </c>
      <c r="G10336" s="385" t="s">
        <v>4134</v>
      </c>
      <c r="J10336" s="556">
        <f t="shared" si="341"/>
        <v>0</v>
      </c>
    </row>
    <row r="10337" spans="6:10" hidden="1" x14ac:dyDescent="0.25">
      <c r="F10337" s="389">
        <v>472</v>
      </c>
      <c r="G10337" s="385" t="s">
        <v>3815</v>
      </c>
      <c r="J10337" s="556">
        <f t="shared" si="341"/>
        <v>0</v>
      </c>
    </row>
    <row r="10338" spans="6:10" hidden="1" x14ac:dyDescent="0.25">
      <c r="F10338" s="389">
        <v>481</v>
      </c>
      <c r="G10338" s="385" t="s">
        <v>4153</v>
      </c>
      <c r="J10338" s="556">
        <f t="shared" si="341"/>
        <v>0</v>
      </c>
    </row>
    <row r="10339" spans="6:10" hidden="1" x14ac:dyDescent="0.25">
      <c r="F10339" s="389">
        <v>482</v>
      </c>
      <c r="G10339" s="385" t="s">
        <v>4154</v>
      </c>
      <c r="J10339" s="556">
        <f t="shared" si="341"/>
        <v>0</v>
      </c>
    </row>
    <row r="10340" spans="6:10" hidden="1" x14ac:dyDescent="0.25">
      <c r="F10340" s="389">
        <v>483</v>
      </c>
      <c r="G10340" s="387" t="s">
        <v>4155</v>
      </c>
      <c r="J10340" s="556">
        <f t="shared" si="341"/>
        <v>0</v>
      </c>
    </row>
    <row r="10341" spans="6:10" ht="30" hidden="1" x14ac:dyDescent="0.25">
      <c r="F10341" s="389">
        <v>484</v>
      </c>
      <c r="G10341" s="385" t="s">
        <v>4156</v>
      </c>
      <c r="J10341" s="556">
        <f t="shared" si="341"/>
        <v>0</v>
      </c>
    </row>
    <row r="10342" spans="6:10" ht="30" hidden="1" x14ac:dyDescent="0.25">
      <c r="F10342" s="389">
        <v>485</v>
      </c>
      <c r="G10342" s="385" t="s">
        <v>4157</v>
      </c>
      <c r="J10342" s="556">
        <f t="shared" si="341"/>
        <v>0</v>
      </c>
    </row>
    <row r="10343" spans="6:10" ht="30" hidden="1" x14ac:dyDescent="0.25">
      <c r="F10343" s="389">
        <v>489</v>
      </c>
      <c r="G10343" s="385" t="s">
        <v>3823</v>
      </c>
      <c r="J10343" s="556">
        <f t="shared" si="341"/>
        <v>0</v>
      </c>
    </row>
    <row r="10344" spans="6:10" hidden="1" x14ac:dyDescent="0.25">
      <c r="F10344" s="389">
        <v>494</v>
      </c>
      <c r="G10344" s="385" t="s">
        <v>4135</v>
      </c>
      <c r="J10344" s="556">
        <f t="shared" si="341"/>
        <v>0</v>
      </c>
    </row>
    <row r="10345" spans="6:10" ht="30" hidden="1" x14ac:dyDescent="0.25">
      <c r="F10345" s="389">
        <v>495</v>
      </c>
      <c r="G10345" s="385" t="s">
        <v>4136</v>
      </c>
      <c r="J10345" s="556">
        <f t="shared" si="341"/>
        <v>0</v>
      </c>
    </row>
    <row r="10346" spans="6:10" ht="30" hidden="1" x14ac:dyDescent="0.25">
      <c r="F10346" s="389">
        <v>496</v>
      </c>
      <c r="G10346" s="385" t="s">
        <v>4137</v>
      </c>
      <c r="J10346" s="556">
        <f t="shared" si="341"/>
        <v>0</v>
      </c>
    </row>
    <row r="10347" spans="6:10" ht="30" hidden="1" x14ac:dyDescent="0.25">
      <c r="F10347" s="389">
        <v>499</v>
      </c>
      <c r="G10347" s="385" t="s">
        <v>4138</v>
      </c>
      <c r="J10347" s="556">
        <f t="shared" si="341"/>
        <v>0</v>
      </c>
    </row>
    <row r="10348" spans="6:10" hidden="1" x14ac:dyDescent="0.25">
      <c r="F10348" s="389">
        <v>511</v>
      </c>
      <c r="G10348" s="387" t="s">
        <v>4158</v>
      </c>
      <c r="J10348" s="556">
        <f t="shared" si="341"/>
        <v>0</v>
      </c>
    </row>
    <row r="10349" spans="6:10" hidden="1" x14ac:dyDescent="0.25">
      <c r="F10349" s="389">
        <v>512</v>
      </c>
      <c r="G10349" s="387" t="s">
        <v>4159</v>
      </c>
      <c r="J10349" s="556">
        <f t="shared" si="341"/>
        <v>0</v>
      </c>
    </row>
    <row r="10350" spans="6:10" hidden="1" x14ac:dyDescent="0.25">
      <c r="F10350" s="389">
        <v>513</v>
      </c>
      <c r="G10350" s="387" t="s">
        <v>4160</v>
      </c>
      <c r="J10350" s="556">
        <f t="shared" si="341"/>
        <v>0</v>
      </c>
    </row>
    <row r="10351" spans="6:10" hidden="1" x14ac:dyDescent="0.25">
      <c r="F10351" s="389">
        <v>514</v>
      </c>
      <c r="G10351" s="385" t="s">
        <v>4161</v>
      </c>
      <c r="J10351" s="556">
        <f t="shared" si="341"/>
        <v>0</v>
      </c>
    </row>
    <row r="10352" spans="6:10" hidden="1" x14ac:dyDescent="0.25">
      <c r="F10352" s="389">
        <v>515</v>
      </c>
      <c r="G10352" s="385" t="s">
        <v>3834</v>
      </c>
      <c r="J10352" s="556">
        <f t="shared" si="341"/>
        <v>0</v>
      </c>
    </row>
    <row r="10353" spans="5:10" hidden="1" x14ac:dyDescent="0.25">
      <c r="F10353" s="389">
        <v>521</v>
      </c>
      <c r="G10353" s="385" t="s">
        <v>4162</v>
      </c>
      <c r="J10353" s="556">
        <f t="shared" si="341"/>
        <v>0</v>
      </c>
    </row>
    <row r="10354" spans="5:10" hidden="1" x14ac:dyDescent="0.25">
      <c r="F10354" s="389">
        <v>522</v>
      </c>
      <c r="G10354" s="385" t="s">
        <v>4163</v>
      </c>
      <c r="J10354" s="556">
        <f t="shared" si="341"/>
        <v>0</v>
      </c>
    </row>
    <row r="10355" spans="5:10" hidden="1" x14ac:dyDescent="0.25">
      <c r="F10355" s="389">
        <v>523</v>
      </c>
      <c r="G10355" s="385" t="s">
        <v>3839</v>
      </c>
      <c r="J10355" s="556">
        <f t="shared" si="341"/>
        <v>0</v>
      </c>
    </row>
    <row r="10356" spans="5:10" hidden="1" x14ac:dyDescent="0.25">
      <c r="F10356" s="389">
        <v>531</v>
      </c>
      <c r="G10356" s="384" t="s">
        <v>4139</v>
      </c>
      <c r="J10356" s="556">
        <f t="shared" si="341"/>
        <v>0</v>
      </c>
    </row>
    <row r="10357" spans="5:10" hidden="1" x14ac:dyDescent="0.25">
      <c r="F10357" s="389">
        <v>541</v>
      </c>
      <c r="G10357" s="385" t="s">
        <v>4164</v>
      </c>
      <c r="J10357" s="556">
        <f t="shared" si="341"/>
        <v>0</v>
      </c>
    </row>
    <row r="10358" spans="5:10" hidden="1" x14ac:dyDescent="0.25">
      <c r="F10358" s="389">
        <v>542</v>
      </c>
      <c r="G10358" s="385" t="s">
        <v>4165</v>
      </c>
      <c r="J10358" s="556">
        <f t="shared" si="341"/>
        <v>0</v>
      </c>
    </row>
    <row r="10359" spans="5:10" hidden="1" x14ac:dyDescent="0.25">
      <c r="F10359" s="389">
        <v>543</v>
      </c>
      <c r="G10359" s="385" t="s">
        <v>3844</v>
      </c>
      <c r="J10359" s="556">
        <f t="shared" si="341"/>
        <v>0</v>
      </c>
    </row>
    <row r="10360" spans="5:10" ht="30" hidden="1" x14ac:dyDescent="0.25">
      <c r="F10360" s="389">
        <v>551</v>
      </c>
      <c r="G10360" s="385" t="s">
        <v>4140</v>
      </c>
      <c r="J10360" s="556">
        <f t="shared" si="341"/>
        <v>0</v>
      </c>
    </row>
    <row r="10361" spans="5:10" hidden="1" x14ac:dyDescent="0.25">
      <c r="F10361" s="390">
        <v>611</v>
      </c>
      <c r="G10361" s="388" t="s">
        <v>3850</v>
      </c>
      <c r="J10361" s="556">
        <f t="shared" si="341"/>
        <v>0</v>
      </c>
    </row>
    <row r="10362" spans="5:10" hidden="1" x14ac:dyDescent="0.25">
      <c r="F10362" s="390">
        <v>620</v>
      </c>
      <c r="G10362" s="388" t="s">
        <v>88</v>
      </c>
      <c r="J10362" s="556">
        <f t="shared" si="341"/>
        <v>0</v>
      </c>
    </row>
    <row r="10363" spans="5:10" hidden="1" x14ac:dyDescent="0.25">
      <c r="E10363" s="489"/>
      <c r="F10363" s="390"/>
      <c r="G10363" s="343" t="s">
        <v>4337</v>
      </c>
      <c r="H10363" s="557"/>
      <c r="I10363" s="583"/>
      <c r="J10363" s="558"/>
    </row>
    <row r="10364" spans="5:10" hidden="1" x14ac:dyDescent="0.25">
      <c r="E10364" s="693"/>
      <c r="F10364" s="284" t="s">
        <v>234</v>
      </c>
      <c r="G10364" s="287" t="s">
        <v>235</v>
      </c>
      <c r="H10364" s="559">
        <f>SUM(H10303:H10362)</f>
        <v>0</v>
      </c>
      <c r="I10364" s="560"/>
      <c r="J10364" s="560">
        <f t="shared" ref="J10364:J10379" si="342">SUM(H10364:I10364)</f>
        <v>0</v>
      </c>
    </row>
    <row r="10365" spans="5:10" hidden="1" x14ac:dyDescent="0.25">
      <c r="F10365" s="284" t="s">
        <v>236</v>
      </c>
      <c r="G10365" s="287" t="s">
        <v>237</v>
      </c>
      <c r="J10365" s="560">
        <f t="shared" si="342"/>
        <v>0</v>
      </c>
    </row>
    <row r="10366" spans="5:10" hidden="1" x14ac:dyDescent="0.25">
      <c r="F10366" s="284" t="s">
        <v>238</v>
      </c>
      <c r="G10366" s="287" t="s">
        <v>239</v>
      </c>
      <c r="J10366" s="560">
        <f t="shared" si="342"/>
        <v>0</v>
      </c>
    </row>
    <row r="10367" spans="5:10" hidden="1" x14ac:dyDescent="0.25">
      <c r="F10367" s="284" t="s">
        <v>240</v>
      </c>
      <c r="G10367" s="287" t="s">
        <v>241</v>
      </c>
      <c r="J10367" s="560">
        <f t="shared" si="342"/>
        <v>0</v>
      </c>
    </row>
    <row r="10368" spans="5:10" hidden="1" x14ac:dyDescent="0.25">
      <c r="F10368" s="284" t="s">
        <v>242</v>
      </c>
      <c r="G10368" s="287" t="s">
        <v>243</v>
      </c>
      <c r="J10368" s="560">
        <f t="shared" si="342"/>
        <v>0</v>
      </c>
    </row>
    <row r="10369" spans="5:10" hidden="1" x14ac:dyDescent="0.25">
      <c r="F10369" s="284" t="s">
        <v>244</v>
      </c>
      <c r="G10369" s="287" t="s">
        <v>245</v>
      </c>
      <c r="J10369" s="560">
        <f t="shared" si="342"/>
        <v>0</v>
      </c>
    </row>
    <row r="10370" spans="5:10" hidden="1" x14ac:dyDescent="0.25">
      <c r="F10370" s="284" t="s">
        <v>246</v>
      </c>
      <c r="G10370" s="598" t="s">
        <v>4996</v>
      </c>
      <c r="J10370" s="560">
        <f t="shared" si="342"/>
        <v>0</v>
      </c>
    </row>
    <row r="10371" spans="5:10" hidden="1" x14ac:dyDescent="0.25">
      <c r="F10371" s="284" t="s">
        <v>247</v>
      </c>
      <c r="G10371" s="598" t="s">
        <v>4995</v>
      </c>
      <c r="J10371" s="560">
        <f t="shared" si="342"/>
        <v>0</v>
      </c>
    </row>
    <row r="10372" spans="5:10" hidden="1" x14ac:dyDescent="0.25">
      <c r="F10372" s="284" t="s">
        <v>248</v>
      </c>
      <c r="G10372" s="287" t="s">
        <v>57</v>
      </c>
      <c r="J10372" s="560">
        <f t="shared" si="342"/>
        <v>0</v>
      </c>
    </row>
    <row r="10373" spans="5:10" hidden="1" x14ac:dyDescent="0.25">
      <c r="F10373" s="284" t="s">
        <v>249</v>
      </c>
      <c r="G10373" s="287" t="s">
        <v>250</v>
      </c>
      <c r="J10373" s="560">
        <f t="shared" si="342"/>
        <v>0</v>
      </c>
    </row>
    <row r="10374" spans="5:10" hidden="1" x14ac:dyDescent="0.25">
      <c r="F10374" s="284" t="s">
        <v>251</v>
      </c>
      <c r="G10374" s="287" t="s">
        <v>252</v>
      </c>
      <c r="J10374" s="560">
        <f t="shared" si="342"/>
        <v>0</v>
      </c>
    </row>
    <row r="10375" spans="5:10" ht="30" hidden="1" x14ac:dyDescent="0.25">
      <c r="F10375" s="284" t="s">
        <v>253</v>
      </c>
      <c r="G10375" s="287" t="s">
        <v>254</v>
      </c>
      <c r="J10375" s="560">
        <f t="shared" si="342"/>
        <v>0</v>
      </c>
    </row>
    <row r="10376" spans="5:10" hidden="1" x14ac:dyDescent="0.25">
      <c r="F10376" s="284" t="s">
        <v>255</v>
      </c>
      <c r="G10376" s="287" t="s">
        <v>256</v>
      </c>
      <c r="J10376" s="560">
        <f t="shared" si="342"/>
        <v>0</v>
      </c>
    </row>
    <row r="10377" spans="5:10" ht="30" hidden="1" x14ac:dyDescent="0.25">
      <c r="F10377" s="284" t="s">
        <v>257</v>
      </c>
      <c r="G10377" s="287" t="s">
        <v>258</v>
      </c>
      <c r="J10377" s="560">
        <f t="shared" si="342"/>
        <v>0</v>
      </c>
    </row>
    <row r="10378" spans="5:10" hidden="1" x14ac:dyDescent="0.25">
      <c r="F10378" s="284" t="s">
        <v>259</v>
      </c>
      <c r="G10378" s="287" t="s">
        <v>260</v>
      </c>
      <c r="J10378" s="560">
        <f t="shared" si="342"/>
        <v>0</v>
      </c>
    </row>
    <row r="10379" spans="5:10" hidden="1" x14ac:dyDescent="0.25">
      <c r="F10379" s="284" t="s">
        <v>261</v>
      </c>
      <c r="G10379" s="287" t="s">
        <v>262</v>
      </c>
      <c r="H10379" s="559"/>
      <c r="I10379" s="560"/>
      <c r="J10379" s="560">
        <f t="shared" si="342"/>
        <v>0</v>
      </c>
    </row>
    <row r="10380" spans="5:10" ht="15.75" hidden="1" thickBot="1" x14ac:dyDescent="0.3">
      <c r="G10380" s="268" t="s">
        <v>4338</v>
      </c>
      <c r="H10380" s="561">
        <f>SUM(H10364:H10379)</f>
        <v>0</v>
      </c>
      <c r="I10380" s="562">
        <f>SUM(I10365:I10379)</f>
        <v>0</v>
      </c>
      <c r="J10380" s="562">
        <f>SUM(J10364:J10379)</f>
        <v>0</v>
      </c>
    </row>
    <row r="10381" spans="5:10" ht="28.5" hidden="1" collapsed="1" x14ac:dyDescent="0.25">
      <c r="E10381" s="489"/>
      <c r="F10381" s="390"/>
      <c r="G10381" s="270" t="s">
        <v>4346</v>
      </c>
      <c r="H10381" s="563"/>
      <c r="I10381" s="584"/>
      <c r="J10381" s="564"/>
    </row>
    <row r="10382" spans="5:10" hidden="1" x14ac:dyDescent="0.25">
      <c r="E10382" s="693"/>
      <c r="F10382" s="284" t="s">
        <v>234</v>
      </c>
      <c r="G10382" s="287" t="s">
        <v>235</v>
      </c>
      <c r="H10382" s="559">
        <f>SUM(H10303:H10362)</f>
        <v>0</v>
      </c>
      <c r="I10382" s="560"/>
      <c r="J10382" s="560">
        <f>SUM(H10382:I10382)</f>
        <v>0</v>
      </c>
    </row>
    <row r="10383" spans="5:10" hidden="1" x14ac:dyDescent="0.25">
      <c r="F10383" s="284" t="s">
        <v>236</v>
      </c>
      <c r="G10383" s="287" t="s">
        <v>237</v>
      </c>
      <c r="J10383" s="560">
        <f t="shared" ref="J10383:J10397" si="343">SUM(H10383:I10383)</f>
        <v>0</v>
      </c>
    </row>
    <row r="10384" spans="5:10" hidden="1" x14ac:dyDescent="0.25">
      <c r="F10384" s="284" t="s">
        <v>238</v>
      </c>
      <c r="G10384" s="287" t="s">
        <v>239</v>
      </c>
      <c r="J10384" s="560">
        <f t="shared" si="343"/>
        <v>0</v>
      </c>
    </row>
    <row r="10385" spans="1:25" hidden="1" x14ac:dyDescent="0.25">
      <c r="F10385" s="284" t="s">
        <v>240</v>
      </c>
      <c r="G10385" s="287" t="s">
        <v>241</v>
      </c>
      <c r="J10385" s="560">
        <f t="shared" si="343"/>
        <v>0</v>
      </c>
    </row>
    <row r="10386" spans="1:25" hidden="1" x14ac:dyDescent="0.25">
      <c r="F10386" s="284" t="s">
        <v>242</v>
      </c>
      <c r="G10386" s="287" t="s">
        <v>243</v>
      </c>
      <c r="J10386" s="560">
        <f t="shared" si="343"/>
        <v>0</v>
      </c>
    </row>
    <row r="10387" spans="1:25" hidden="1" x14ac:dyDescent="0.25">
      <c r="F10387" s="284" t="s">
        <v>244</v>
      </c>
      <c r="G10387" s="287" t="s">
        <v>245</v>
      </c>
      <c r="J10387" s="560">
        <f t="shared" si="343"/>
        <v>0</v>
      </c>
    </row>
    <row r="10388" spans="1:25" hidden="1" x14ac:dyDescent="0.25">
      <c r="F10388" s="284" t="s">
        <v>246</v>
      </c>
      <c r="G10388" s="598" t="s">
        <v>4996</v>
      </c>
      <c r="J10388" s="560">
        <f t="shared" si="343"/>
        <v>0</v>
      </c>
    </row>
    <row r="10389" spans="1:25" hidden="1" x14ac:dyDescent="0.25">
      <c r="F10389" s="284" t="s">
        <v>247</v>
      </c>
      <c r="G10389" s="598" t="s">
        <v>4995</v>
      </c>
      <c r="J10389" s="560">
        <f t="shared" si="343"/>
        <v>0</v>
      </c>
    </row>
    <row r="10390" spans="1:25" hidden="1" x14ac:dyDescent="0.25">
      <c r="F10390" s="284" t="s">
        <v>248</v>
      </c>
      <c r="G10390" s="287" t="s">
        <v>57</v>
      </c>
      <c r="J10390" s="560">
        <f t="shared" si="343"/>
        <v>0</v>
      </c>
    </row>
    <row r="10391" spans="1:25" hidden="1" x14ac:dyDescent="0.25">
      <c r="F10391" s="284" t="s">
        <v>249</v>
      </c>
      <c r="G10391" s="287" t="s">
        <v>250</v>
      </c>
      <c r="J10391" s="560">
        <f t="shared" si="343"/>
        <v>0</v>
      </c>
    </row>
    <row r="10392" spans="1:25" hidden="1" x14ac:dyDescent="0.25">
      <c r="F10392" s="284" t="s">
        <v>251</v>
      </c>
      <c r="G10392" s="287" t="s">
        <v>252</v>
      </c>
      <c r="J10392" s="560">
        <f t="shared" si="343"/>
        <v>0</v>
      </c>
    </row>
    <row r="10393" spans="1:25" ht="30" hidden="1" x14ac:dyDescent="0.25">
      <c r="F10393" s="284" t="s">
        <v>253</v>
      </c>
      <c r="G10393" s="287" t="s">
        <v>254</v>
      </c>
      <c r="J10393" s="560">
        <f t="shared" si="343"/>
        <v>0</v>
      </c>
    </row>
    <row r="10394" spans="1:25" hidden="1" x14ac:dyDescent="0.25">
      <c r="F10394" s="284" t="s">
        <v>255</v>
      </c>
      <c r="G10394" s="287" t="s">
        <v>256</v>
      </c>
      <c r="J10394" s="560">
        <f t="shared" si="343"/>
        <v>0</v>
      </c>
    </row>
    <row r="10395" spans="1:25" ht="30" hidden="1" x14ac:dyDescent="0.25">
      <c r="F10395" s="284" t="s">
        <v>257</v>
      </c>
      <c r="G10395" s="287" t="s">
        <v>258</v>
      </c>
      <c r="J10395" s="560">
        <f t="shared" si="343"/>
        <v>0</v>
      </c>
    </row>
    <row r="10396" spans="1:25" hidden="1" x14ac:dyDescent="0.25">
      <c r="F10396" s="284" t="s">
        <v>259</v>
      </c>
      <c r="G10396" s="287" t="s">
        <v>260</v>
      </c>
      <c r="J10396" s="560">
        <f t="shared" si="343"/>
        <v>0</v>
      </c>
    </row>
    <row r="10397" spans="1:25" hidden="1" x14ac:dyDescent="0.25">
      <c r="F10397" s="284" t="s">
        <v>261</v>
      </c>
      <c r="G10397" s="287" t="s">
        <v>262</v>
      </c>
      <c r="H10397" s="559"/>
      <c r="I10397" s="560"/>
      <c r="J10397" s="560">
        <f t="shared" si="343"/>
        <v>0</v>
      </c>
    </row>
    <row r="10398" spans="1:25" ht="15.75" hidden="1" collapsed="1" thickBot="1" x14ac:dyDescent="0.3">
      <c r="G10398" s="268" t="s">
        <v>4347</v>
      </c>
      <c r="H10398" s="561">
        <f>SUM(H10382:H10397)</f>
        <v>0</v>
      </c>
      <c r="I10398" s="562">
        <f>SUM(I10383:I10397)</f>
        <v>0</v>
      </c>
      <c r="J10398" s="562">
        <f>SUM(J10382:J10397)</f>
        <v>0</v>
      </c>
    </row>
    <row r="10399" spans="1:25" hidden="1" x14ac:dyDescent="0.25"/>
    <row r="10400" spans="1:25" s="88" customFormat="1" hidden="1" x14ac:dyDescent="0.25">
      <c r="A10400" s="258"/>
      <c r="B10400" s="288"/>
      <c r="C10400" s="302" t="s">
        <v>4343</v>
      </c>
      <c r="D10400" s="259"/>
      <c r="E10400" s="702"/>
      <c r="F10400" s="303"/>
      <c r="G10400" s="304" t="s">
        <v>4048</v>
      </c>
      <c r="H10400" s="588"/>
      <c r="I10400" s="571"/>
      <c r="J10400" s="589"/>
      <c r="K10400" s="505"/>
      <c r="L10400" s="505"/>
      <c r="M10400" s="505"/>
      <c r="N10400" s="505"/>
      <c r="O10400" s="505"/>
      <c r="P10400" s="505"/>
      <c r="Q10400" s="505"/>
      <c r="R10400" s="505"/>
      <c r="S10400" s="505"/>
      <c r="T10400" s="505"/>
      <c r="U10400" s="505"/>
      <c r="V10400" s="505"/>
      <c r="W10400" s="505"/>
      <c r="X10400" s="505"/>
      <c r="Y10400" s="505"/>
    </row>
    <row r="10401" spans="1:10" ht="30" hidden="1" x14ac:dyDescent="0.25">
      <c r="A10401" s="386"/>
      <c r="C10401" s="267"/>
      <c r="D10401" s="331">
        <v>660</v>
      </c>
      <c r="E10401" s="869"/>
      <c r="F10401" s="331"/>
      <c r="G10401" s="332" t="s">
        <v>186</v>
      </c>
    </row>
    <row r="10402" spans="1:10" hidden="1" x14ac:dyDescent="0.25">
      <c r="F10402" s="389">
        <v>411</v>
      </c>
      <c r="G10402" s="385" t="s">
        <v>4131</v>
      </c>
      <c r="J10402" s="556">
        <f>SUM(H10402:I10402)</f>
        <v>0</v>
      </c>
    </row>
    <row r="10403" spans="1:10" hidden="1" x14ac:dyDescent="0.25">
      <c r="F10403" s="389">
        <v>412</v>
      </c>
      <c r="G10403" s="384" t="s">
        <v>3766</v>
      </c>
      <c r="J10403" s="556">
        <f t="shared" ref="J10403:J10461" si="344">SUM(H10403:I10403)</f>
        <v>0</v>
      </c>
    </row>
    <row r="10404" spans="1:10" hidden="1" x14ac:dyDescent="0.25">
      <c r="F10404" s="389">
        <v>413</v>
      </c>
      <c r="G10404" s="385" t="s">
        <v>4132</v>
      </c>
      <c r="J10404" s="556">
        <f t="shared" si="344"/>
        <v>0</v>
      </c>
    </row>
    <row r="10405" spans="1:10" hidden="1" x14ac:dyDescent="0.25">
      <c r="F10405" s="389">
        <v>414</v>
      </c>
      <c r="G10405" s="385" t="s">
        <v>3769</v>
      </c>
      <c r="J10405" s="556">
        <f t="shared" si="344"/>
        <v>0</v>
      </c>
    </row>
    <row r="10406" spans="1:10" hidden="1" x14ac:dyDescent="0.25">
      <c r="F10406" s="389">
        <v>415</v>
      </c>
      <c r="G10406" s="385" t="s">
        <v>4141</v>
      </c>
      <c r="J10406" s="556">
        <f t="shared" si="344"/>
        <v>0</v>
      </c>
    </row>
    <row r="10407" spans="1:10" hidden="1" x14ac:dyDescent="0.25">
      <c r="F10407" s="389">
        <v>416</v>
      </c>
      <c r="G10407" s="385" t="s">
        <v>4142</v>
      </c>
      <c r="J10407" s="556">
        <f t="shared" si="344"/>
        <v>0</v>
      </c>
    </row>
    <row r="10408" spans="1:10" hidden="1" x14ac:dyDescent="0.25">
      <c r="F10408" s="389">
        <v>417</v>
      </c>
      <c r="G10408" s="385" t="s">
        <v>4143</v>
      </c>
      <c r="J10408" s="556">
        <f t="shared" si="344"/>
        <v>0</v>
      </c>
    </row>
    <row r="10409" spans="1:10" hidden="1" x14ac:dyDescent="0.25">
      <c r="F10409" s="389">
        <v>418</v>
      </c>
      <c r="G10409" s="385" t="s">
        <v>3775</v>
      </c>
      <c r="J10409" s="556">
        <f t="shared" si="344"/>
        <v>0</v>
      </c>
    </row>
    <row r="10410" spans="1:10" hidden="1" x14ac:dyDescent="0.25">
      <c r="F10410" s="389">
        <v>421</v>
      </c>
      <c r="G10410" s="385" t="s">
        <v>3779</v>
      </c>
      <c r="J10410" s="556">
        <f t="shared" si="344"/>
        <v>0</v>
      </c>
    </row>
    <row r="10411" spans="1:10" hidden="1" x14ac:dyDescent="0.25">
      <c r="F10411" s="389">
        <v>422</v>
      </c>
      <c r="G10411" s="385" t="s">
        <v>3780</v>
      </c>
      <c r="J10411" s="556">
        <f t="shared" si="344"/>
        <v>0</v>
      </c>
    </row>
    <row r="10412" spans="1:10" hidden="1" x14ac:dyDescent="0.25">
      <c r="F10412" s="389">
        <v>423</v>
      </c>
      <c r="G10412" s="385" t="s">
        <v>3781</v>
      </c>
      <c r="J10412" s="556">
        <f t="shared" si="344"/>
        <v>0</v>
      </c>
    </row>
    <row r="10413" spans="1:10" hidden="1" x14ac:dyDescent="0.25">
      <c r="F10413" s="389">
        <v>424</v>
      </c>
      <c r="G10413" s="385" t="s">
        <v>3783</v>
      </c>
      <c r="J10413" s="556">
        <f t="shared" si="344"/>
        <v>0</v>
      </c>
    </row>
    <row r="10414" spans="1:10" hidden="1" x14ac:dyDescent="0.25">
      <c r="F10414" s="389">
        <v>425</v>
      </c>
      <c r="G10414" s="385" t="s">
        <v>4144</v>
      </c>
      <c r="J10414" s="556">
        <f t="shared" si="344"/>
        <v>0</v>
      </c>
    </row>
    <row r="10415" spans="1:10" hidden="1" x14ac:dyDescent="0.25">
      <c r="F10415" s="389">
        <v>426</v>
      </c>
      <c r="G10415" s="385" t="s">
        <v>3787</v>
      </c>
      <c r="J10415" s="556">
        <f t="shared" si="344"/>
        <v>0</v>
      </c>
    </row>
    <row r="10416" spans="1:10" hidden="1" x14ac:dyDescent="0.25">
      <c r="F10416" s="389">
        <v>431</v>
      </c>
      <c r="G10416" s="385" t="s">
        <v>4145</v>
      </c>
      <c r="J10416" s="556">
        <f t="shared" si="344"/>
        <v>0</v>
      </c>
    </row>
    <row r="10417" spans="6:10" hidden="1" x14ac:dyDescent="0.25">
      <c r="F10417" s="389">
        <v>432</v>
      </c>
      <c r="G10417" s="385" t="s">
        <v>4146</v>
      </c>
      <c r="J10417" s="556">
        <f t="shared" si="344"/>
        <v>0</v>
      </c>
    </row>
    <row r="10418" spans="6:10" hidden="1" x14ac:dyDescent="0.25">
      <c r="F10418" s="389">
        <v>433</v>
      </c>
      <c r="G10418" s="385" t="s">
        <v>4147</v>
      </c>
      <c r="J10418" s="556">
        <f t="shared" si="344"/>
        <v>0</v>
      </c>
    </row>
    <row r="10419" spans="6:10" hidden="1" x14ac:dyDescent="0.25">
      <c r="F10419" s="389">
        <v>434</v>
      </c>
      <c r="G10419" s="385" t="s">
        <v>4148</v>
      </c>
      <c r="J10419" s="556">
        <f t="shared" si="344"/>
        <v>0</v>
      </c>
    </row>
    <row r="10420" spans="6:10" hidden="1" x14ac:dyDescent="0.25">
      <c r="F10420" s="389">
        <v>435</v>
      </c>
      <c r="G10420" s="385" t="s">
        <v>3794</v>
      </c>
      <c r="J10420" s="556">
        <f t="shared" si="344"/>
        <v>0</v>
      </c>
    </row>
    <row r="10421" spans="6:10" hidden="1" x14ac:dyDescent="0.25">
      <c r="F10421" s="389">
        <v>441</v>
      </c>
      <c r="G10421" s="385" t="s">
        <v>4149</v>
      </c>
      <c r="J10421" s="556">
        <f t="shared" si="344"/>
        <v>0</v>
      </c>
    </row>
    <row r="10422" spans="6:10" hidden="1" x14ac:dyDescent="0.25">
      <c r="F10422" s="389">
        <v>442</v>
      </c>
      <c r="G10422" s="385" t="s">
        <v>4150</v>
      </c>
      <c r="J10422" s="556">
        <f t="shared" si="344"/>
        <v>0</v>
      </c>
    </row>
    <row r="10423" spans="6:10" hidden="1" x14ac:dyDescent="0.25">
      <c r="F10423" s="389">
        <v>443</v>
      </c>
      <c r="G10423" s="385" t="s">
        <v>3799</v>
      </c>
      <c r="J10423" s="556">
        <f t="shared" si="344"/>
        <v>0</v>
      </c>
    </row>
    <row r="10424" spans="6:10" hidden="1" x14ac:dyDescent="0.25">
      <c r="F10424" s="389">
        <v>444</v>
      </c>
      <c r="G10424" s="385" t="s">
        <v>3800</v>
      </c>
      <c r="J10424" s="556">
        <f t="shared" si="344"/>
        <v>0</v>
      </c>
    </row>
    <row r="10425" spans="6:10" ht="30" hidden="1" x14ac:dyDescent="0.25">
      <c r="F10425" s="389">
        <v>4511</v>
      </c>
      <c r="G10425" s="263" t="s">
        <v>1690</v>
      </c>
      <c r="J10425" s="556">
        <f t="shared" si="344"/>
        <v>0</v>
      </c>
    </row>
    <row r="10426" spans="6:10" ht="19.5" hidden="1" customHeight="1" x14ac:dyDescent="0.25">
      <c r="F10426" s="389">
        <v>4512</v>
      </c>
      <c r="G10426" s="263" t="s">
        <v>1699</v>
      </c>
      <c r="J10426" s="556">
        <f t="shared" si="344"/>
        <v>0</v>
      </c>
    </row>
    <row r="10427" spans="6:10" hidden="1" x14ac:dyDescent="0.25">
      <c r="F10427" s="389">
        <v>452</v>
      </c>
      <c r="G10427" s="385" t="s">
        <v>4151</v>
      </c>
      <c r="J10427" s="556">
        <f t="shared" si="344"/>
        <v>0</v>
      </c>
    </row>
    <row r="10428" spans="6:10" hidden="1" x14ac:dyDescent="0.25">
      <c r="F10428" s="389">
        <v>453</v>
      </c>
      <c r="G10428" s="385" t="s">
        <v>4152</v>
      </c>
      <c r="J10428" s="556">
        <f t="shared" si="344"/>
        <v>0</v>
      </c>
    </row>
    <row r="10429" spans="6:10" hidden="1" x14ac:dyDescent="0.25">
      <c r="F10429" s="389">
        <v>454</v>
      </c>
      <c r="G10429" s="385" t="s">
        <v>3805</v>
      </c>
      <c r="J10429" s="556">
        <f t="shared" si="344"/>
        <v>0</v>
      </c>
    </row>
    <row r="10430" spans="6:10" hidden="1" x14ac:dyDescent="0.25">
      <c r="F10430" s="389">
        <v>461</v>
      </c>
      <c r="G10430" s="385" t="s">
        <v>4133</v>
      </c>
      <c r="J10430" s="556">
        <f t="shared" si="344"/>
        <v>0</v>
      </c>
    </row>
    <row r="10431" spans="6:10" hidden="1" x14ac:dyDescent="0.25">
      <c r="F10431" s="389">
        <v>462</v>
      </c>
      <c r="G10431" s="385" t="s">
        <v>3808</v>
      </c>
      <c r="J10431" s="556">
        <f t="shared" si="344"/>
        <v>0</v>
      </c>
    </row>
    <row r="10432" spans="6:10" hidden="1" x14ac:dyDescent="0.25">
      <c r="F10432" s="389">
        <v>4631</v>
      </c>
      <c r="G10432" s="385" t="s">
        <v>3809</v>
      </c>
      <c r="J10432" s="556">
        <f t="shared" si="344"/>
        <v>0</v>
      </c>
    </row>
    <row r="10433" spans="6:10" hidden="1" x14ac:dyDescent="0.25">
      <c r="F10433" s="389">
        <v>4632</v>
      </c>
      <c r="G10433" s="385" t="s">
        <v>3810</v>
      </c>
      <c r="J10433" s="556">
        <f t="shared" si="344"/>
        <v>0</v>
      </c>
    </row>
    <row r="10434" spans="6:10" hidden="1" x14ac:dyDescent="0.25">
      <c r="F10434" s="389">
        <v>464</v>
      </c>
      <c r="G10434" s="385" t="s">
        <v>3811</v>
      </c>
      <c r="J10434" s="556">
        <f t="shared" si="344"/>
        <v>0</v>
      </c>
    </row>
    <row r="10435" spans="6:10" hidden="1" x14ac:dyDescent="0.25">
      <c r="F10435" s="389">
        <v>465</v>
      </c>
      <c r="G10435" s="385" t="s">
        <v>4134</v>
      </c>
      <c r="J10435" s="556">
        <f t="shared" si="344"/>
        <v>0</v>
      </c>
    </row>
    <row r="10436" spans="6:10" hidden="1" x14ac:dyDescent="0.25">
      <c r="F10436" s="389">
        <v>472</v>
      </c>
      <c r="G10436" s="385" t="s">
        <v>3815</v>
      </c>
      <c r="J10436" s="556">
        <f t="shared" si="344"/>
        <v>0</v>
      </c>
    </row>
    <row r="10437" spans="6:10" hidden="1" x14ac:dyDescent="0.25">
      <c r="F10437" s="389">
        <v>481</v>
      </c>
      <c r="G10437" s="385" t="s">
        <v>4153</v>
      </c>
      <c r="J10437" s="556">
        <f t="shared" si="344"/>
        <v>0</v>
      </c>
    </row>
    <row r="10438" spans="6:10" hidden="1" x14ac:dyDescent="0.25">
      <c r="F10438" s="389">
        <v>482</v>
      </c>
      <c r="G10438" s="385" t="s">
        <v>4154</v>
      </c>
      <c r="J10438" s="556">
        <f t="shared" si="344"/>
        <v>0</v>
      </c>
    </row>
    <row r="10439" spans="6:10" hidden="1" x14ac:dyDescent="0.25">
      <c r="F10439" s="389">
        <v>483</v>
      </c>
      <c r="G10439" s="387" t="s">
        <v>4155</v>
      </c>
      <c r="J10439" s="556">
        <f t="shared" si="344"/>
        <v>0</v>
      </c>
    </row>
    <row r="10440" spans="6:10" ht="30" hidden="1" x14ac:dyDescent="0.25">
      <c r="F10440" s="389">
        <v>484</v>
      </c>
      <c r="G10440" s="385" t="s">
        <v>4156</v>
      </c>
      <c r="J10440" s="556">
        <f t="shared" si="344"/>
        <v>0</v>
      </c>
    </row>
    <row r="10441" spans="6:10" ht="30" hidden="1" x14ac:dyDescent="0.25">
      <c r="F10441" s="389">
        <v>485</v>
      </c>
      <c r="G10441" s="385" t="s">
        <v>4157</v>
      </c>
      <c r="J10441" s="556">
        <f t="shared" si="344"/>
        <v>0</v>
      </c>
    </row>
    <row r="10442" spans="6:10" ht="30" hidden="1" x14ac:dyDescent="0.25">
      <c r="F10442" s="389">
        <v>489</v>
      </c>
      <c r="G10442" s="385" t="s">
        <v>3823</v>
      </c>
      <c r="J10442" s="556">
        <f t="shared" si="344"/>
        <v>0</v>
      </c>
    </row>
    <row r="10443" spans="6:10" hidden="1" x14ac:dyDescent="0.25">
      <c r="F10443" s="389">
        <v>494</v>
      </c>
      <c r="G10443" s="385" t="s">
        <v>4135</v>
      </c>
      <c r="J10443" s="556">
        <f t="shared" si="344"/>
        <v>0</v>
      </c>
    </row>
    <row r="10444" spans="6:10" ht="30" hidden="1" x14ac:dyDescent="0.25">
      <c r="F10444" s="389">
        <v>495</v>
      </c>
      <c r="G10444" s="385" t="s">
        <v>4136</v>
      </c>
      <c r="J10444" s="556">
        <f t="shared" si="344"/>
        <v>0</v>
      </c>
    </row>
    <row r="10445" spans="6:10" ht="30" hidden="1" x14ac:dyDescent="0.25">
      <c r="F10445" s="389">
        <v>496</v>
      </c>
      <c r="G10445" s="385" t="s">
        <v>4137</v>
      </c>
      <c r="J10445" s="556">
        <f t="shared" si="344"/>
        <v>0</v>
      </c>
    </row>
    <row r="10446" spans="6:10" ht="30" hidden="1" x14ac:dyDescent="0.25">
      <c r="F10446" s="389">
        <v>499</v>
      </c>
      <c r="G10446" s="385" t="s">
        <v>4138</v>
      </c>
      <c r="J10446" s="556">
        <f t="shared" si="344"/>
        <v>0</v>
      </c>
    </row>
    <row r="10447" spans="6:10" hidden="1" x14ac:dyDescent="0.25">
      <c r="F10447" s="389">
        <v>511</v>
      </c>
      <c r="G10447" s="387" t="s">
        <v>4158</v>
      </c>
      <c r="J10447" s="556">
        <f t="shared" si="344"/>
        <v>0</v>
      </c>
    </row>
    <row r="10448" spans="6:10" hidden="1" x14ac:dyDescent="0.25">
      <c r="F10448" s="389">
        <v>512</v>
      </c>
      <c r="G10448" s="387" t="s">
        <v>4159</v>
      </c>
      <c r="J10448" s="556">
        <f t="shared" si="344"/>
        <v>0</v>
      </c>
    </row>
    <row r="10449" spans="5:10" hidden="1" x14ac:dyDescent="0.25">
      <c r="F10449" s="389">
        <v>513</v>
      </c>
      <c r="G10449" s="387" t="s">
        <v>4160</v>
      </c>
      <c r="J10449" s="556">
        <f t="shared" si="344"/>
        <v>0</v>
      </c>
    </row>
    <row r="10450" spans="5:10" hidden="1" x14ac:dyDescent="0.25">
      <c r="F10450" s="389">
        <v>514</v>
      </c>
      <c r="G10450" s="385" t="s">
        <v>4161</v>
      </c>
      <c r="J10450" s="556">
        <f t="shared" si="344"/>
        <v>0</v>
      </c>
    </row>
    <row r="10451" spans="5:10" hidden="1" x14ac:dyDescent="0.25">
      <c r="F10451" s="389">
        <v>515</v>
      </c>
      <c r="G10451" s="385" t="s">
        <v>3834</v>
      </c>
      <c r="J10451" s="556">
        <f t="shared" si="344"/>
        <v>0</v>
      </c>
    </row>
    <row r="10452" spans="5:10" hidden="1" x14ac:dyDescent="0.25">
      <c r="F10452" s="389">
        <v>521</v>
      </c>
      <c r="G10452" s="385" t="s">
        <v>4162</v>
      </c>
      <c r="J10452" s="556">
        <f t="shared" si="344"/>
        <v>0</v>
      </c>
    </row>
    <row r="10453" spans="5:10" hidden="1" x14ac:dyDescent="0.25">
      <c r="F10453" s="389">
        <v>522</v>
      </c>
      <c r="G10453" s="385" t="s">
        <v>4163</v>
      </c>
      <c r="J10453" s="556">
        <f t="shared" si="344"/>
        <v>0</v>
      </c>
    </row>
    <row r="10454" spans="5:10" hidden="1" x14ac:dyDescent="0.25">
      <c r="F10454" s="389">
        <v>523</v>
      </c>
      <c r="G10454" s="385" t="s">
        <v>3839</v>
      </c>
      <c r="J10454" s="556">
        <f t="shared" si="344"/>
        <v>0</v>
      </c>
    </row>
    <row r="10455" spans="5:10" hidden="1" x14ac:dyDescent="0.25">
      <c r="F10455" s="389">
        <v>531</v>
      </c>
      <c r="G10455" s="384" t="s">
        <v>4139</v>
      </c>
      <c r="J10455" s="556">
        <f t="shared" si="344"/>
        <v>0</v>
      </c>
    </row>
    <row r="10456" spans="5:10" hidden="1" x14ac:dyDescent="0.25">
      <c r="F10456" s="389">
        <v>541</v>
      </c>
      <c r="G10456" s="385" t="s">
        <v>4164</v>
      </c>
      <c r="J10456" s="556">
        <f t="shared" si="344"/>
        <v>0</v>
      </c>
    </row>
    <row r="10457" spans="5:10" hidden="1" x14ac:dyDescent="0.25">
      <c r="F10457" s="389">
        <v>542</v>
      </c>
      <c r="G10457" s="385" t="s">
        <v>4165</v>
      </c>
      <c r="J10457" s="556">
        <f t="shared" si="344"/>
        <v>0</v>
      </c>
    </row>
    <row r="10458" spans="5:10" hidden="1" x14ac:dyDescent="0.25">
      <c r="F10458" s="389">
        <v>543</v>
      </c>
      <c r="G10458" s="385" t="s">
        <v>3844</v>
      </c>
      <c r="J10458" s="556">
        <f t="shared" si="344"/>
        <v>0</v>
      </c>
    </row>
    <row r="10459" spans="5:10" ht="30" hidden="1" x14ac:dyDescent="0.25">
      <c r="F10459" s="389">
        <v>551</v>
      </c>
      <c r="G10459" s="385" t="s">
        <v>4140</v>
      </c>
      <c r="J10459" s="556">
        <f t="shared" si="344"/>
        <v>0</v>
      </c>
    </row>
    <row r="10460" spans="5:10" hidden="1" x14ac:dyDescent="0.25">
      <c r="F10460" s="390">
        <v>611</v>
      </c>
      <c r="G10460" s="388" t="s">
        <v>3850</v>
      </c>
      <c r="J10460" s="556">
        <f t="shared" si="344"/>
        <v>0</v>
      </c>
    </row>
    <row r="10461" spans="5:10" hidden="1" x14ac:dyDescent="0.25">
      <c r="F10461" s="390">
        <v>620</v>
      </c>
      <c r="G10461" s="388" t="s">
        <v>88</v>
      </c>
      <c r="J10461" s="556">
        <f t="shared" si="344"/>
        <v>0</v>
      </c>
    </row>
    <row r="10462" spans="5:10" hidden="1" x14ac:dyDescent="0.25">
      <c r="E10462" s="489"/>
      <c r="F10462" s="390"/>
      <c r="G10462" s="343" t="s">
        <v>4337</v>
      </c>
      <c r="H10462" s="557"/>
      <c r="I10462" s="583"/>
      <c r="J10462" s="558"/>
    </row>
    <row r="10463" spans="5:10" hidden="1" x14ac:dyDescent="0.25">
      <c r="E10463" s="693"/>
      <c r="F10463" s="284" t="s">
        <v>234</v>
      </c>
      <c r="G10463" s="287" t="s">
        <v>235</v>
      </c>
      <c r="H10463" s="559">
        <f>SUM(H10402:H10461)</f>
        <v>0</v>
      </c>
      <c r="I10463" s="560"/>
      <c r="J10463" s="560">
        <f t="shared" ref="J10463:J10478" si="345">SUM(H10463:I10463)</f>
        <v>0</v>
      </c>
    </row>
    <row r="10464" spans="5:10" hidden="1" x14ac:dyDescent="0.25">
      <c r="F10464" s="284" t="s">
        <v>236</v>
      </c>
      <c r="G10464" s="287" t="s">
        <v>237</v>
      </c>
      <c r="J10464" s="560">
        <f t="shared" si="345"/>
        <v>0</v>
      </c>
    </row>
    <row r="10465" spans="5:10" hidden="1" x14ac:dyDescent="0.25">
      <c r="F10465" s="284" t="s">
        <v>238</v>
      </c>
      <c r="G10465" s="287" t="s">
        <v>239</v>
      </c>
      <c r="J10465" s="560">
        <f t="shared" si="345"/>
        <v>0</v>
      </c>
    </row>
    <row r="10466" spans="5:10" hidden="1" x14ac:dyDescent="0.25">
      <c r="F10466" s="284" t="s">
        <v>240</v>
      </c>
      <c r="G10466" s="287" t="s">
        <v>241</v>
      </c>
      <c r="J10466" s="560">
        <f t="shared" si="345"/>
        <v>0</v>
      </c>
    </row>
    <row r="10467" spans="5:10" hidden="1" x14ac:dyDescent="0.25">
      <c r="F10467" s="284" t="s">
        <v>242</v>
      </c>
      <c r="G10467" s="287" t="s">
        <v>243</v>
      </c>
      <c r="J10467" s="560">
        <f t="shared" si="345"/>
        <v>0</v>
      </c>
    </row>
    <row r="10468" spans="5:10" hidden="1" x14ac:dyDescent="0.25">
      <c r="F10468" s="284" t="s">
        <v>244</v>
      </c>
      <c r="G10468" s="287" t="s">
        <v>245</v>
      </c>
      <c r="J10468" s="560">
        <f t="shared" si="345"/>
        <v>0</v>
      </c>
    </row>
    <row r="10469" spans="5:10" hidden="1" x14ac:dyDescent="0.25">
      <c r="F10469" s="284" t="s">
        <v>246</v>
      </c>
      <c r="G10469" s="598" t="s">
        <v>4996</v>
      </c>
      <c r="J10469" s="560">
        <f t="shared" si="345"/>
        <v>0</v>
      </c>
    </row>
    <row r="10470" spans="5:10" hidden="1" x14ac:dyDescent="0.25">
      <c r="F10470" s="284" t="s">
        <v>247</v>
      </c>
      <c r="G10470" s="598" t="s">
        <v>4995</v>
      </c>
      <c r="J10470" s="560">
        <f t="shared" si="345"/>
        <v>0</v>
      </c>
    </row>
    <row r="10471" spans="5:10" hidden="1" x14ac:dyDescent="0.25">
      <c r="F10471" s="284" t="s">
        <v>248</v>
      </c>
      <c r="G10471" s="287" t="s">
        <v>57</v>
      </c>
      <c r="J10471" s="560">
        <f t="shared" si="345"/>
        <v>0</v>
      </c>
    </row>
    <row r="10472" spans="5:10" hidden="1" x14ac:dyDescent="0.25">
      <c r="F10472" s="284" t="s">
        <v>249</v>
      </c>
      <c r="G10472" s="287" t="s">
        <v>250</v>
      </c>
      <c r="J10472" s="560">
        <f t="shared" si="345"/>
        <v>0</v>
      </c>
    </row>
    <row r="10473" spans="5:10" hidden="1" x14ac:dyDescent="0.25">
      <c r="F10473" s="284" t="s">
        <v>251</v>
      </c>
      <c r="G10473" s="287" t="s">
        <v>252</v>
      </c>
      <c r="J10473" s="560">
        <f t="shared" si="345"/>
        <v>0</v>
      </c>
    </row>
    <row r="10474" spans="5:10" ht="30" hidden="1" x14ac:dyDescent="0.25">
      <c r="F10474" s="284" t="s">
        <v>253</v>
      </c>
      <c r="G10474" s="287" t="s">
        <v>254</v>
      </c>
      <c r="J10474" s="560">
        <f t="shared" si="345"/>
        <v>0</v>
      </c>
    </row>
    <row r="10475" spans="5:10" hidden="1" x14ac:dyDescent="0.25">
      <c r="F10475" s="284" t="s">
        <v>255</v>
      </c>
      <c r="G10475" s="287" t="s">
        <v>256</v>
      </c>
      <c r="J10475" s="560">
        <f t="shared" si="345"/>
        <v>0</v>
      </c>
    </row>
    <row r="10476" spans="5:10" ht="30" hidden="1" x14ac:dyDescent="0.25">
      <c r="F10476" s="284" t="s">
        <v>257</v>
      </c>
      <c r="G10476" s="287" t="s">
        <v>258</v>
      </c>
      <c r="J10476" s="560">
        <f t="shared" si="345"/>
        <v>0</v>
      </c>
    </row>
    <row r="10477" spans="5:10" hidden="1" x14ac:dyDescent="0.25">
      <c r="F10477" s="284" t="s">
        <v>259</v>
      </c>
      <c r="G10477" s="287" t="s">
        <v>260</v>
      </c>
      <c r="J10477" s="560">
        <f t="shared" si="345"/>
        <v>0</v>
      </c>
    </row>
    <row r="10478" spans="5:10" hidden="1" x14ac:dyDescent="0.25">
      <c r="F10478" s="284" t="s">
        <v>261</v>
      </c>
      <c r="G10478" s="287" t="s">
        <v>262</v>
      </c>
      <c r="H10478" s="559"/>
      <c r="I10478" s="560"/>
      <c r="J10478" s="560">
        <f t="shared" si="345"/>
        <v>0</v>
      </c>
    </row>
    <row r="10479" spans="5:10" ht="15.75" hidden="1" thickBot="1" x14ac:dyDescent="0.3">
      <c r="G10479" s="268" t="s">
        <v>4338</v>
      </c>
      <c r="H10479" s="561">
        <f>SUM(H10463:H10478)</f>
        <v>0</v>
      </c>
      <c r="I10479" s="562">
        <f>SUM(I10464:I10478)</f>
        <v>0</v>
      </c>
      <c r="J10479" s="562">
        <f>SUM(J10463:J10478)</f>
        <v>0</v>
      </c>
    </row>
    <row r="10480" spans="5:10" ht="28.5" hidden="1" collapsed="1" x14ac:dyDescent="0.25">
      <c r="E10480" s="489"/>
      <c r="F10480" s="390"/>
      <c r="G10480" s="270" t="s">
        <v>4348</v>
      </c>
      <c r="H10480" s="563"/>
      <c r="I10480" s="584"/>
      <c r="J10480" s="564"/>
    </row>
    <row r="10481" spans="5:10" hidden="1" x14ac:dyDescent="0.25">
      <c r="E10481" s="693"/>
      <c r="F10481" s="284" t="s">
        <v>234</v>
      </c>
      <c r="G10481" s="287" t="s">
        <v>235</v>
      </c>
      <c r="H10481" s="559">
        <f>SUM(H10402:H10461)</f>
        <v>0</v>
      </c>
      <c r="I10481" s="560"/>
      <c r="J10481" s="560">
        <f>SUM(H10481:I10481)</f>
        <v>0</v>
      </c>
    </row>
    <row r="10482" spans="5:10" hidden="1" x14ac:dyDescent="0.25">
      <c r="F10482" s="284" t="s">
        <v>236</v>
      </c>
      <c r="G10482" s="287" t="s">
        <v>237</v>
      </c>
      <c r="J10482" s="560">
        <f t="shared" ref="J10482:J10496" si="346">SUM(H10482:I10482)</f>
        <v>0</v>
      </c>
    </row>
    <row r="10483" spans="5:10" hidden="1" x14ac:dyDescent="0.25">
      <c r="F10483" s="284" t="s">
        <v>238</v>
      </c>
      <c r="G10483" s="287" t="s">
        <v>239</v>
      </c>
      <c r="J10483" s="560">
        <f t="shared" si="346"/>
        <v>0</v>
      </c>
    </row>
    <row r="10484" spans="5:10" hidden="1" x14ac:dyDescent="0.25">
      <c r="F10484" s="284" t="s">
        <v>240</v>
      </c>
      <c r="G10484" s="287" t="s">
        <v>241</v>
      </c>
      <c r="J10484" s="560">
        <f t="shared" si="346"/>
        <v>0</v>
      </c>
    </row>
    <row r="10485" spans="5:10" hidden="1" x14ac:dyDescent="0.25">
      <c r="F10485" s="284" t="s">
        <v>242</v>
      </c>
      <c r="G10485" s="287" t="s">
        <v>243</v>
      </c>
      <c r="J10485" s="560">
        <f t="shared" si="346"/>
        <v>0</v>
      </c>
    </row>
    <row r="10486" spans="5:10" hidden="1" x14ac:dyDescent="0.25">
      <c r="F10486" s="284" t="s">
        <v>244</v>
      </c>
      <c r="G10486" s="287" t="s">
        <v>245</v>
      </c>
      <c r="J10486" s="560">
        <f t="shared" si="346"/>
        <v>0</v>
      </c>
    </row>
    <row r="10487" spans="5:10" hidden="1" x14ac:dyDescent="0.25">
      <c r="F10487" s="284" t="s">
        <v>246</v>
      </c>
      <c r="G10487" s="598" t="s">
        <v>4996</v>
      </c>
      <c r="J10487" s="560">
        <f t="shared" si="346"/>
        <v>0</v>
      </c>
    </row>
    <row r="10488" spans="5:10" hidden="1" x14ac:dyDescent="0.25">
      <c r="F10488" s="284" t="s">
        <v>247</v>
      </c>
      <c r="G10488" s="598" t="s">
        <v>4995</v>
      </c>
      <c r="J10488" s="560">
        <f t="shared" si="346"/>
        <v>0</v>
      </c>
    </row>
    <row r="10489" spans="5:10" hidden="1" x14ac:dyDescent="0.25">
      <c r="F10489" s="284" t="s">
        <v>248</v>
      </c>
      <c r="G10489" s="287" t="s">
        <v>57</v>
      </c>
      <c r="J10489" s="560">
        <f t="shared" si="346"/>
        <v>0</v>
      </c>
    </row>
    <row r="10490" spans="5:10" hidden="1" x14ac:dyDescent="0.25">
      <c r="F10490" s="284" t="s">
        <v>249</v>
      </c>
      <c r="G10490" s="287" t="s">
        <v>250</v>
      </c>
      <c r="J10490" s="560">
        <f t="shared" si="346"/>
        <v>0</v>
      </c>
    </row>
    <row r="10491" spans="5:10" hidden="1" x14ac:dyDescent="0.25">
      <c r="F10491" s="284" t="s">
        <v>251</v>
      </c>
      <c r="G10491" s="287" t="s">
        <v>252</v>
      </c>
      <c r="J10491" s="560">
        <f t="shared" si="346"/>
        <v>0</v>
      </c>
    </row>
    <row r="10492" spans="5:10" ht="30" hidden="1" x14ac:dyDescent="0.25">
      <c r="F10492" s="284" t="s">
        <v>253</v>
      </c>
      <c r="G10492" s="287" t="s">
        <v>254</v>
      </c>
      <c r="J10492" s="560">
        <f t="shared" si="346"/>
        <v>0</v>
      </c>
    </row>
    <row r="10493" spans="5:10" hidden="1" x14ac:dyDescent="0.25">
      <c r="F10493" s="284" t="s">
        <v>255</v>
      </c>
      <c r="G10493" s="287" t="s">
        <v>256</v>
      </c>
      <c r="J10493" s="560">
        <f t="shared" si="346"/>
        <v>0</v>
      </c>
    </row>
    <row r="10494" spans="5:10" ht="30" hidden="1" x14ac:dyDescent="0.25">
      <c r="F10494" s="284" t="s">
        <v>257</v>
      </c>
      <c r="G10494" s="287" t="s">
        <v>258</v>
      </c>
      <c r="J10494" s="560">
        <f t="shared" si="346"/>
        <v>0</v>
      </c>
    </row>
    <row r="10495" spans="5:10" hidden="1" x14ac:dyDescent="0.25">
      <c r="F10495" s="284" t="s">
        <v>259</v>
      </c>
      <c r="G10495" s="287" t="s">
        <v>260</v>
      </c>
      <c r="J10495" s="560">
        <f t="shared" si="346"/>
        <v>0</v>
      </c>
    </row>
    <row r="10496" spans="5:10" hidden="1" x14ac:dyDescent="0.25">
      <c r="F10496" s="284" t="s">
        <v>261</v>
      </c>
      <c r="G10496" s="287" t="s">
        <v>262</v>
      </c>
      <c r="H10496" s="559"/>
      <c r="I10496" s="560"/>
      <c r="J10496" s="560">
        <f t="shared" si="346"/>
        <v>0</v>
      </c>
    </row>
    <row r="10497" spans="5:10" ht="15.75" hidden="1" collapsed="1" thickBot="1" x14ac:dyDescent="0.3">
      <c r="G10497" s="268" t="s">
        <v>4349</v>
      </c>
      <c r="H10497" s="561">
        <f>SUM(H10481:H10496)</f>
        <v>0</v>
      </c>
      <c r="I10497" s="562">
        <f>SUM(I10482:I10496)</f>
        <v>0</v>
      </c>
      <c r="J10497" s="562">
        <f>SUM(J10481:J10496)</f>
        <v>0</v>
      </c>
    </row>
    <row r="10498" spans="5:10" hidden="1" x14ac:dyDescent="0.25"/>
    <row r="10499" spans="5:10" hidden="1" x14ac:dyDescent="0.25">
      <c r="G10499" s="312"/>
      <c r="H10499" s="565"/>
      <c r="I10499" s="566"/>
      <c r="J10499" s="566"/>
    </row>
    <row r="10500" spans="5:10" hidden="1" x14ac:dyDescent="0.25">
      <c r="E10500" s="489"/>
      <c r="F10500" s="398"/>
      <c r="G10500" s="285" t="s">
        <v>4254</v>
      </c>
      <c r="H10500" s="567"/>
      <c r="I10500" s="585"/>
      <c r="J10500" s="568"/>
    </row>
    <row r="10501" spans="5:10" hidden="1" x14ac:dyDescent="0.25">
      <c r="E10501" s="693"/>
      <c r="F10501" s="284" t="s">
        <v>234</v>
      </c>
      <c r="G10501" s="287" t="s">
        <v>235</v>
      </c>
      <c r="H10501" s="559" t="e">
        <f>SUM(H10481,H10382,#REF!,#REF!,H10085,H9986,H6965,H6866)</f>
        <v>#REF!</v>
      </c>
      <c r="I10501" s="560"/>
      <c r="J10501" s="560" t="e">
        <f>SUM(H10501:I10501)</f>
        <v>#REF!</v>
      </c>
    </row>
    <row r="10502" spans="5:10" hidden="1" x14ac:dyDescent="0.25">
      <c r="F10502" s="284" t="s">
        <v>236</v>
      </c>
      <c r="G10502" s="287" t="s">
        <v>237</v>
      </c>
      <c r="J10502" s="560">
        <f t="shared" ref="J10502:J10516" si="347">SUM(H10502:I10502)</f>
        <v>0</v>
      </c>
    </row>
    <row r="10503" spans="5:10" hidden="1" x14ac:dyDescent="0.25">
      <c r="F10503" s="284" t="s">
        <v>238</v>
      </c>
      <c r="G10503" s="287" t="s">
        <v>239</v>
      </c>
      <c r="J10503" s="560">
        <f t="shared" si="347"/>
        <v>0</v>
      </c>
    </row>
    <row r="10504" spans="5:10" hidden="1" x14ac:dyDescent="0.25">
      <c r="F10504" s="284" t="s">
        <v>240</v>
      </c>
      <c r="G10504" s="287" t="s">
        <v>241</v>
      </c>
      <c r="J10504" s="560">
        <f t="shared" si="347"/>
        <v>0</v>
      </c>
    </row>
    <row r="10505" spans="5:10" hidden="1" x14ac:dyDescent="0.25">
      <c r="F10505" s="284" t="s">
        <v>242</v>
      </c>
      <c r="G10505" s="287" t="s">
        <v>243</v>
      </c>
      <c r="J10505" s="560">
        <f t="shared" si="347"/>
        <v>0</v>
      </c>
    </row>
    <row r="10506" spans="5:10" hidden="1" x14ac:dyDescent="0.25">
      <c r="F10506" s="284" t="s">
        <v>244</v>
      </c>
      <c r="G10506" s="287" t="s">
        <v>245</v>
      </c>
      <c r="J10506" s="560">
        <f t="shared" si="347"/>
        <v>0</v>
      </c>
    </row>
    <row r="10507" spans="5:10" hidden="1" x14ac:dyDescent="0.25">
      <c r="F10507" s="284" t="s">
        <v>246</v>
      </c>
      <c r="G10507" s="598" t="s">
        <v>4996</v>
      </c>
      <c r="J10507" s="560">
        <f t="shared" si="347"/>
        <v>0</v>
      </c>
    </row>
    <row r="10508" spans="5:10" hidden="1" x14ac:dyDescent="0.25">
      <c r="F10508" s="284" t="s">
        <v>247</v>
      </c>
      <c r="G10508" s="598" t="s">
        <v>4995</v>
      </c>
      <c r="J10508" s="560">
        <f t="shared" si="347"/>
        <v>0</v>
      </c>
    </row>
    <row r="10509" spans="5:10" hidden="1" x14ac:dyDescent="0.25">
      <c r="F10509" s="284" t="s">
        <v>248</v>
      </c>
      <c r="G10509" s="287" t="s">
        <v>57</v>
      </c>
      <c r="J10509" s="560">
        <f t="shared" si="347"/>
        <v>0</v>
      </c>
    </row>
    <row r="10510" spans="5:10" hidden="1" x14ac:dyDescent="0.25">
      <c r="F10510" s="284" t="s">
        <v>249</v>
      </c>
      <c r="G10510" s="287" t="s">
        <v>250</v>
      </c>
      <c r="J10510" s="560">
        <f t="shared" si="347"/>
        <v>0</v>
      </c>
    </row>
    <row r="10511" spans="5:10" hidden="1" x14ac:dyDescent="0.25">
      <c r="F10511" s="284" t="s">
        <v>251</v>
      </c>
      <c r="G10511" s="287" t="s">
        <v>252</v>
      </c>
      <c r="J10511" s="560">
        <f t="shared" si="347"/>
        <v>0</v>
      </c>
    </row>
    <row r="10512" spans="5:10" ht="30" hidden="1" x14ac:dyDescent="0.25">
      <c r="F10512" s="284" t="s">
        <v>253</v>
      </c>
      <c r="G10512" s="287" t="s">
        <v>254</v>
      </c>
      <c r="J10512" s="560">
        <f t="shared" si="347"/>
        <v>0</v>
      </c>
    </row>
    <row r="10513" spans="1:25" hidden="1" x14ac:dyDescent="0.25">
      <c r="F10513" s="284" t="s">
        <v>255</v>
      </c>
      <c r="G10513" s="287" t="s">
        <v>256</v>
      </c>
      <c r="J10513" s="560">
        <f t="shared" si="347"/>
        <v>0</v>
      </c>
    </row>
    <row r="10514" spans="1:25" ht="30" hidden="1" x14ac:dyDescent="0.25">
      <c r="F10514" s="284" t="s">
        <v>257</v>
      </c>
      <c r="G10514" s="287" t="s">
        <v>258</v>
      </c>
      <c r="J10514" s="560">
        <f t="shared" si="347"/>
        <v>0</v>
      </c>
    </row>
    <row r="10515" spans="1:25" hidden="1" x14ac:dyDescent="0.25">
      <c r="F10515" s="284" t="s">
        <v>259</v>
      </c>
      <c r="G10515" s="287" t="s">
        <v>260</v>
      </c>
      <c r="J10515" s="560">
        <f t="shared" si="347"/>
        <v>0</v>
      </c>
    </row>
    <row r="10516" spans="1:25" hidden="1" x14ac:dyDescent="0.25">
      <c r="F10516" s="284" t="s">
        <v>261</v>
      </c>
      <c r="G10516" s="287" t="s">
        <v>262</v>
      </c>
      <c r="H10516" s="559"/>
      <c r="I10516" s="560"/>
      <c r="J10516" s="560">
        <f t="shared" si="347"/>
        <v>0</v>
      </c>
    </row>
    <row r="10517" spans="1:25" ht="15.75" hidden="1" thickBot="1" x14ac:dyDescent="0.3">
      <c r="G10517" s="268" t="s">
        <v>4255</v>
      </c>
      <c r="H10517" s="561" t="e">
        <f>SUM(H10501:H10516)</f>
        <v>#REF!</v>
      </c>
      <c r="I10517" s="562">
        <f>SUM(I10502:I10516)</f>
        <v>0</v>
      </c>
      <c r="J10517" s="562" t="e">
        <f>SUM(J10501:J10516)</f>
        <v>#REF!</v>
      </c>
    </row>
    <row r="10518" spans="1:25" hidden="1" x14ac:dyDescent="0.25"/>
    <row r="10519" spans="1:25" hidden="1" x14ac:dyDescent="0.25"/>
    <row r="10520" spans="1:25" hidden="1" x14ac:dyDescent="0.25">
      <c r="G10520" s="393" t="s">
        <v>4253</v>
      </c>
    </row>
    <row r="10521" spans="1:25" s="88" customFormat="1" hidden="1" x14ac:dyDescent="0.25">
      <c r="A10521" s="258"/>
      <c r="B10521" s="288"/>
      <c r="C10521" s="302" t="s">
        <v>4350</v>
      </c>
      <c r="D10521" s="259"/>
      <c r="E10521" s="702"/>
      <c r="F10521" s="303"/>
      <c r="G10521" s="406" t="s">
        <v>4068</v>
      </c>
      <c r="H10521" s="588"/>
      <c r="I10521" s="571"/>
      <c r="J10521" s="589"/>
      <c r="K10521" s="505"/>
      <c r="L10521" s="505"/>
      <c r="M10521" s="505"/>
      <c r="N10521" s="505"/>
      <c r="O10521" s="505"/>
      <c r="P10521" s="505"/>
      <c r="Q10521" s="505"/>
      <c r="R10521" s="505"/>
      <c r="S10521" s="505"/>
      <c r="T10521" s="505"/>
      <c r="U10521" s="505"/>
      <c r="V10521" s="505"/>
      <c r="W10521" s="505"/>
      <c r="X10521" s="505"/>
      <c r="Y10521" s="505"/>
    </row>
    <row r="10522" spans="1:25" hidden="1" x14ac:dyDescent="0.25">
      <c r="A10522" s="394"/>
      <c r="C10522" s="267"/>
      <c r="D10522" s="331">
        <v>451</v>
      </c>
      <c r="E10522" s="869"/>
      <c r="F10522" s="331"/>
      <c r="G10522" s="332" t="s">
        <v>153</v>
      </c>
    </row>
    <row r="10523" spans="1:25" hidden="1" x14ac:dyDescent="0.25">
      <c r="F10523" s="397">
        <v>411</v>
      </c>
      <c r="G10523" s="392" t="s">
        <v>4131</v>
      </c>
      <c r="J10523" s="556">
        <f>SUM(H10523:I10523)</f>
        <v>0</v>
      </c>
    </row>
    <row r="10524" spans="1:25" hidden="1" x14ac:dyDescent="0.25">
      <c r="F10524" s="397">
        <v>412</v>
      </c>
      <c r="G10524" s="391" t="s">
        <v>3766</v>
      </c>
      <c r="J10524" s="556">
        <f t="shared" ref="J10524:J10582" si="348">SUM(H10524:I10524)</f>
        <v>0</v>
      </c>
    </row>
    <row r="10525" spans="1:25" hidden="1" x14ac:dyDescent="0.25">
      <c r="F10525" s="397">
        <v>413</v>
      </c>
      <c r="G10525" s="392" t="s">
        <v>4132</v>
      </c>
      <c r="J10525" s="556">
        <f t="shared" si="348"/>
        <v>0</v>
      </c>
    </row>
    <row r="10526" spans="1:25" hidden="1" x14ac:dyDescent="0.25">
      <c r="F10526" s="397">
        <v>414</v>
      </c>
      <c r="G10526" s="392" t="s">
        <v>3769</v>
      </c>
      <c r="J10526" s="556">
        <f t="shared" si="348"/>
        <v>0</v>
      </c>
    </row>
    <row r="10527" spans="1:25" hidden="1" x14ac:dyDescent="0.25">
      <c r="F10527" s="397">
        <v>415</v>
      </c>
      <c r="G10527" s="392" t="s">
        <v>4141</v>
      </c>
      <c r="J10527" s="556">
        <f t="shared" si="348"/>
        <v>0</v>
      </c>
    </row>
    <row r="10528" spans="1:25" hidden="1" x14ac:dyDescent="0.25">
      <c r="F10528" s="397">
        <v>416</v>
      </c>
      <c r="G10528" s="392" t="s">
        <v>4142</v>
      </c>
      <c r="J10528" s="556">
        <f t="shared" si="348"/>
        <v>0</v>
      </c>
    </row>
    <row r="10529" spans="6:10" hidden="1" x14ac:dyDescent="0.25">
      <c r="F10529" s="397">
        <v>417</v>
      </c>
      <c r="G10529" s="392" t="s">
        <v>4143</v>
      </c>
      <c r="J10529" s="556">
        <f t="shared" si="348"/>
        <v>0</v>
      </c>
    </row>
    <row r="10530" spans="6:10" hidden="1" x14ac:dyDescent="0.25">
      <c r="F10530" s="397">
        <v>418</v>
      </c>
      <c r="G10530" s="392" t="s">
        <v>3775</v>
      </c>
      <c r="J10530" s="556">
        <f t="shared" si="348"/>
        <v>0</v>
      </c>
    </row>
    <row r="10531" spans="6:10" hidden="1" x14ac:dyDescent="0.25">
      <c r="F10531" s="397">
        <v>421</v>
      </c>
      <c r="G10531" s="392" t="s">
        <v>3779</v>
      </c>
      <c r="J10531" s="556">
        <f t="shared" si="348"/>
        <v>0</v>
      </c>
    </row>
    <row r="10532" spans="6:10" hidden="1" x14ac:dyDescent="0.25">
      <c r="F10532" s="397">
        <v>422</v>
      </c>
      <c r="G10532" s="392" t="s">
        <v>3780</v>
      </c>
      <c r="J10532" s="556">
        <f t="shared" si="348"/>
        <v>0</v>
      </c>
    </row>
    <row r="10533" spans="6:10" hidden="1" x14ac:dyDescent="0.25">
      <c r="F10533" s="397">
        <v>423</v>
      </c>
      <c r="G10533" s="392" t="s">
        <v>3781</v>
      </c>
      <c r="J10533" s="556">
        <f t="shared" si="348"/>
        <v>0</v>
      </c>
    </row>
    <row r="10534" spans="6:10" hidden="1" x14ac:dyDescent="0.25">
      <c r="F10534" s="397">
        <v>424</v>
      </c>
      <c r="G10534" s="392" t="s">
        <v>3783</v>
      </c>
      <c r="J10534" s="556">
        <f t="shared" si="348"/>
        <v>0</v>
      </c>
    </row>
    <row r="10535" spans="6:10" hidden="1" x14ac:dyDescent="0.25">
      <c r="F10535" s="397">
        <v>425</v>
      </c>
      <c r="G10535" s="392" t="s">
        <v>4144</v>
      </c>
      <c r="J10535" s="556">
        <f t="shared" si="348"/>
        <v>0</v>
      </c>
    </row>
    <row r="10536" spans="6:10" hidden="1" x14ac:dyDescent="0.25">
      <c r="F10536" s="397">
        <v>426</v>
      </c>
      <c r="G10536" s="392" t="s">
        <v>3787</v>
      </c>
      <c r="J10536" s="556">
        <f t="shared" si="348"/>
        <v>0</v>
      </c>
    </row>
    <row r="10537" spans="6:10" hidden="1" x14ac:dyDescent="0.25">
      <c r="F10537" s="397">
        <v>431</v>
      </c>
      <c r="G10537" s="392" t="s">
        <v>4145</v>
      </c>
      <c r="J10537" s="556">
        <f t="shared" si="348"/>
        <v>0</v>
      </c>
    </row>
    <row r="10538" spans="6:10" hidden="1" x14ac:dyDescent="0.25">
      <c r="F10538" s="397">
        <v>432</v>
      </c>
      <c r="G10538" s="392" t="s">
        <v>4146</v>
      </c>
      <c r="J10538" s="556">
        <f t="shared" si="348"/>
        <v>0</v>
      </c>
    </row>
    <row r="10539" spans="6:10" hidden="1" x14ac:dyDescent="0.25">
      <c r="F10539" s="397">
        <v>433</v>
      </c>
      <c r="G10539" s="392" t="s">
        <v>4147</v>
      </c>
      <c r="J10539" s="556">
        <f t="shared" si="348"/>
        <v>0</v>
      </c>
    </row>
    <row r="10540" spans="6:10" hidden="1" x14ac:dyDescent="0.25">
      <c r="F10540" s="397">
        <v>434</v>
      </c>
      <c r="G10540" s="392" t="s">
        <v>4148</v>
      </c>
      <c r="J10540" s="556">
        <f t="shared" si="348"/>
        <v>0</v>
      </c>
    </row>
    <row r="10541" spans="6:10" hidden="1" x14ac:dyDescent="0.25">
      <c r="F10541" s="397">
        <v>435</v>
      </c>
      <c r="G10541" s="392" t="s">
        <v>3794</v>
      </c>
      <c r="J10541" s="556">
        <f t="shared" si="348"/>
        <v>0</v>
      </c>
    </row>
    <row r="10542" spans="6:10" hidden="1" x14ac:dyDescent="0.25">
      <c r="F10542" s="397">
        <v>441</v>
      </c>
      <c r="G10542" s="392" t="s">
        <v>4149</v>
      </c>
      <c r="J10542" s="556">
        <f t="shared" si="348"/>
        <v>0</v>
      </c>
    </row>
    <row r="10543" spans="6:10" hidden="1" x14ac:dyDescent="0.25">
      <c r="F10543" s="397">
        <v>442</v>
      </c>
      <c r="G10543" s="392" t="s">
        <v>4150</v>
      </c>
      <c r="J10543" s="556">
        <f t="shared" si="348"/>
        <v>0</v>
      </c>
    </row>
    <row r="10544" spans="6:10" hidden="1" x14ac:dyDescent="0.25">
      <c r="F10544" s="397">
        <v>443</v>
      </c>
      <c r="G10544" s="392" t="s">
        <v>3799</v>
      </c>
      <c r="J10544" s="556">
        <f t="shared" si="348"/>
        <v>0</v>
      </c>
    </row>
    <row r="10545" spans="6:10" hidden="1" x14ac:dyDescent="0.25">
      <c r="F10545" s="397">
        <v>444</v>
      </c>
      <c r="G10545" s="392" t="s">
        <v>3800</v>
      </c>
      <c r="J10545" s="556">
        <f t="shared" si="348"/>
        <v>0</v>
      </c>
    </row>
    <row r="10546" spans="6:10" ht="30" hidden="1" x14ac:dyDescent="0.25">
      <c r="F10546" s="397">
        <v>4511</v>
      </c>
      <c r="G10546" s="263" t="s">
        <v>1690</v>
      </c>
      <c r="J10546" s="556">
        <f t="shared" si="348"/>
        <v>0</v>
      </c>
    </row>
    <row r="10547" spans="6:10" ht="19.5" hidden="1" customHeight="1" x14ac:dyDescent="0.25">
      <c r="F10547" s="397">
        <v>4512</v>
      </c>
      <c r="G10547" s="263" t="s">
        <v>1699</v>
      </c>
      <c r="J10547" s="556">
        <f t="shared" si="348"/>
        <v>0</v>
      </c>
    </row>
    <row r="10548" spans="6:10" hidden="1" x14ac:dyDescent="0.25">
      <c r="F10548" s="397">
        <v>452</v>
      </c>
      <c r="G10548" s="392" t="s">
        <v>4151</v>
      </c>
      <c r="J10548" s="556">
        <f t="shared" si="348"/>
        <v>0</v>
      </c>
    </row>
    <row r="10549" spans="6:10" hidden="1" x14ac:dyDescent="0.25">
      <c r="F10549" s="397">
        <v>453</v>
      </c>
      <c r="G10549" s="392" t="s">
        <v>4152</v>
      </c>
      <c r="J10549" s="556">
        <f t="shared" si="348"/>
        <v>0</v>
      </c>
    </row>
    <row r="10550" spans="6:10" hidden="1" x14ac:dyDescent="0.25">
      <c r="F10550" s="397">
        <v>454</v>
      </c>
      <c r="G10550" s="392" t="s">
        <v>3805</v>
      </c>
      <c r="J10550" s="556">
        <f t="shared" si="348"/>
        <v>0</v>
      </c>
    </row>
    <row r="10551" spans="6:10" hidden="1" x14ac:dyDescent="0.25">
      <c r="F10551" s="397">
        <v>461</v>
      </c>
      <c r="G10551" s="392" t="s">
        <v>4133</v>
      </c>
      <c r="J10551" s="556">
        <f t="shared" si="348"/>
        <v>0</v>
      </c>
    </row>
    <row r="10552" spans="6:10" hidden="1" x14ac:dyDescent="0.25">
      <c r="F10552" s="397">
        <v>462</v>
      </c>
      <c r="G10552" s="392" t="s">
        <v>3808</v>
      </c>
      <c r="J10552" s="556">
        <f t="shared" si="348"/>
        <v>0</v>
      </c>
    </row>
    <row r="10553" spans="6:10" hidden="1" x14ac:dyDescent="0.25">
      <c r="F10553" s="397">
        <v>4631</v>
      </c>
      <c r="G10553" s="392" t="s">
        <v>3809</v>
      </c>
      <c r="J10553" s="556">
        <f t="shared" si="348"/>
        <v>0</v>
      </c>
    </row>
    <row r="10554" spans="6:10" hidden="1" x14ac:dyDescent="0.25">
      <c r="F10554" s="397">
        <v>4632</v>
      </c>
      <c r="G10554" s="392" t="s">
        <v>3810</v>
      </c>
      <c r="J10554" s="556">
        <f t="shared" si="348"/>
        <v>0</v>
      </c>
    </row>
    <row r="10555" spans="6:10" hidden="1" x14ac:dyDescent="0.25">
      <c r="F10555" s="397">
        <v>464</v>
      </c>
      <c r="G10555" s="392" t="s">
        <v>3811</v>
      </c>
      <c r="J10555" s="556">
        <f t="shared" si="348"/>
        <v>0</v>
      </c>
    </row>
    <row r="10556" spans="6:10" hidden="1" x14ac:dyDescent="0.25">
      <c r="F10556" s="397">
        <v>465</v>
      </c>
      <c r="G10556" s="392" t="s">
        <v>4134</v>
      </c>
      <c r="J10556" s="556">
        <f t="shared" si="348"/>
        <v>0</v>
      </c>
    </row>
    <row r="10557" spans="6:10" hidden="1" x14ac:dyDescent="0.25">
      <c r="F10557" s="397">
        <v>472</v>
      </c>
      <c r="G10557" s="392" t="s">
        <v>3815</v>
      </c>
      <c r="J10557" s="556">
        <f t="shared" si="348"/>
        <v>0</v>
      </c>
    </row>
    <row r="10558" spans="6:10" hidden="1" x14ac:dyDescent="0.25">
      <c r="F10558" s="397">
        <v>481</v>
      </c>
      <c r="G10558" s="392" t="s">
        <v>4153</v>
      </c>
      <c r="J10558" s="556">
        <f t="shared" si="348"/>
        <v>0</v>
      </c>
    </row>
    <row r="10559" spans="6:10" hidden="1" x14ac:dyDescent="0.25">
      <c r="F10559" s="397">
        <v>482</v>
      </c>
      <c r="G10559" s="392" t="s">
        <v>4154</v>
      </c>
      <c r="J10559" s="556">
        <f t="shared" si="348"/>
        <v>0</v>
      </c>
    </row>
    <row r="10560" spans="6:10" hidden="1" x14ac:dyDescent="0.25">
      <c r="F10560" s="397">
        <v>483</v>
      </c>
      <c r="G10560" s="395" t="s">
        <v>4155</v>
      </c>
      <c r="J10560" s="556">
        <f t="shared" si="348"/>
        <v>0</v>
      </c>
    </row>
    <row r="10561" spans="6:10" ht="30" hidden="1" x14ac:dyDescent="0.25">
      <c r="F10561" s="397">
        <v>484</v>
      </c>
      <c r="G10561" s="392" t="s">
        <v>4156</v>
      </c>
      <c r="J10561" s="556">
        <f t="shared" si="348"/>
        <v>0</v>
      </c>
    </row>
    <row r="10562" spans="6:10" ht="30" hidden="1" x14ac:dyDescent="0.25">
      <c r="F10562" s="397">
        <v>485</v>
      </c>
      <c r="G10562" s="392" t="s">
        <v>4157</v>
      </c>
      <c r="J10562" s="556">
        <f t="shared" si="348"/>
        <v>0</v>
      </c>
    </row>
    <row r="10563" spans="6:10" ht="30" hidden="1" x14ac:dyDescent="0.25">
      <c r="F10563" s="397">
        <v>489</v>
      </c>
      <c r="G10563" s="392" t="s">
        <v>3823</v>
      </c>
      <c r="J10563" s="556">
        <f t="shared" si="348"/>
        <v>0</v>
      </c>
    </row>
    <row r="10564" spans="6:10" hidden="1" x14ac:dyDescent="0.25">
      <c r="F10564" s="397">
        <v>494</v>
      </c>
      <c r="G10564" s="392" t="s">
        <v>4135</v>
      </c>
      <c r="J10564" s="556">
        <f t="shared" si="348"/>
        <v>0</v>
      </c>
    </row>
    <row r="10565" spans="6:10" ht="30" hidden="1" x14ac:dyDescent="0.25">
      <c r="F10565" s="397">
        <v>495</v>
      </c>
      <c r="G10565" s="392" t="s">
        <v>4136</v>
      </c>
      <c r="J10565" s="556">
        <f t="shared" si="348"/>
        <v>0</v>
      </c>
    </row>
    <row r="10566" spans="6:10" ht="30" hidden="1" x14ac:dyDescent="0.25">
      <c r="F10566" s="397">
        <v>496</v>
      </c>
      <c r="G10566" s="392" t="s">
        <v>4137</v>
      </c>
      <c r="J10566" s="556">
        <f t="shared" si="348"/>
        <v>0</v>
      </c>
    </row>
    <row r="10567" spans="6:10" ht="30" hidden="1" x14ac:dyDescent="0.25">
      <c r="F10567" s="397">
        <v>499</v>
      </c>
      <c r="G10567" s="392" t="s">
        <v>4138</v>
      </c>
      <c r="J10567" s="556">
        <f t="shared" si="348"/>
        <v>0</v>
      </c>
    </row>
    <row r="10568" spans="6:10" hidden="1" x14ac:dyDescent="0.25">
      <c r="F10568" s="397">
        <v>511</v>
      </c>
      <c r="G10568" s="395" t="s">
        <v>4158</v>
      </c>
      <c r="J10568" s="556">
        <f t="shared" si="348"/>
        <v>0</v>
      </c>
    </row>
    <row r="10569" spans="6:10" hidden="1" x14ac:dyDescent="0.25">
      <c r="F10569" s="397">
        <v>512</v>
      </c>
      <c r="G10569" s="395" t="s">
        <v>4159</v>
      </c>
      <c r="J10569" s="556">
        <f t="shared" si="348"/>
        <v>0</v>
      </c>
    </row>
    <row r="10570" spans="6:10" hidden="1" x14ac:dyDescent="0.25">
      <c r="F10570" s="397">
        <v>513</v>
      </c>
      <c r="G10570" s="395" t="s">
        <v>4160</v>
      </c>
      <c r="J10570" s="556">
        <f t="shared" si="348"/>
        <v>0</v>
      </c>
    </row>
    <row r="10571" spans="6:10" hidden="1" x14ac:dyDescent="0.25">
      <c r="F10571" s="397">
        <v>514</v>
      </c>
      <c r="G10571" s="392" t="s">
        <v>4161</v>
      </c>
      <c r="J10571" s="556">
        <f t="shared" si="348"/>
        <v>0</v>
      </c>
    </row>
    <row r="10572" spans="6:10" hidden="1" x14ac:dyDescent="0.25">
      <c r="F10572" s="397">
        <v>515</v>
      </c>
      <c r="G10572" s="392" t="s">
        <v>3834</v>
      </c>
      <c r="J10572" s="556">
        <f t="shared" si="348"/>
        <v>0</v>
      </c>
    </row>
    <row r="10573" spans="6:10" hidden="1" x14ac:dyDescent="0.25">
      <c r="F10573" s="397">
        <v>521</v>
      </c>
      <c r="G10573" s="392" t="s">
        <v>4162</v>
      </c>
      <c r="J10573" s="556">
        <f t="shared" si="348"/>
        <v>0</v>
      </c>
    </row>
    <row r="10574" spans="6:10" hidden="1" x14ac:dyDescent="0.25">
      <c r="F10574" s="397">
        <v>522</v>
      </c>
      <c r="G10574" s="392" t="s">
        <v>4163</v>
      </c>
      <c r="J10574" s="556">
        <f t="shared" si="348"/>
        <v>0</v>
      </c>
    </row>
    <row r="10575" spans="6:10" hidden="1" x14ac:dyDescent="0.25">
      <c r="F10575" s="397">
        <v>523</v>
      </c>
      <c r="G10575" s="392" t="s">
        <v>3839</v>
      </c>
      <c r="J10575" s="556">
        <f t="shared" si="348"/>
        <v>0</v>
      </c>
    </row>
    <row r="10576" spans="6:10" hidden="1" x14ac:dyDescent="0.25">
      <c r="F10576" s="397">
        <v>531</v>
      </c>
      <c r="G10576" s="391" t="s">
        <v>4139</v>
      </c>
      <c r="J10576" s="556">
        <f t="shared" si="348"/>
        <v>0</v>
      </c>
    </row>
    <row r="10577" spans="5:10" hidden="1" x14ac:dyDescent="0.25">
      <c r="F10577" s="397">
        <v>541</v>
      </c>
      <c r="G10577" s="392" t="s">
        <v>4164</v>
      </c>
      <c r="J10577" s="556">
        <f t="shared" si="348"/>
        <v>0</v>
      </c>
    </row>
    <row r="10578" spans="5:10" hidden="1" x14ac:dyDescent="0.25">
      <c r="F10578" s="397">
        <v>542</v>
      </c>
      <c r="G10578" s="392" t="s">
        <v>4165</v>
      </c>
      <c r="J10578" s="556">
        <f t="shared" si="348"/>
        <v>0</v>
      </c>
    </row>
    <row r="10579" spans="5:10" hidden="1" x14ac:dyDescent="0.25">
      <c r="F10579" s="397">
        <v>543</v>
      </c>
      <c r="G10579" s="392" t="s">
        <v>3844</v>
      </c>
      <c r="J10579" s="556">
        <f t="shared" si="348"/>
        <v>0</v>
      </c>
    </row>
    <row r="10580" spans="5:10" ht="30" hidden="1" x14ac:dyDescent="0.25">
      <c r="F10580" s="397">
        <v>551</v>
      </c>
      <c r="G10580" s="392" t="s">
        <v>4140</v>
      </c>
      <c r="J10580" s="556">
        <f t="shared" si="348"/>
        <v>0</v>
      </c>
    </row>
    <row r="10581" spans="5:10" hidden="1" x14ac:dyDescent="0.25">
      <c r="F10581" s="398">
        <v>611</v>
      </c>
      <c r="G10581" s="396" t="s">
        <v>3850</v>
      </c>
      <c r="J10581" s="556">
        <f t="shared" si="348"/>
        <v>0</v>
      </c>
    </row>
    <row r="10582" spans="5:10" hidden="1" x14ac:dyDescent="0.25">
      <c r="F10582" s="398">
        <v>620</v>
      </c>
      <c r="G10582" s="396" t="s">
        <v>88</v>
      </c>
      <c r="J10582" s="556">
        <f t="shared" si="348"/>
        <v>0</v>
      </c>
    </row>
    <row r="10583" spans="5:10" hidden="1" x14ac:dyDescent="0.25">
      <c r="E10583" s="489"/>
      <c r="F10583" s="398"/>
      <c r="G10583" s="343" t="s">
        <v>4300</v>
      </c>
      <c r="H10583" s="557"/>
      <c r="I10583" s="583"/>
      <c r="J10583" s="558"/>
    </row>
    <row r="10584" spans="5:10" hidden="1" x14ac:dyDescent="0.25">
      <c r="E10584" s="693"/>
      <c r="F10584" s="284" t="s">
        <v>234</v>
      </c>
      <c r="G10584" s="287" t="s">
        <v>235</v>
      </c>
      <c r="H10584" s="559">
        <f>SUM(H10523:H10582)</f>
        <v>0</v>
      </c>
      <c r="I10584" s="560"/>
      <c r="J10584" s="560">
        <f t="shared" ref="J10584:J10599" si="349">SUM(H10584:I10584)</f>
        <v>0</v>
      </c>
    </row>
    <row r="10585" spans="5:10" hidden="1" x14ac:dyDescent="0.25">
      <c r="F10585" s="284" t="s">
        <v>236</v>
      </c>
      <c r="G10585" s="287" t="s">
        <v>237</v>
      </c>
      <c r="J10585" s="560">
        <f t="shared" si="349"/>
        <v>0</v>
      </c>
    </row>
    <row r="10586" spans="5:10" hidden="1" x14ac:dyDescent="0.25">
      <c r="F10586" s="284" t="s">
        <v>238</v>
      </c>
      <c r="G10586" s="287" t="s">
        <v>239</v>
      </c>
      <c r="J10586" s="560">
        <f t="shared" si="349"/>
        <v>0</v>
      </c>
    </row>
    <row r="10587" spans="5:10" hidden="1" x14ac:dyDescent="0.25">
      <c r="F10587" s="284" t="s">
        <v>240</v>
      </c>
      <c r="G10587" s="287" t="s">
        <v>241</v>
      </c>
      <c r="J10587" s="560">
        <f t="shared" si="349"/>
        <v>0</v>
      </c>
    </row>
    <row r="10588" spans="5:10" hidden="1" x14ac:dyDescent="0.25">
      <c r="F10588" s="284" t="s">
        <v>242</v>
      </c>
      <c r="G10588" s="287" t="s">
        <v>243</v>
      </c>
      <c r="J10588" s="560">
        <f t="shared" si="349"/>
        <v>0</v>
      </c>
    </row>
    <row r="10589" spans="5:10" hidden="1" x14ac:dyDescent="0.25">
      <c r="F10589" s="284" t="s">
        <v>244</v>
      </c>
      <c r="G10589" s="287" t="s">
        <v>245</v>
      </c>
      <c r="J10589" s="560">
        <f t="shared" si="349"/>
        <v>0</v>
      </c>
    </row>
    <row r="10590" spans="5:10" hidden="1" x14ac:dyDescent="0.25">
      <c r="F10590" s="284" t="s">
        <v>246</v>
      </c>
      <c r="G10590" s="598" t="s">
        <v>4996</v>
      </c>
      <c r="J10590" s="560">
        <f t="shared" si="349"/>
        <v>0</v>
      </c>
    </row>
    <row r="10591" spans="5:10" hidden="1" x14ac:dyDescent="0.25">
      <c r="F10591" s="284" t="s">
        <v>247</v>
      </c>
      <c r="G10591" s="598" t="s">
        <v>4995</v>
      </c>
      <c r="J10591" s="560">
        <f t="shared" si="349"/>
        <v>0</v>
      </c>
    </row>
    <row r="10592" spans="5:10" hidden="1" x14ac:dyDescent="0.25">
      <c r="F10592" s="284" t="s">
        <v>248</v>
      </c>
      <c r="G10592" s="287" t="s">
        <v>57</v>
      </c>
      <c r="J10592" s="560">
        <f t="shared" si="349"/>
        <v>0</v>
      </c>
    </row>
    <row r="10593" spans="5:10" hidden="1" x14ac:dyDescent="0.25">
      <c r="F10593" s="284" t="s">
        <v>249</v>
      </c>
      <c r="G10593" s="287" t="s">
        <v>250</v>
      </c>
      <c r="J10593" s="560">
        <f t="shared" si="349"/>
        <v>0</v>
      </c>
    </row>
    <row r="10594" spans="5:10" hidden="1" x14ac:dyDescent="0.25">
      <c r="F10594" s="284" t="s">
        <v>251</v>
      </c>
      <c r="G10594" s="287" t="s">
        <v>252</v>
      </c>
      <c r="J10594" s="560">
        <f t="shared" si="349"/>
        <v>0</v>
      </c>
    </row>
    <row r="10595" spans="5:10" ht="30" hidden="1" x14ac:dyDescent="0.25">
      <c r="F10595" s="284" t="s">
        <v>253</v>
      </c>
      <c r="G10595" s="287" t="s">
        <v>254</v>
      </c>
      <c r="J10595" s="560">
        <f t="shared" si="349"/>
        <v>0</v>
      </c>
    </row>
    <row r="10596" spans="5:10" hidden="1" x14ac:dyDescent="0.25">
      <c r="F10596" s="284" t="s">
        <v>255</v>
      </c>
      <c r="G10596" s="287" t="s">
        <v>256</v>
      </c>
      <c r="J10596" s="560">
        <f t="shared" si="349"/>
        <v>0</v>
      </c>
    </row>
    <row r="10597" spans="5:10" ht="30" hidden="1" x14ac:dyDescent="0.25">
      <c r="F10597" s="284" t="s">
        <v>257</v>
      </c>
      <c r="G10597" s="287" t="s">
        <v>258</v>
      </c>
      <c r="J10597" s="560">
        <f t="shared" si="349"/>
        <v>0</v>
      </c>
    </row>
    <row r="10598" spans="5:10" hidden="1" x14ac:dyDescent="0.25">
      <c r="F10598" s="284" t="s">
        <v>259</v>
      </c>
      <c r="G10598" s="287" t="s">
        <v>260</v>
      </c>
      <c r="J10598" s="560">
        <f t="shared" si="349"/>
        <v>0</v>
      </c>
    </row>
    <row r="10599" spans="5:10" hidden="1" x14ac:dyDescent="0.25">
      <c r="F10599" s="284" t="s">
        <v>261</v>
      </c>
      <c r="G10599" s="287" t="s">
        <v>262</v>
      </c>
      <c r="H10599" s="559"/>
      <c r="I10599" s="560"/>
      <c r="J10599" s="560">
        <f t="shared" si="349"/>
        <v>0</v>
      </c>
    </row>
    <row r="10600" spans="5:10" ht="15.75" hidden="1" thickBot="1" x14ac:dyDescent="0.3">
      <c r="G10600" s="268" t="s">
        <v>4299</v>
      </c>
      <c r="H10600" s="561">
        <f>SUM(H10584:H10599)</f>
        <v>0</v>
      </c>
      <c r="I10600" s="562">
        <f>SUM(I10585:I10599)</f>
        <v>0</v>
      </c>
      <c r="J10600" s="562">
        <f>SUM(J10584:J10599)</f>
        <v>0</v>
      </c>
    </row>
    <row r="10601" spans="5:10" ht="28.5" hidden="1" collapsed="1" x14ac:dyDescent="0.25">
      <c r="E10601" s="489"/>
      <c r="F10601" s="398"/>
      <c r="G10601" s="270" t="s">
        <v>4351</v>
      </c>
      <c r="H10601" s="563"/>
      <c r="I10601" s="584"/>
      <c r="J10601" s="564"/>
    </row>
    <row r="10602" spans="5:10" hidden="1" x14ac:dyDescent="0.25">
      <c r="E10602" s="693"/>
      <c r="F10602" s="284" t="s">
        <v>234</v>
      </c>
      <c r="G10602" s="287" t="s">
        <v>235</v>
      </c>
      <c r="H10602" s="559">
        <f>SUM(H10523:H10582)</f>
        <v>0</v>
      </c>
      <c r="I10602" s="560"/>
      <c r="J10602" s="560">
        <f>SUM(H10602:I10602)</f>
        <v>0</v>
      </c>
    </row>
    <row r="10603" spans="5:10" hidden="1" x14ac:dyDescent="0.25">
      <c r="F10603" s="284" t="s">
        <v>236</v>
      </c>
      <c r="G10603" s="287" t="s">
        <v>237</v>
      </c>
      <c r="J10603" s="560">
        <f t="shared" ref="J10603:J10617" si="350">SUM(H10603:I10603)</f>
        <v>0</v>
      </c>
    </row>
    <row r="10604" spans="5:10" hidden="1" x14ac:dyDescent="0.25">
      <c r="F10604" s="284" t="s">
        <v>238</v>
      </c>
      <c r="G10604" s="287" t="s">
        <v>239</v>
      </c>
      <c r="J10604" s="560">
        <f t="shared" si="350"/>
        <v>0</v>
      </c>
    </row>
    <row r="10605" spans="5:10" hidden="1" x14ac:dyDescent="0.25">
      <c r="F10605" s="284" t="s">
        <v>240</v>
      </c>
      <c r="G10605" s="287" t="s">
        <v>241</v>
      </c>
      <c r="J10605" s="560">
        <f t="shared" si="350"/>
        <v>0</v>
      </c>
    </row>
    <row r="10606" spans="5:10" hidden="1" x14ac:dyDescent="0.25">
      <c r="F10606" s="284" t="s">
        <v>242</v>
      </c>
      <c r="G10606" s="287" t="s">
        <v>243</v>
      </c>
      <c r="J10606" s="560">
        <f t="shared" si="350"/>
        <v>0</v>
      </c>
    </row>
    <row r="10607" spans="5:10" hidden="1" x14ac:dyDescent="0.25">
      <c r="F10607" s="284" t="s">
        <v>244</v>
      </c>
      <c r="G10607" s="287" t="s">
        <v>245</v>
      </c>
      <c r="J10607" s="560">
        <f t="shared" si="350"/>
        <v>0</v>
      </c>
    </row>
    <row r="10608" spans="5:10" hidden="1" x14ac:dyDescent="0.25">
      <c r="F10608" s="284" t="s">
        <v>246</v>
      </c>
      <c r="G10608" s="598" t="s">
        <v>4996</v>
      </c>
      <c r="J10608" s="560">
        <f t="shared" si="350"/>
        <v>0</v>
      </c>
    </row>
    <row r="10609" spans="1:25" hidden="1" x14ac:dyDescent="0.25">
      <c r="F10609" s="284" t="s">
        <v>247</v>
      </c>
      <c r="G10609" s="598" t="s">
        <v>4995</v>
      </c>
      <c r="J10609" s="560">
        <f t="shared" si="350"/>
        <v>0</v>
      </c>
    </row>
    <row r="10610" spans="1:25" hidden="1" x14ac:dyDescent="0.25">
      <c r="F10610" s="284" t="s">
        <v>248</v>
      </c>
      <c r="G10610" s="287" t="s">
        <v>57</v>
      </c>
      <c r="J10610" s="560">
        <f t="shared" si="350"/>
        <v>0</v>
      </c>
    </row>
    <row r="10611" spans="1:25" hidden="1" x14ac:dyDescent="0.25">
      <c r="F10611" s="284" t="s">
        <v>249</v>
      </c>
      <c r="G10611" s="287" t="s">
        <v>250</v>
      </c>
      <c r="J10611" s="560">
        <f t="shared" si="350"/>
        <v>0</v>
      </c>
    </row>
    <row r="10612" spans="1:25" hidden="1" x14ac:dyDescent="0.25">
      <c r="F10612" s="284" t="s">
        <v>251</v>
      </c>
      <c r="G10612" s="287" t="s">
        <v>252</v>
      </c>
      <c r="J10612" s="560">
        <f t="shared" si="350"/>
        <v>0</v>
      </c>
    </row>
    <row r="10613" spans="1:25" ht="30" hidden="1" x14ac:dyDescent="0.25">
      <c r="F10613" s="284" t="s">
        <v>253</v>
      </c>
      <c r="G10613" s="287" t="s">
        <v>254</v>
      </c>
      <c r="J10613" s="560">
        <f t="shared" si="350"/>
        <v>0</v>
      </c>
    </row>
    <row r="10614" spans="1:25" hidden="1" x14ac:dyDescent="0.25">
      <c r="F10614" s="284" t="s">
        <v>255</v>
      </c>
      <c r="G10614" s="287" t="s">
        <v>256</v>
      </c>
      <c r="J10614" s="560">
        <f t="shared" si="350"/>
        <v>0</v>
      </c>
    </row>
    <row r="10615" spans="1:25" ht="30" hidden="1" x14ac:dyDescent="0.25">
      <c r="F10615" s="284" t="s">
        <v>257</v>
      </c>
      <c r="G10615" s="287" t="s">
        <v>258</v>
      </c>
      <c r="J10615" s="560">
        <f t="shared" si="350"/>
        <v>0</v>
      </c>
    </row>
    <row r="10616" spans="1:25" hidden="1" x14ac:dyDescent="0.25">
      <c r="F10616" s="284" t="s">
        <v>259</v>
      </c>
      <c r="G10616" s="287" t="s">
        <v>260</v>
      </c>
      <c r="J10616" s="560">
        <f t="shared" si="350"/>
        <v>0</v>
      </c>
    </row>
    <row r="10617" spans="1:25" hidden="1" x14ac:dyDescent="0.25">
      <c r="F10617" s="284" t="s">
        <v>261</v>
      </c>
      <c r="G10617" s="287" t="s">
        <v>262</v>
      </c>
      <c r="H10617" s="559"/>
      <c r="I10617" s="560"/>
      <c r="J10617" s="560">
        <f t="shared" si="350"/>
        <v>0</v>
      </c>
    </row>
    <row r="10618" spans="1:25" ht="15.75" hidden="1" collapsed="1" thickBot="1" x14ac:dyDescent="0.3">
      <c r="G10618" s="268" t="s">
        <v>4352</v>
      </c>
      <c r="H10618" s="561">
        <f>SUM(H10602:H10617)</f>
        <v>0</v>
      </c>
      <c r="I10618" s="562">
        <f>SUM(I10603:I10617)</f>
        <v>0</v>
      </c>
      <c r="J10618" s="562">
        <f>SUM(J10602:J10617)</f>
        <v>0</v>
      </c>
    </row>
    <row r="10619" spans="1:25" hidden="1" x14ac:dyDescent="0.25"/>
    <row r="10620" spans="1:25" s="88" customFormat="1" hidden="1" x14ac:dyDescent="0.25">
      <c r="A10620" s="258"/>
      <c r="B10620" s="288"/>
      <c r="C10620" s="302" t="s">
        <v>4950</v>
      </c>
      <c r="D10620" s="259"/>
      <c r="E10620" s="702"/>
      <c r="F10620" s="303"/>
      <c r="G10620" s="406" t="s">
        <v>4069</v>
      </c>
      <c r="H10620" s="588"/>
      <c r="I10620" s="571"/>
      <c r="J10620" s="589"/>
      <c r="K10620" s="505"/>
      <c r="L10620" s="505"/>
      <c r="M10620" s="505"/>
      <c r="N10620" s="505"/>
      <c r="O10620" s="505"/>
      <c r="P10620" s="505"/>
      <c r="Q10620" s="505"/>
      <c r="R10620" s="505"/>
      <c r="S10620" s="505"/>
      <c r="T10620" s="505"/>
      <c r="U10620" s="505"/>
      <c r="V10620" s="505"/>
      <c r="W10620" s="505"/>
      <c r="X10620" s="505"/>
      <c r="Y10620" s="505"/>
    </row>
    <row r="10621" spans="1:25" hidden="1" x14ac:dyDescent="0.25">
      <c r="A10621" s="404"/>
      <c r="C10621" s="267"/>
      <c r="D10621" s="331">
        <v>451</v>
      </c>
      <c r="E10621" s="869"/>
      <c r="F10621" s="331"/>
      <c r="G10621" s="332" t="s">
        <v>153</v>
      </c>
    </row>
    <row r="10622" spans="1:25" hidden="1" x14ac:dyDescent="0.25">
      <c r="F10622" s="410">
        <v>411</v>
      </c>
      <c r="G10622" s="400" t="s">
        <v>4131</v>
      </c>
      <c r="J10622" s="556">
        <f>SUM(H10622:I10622)</f>
        <v>0</v>
      </c>
    </row>
    <row r="10623" spans="1:25" hidden="1" x14ac:dyDescent="0.25">
      <c r="F10623" s="410">
        <v>412</v>
      </c>
      <c r="G10623" s="399" t="s">
        <v>3766</v>
      </c>
      <c r="J10623" s="556">
        <f t="shared" ref="J10623:J10681" si="351">SUM(H10623:I10623)</f>
        <v>0</v>
      </c>
    </row>
    <row r="10624" spans="1:25" hidden="1" x14ac:dyDescent="0.25">
      <c r="F10624" s="410">
        <v>413</v>
      </c>
      <c r="G10624" s="400" t="s">
        <v>4132</v>
      </c>
      <c r="J10624" s="556">
        <f t="shared" si="351"/>
        <v>0</v>
      </c>
    </row>
    <row r="10625" spans="6:10" hidden="1" x14ac:dyDescent="0.25">
      <c r="F10625" s="410">
        <v>414</v>
      </c>
      <c r="G10625" s="400" t="s">
        <v>3769</v>
      </c>
      <c r="J10625" s="556">
        <f t="shared" si="351"/>
        <v>0</v>
      </c>
    </row>
    <row r="10626" spans="6:10" hidden="1" x14ac:dyDescent="0.25">
      <c r="F10626" s="410">
        <v>415</v>
      </c>
      <c r="G10626" s="400" t="s">
        <v>4141</v>
      </c>
      <c r="J10626" s="556">
        <f t="shared" si="351"/>
        <v>0</v>
      </c>
    </row>
    <row r="10627" spans="6:10" hidden="1" x14ac:dyDescent="0.25">
      <c r="F10627" s="410">
        <v>416</v>
      </c>
      <c r="G10627" s="400" t="s">
        <v>4142</v>
      </c>
      <c r="J10627" s="556">
        <f t="shared" si="351"/>
        <v>0</v>
      </c>
    </row>
    <row r="10628" spans="6:10" hidden="1" x14ac:dyDescent="0.25">
      <c r="F10628" s="410">
        <v>417</v>
      </c>
      <c r="G10628" s="400" t="s">
        <v>4143</v>
      </c>
      <c r="J10628" s="556">
        <f t="shared" si="351"/>
        <v>0</v>
      </c>
    </row>
    <row r="10629" spans="6:10" hidden="1" x14ac:dyDescent="0.25">
      <c r="F10629" s="410">
        <v>418</v>
      </c>
      <c r="G10629" s="400" t="s">
        <v>3775</v>
      </c>
      <c r="J10629" s="556">
        <f t="shared" si="351"/>
        <v>0</v>
      </c>
    </row>
    <row r="10630" spans="6:10" hidden="1" x14ac:dyDescent="0.25">
      <c r="F10630" s="410">
        <v>421</v>
      </c>
      <c r="G10630" s="400" t="s">
        <v>3779</v>
      </c>
      <c r="J10630" s="556">
        <f t="shared" si="351"/>
        <v>0</v>
      </c>
    </row>
    <row r="10631" spans="6:10" hidden="1" x14ac:dyDescent="0.25">
      <c r="F10631" s="410">
        <v>422</v>
      </c>
      <c r="G10631" s="400" t="s">
        <v>3780</v>
      </c>
      <c r="J10631" s="556">
        <f t="shared" si="351"/>
        <v>0</v>
      </c>
    </row>
    <row r="10632" spans="6:10" hidden="1" x14ac:dyDescent="0.25">
      <c r="F10632" s="410">
        <v>423</v>
      </c>
      <c r="G10632" s="400" t="s">
        <v>3781</v>
      </c>
      <c r="J10632" s="556">
        <f t="shared" si="351"/>
        <v>0</v>
      </c>
    </row>
    <row r="10633" spans="6:10" hidden="1" x14ac:dyDescent="0.25">
      <c r="F10633" s="410">
        <v>424</v>
      </c>
      <c r="G10633" s="400" t="s">
        <v>3783</v>
      </c>
      <c r="J10633" s="556">
        <f t="shared" si="351"/>
        <v>0</v>
      </c>
    </row>
    <row r="10634" spans="6:10" hidden="1" x14ac:dyDescent="0.25">
      <c r="F10634" s="410">
        <v>425</v>
      </c>
      <c r="G10634" s="400" t="s">
        <v>4144</v>
      </c>
      <c r="J10634" s="556">
        <f t="shared" si="351"/>
        <v>0</v>
      </c>
    </row>
    <row r="10635" spans="6:10" hidden="1" x14ac:dyDescent="0.25">
      <c r="F10635" s="410">
        <v>426</v>
      </c>
      <c r="G10635" s="400" t="s">
        <v>3787</v>
      </c>
      <c r="J10635" s="556">
        <f t="shared" si="351"/>
        <v>0</v>
      </c>
    </row>
    <row r="10636" spans="6:10" hidden="1" x14ac:dyDescent="0.25">
      <c r="F10636" s="410">
        <v>431</v>
      </c>
      <c r="G10636" s="400" t="s">
        <v>4145</v>
      </c>
      <c r="J10636" s="556">
        <f t="shared" si="351"/>
        <v>0</v>
      </c>
    </row>
    <row r="10637" spans="6:10" hidden="1" x14ac:dyDescent="0.25">
      <c r="F10637" s="410">
        <v>432</v>
      </c>
      <c r="G10637" s="400" t="s">
        <v>4146</v>
      </c>
      <c r="J10637" s="556">
        <f t="shared" si="351"/>
        <v>0</v>
      </c>
    </row>
    <row r="10638" spans="6:10" hidden="1" x14ac:dyDescent="0.25">
      <c r="F10638" s="410">
        <v>433</v>
      </c>
      <c r="G10638" s="400" t="s">
        <v>4147</v>
      </c>
      <c r="J10638" s="556">
        <f t="shared" si="351"/>
        <v>0</v>
      </c>
    </row>
    <row r="10639" spans="6:10" hidden="1" x14ac:dyDescent="0.25">
      <c r="F10639" s="410">
        <v>434</v>
      </c>
      <c r="G10639" s="400" t="s">
        <v>4148</v>
      </c>
      <c r="J10639" s="556">
        <f t="shared" si="351"/>
        <v>0</v>
      </c>
    </row>
    <row r="10640" spans="6:10" hidden="1" x14ac:dyDescent="0.25">
      <c r="F10640" s="410">
        <v>435</v>
      </c>
      <c r="G10640" s="400" t="s">
        <v>3794</v>
      </c>
      <c r="J10640" s="556">
        <f t="shared" si="351"/>
        <v>0</v>
      </c>
    </row>
    <row r="10641" spans="6:10" hidden="1" x14ac:dyDescent="0.25">
      <c r="F10641" s="410">
        <v>441</v>
      </c>
      <c r="G10641" s="400" t="s">
        <v>4149</v>
      </c>
      <c r="J10641" s="556">
        <f t="shared" si="351"/>
        <v>0</v>
      </c>
    </row>
    <row r="10642" spans="6:10" hidden="1" x14ac:dyDescent="0.25">
      <c r="F10642" s="410">
        <v>442</v>
      </c>
      <c r="G10642" s="400" t="s">
        <v>4150</v>
      </c>
      <c r="J10642" s="556">
        <f t="shared" si="351"/>
        <v>0</v>
      </c>
    </row>
    <row r="10643" spans="6:10" hidden="1" x14ac:dyDescent="0.25">
      <c r="F10643" s="410">
        <v>443</v>
      </c>
      <c r="G10643" s="400" t="s">
        <v>3799</v>
      </c>
      <c r="J10643" s="556">
        <f t="shared" si="351"/>
        <v>0</v>
      </c>
    </row>
    <row r="10644" spans="6:10" hidden="1" x14ac:dyDescent="0.25">
      <c r="F10644" s="410">
        <v>444</v>
      </c>
      <c r="G10644" s="400" t="s">
        <v>3800</v>
      </c>
      <c r="J10644" s="556">
        <f t="shared" si="351"/>
        <v>0</v>
      </c>
    </row>
    <row r="10645" spans="6:10" ht="30" hidden="1" x14ac:dyDescent="0.25">
      <c r="F10645" s="410">
        <v>4511</v>
      </c>
      <c r="G10645" s="263" t="s">
        <v>1690</v>
      </c>
      <c r="J10645" s="556">
        <f t="shared" si="351"/>
        <v>0</v>
      </c>
    </row>
    <row r="10646" spans="6:10" ht="19.5" hidden="1" customHeight="1" x14ac:dyDescent="0.25">
      <c r="F10646" s="410">
        <v>4512</v>
      </c>
      <c r="G10646" s="263" t="s">
        <v>1699</v>
      </c>
      <c r="J10646" s="556">
        <f t="shared" si="351"/>
        <v>0</v>
      </c>
    </row>
    <row r="10647" spans="6:10" hidden="1" x14ac:dyDescent="0.25">
      <c r="F10647" s="410">
        <v>452</v>
      </c>
      <c r="G10647" s="400" t="s">
        <v>4151</v>
      </c>
      <c r="J10647" s="556">
        <f t="shared" si="351"/>
        <v>0</v>
      </c>
    </row>
    <row r="10648" spans="6:10" hidden="1" x14ac:dyDescent="0.25">
      <c r="F10648" s="410">
        <v>453</v>
      </c>
      <c r="G10648" s="400" t="s">
        <v>4152</v>
      </c>
      <c r="J10648" s="556">
        <f t="shared" si="351"/>
        <v>0</v>
      </c>
    </row>
    <row r="10649" spans="6:10" hidden="1" x14ac:dyDescent="0.25">
      <c r="F10649" s="410">
        <v>454</v>
      </c>
      <c r="G10649" s="400" t="s">
        <v>3805</v>
      </c>
      <c r="J10649" s="556">
        <f t="shared" si="351"/>
        <v>0</v>
      </c>
    </row>
    <row r="10650" spans="6:10" hidden="1" x14ac:dyDescent="0.25">
      <c r="F10650" s="410">
        <v>461</v>
      </c>
      <c r="G10650" s="400" t="s">
        <v>4133</v>
      </c>
      <c r="J10650" s="556">
        <f t="shared" si="351"/>
        <v>0</v>
      </c>
    </row>
    <row r="10651" spans="6:10" hidden="1" x14ac:dyDescent="0.25">
      <c r="F10651" s="410">
        <v>462</v>
      </c>
      <c r="G10651" s="400" t="s">
        <v>3808</v>
      </c>
      <c r="J10651" s="556">
        <f t="shared" si="351"/>
        <v>0</v>
      </c>
    </row>
    <row r="10652" spans="6:10" hidden="1" x14ac:dyDescent="0.25">
      <c r="F10652" s="410">
        <v>4631</v>
      </c>
      <c r="G10652" s="400" t="s">
        <v>3809</v>
      </c>
      <c r="J10652" s="556">
        <f t="shared" si="351"/>
        <v>0</v>
      </c>
    </row>
    <row r="10653" spans="6:10" hidden="1" x14ac:dyDescent="0.25">
      <c r="F10653" s="410">
        <v>4632</v>
      </c>
      <c r="G10653" s="400" t="s">
        <v>3810</v>
      </c>
      <c r="J10653" s="556">
        <f t="shared" si="351"/>
        <v>0</v>
      </c>
    </row>
    <row r="10654" spans="6:10" hidden="1" x14ac:dyDescent="0.25">
      <c r="F10654" s="410">
        <v>464</v>
      </c>
      <c r="G10654" s="400" t="s">
        <v>3811</v>
      </c>
      <c r="J10654" s="556">
        <f t="shared" si="351"/>
        <v>0</v>
      </c>
    </row>
    <row r="10655" spans="6:10" hidden="1" x14ac:dyDescent="0.25">
      <c r="F10655" s="410">
        <v>465</v>
      </c>
      <c r="G10655" s="400" t="s">
        <v>4134</v>
      </c>
      <c r="J10655" s="556">
        <f t="shared" si="351"/>
        <v>0</v>
      </c>
    </row>
    <row r="10656" spans="6:10" hidden="1" x14ac:dyDescent="0.25">
      <c r="F10656" s="410">
        <v>472</v>
      </c>
      <c r="G10656" s="400" t="s">
        <v>3815</v>
      </c>
      <c r="J10656" s="556">
        <f t="shared" si="351"/>
        <v>0</v>
      </c>
    </row>
    <row r="10657" spans="6:10" hidden="1" x14ac:dyDescent="0.25">
      <c r="F10657" s="410">
        <v>481</v>
      </c>
      <c r="G10657" s="400" t="s">
        <v>4153</v>
      </c>
      <c r="J10657" s="556">
        <f t="shared" si="351"/>
        <v>0</v>
      </c>
    </row>
    <row r="10658" spans="6:10" hidden="1" x14ac:dyDescent="0.25">
      <c r="F10658" s="410">
        <v>482</v>
      </c>
      <c r="G10658" s="400" t="s">
        <v>4154</v>
      </c>
      <c r="J10658" s="556">
        <f t="shared" si="351"/>
        <v>0</v>
      </c>
    </row>
    <row r="10659" spans="6:10" hidden="1" x14ac:dyDescent="0.25">
      <c r="F10659" s="410">
        <v>483</v>
      </c>
      <c r="G10659" s="405" t="s">
        <v>4155</v>
      </c>
      <c r="J10659" s="556">
        <f t="shared" si="351"/>
        <v>0</v>
      </c>
    </row>
    <row r="10660" spans="6:10" ht="30" hidden="1" x14ac:dyDescent="0.25">
      <c r="F10660" s="410">
        <v>484</v>
      </c>
      <c r="G10660" s="400" t="s">
        <v>4156</v>
      </c>
      <c r="J10660" s="556">
        <f t="shared" si="351"/>
        <v>0</v>
      </c>
    </row>
    <row r="10661" spans="6:10" ht="30" hidden="1" x14ac:dyDescent="0.25">
      <c r="F10661" s="410">
        <v>485</v>
      </c>
      <c r="G10661" s="400" t="s">
        <v>4157</v>
      </c>
      <c r="J10661" s="556">
        <f t="shared" si="351"/>
        <v>0</v>
      </c>
    </row>
    <row r="10662" spans="6:10" ht="30" hidden="1" x14ac:dyDescent="0.25">
      <c r="F10662" s="410">
        <v>489</v>
      </c>
      <c r="G10662" s="400" t="s">
        <v>3823</v>
      </c>
      <c r="J10662" s="556">
        <f t="shared" si="351"/>
        <v>0</v>
      </c>
    </row>
    <row r="10663" spans="6:10" hidden="1" x14ac:dyDescent="0.25">
      <c r="F10663" s="410">
        <v>494</v>
      </c>
      <c r="G10663" s="400" t="s">
        <v>4135</v>
      </c>
      <c r="J10663" s="556">
        <f t="shared" si="351"/>
        <v>0</v>
      </c>
    </row>
    <row r="10664" spans="6:10" ht="30" hidden="1" x14ac:dyDescent="0.25">
      <c r="F10664" s="410">
        <v>495</v>
      </c>
      <c r="G10664" s="400" t="s">
        <v>4136</v>
      </c>
      <c r="J10664" s="556">
        <f t="shared" si="351"/>
        <v>0</v>
      </c>
    </row>
    <row r="10665" spans="6:10" ht="30" hidden="1" x14ac:dyDescent="0.25">
      <c r="F10665" s="410">
        <v>496</v>
      </c>
      <c r="G10665" s="400" t="s">
        <v>4137</v>
      </c>
      <c r="J10665" s="556">
        <f t="shared" si="351"/>
        <v>0</v>
      </c>
    </row>
    <row r="10666" spans="6:10" ht="30" hidden="1" x14ac:dyDescent="0.25">
      <c r="F10666" s="410">
        <v>499</v>
      </c>
      <c r="G10666" s="400" t="s">
        <v>4138</v>
      </c>
      <c r="J10666" s="556">
        <f t="shared" si="351"/>
        <v>0</v>
      </c>
    </row>
    <row r="10667" spans="6:10" hidden="1" x14ac:dyDescent="0.25">
      <c r="F10667" s="410">
        <v>511</v>
      </c>
      <c r="G10667" s="405" t="s">
        <v>4158</v>
      </c>
      <c r="J10667" s="556">
        <f t="shared" si="351"/>
        <v>0</v>
      </c>
    </row>
    <row r="10668" spans="6:10" hidden="1" x14ac:dyDescent="0.25">
      <c r="F10668" s="410">
        <v>512</v>
      </c>
      <c r="G10668" s="405" t="s">
        <v>4159</v>
      </c>
      <c r="J10668" s="556">
        <f t="shared" si="351"/>
        <v>0</v>
      </c>
    </row>
    <row r="10669" spans="6:10" hidden="1" x14ac:dyDescent="0.25">
      <c r="F10669" s="410">
        <v>513</v>
      </c>
      <c r="G10669" s="405" t="s">
        <v>4160</v>
      </c>
      <c r="J10669" s="556">
        <f t="shared" si="351"/>
        <v>0</v>
      </c>
    </row>
    <row r="10670" spans="6:10" hidden="1" x14ac:dyDescent="0.25">
      <c r="F10670" s="410">
        <v>514</v>
      </c>
      <c r="G10670" s="400" t="s">
        <v>4161</v>
      </c>
      <c r="J10670" s="556">
        <f t="shared" si="351"/>
        <v>0</v>
      </c>
    </row>
    <row r="10671" spans="6:10" hidden="1" x14ac:dyDescent="0.25">
      <c r="F10671" s="410">
        <v>515</v>
      </c>
      <c r="G10671" s="400" t="s">
        <v>3834</v>
      </c>
      <c r="J10671" s="556">
        <f t="shared" si="351"/>
        <v>0</v>
      </c>
    </row>
    <row r="10672" spans="6:10" hidden="1" x14ac:dyDescent="0.25">
      <c r="F10672" s="410">
        <v>521</v>
      </c>
      <c r="G10672" s="400" t="s">
        <v>4162</v>
      </c>
      <c r="J10672" s="556">
        <f t="shared" si="351"/>
        <v>0</v>
      </c>
    </row>
    <row r="10673" spans="5:10" hidden="1" x14ac:dyDescent="0.25">
      <c r="F10673" s="410">
        <v>522</v>
      </c>
      <c r="G10673" s="400" t="s">
        <v>4163</v>
      </c>
      <c r="J10673" s="556">
        <f t="shared" si="351"/>
        <v>0</v>
      </c>
    </row>
    <row r="10674" spans="5:10" hidden="1" x14ac:dyDescent="0.25">
      <c r="F10674" s="410">
        <v>523</v>
      </c>
      <c r="G10674" s="400" t="s">
        <v>3839</v>
      </c>
      <c r="J10674" s="556">
        <f t="shared" si="351"/>
        <v>0</v>
      </c>
    </row>
    <row r="10675" spans="5:10" hidden="1" x14ac:dyDescent="0.25">
      <c r="F10675" s="410">
        <v>531</v>
      </c>
      <c r="G10675" s="399" t="s">
        <v>4139</v>
      </c>
      <c r="J10675" s="556">
        <f t="shared" si="351"/>
        <v>0</v>
      </c>
    </row>
    <row r="10676" spans="5:10" hidden="1" x14ac:dyDescent="0.25">
      <c r="F10676" s="410">
        <v>541</v>
      </c>
      <c r="G10676" s="400" t="s">
        <v>4164</v>
      </c>
      <c r="J10676" s="556">
        <f t="shared" si="351"/>
        <v>0</v>
      </c>
    </row>
    <row r="10677" spans="5:10" hidden="1" x14ac:dyDescent="0.25">
      <c r="F10677" s="410">
        <v>542</v>
      </c>
      <c r="G10677" s="400" t="s">
        <v>4165</v>
      </c>
      <c r="J10677" s="556">
        <f t="shared" si="351"/>
        <v>0</v>
      </c>
    </row>
    <row r="10678" spans="5:10" hidden="1" x14ac:dyDescent="0.25">
      <c r="F10678" s="410">
        <v>543</v>
      </c>
      <c r="G10678" s="400" t="s">
        <v>3844</v>
      </c>
      <c r="J10678" s="556">
        <f t="shared" si="351"/>
        <v>0</v>
      </c>
    </row>
    <row r="10679" spans="5:10" ht="30" hidden="1" x14ac:dyDescent="0.25">
      <c r="F10679" s="410">
        <v>551</v>
      </c>
      <c r="G10679" s="400" t="s">
        <v>4140</v>
      </c>
      <c r="J10679" s="556">
        <f t="shared" si="351"/>
        <v>0</v>
      </c>
    </row>
    <row r="10680" spans="5:10" hidden="1" x14ac:dyDescent="0.25">
      <c r="F10680" s="411">
        <v>611</v>
      </c>
      <c r="G10680" s="409" t="s">
        <v>3850</v>
      </c>
      <c r="J10680" s="556">
        <f t="shared" si="351"/>
        <v>0</v>
      </c>
    </row>
    <row r="10681" spans="5:10" hidden="1" x14ac:dyDescent="0.25">
      <c r="F10681" s="411">
        <v>620</v>
      </c>
      <c r="G10681" s="409" t="s">
        <v>88</v>
      </c>
      <c r="J10681" s="556">
        <f t="shared" si="351"/>
        <v>0</v>
      </c>
    </row>
    <row r="10682" spans="5:10" hidden="1" x14ac:dyDescent="0.25">
      <c r="E10682" s="489"/>
      <c r="F10682" s="411"/>
      <c r="G10682" s="343" t="s">
        <v>4300</v>
      </c>
      <c r="H10682" s="557"/>
      <c r="I10682" s="583"/>
      <c r="J10682" s="558"/>
    </row>
    <row r="10683" spans="5:10" hidden="1" x14ac:dyDescent="0.25">
      <c r="E10683" s="693"/>
      <c r="F10683" s="284" t="s">
        <v>234</v>
      </c>
      <c r="G10683" s="287" t="s">
        <v>235</v>
      </c>
      <c r="H10683" s="559">
        <f>SUM(H10622:H10681)</f>
        <v>0</v>
      </c>
      <c r="I10683" s="560"/>
      <c r="J10683" s="560">
        <f t="shared" ref="J10683:J10698" si="352">SUM(H10683:I10683)</f>
        <v>0</v>
      </c>
    </row>
    <row r="10684" spans="5:10" hidden="1" x14ac:dyDescent="0.25">
      <c r="F10684" s="284" t="s">
        <v>236</v>
      </c>
      <c r="G10684" s="287" t="s">
        <v>237</v>
      </c>
      <c r="J10684" s="560">
        <f t="shared" si="352"/>
        <v>0</v>
      </c>
    </row>
    <row r="10685" spans="5:10" hidden="1" x14ac:dyDescent="0.25">
      <c r="F10685" s="284" t="s">
        <v>238</v>
      </c>
      <c r="G10685" s="287" t="s">
        <v>239</v>
      </c>
      <c r="J10685" s="560">
        <f t="shared" si="352"/>
        <v>0</v>
      </c>
    </row>
    <row r="10686" spans="5:10" hidden="1" x14ac:dyDescent="0.25">
      <c r="F10686" s="284" t="s">
        <v>240</v>
      </c>
      <c r="G10686" s="287" t="s">
        <v>241</v>
      </c>
      <c r="J10686" s="560">
        <f t="shared" si="352"/>
        <v>0</v>
      </c>
    </row>
    <row r="10687" spans="5:10" hidden="1" x14ac:dyDescent="0.25">
      <c r="F10687" s="284" t="s">
        <v>242</v>
      </c>
      <c r="G10687" s="287" t="s">
        <v>243</v>
      </c>
      <c r="J10687" s="560">
        <f t="shared" si="352"/>
        <v>0</v>
      </c>
    </row>
    <row r="10688" spans="5:10" hidden="1" x14ac:dyDescent="0.25">
      <c r="F10688" s="284" t="s">
        <v>244</v>
      </c>
      <c r="G10688" s="287" t="s">
        <v>245</v>
      </c>
      <c r="J10688" s="560">
        <f t="shared" si="352"/>
        <v>0</v>
      </c>
    </row>
    <row r="10689" spans="5:10" hidden="1" x14ac:dyDescent="0.25">
      <c r="F10689" s="284" t="s">
        <v>246</v>
      </c>
      <c r="G10689" s="598" t="s">
        <v>4996</v>
      </c>
      <c r="J10689" s="560">
        <f t="shared" si="352"/>
        <v>0</v>
      </c>
    </row>
    <row r="10690" spans="5:10" hidden="1" x14ac:dyDescent="0.25">
      <c r="F10690" s="284" t="s">
        <v>247</v>
      </c>
      <c r="G10690" s="598" t="s">
        <v>4995</v>
      </c>
      <c r="J10690" s="560">
        <f t="shared" si="352"/>
        <v>0</v>
      </c>
    </row>
    <row r="10691" spans="5:10" hidden="1" x14ac:dyDescent="0.25">
      <c r="F10691" s="284" t="s">
        <v>248</v>
      </c>
      <c r="G10691" s="287" t="s">
        <v>57</v>
      </c>
      <c r="J10691" s="560">
        <f t="shared" si="352"/>
        <v>0</v>
      </c>
    </row>
    <row r="10692" spans="5:10" hidden="1" x14ac:dyDescent="0.25">
      <c r="F10692" s="284" t="s">
        <v>249</v>
      </c>
      <c r="G10692" s="287" t="s">
        <v>250</v>
      </c>
      <c r="J10692" s="560">
        <f t="shared" si="352"/>
        <v>0</v>
      </c>
    </row>
    <row r="10693" spans="5:10" hidden="1" x14ac:dyDescent="0.25">
      <c r="F10693" s="284" t="s">
        <v>251</v>
      </c>
      <c r="G10693" s="287" t="s">
        <v>252</v>
      </c>
      <c r="J10693" s="560">
        <f t="shared" si="352"/>
        <v>0</v>
      </c>
    </row>
    <row r="10694" spans="5:10" ht="30" hidden="1" x14ac:dyDescent="0.25">
      <c r="F10694" s="284" t="s">
        <v>253</v>
      </c>
      <c r="G10694" s="287" t="s">
        <v>254</v>
      </c>
      <c r="J10694" s="560">
        <f t="shared" si="352"/>
        <v>0</v>
      </c>
    </row>
    <row r="10695" spans="5:10" hidden="1" x14ac:dyDescent="0.25">
      <c r="F10695" s="284" t="s">
        <v>255</v>
      </c>
      <c r="G10695" s="287" t="s">
        <v>256</v>
      </c>
      <c r="J10695" s="560">
        <f t="shared" si="352"/>
        <v>0</v>
      </c>
    </row>
    <row r="10696" spans="5:10" ht="30" hidden="1" x14ac:dyDescent="0.25">
      <c r="F10696" s="284" t="s">
        <v>257</v>
      </c>
      <c r="G10696" s="287" t="s">
        <v>258</v>
      </c>
      <c r="J10696" s="560">
        <f t="shared" si="352"/>
        <v>0</v>
      </c>
    </row>
    <row r="10697" spans="5:10" hidden="1" x14ac:dyDescent="0.25">
      <c r="F10697" s="284" t="s">
        <v>259</v>
      </c>
      <c r="G10697" s="287" t="s">
        <v>260</v>
      </c>
      <c r="J10697" s="560">
        <f t="shared" si="352"/>
        <v>0</v>
      </c>
    </row>
    <row r="10698" spans="5:10" hidden="1" x14ac:dyDescent="0.25">
      <c r="F10698" s="284" t="s">
        <v>261</v>
      </c>
      <c r="G10698" s="287" t="s">
        <v>262</v>
      </c>
      <c r="H10698" s="559"/>
      <c r="I10698" s="560"/>
      <c r="J10698" s="560">
        <f t="shared" si="352"/>
        <v>0</v>
      </c>
    </row>
    <row r="10699" spans="5:10" ht="15.75" hidden="1" thickBot="1" x14ac:dyDescent="0.3">
      <c r="G10699" s="268" t="s">
        <v>4299</v>
      </c>
      <c r="H10699" s="561">
        <f>SUM(H10683:H10698)</f>
        <v>0</v>
      </c>
      <c r="I10699" s="562">
        <f>SUM(I10684:I10698)</f>
        <v>0</v>
      </c>
      <c r="J10699" s="562">
        <f>SUM(J10683:J10698)</f>
        <v>0</v>
      </c>
    </row>
    <row r="10700" spans="5:10" ht="28.5" hidden="1" collapsed="1" x14ac:dyDescent="0.25">
      <c r="E10700" s="489"/>
      <c r="F10700" s="411"/>
      <c r="G10700" s="270" t="s">
        <v>4951</v>
      </c>
      <c r="H10700" s="563"/>
      <c r="I10700" s="584"/>
      <c r="J10700" s="564"/>
    </row>
    <row r="10701" spans="5:10" hidden="1" x14ac:dyDescent="0.25">
      <c r="E10701" s="693"/>
      <c r="F10701" s="284" t="s">
        <v>234</v>
      </c>
      <c r="G10701" s="287" t="s">
        <v>235</v>
      </c>
      <c r="H10701" s="559">
        <f>SUM(H10622:H10681)</f>
        <v>0</v>
      </c>
      <c r="I10701" s="560"/>
      <c r="J10701" s="560">
        <f>SUM(H10701:I10701)</f>
        <v>0</v>
      </c>
    </row>
    <row r="10702" spans="5:10" hidden="1" x14ac:dyDescent="0.25">
      <c r="F10702" s="284" t="s">
        <v>236</v>
      </c>
      <c r="G10702" s="287" t="s">
        <v>237</v>
      </c>
      <c r="J10702" s="560">
        <f t="shared" ref="J10702:J10716" si="353">SUM(H10702:I10702)</f>
        <v>0</v>
      </c>
    </row>
    <row r="10703" spans="5:10" hidden="1" x14ac:dyDescent="0.25">
      <c r="F10703" s="284" t="s">
        <v>238</v>
      </c>
      <c r="G10703" s="287" t="s">
        <v>239</v>
      </c>
      <c r="J10703" s="560">
        <f t="shared" si="353"/>
        <v>0</v>
      </c>
    </row>
    <row r="10704" spans="5:10" hidden="1" x14ac:dyDescent="0.25">
      <c r="F10704" s="284" t="s">
        <v>240</v>
      </c>
      <c r="G10704" s="287" t="s">
        <v>241</v>
      </c>
      <c r="J10704" s="560">
        <f t="shared" si="353"/>
        <v>0</v>
      </c>
    </row>
    <row r="10705" spans="3:10" hidden="1" x14ac:dyDescent="0.25">
      <c r="F10705" s="284" t="s">
        <v>242</v>
      </c>
      <c r="G10705" s="287" t="s">
        <v>243</v>
      </c>
      <c r="J10705" s="560">
        <f t="shared" si="353"/>
        <v>0</v>
      </c>
    </row>
    <row r="10706" spans="3:10" hidden="1" x14ac:dyDescent="0.25">
      <c r="F10706" s="284" t="s">
        <v>244</v>
      </c>
      <c r="G10706" s="287" t="s">
        <v>245</v>
      </c>
      <c r="J10706" s="560">
        <f t="shared" si="353"/>
        <v>0</v>
      </c>
    </row>
    <row r="10707" spans="3:10" hidden="1" x14ac:dyDescent="0.25">
      <c r="F10707" s="284" t="s">
        <v>246</v>
      </c>
      <c r="G10707" s="598" t="s">
        <v>4996</v>
      </c>
      <c r="J10707" s="560">
        <f t="shared" si="353"/>
        <v>0</v>
      </c>
    </row>
    <row r="10708" spans="3:10" hidden="1" x14ac:dyDescent="0.25">
      <c r="F10708" s="284" t="s">
        <v>247</v>
      </c>
      <c r="G10708" s="598" t="s">
        <v>4995</v>
      </c>
      <c r="J10708" s="560">
        <f t="shared" si="353"/>
        <v>0</v>
      </c>
    </row>
    <row r="10709" spans="3:10" hidden="1" x14ac:dyDescent="0.25">
      <c r="F10709" s="284" t="s">
        <v>248</v>
      </c>
      <c r="G10709" s="287" t="s">
        <v>57</v>
      </c>
      <c r="J10709" s="560">
        <f t="shared" si="353"/>
        <v>0</v>
      </c>
    </row>
    <row r="10710" spans="3:10" hidden="1" x14ac:dyDescent="0.25">
      <c r="F10710" s="284" t="s">
        <v>249</v>
      </c>
      <c r="G10710" s="287" t="s">
        <v>250</v>
      </c>
      <c r="J10710" s="560">
        <f t="shared" si="353"/>
        <v>0</v>
      </c>
    </row>
    <row r="10711" spans="3:10" hidden="1" x14ac:dyDescent="0.25">
      <c r="F10711" s="284" t="s">
        <v>251</v>
      </c>
      <c r="G10711" s="287" t="s">
        <v>252</v>
      </c>
      <c r="J10711" s="560">
        <f t="shared" si="353"/>
        <v>0</v>
      </c>
    </row>
    <row r="10712" spans="3:10" ht="30" hidden="1" x14ac:dyDescent="0.25">
      <c r="F10712" s="284" t="s">
        <v>253</v>
      </c>
      <c r="G10712" s="287" t="s">
        <v>254</v>
      </c>
      <c r="J10712" s="560">
        <f t="shared" si="353"/>
        <v>0</v>
      </c>
    </row>
    <row r="10713" spans="3:10" hidden="1" x14ac:dyDescent="0.25">
      <c r="F10713" s="284" t="s">
        <v>255</v>
      </c>
      <c r="G10713" s="287" t="s">
        <v>256</v>
      </c>
      <c r="J10713" s="560">
        <f t="shared" si="353"/>
        <v>0</v>
      </c>
    </row>
    <row r="10714" spans="3:10" ht="30" hidden="1" x14ac:dyDescent="0.25">
      <c r="F10714" s="284" t="s">
        <v>257</v>
      </c>
      <c r="G10714" s="287" t="s">
        <v>258</v>
      </c>
      <c r="J10714" s="560">
        <f t="shared" si="353"/>
        <v>0</v>
      </c>
    </row>
    <row r="10715" spans="3:10" hidden="1" x14ac:dyDescent="0.25">
      <c r="F10715" s="284" t="s">
        <v>259</v>
      </c>
      <c r="G10715" s="287" t="s">
        <v>260</v>
      </c>
      <c r="J10715" s="560">
        <f t="shared" si="353"/>
        <v>0</v>
      </c>
    </row>
    <row r="10716" spans="3:10" hidden="1" x14ac:dyDescent="0.25">
      <c r="F10716" s="284" t="s">
        <v>261</v>
      </c>
      <c r="G10716" s="287" t="s">
        <v>262</v>
      </c>
      <c r="H10716" s="559"/>
      <c r="I10716" s="560"/>
      <c r="J10716" s="560">
        <f t="shared" si="353"/>
        <v>0</v>
      </c>
    </row>
    <row r="10717" spans="3:10" ht="15.75" hidden="1" collapsed="1" thickBot="1" x14ac:dyDescent="0.3">
      <c r="G10717" s="268" t="s">
        <v>4952</v>
      </c>
      <c r="H10717" s="561">
        <f>SUM(H10701:H10716)</f>
        <v>0</v>
      </c>
      <c r="I10717" s="562">
        <f>SUM(I10702:I10716)</f>
        <v>0</v>
      </c>
      <c r="J10717" s="562">
        <f>SUM(J10701:J10716)</f>
        <v>0</v>
      </c>
    </row>
    <row r="10718" spans="3:10" hidden="1" x14ac:dyDescent="0.25"/>
    <row r="10719" spans="3:10" hidden="1" x14ac:dyDescent="0.25">
      <c r="C10719" s="267" t="s">
        <v>4543</v>
      </c>
      <c r="D10719" s="259"/>
      <c r="G10719" s="401" t="s">
        <v>4971</v>
      </c>
    </row>
    <row r="10720" spans="3:10" hidden="1" x14ac:dyDescent="0.25">
      <c r="C10720" s="267"/>
      <c r="D10720" s="331">
        <v>451</v>
      </c>
      <c r="E10720" s="869"/>
      <c r="F10720" s="331"/>
      <c r="G10720" s="332" t="s">
        <v>153</v>
      </c>
    </row>
    <row r="10721" spans="6:10" hidden="1" x14ac:dyDescent="0.25">
      <c r="F10721" s="410">
        <v>411</v>
      </c>
      <c r="G10721" s="400" t="s">
        <v>4131</v>
      </c>
      <c r="J10721" s="556">
        <f>SUM(H10721:I10721)</f>
        <v>0</v>
      </c>
    </row>
    <row r="10722" spans="6:10" hidden="1" x14ac:dyDescent="0.25">
      <c r="F10722" s="410">
        <v>412</v>
      </c>
      <c r="G10722" s="399" t="s">
        <v>3766</v>
      </c>
      <c r="J10722" s="556">
        <f t="shared" ref="J10722:J10780" si="354">SUM(H10722:I10722)</f>
        <v>0</v>
      </c>
    </row>
    <row r="10723" spans="6:10" hidden="1" x14ac:dyDescent="0.25">
      <c r="F10723" s="410">
        <v>413</v>
      </c>
      <c r="G10723" s="400" t="s">
        <v>4132</v>
      </c>
      <c r="J10723" s="556">
        <f t="shared" si="354"/>
        <v>0</v>
      </c>
    </row>
    <row r="10724" spans="6:10" hidden="1" x14ac:dyDescent="0.25">
      <c r="F10724" s="410">
        <v>414</v>
      </c>
      <c r="G10724" s="400" t="s">
        <v>3769</v>
      </c>
      <c r="J10724" s="556">
        <f t="shared" si="354"/>
        <v>0</v>
      </c>
    </row>
    <row r="10725" spans="6:10" hidden="1" x14ac:dyDescent="0.25">
      <c r="F10725" s="410">
        <v>415</v>
      </c>
      <c r="G10725" s="400" t="s">
        <v>4141</v>
      </c>
      <c r="J10725" s="556">
        <f t="shared" si="354"/>
        <v>0</v>
      </c>
    </row>
    <row r="10726" spans="6:10" hidden="1" x14ac:dyDescent="0.25">
      <c r="F10726" s="410">
        <v>416</v>
      </c>
      <c r="G10726" s="400" t="s">
        <v>4142</v>
      </c>
      <c r="J10726" s="556">
        <f t="shared" si="354"/>
        <v>0</v>
      </c>
    </row>
    <row r="10727" spans="6:10" hidden="1" x14ac:dyDescent="0.25">
      <c r="F10727" s="410">
        <v>417</v>
      </c>
      <c r="G10727" s="400" t="s">
        <v>4143</v>
      </c>
      <c r="J10727" s="556">
        <f t="shared" si="354"/>
        <v>0</v>
      </c>
    </row>
    <row r="10728" spans="6:10" hidden="1" x14ac:dyDescent="0.25">
      <c r="F10728" s="410">
        <v>418</v>
      </c>
      <c r="G10728" s="400" t="s">
        <v>3775</v>
      </c>
      <c r="J10728" s="556">
        <f t="shared" si="354"/>
        <v>0</v>
      </c>
    </row>
    <row r="10729" spans="6:10" hidden="1" x14ac:dyDescent="0.25">
      <c r="F10729" s="410">
        <v>421</v>
      </c>
      <c r="G10729" s="400" t="s">
        <v>3779</v>
      </c>
      <c r="J10729" s="556">
        <f t="shared" si="354"/>
        <v>0</v>
      </c>
    </row>
    <row r="10730" spans="6:10" hidden="1" x14ac:dyDescent="0.25">
      <c r="F10730" s="410">
        <v>422</v>
      </c>
      <c r="G10730" s="400" t="s">
        <v>3780</v>
      </c>
      <c r="J10730" s="556">
        <f t="shared" si="354"/>
        <v>0</v>
      </c>
    </row>
    <row r="10731" spans="6:10" hidden="1" x14ac:dyDescent="0.25">
      <c r="F10731" s="410">
        <v>423</v>
      </c>
      <c r="G10731" s="400" t="s">
        <v>3781</v>
      </c>
      <c r="J10731" s="556">
        <f t="shared" si="354"/>
        <v>0</v>
      </c>
    </row>
    <row r="10732" spans="6:10" hidden="1" x14ac:dyDescent="0.25">
      <c r="F10732" s="410">
        <v>424</v>
      </c>
      <c r="G10732" s="400" t="s">
        <v>3783</v>
      </c>
      <c r="J10732" s="556">
        <f t="shared" si="354"/>
        <v>0</v>
      </c>
    </row>
    <row r="10733" spans="6:10" hidden="1" x14ac:dyDescent="0.25">
      <c r="F10733" s="410">
        <v>425</v>
      </c>
      <c r="G10733" s="400" t="s">
        <v>4144</v>
      </c>
      <c r="J10733" s="556">
        <f t="shared" si="354"/>
        <v>0</v>
      </c>
    </row>
    <row r="10734" spans="6:10" hidden="1" x14ac:dyDescent="0.25">
      <c r="F10734" s="410">
        <v>426</v>
      </c>
      <c r="G10734" s="400" t="s">
        <v>3787</v>
      </c>
      <c r="J10734" s="556">
        <f t="shared" si="354"/>
        <v>0</v>
      </c>
    </row>
    <row r="10735" spans="6:10" hidden="1" x14ac:dyDescent="0.25">
      <c r="F10735" s="410">
        <v>431</v>
      </c>
      <c r="G10735" s="400" t="s">
        <v>4145</v>
      </c>
      <c r="J10735" s="556">
        <f t="shared" si="354"/>
        <v>0</v>
      </c>
    </row>
    <row r="10736" spans="6:10" hidden="1" x14ac:dyDescent="0.25">
      <c r="F10736" s="410">
        <v>432</v>
      </c>
      <c r="G10736" s="400" t="s">
        <v>4146</v>
      </c>
      <c r="J10736" s="556">
        <f t="shared" si="354"/>
        <v>0</v>
      </c>
    </row>
    <row r="10737" spans="6:10" hidden="1" x14ac:dyDescent="0.25">
      <c r="F10737" s="410">
        <v>433</v>
      </c>
      <c r="G10737" s="400" t="s">
        <v>4147</v>
      </c>
      <c r="J10737" s="556">
        <f t="shared" si="354"/>
        <v>0</v>
      </c>
    </row>
    <row r="10738" spans="6:10" hidden="1" x14ac:dyDescent="0.25">
      <c r="F10738" s="410">
        <v>434</v>
      </c>
      <c r="G10738" s="400" t="s">
        <v>4148</v>
      </c>
      <c r="J10738" s="556">
        <f t="shared" si="354"/>
        <v>0</v>
      </c>
    </row>
    <row r="10739" spans="6:10" hidden="1" x14ac:dyDescent="0.25">
      <c r="F10739" s="410">
        <v>435</v>
      </c>
      <c r="G10739" s="400" t="s">
        <v>3794</v>
      </c>
      <c r="J10739" s="556">
        <f t="shared" si="354"/>
        <v>0</v>
      </c>
    </row>
    <row r="10740" spans="6:10" hidden="1" x14ac:dyDescent="0.25">
      <c r="F10740" s="410">
        <v>441</v>
      </c>
      <c r="G10740" s="400" t="s">
        <v>4149</v>
      </c>
      <c r="J10740" s="556">
        <f t="shared" si="354"/>
        <v>0</v>
      </c>
    </row>
    <row r="10741" spans="6:10" hidden="1" x14ac:dyDescent="0.25">
      <c r="F10741" s="410">
        <v>442</v>
      </c>
      <c r="G10741" s="400" t="s">
        <v>4150</v>
      </c>
      <c r="J10741" s="556">
        <f t="shared" si="354"/>
        <v>0</v>
      </c>
    </row>
    <row r="10742" spans="6:10" hidden="1" x14ac:dyDescent="0.25">
      <c r="F10742" s="410">
        <v>443</v>
      </c>
      <c r="G10742" s="400" t="s">
        <v>3799</v>
      </c>
      <c r="J10742" s="556">
        <f t="shared" si="354"/>
        <v>0</v>
      </c>
    </row>
    <row r="10743" spans="6:10" hidden="1" x14ac:dyDescent="0.25">
      <c r="F10743" s="410">
        <v>444</v>
      </c>
      <c r="G10743" s="400" t="s">
        <v>3800</v>
      </c>
      <c r="J10743" s="556">
        <f t="shared" si="354"/>
        <v>0</v>
      </c>
    </row>
    <row r="10744" spans="6:10" ht="30" hidden="1" x14ac:dyDescent="0.25">
      <c r="F10744" s="410">
        <v>4511</v>
      </c>
      <c r="G10744" s="263" t="s">
        <v>1690</v>
      </c>
      <c r="J10744" s="556">
        <f t="shared" si="354"/>
        <v>0</v>
      </c>
    </row>
    <row r="10745" spans="6:10" ht="30" hidden="1" x14ac:dyDescent="0.25">
      <c r="F10745" s="410">
        <v>4512</v>
      </c>
      <c r="G10745" s="263" t="s">
        <v>1699</v>
      </c>
      <c r="J10745" s="556">
        <f t="shared" si="354"/>
        <v>0</v>
      </c>
    </row>
    <row r="10746" spans="6:10" hidden="1" x14ac:dyDescent="0.25">
      <c r="F10746" s="410">
        <v>452</v>
      </c>
      <c r="G10746" s="400" t="s">
        <v>4151</v>
      </c>
      <c r="J10746" s="556">
        <f t="shared" si="354"/>
        <v>0</v>
      </c>
    </row>
    <row r="10747" spans="6:10" hidden="1" x14ac:dyDescent="0.25">
      <c r="F10747" s="410">
        <v>453</v>
      </c>
      <c r="G10747" s="400" t="s">
        <v>4152</v>
      </c>
      <c r="J10747" s="556">
        <f t="shared" si="354"/>
        <v>0</v>
      </c>
    </row>
    <row r="10748" spans="6:10" hidden="1" x14ac:dyDescent="0.25">
      <c r="F10748" s="410">
        <v>454</v>
      </c>
      <c r="G10748" s="400" t="s">
        <v>3805</v>
      </c>
      <c r="J10748" s="556">
        <f t="shared" si="354"/>
        <v>0</v>
      </c>
    </row>
    <row r="10749" spans="6:10" hidden="1" x14ac:dyDescent="0.25">
      <c r="F10749" s="410">
        <v>461</v>
      </c>
      <c r="G10749" s="400" t="s">
        <v>4133</v>
      </c>
      <c r="J10749" s="556">
        <f t="shared" si="354"/>
        <v>0</v>
      </c>
    </row>
    <row r="10750" spans="6:10" hidden="1" x14ac:dyDescent="0.25">
      <c r="F10750" s="410">
        <v>462</v>
      </c>
      <c r="G10750" s="400" t="s">
        <v>3808</v>
      </c>
      <c r="J10750" s="556">
        <f t="shared" si="354"/>
        <v>0</v>
      </c>
    </row>
    <row r="10751" spans="6:10" hidden="1" x14ac:dyDescent="0.25">
      <c r="F10751" s="410">
        <v>4631</v>
      </c>
      <c r="G10751" s="400" t="s">
        <v>3809</v>
      </c>
      <c r="J10751" s="556">
        <f t="shared" si="354"/>
        <v>0</v>
      </c>
    </row>
    <row r="10752" spans="6:10" hidden="1" x14ac:dyDescent="0.25">
      <c r="F10752" s="410">
        <v>4632</v>
      </c>
      <c r="G10752" s="400" t="s">
        <v>3810</v>
      </c>
      <c r="J10752" s="556">
        <f t="shared" si="354"/>
        <v>0</v>
      </c>
    </row>
    <row r="10753" spans="6:10" hidden="1" x14ac:dyDescent="0.25">
      <c r="F10753" s="410">
        <v>464</v>
      </c>
      <c r="G10753" s="400" t="s">
        <v>3811</v>
      </c>
      <c r="J10753" s="556">
        <f t="shared" si="354"/>
        <v>0</v>
      </c>
    </row>
    <row r="10754" spans="6:10" hidden="1" x14ac:dyDescent="0.25">
      <c r="F10754" s="410">
        <v>465</v>
      </c>
      <c r="G10754" s="400" t="s">
        <v>4134</v>
      </c>
      <c r="J10754" s="556">
        <f t="shared" si="354"/>
        <v>0</v>
      </c>
    </row>
    <row r="10755" spans="6:10" hidden="1" x14ac:dyDescent="0.25">
      <c r="F10755" s="410">
        <v>472</v>
      </c>
      <c r="G10755" s="400" t="s">
        <v>3815</v>
      </c>
      <c r="J10755" s="556">
        <f t="shared" si="354"/>
        <v>0</v>
      </c>
    </row>
    <row r="10756" spans="6:10" hidden="1" x14ac:dyDescent="0.25">
      <c r="F10756" s="410">
        <v>481</v>
      </c>
      <c r="G10756" s="400" t="s">
        <v>4153</v>
      </c>
      <c r="J10756" s="556">
        <f t="shared" si="354"/>
        <v>0</v>
      </c>
    </row>
    <row r="10757" spans="6:10" hidden="1" x14ac:dyDescent="0.25">
      <c r="F10757" s="410">
        <v>482</v>
      </c>
      <c r="G10757" s="400" t="s">
        <v>4154</v>
      </c>
      <c r="J10757" s="556">
        <f t="shared" si="354"/>
        <v>0</v>
      </c>
    </row>
    <row r="10758" spans="6:10" hidden="1" x14ac:dyDescent="0.25">
      <c r="F10758" s="410">
        <v>483</v>
      </c>
      <c r="G10758" s="405" t="s">
        <v>4155</v>
      </c>
      <c r="J10758" s="556">
        <f t="shared" si="354"/>
        <v>0</v>
      </c>
    </row>
    <row r="10759" spans="6:10" ht="30" hidden="1" x14ac:dyDescent="0.25">
      <c r="F10759" s="410">
        <v>484</v>
      </c>
      <c r="G10759" s="400" t="s">
        <v>4156</v>
      </c>
      <c r="J10759" s="556">
        <f t="shared" si="354"/>
        <v>0</v>
      </c>
    </row>
    <row r="10760" spans="6:10" ht="30" hidden="1" x14ac:dyDescent="0.25">
      <c r="F10760" s="410">
        <v>485</v>
      </c>
      <c r="G10760" s="400" t="s">
        <v>4157</v>
      </c>
      <c r="J10760" s="556">
        <f t="shared" si="354"/>
        <v>0</v>
      </c>
    </row>
    <row r="10761" spans="6:10" ht="30" hidden="1" x14ac:dyDescent="0.25">
      <c r="F10761" s="410">
        <v>489</v>
      </c>
      <c r="G10761" s="400" t="s">
        <v>3823</v>
      </c>
      <c r="J10761" s="556">
        <f t="shared" si="354"/>
        <v>0</v>
      </c>
    </row>
    <row r="10762" spans="6:10" hidden="1" x14ac:dyDescent="0.25">
      <c r="F10762" s="410">
        <v>494</v>
      </c>
      <c r="G10762" s="400" t="s">
        <v>4135</v>
      </c>
      <c r="J10762" s="556">
        <f t="shared" si="354"/>
        <v>0</v>
      </c>
    </row>
    <row r="10763" spans="6:10" ht="30" hidden="1" x14ac:dyDescent="0.25">
      <c r="F10763" s="410">
        <v>495</v>
      </c>
      <c r="G10763" s="400" t="s">
        <v>4136</v>
      </c>
      <c r="J10763" s="556">
        <f t="shared" si="354"/>
        <v>0</v>
      </c>
    </row>
    <row r="10764" spans="6:10" ht="30" hidden="1" x14ac:dyDescent="0.25">
      <c r="F10764" s="410">
        <v>496</v>
      </c>
      <c r="G10764" s="400" t="s">
        <v>4137</v>
      </c>
      <c r="J10764" s="556">
        <f t="shared" si="354"/>
        <v>0</v>
      </c>
    </row>
    <row r="10765" spans="6:10" ht="30" hidden="1" x14ac:dyDescent="0.25">
      <c r="F10765" s="410">
        <v>499</v>
      </c>
      <c r="G10765" s="400" t="s">
        <v>4138</v>
      </c>
      <c r="J10765" s="556">
        <f t="shared" si="354"/>
        <v>0</v>
      </c>
    </row>
    <row r="10766" spans="6:10" hidden="1" x14ac:dyDescent="0.25">
      <c r="F10766" s="410">
        <v>511</v>
      </c>
      <c r="G10766" s="405" t="s">
        <v>4158</v>
      </c>
      <c r="J10766" s="556">
        <f t="shared" si="354"/>
        <v>0</v>
      </c>
    </row>
    <row r="10767" spans="6:10" hidden="1" x14ac:dyDescent="0.25">
      <c r="F10767" s="410">
        <v>512</v>
      </c>
      <c r="G10767" s="405" t="s">
        <v>4159</v>
      </c>
      <c r="J10767" s="556">
        <f t="shared" si="354"/>
        <v>0</v>
      </c>
    </row>
    <row r="10768" spans="6:10" hidden="1" x14ac:dyDescent="0.25">
      <c r="F10768" s="410">
        <v>513</v>
      </c>
      <c r="G10768" s="405" t="s">
        <v>4160</v>
      </c>
      <c r="J10768" s="556">
        <f t="shared" si="354"/>
        <v>0</v>
      </c>
    </row>
    <row r="10769" spans="5:10" hidden="1" x14ac:dyDescent="0.25">
      <c r="F10769" s="410">
        <v>514</v>
      </c>
      <c r="G10769" s="400" t="s">
        <v>4161</v>
      </c>
      <c r="J10769" s="556">
        <f t="shared" si="354"/>
        <v>0</v>
      </c>
    </row>
    <row r="10770" spans="5:10" hidden="1" x14ac:dyDescent="0.25">
      <c r="F10770" s="410">
        <v>515</v>
      </c>
      <c r="G10770" s="400" t="s">
        <v>3834</v>
      </c>
      <c r="J10770" s="556">
        <f t="shared" si="354"/>
        <v>0</v>
      </c>
    </row>
    <row r="10771" spans="5:10" hidden="1" x14ac:dyDescent="0.25">
      <c r="F10771" s="410">
        <v>521</v>
      </c>
      <c r="G10771" s="400" t="s">
        <v>4162</v>
      </c>
      <c r="J10771" s="556">
        <f t="shared" si="354"/>
        <v>0</v>
      </c>
    </row>
    <row r="10772" spans="5:10" hidden="1" x14ac:dyDescent="0.25">
      <c r="F10772" s="410">
        <v>522</v>
      </c>
      <c r="G10772" s="400" t="s">
        <v>4163</v>
      </c>
      <c r="J10772" s="556">
        <f t="shared" si="354"/>
        <v>0</v>
      </c>
    </row>
    <row r="10773" spans="5:10" hidden="1" x14ac:dyDescent="0.25">
      <c r="F10773" s="410">
        <v>523</v>
      </c>
      <c r="G10773" s="400" t="s">
        <v>3839</v>
      </c>
      <c r="J10773" s="556">
        <f t="shared" si="354"/>
        <v>0</v>
      </c>
    </row>
    <row r="10774" spans="5:10" hidden="1" x14ac:dyDescent="0.25">
      <c r="F10774" s="410">
        <v>531</v>
      </c>
      <c r="G10774" s="399" t="s">
        <v>4139</v>
      </c>
      <c r="J10774" s="556">
        <f t="shared" si="354"/>
        <v>0</v>
      </c>
    </row>
    <row r="10775" spans="5:10" hidden="1" x14ac:dyDescent="0.25">
      <c r="F10775" s="410">
        <v>541</v>
      </c>
      <c r="G10775" s="400" t="s">
        <v>4164</v>
      </c>
      <c r="J10775" s="556">
        <f t="shared" si="354"/>
        <v>0</v>
      </c>
    </row>
    <row r="10776" spans="5:10" hidden="1" x14ac:dyDescent="0.25">
      <c r="F10776" s="410">
        <v>542</v>
      </c>
      <c r="G10776" s="400" t="s">
        <v>4165</v>
      </c>
      <c r="J10776" s="556">
        <f t="shared" si="354"/>
        <v>0</v>
      </c>
    </row>
    <row r="10777" spans="5:10" hidden="1" x14ac:dyDescent="0.25">
      <c r="F10777" s="410">
        <v>543</v>
      </c>
      <c r="G10777" s="400" t="s">
        <v>3844</v>
      </c>
      <c r="J10777" s="556">
        <f t="shared" si="354"/>
        <v>0</v>
      </c>
    </row>
    <row r="10778" spans="5:10" ht="30" hidden="1" x14ac:dyDescent="0.25">
      <c r="F10778" s="410">
        <v>551</v>
      </c>
      <c r="G10778" s="400" t="s">
        <v>4140</v>
      </c>
      <c r="J10778" s="556">
        <f t="shared" si="354"/>
        <v>0</v>
      </c>
    </row>
    <row r="10779" spans="5:10" hidden="1" x14ac:dyDescent="0.25">
      <c r="F10779" s="411">
        <v>611</v>
      </c>
      <c r="G10779" s="409" t="s">
        <v>3850</v>
      </c>
      <c r="J10779" s="556">
        <f t="shared" si="354"/>
        <v>0</v>
      </c>
    </row>
    <row r="10780" spans="5:10" hidden="1" x14ac:dyDescent="0.25">
      <c r="F10780" s="411">
        <v>620</v>
      </c>
      <c r="G10780" s="409" t="s">
        <v>88</v>
      </c>
      <c r="J10780" s="556">
        <f t="shared" si="354"/>
        <v>0</v>
      </c>
    </row>
    <row r="10781" spans="5:10" hidden="1" x14ac:dyDescent="0.25">
      <c r="E10781" s="489"/>
      <c r="F10781" s="411"/>
      <c r="G10781" s="342" t="s">
        <v>4300</v>
      </c>
      <c r="H10781" s="557"/>
      <c r="I10781" s="583"/>
      <c r="J10781" s="558"/>
    </row>
    <row r="10782" spans="5:10" hidden="1" x14ac:dyDescent="0.25">
      <c r="E10782" s="693"/>
      <c r="F10782" s="284" t="s">
        <v>234</v>
      </c>
      <c r="G10782" s="287" t="s">
        <v>235</v>
      </c>
      <c r="H10782" s="559">
        <f>SUM(H10721:H10780)</f>
        <v>0</v>
      </c>
      <c r="I10782" s="560"/>
      <c r="J10782" s="560">
        <f>SUM(H10782:I10782)</f>
        <v>0</v>
      </c>
    </row>
    <row r="10783" spans="5:10" hidden="1" x14ac:dyDescent="0.25">
      <c r="F10783" s="284" t="s">
        <v>236</v>
      </c>
      <c r="G10783" s="287" t="s">
        <v>237</v>
      </c>
      <c r="J10783" s="560">
        <f t="shared" ref="J10783:J10797" si="355">SUM(H10783:I10783)</f>
        <v>0</v>
      </c>
    </row>
    <row r="10784" spans="5:10" hidden="1" x14ac:dyDescent="0.25">
      <c r="F10784" s="284" t="s">
        <v>238</v>
      </c>
      <c r="G10784" s="287" t="s">
        <v>239</v>
      </c>
      <c r="J10784" s="560">
        <f t="shared" si="355"/>
        <v>0</v>
      </c>
    </row>
    <row r="10785" spans="5:10" hidden="1" x14ac:dyDescent="0.25">
      <c r="F10785" s="284" t="s">
        <v>240</v>
      </c>
      <c r="G10785" s="287" t="s">
        <v>241</v>
      </c>
      <c r="J10785" s="560">
        <f t="shared" si="355"/>
        <v>0</v>
      </c>
    </row>
    <row r="10786" spans="5:10" hidden="1" x14ac:dyDescent="0.25">
      <c r="F10786" s="284" t="s">
        <v>242</v>
      </c>
      <c r="G10786" s="287" t="s">
        <v>243</v>
      </c>
      <c r="J10786" s="560">
        <f t="shared" si="355"/>
        <v>0</v>
      </c>
    </row>
    <row r="10787" spans="5:10" hidden="1" x14ac:dyDescent="0.25">
      <c r="F10787" s="284" t="s">
        <v>244</v>
      </c>
      <c r="G10787" s="287" t="s">
        <v>245</v>
      </c>
      <c r="J10787" s="560">
        <f t="shared" si="355"/>
        <v>0</v>
      </c>
    </row>
    <row r="10788" spans="5:10" hidden="1" x14ac:dyDescent="0.25">
      <c r="F10788" s="284" t="s">
        <v>246</v>
      </c>
      <c r="G10788" s="598" t="s">
        <v>4996</v>
      </c>
      <c r="J10788" s="560">
        <f t="shared" si="355"/>
        <v>0</v>
      </c>
    </row>
    <row r="10789" spans="5:10" hidden="1" x14ac:dyDescent="0.25">
      <c r="F10789" s="284" t="s">
        <v>247</v>
      </c>
      <c r="G10789" s="598" t="s">
        <v>4995</v>
      </c>
      <c r="J10789" s="560">
        <f t="shared" si="355"/>
        <v>0</v>
      </c>
    </row>
    <row r="10790" spans="5:10" hidden="1" x14ac:dyDescent="0.25">
      <c r="F10790" s="284" t="s">
        <v>248</v>
      </c>
      <c r="G10790" s="287" t="s">
        <v>57</v>
      </c>
      <c r="J10790" s="560">
        <f t="shared" si="355"/>
        <v>0</v>
      </c>
    </row>
    <row r="10791" spans="5:10" hidden="1" x14ac:dyDescent="0.25">
      <c r="F10791" s="284" t="s">
        <v>249</v>
      </c>
      <c r="G10791" s="287" t="s">
        <v>250</v>
      </c>
      <c r="J10791" s="560">
        <f t="shared" si="355"/>
        <v>0</v>
      </c>
    </row>
    <row r="10792" spans="5:10" hidden="1" x14ac:dyDescent="0.25">
      <c r="F10792" s="284" t="s">
        <v>251</v>
      </c>
      <c r="G10792" s="287" t="s">
        <v>252</v>
      </c>
      <c r="J10792" s="560">
        <f t="shared" si="355"/>
        <v>0</v>
      </c>
    </row>
    <row r="10793" spans="5:10" ht="30" hidden="1" x14ac:dyDescent="0.25">
      <c r="F10793" s="284" t="s">
        <v>253</v>
      </c>
      <c r="G10793" s="287" t="s">
        <v>254</v>
      </c>
      <c r="J10793" s="560">
        <f t="shared" si="355"/>
        <v>0</v>
      </c>
    </row>
    <row r="10794" spans="5:10" hidden="1" x14ac:dyDescent="0.25">
      <c r="F10794" s="284" t="s">
        <v>255</v>
      </c>
      <c r="G10794" s="287" t="s">
        <v>256</v>
      </c>
      <c r="J10794" s="560">
        <f t="shared" si="355"/>
        <v>0</v>
      </c>
    </row>
    <row r="10795" spans="5:10" ht="30" hidden="1" x14ac:dyDescent="0.25">
      <c r="F10795" s="284" t="s">
        <v>257</v>
      </c>
      <c r="G10795" s="287" t="s">
        <v>258</v>
      </c>
      <c r="J10795" s="560">
        <f t="shared" si="355"/>
        <v>0</v>
      </c>
    </row>
    <row r="10796" spans="5:10" hidden="1" x14ac:dyDescent="0.25">
      <c r="F10796" s="284" t="s">
        <v>259</v>
      </c>
      <c r="G10796" s="287" t="s">
        <v>260</v>
      </c>
      <c r="J10796" s="560">
        <f t="shared" si="355"/>
        <v>0</v>
      </c>
    </row>
    <row r="10797" spans="5:10" hidden="1" x14ac:dyDescent="0.25">
      <c r="F10797" s="284" t="s">
        <v>261</v>
      </c>
      <c r="G10797" s="287" t="s">
        <v>262</v>
      </c>
      <c r="H10797" s="559"/>
      <c r="I10797" s="560"/>
      <c r="J10797" s="560">
        <f t="shared" si="355"/>
        <v>0</v>
      </c>
    </row>
    <row r="10798" spans="5:10" ht="15.75" hidden="1" thickBot="1" x14ac:dyDescent="0.3">
      <c r="G10798" s="268" t="s">
        <v>4299</v>
      </c>
      <c r="H10798" s="561">
        <f>SUM(H10782:H10797)</f>
        <v>0</v>
      </c>
      <c r="I10798" s="562">
        <f>SUM(I10783:I10797)</f>
        <v>0</v>
      </c>
      <c r="J10798" s="562">
        <f>SUM(J10782:J10797)</f>
        <v>0</v>
      </c>
    </row>
    <row r="10799" spans="5:10" hidden="1" collapsed="1" x14ac:dyDescent="0.25">
      <c r="E10799" s="489"/>
      <c r="F10799" s="411"/>
      <c r="G10799" s="270" t="s">
        <v>4928</v>
      </c>
      <c r="H10799" s="563"/>
      <c r="I10799" s="584"/>
      <c r="J10799" s="564"/>
    </row>
    <row r="10800" spans="5:10" hidden="1" x14ac:dyDescent="0.25">
      <c r="E10800" s="693"/>
      <c r="F10800" s="284" t="s">
        <v>234</v>
      </c>
      <c r="G10800" s="287" t="s">
        <v>235</v>
      </c>
      <c r="H10800" s="559">
        <f>SUM(H10721:H10780)</f>
        <v>0</v>
      </c>
      <c r="I10800" s="560"/>
      <c r="J10800" s="560">
        <f>SUM(H10800:I10800)</f>
        <v>0</v>
      </c>
    </row>
    <row r="10801" spans="6:10" hidden="1" x14ac:dyDescent="0.25">
      <c r="F10801" s="284" t="s">
        <v>236</v>
      </c>
      <c r="G10801" s="287" t="s">
        <v>237</v>
      </c>
      <c r="J10801" s="560">
        <f t="shared" ref="J10801:J10815" si="356">SUM(H10801:I10801)</f>
        <v>0</v>
      </c>
    </row>
    <row r="10802" spans="6:10" hidden="1" x14ac:dyDescent="0.25">
      <c r="F10802" s="284" t="s">
        <v>238</v>
      </c>
      <c r="G10802" s="287" t="s">
        <v>239</v>
      </c>
      <c r="J10802" s="560">
        <f t="shared" si="356"/>
        <v>0</v>
      </c>
    </row>
    <row r="10803" spans="6:10" hidden="1" x14ac:dyDescent="0.25">
      <c r="F10803" s="284" t="s">
        <v>240</v>
      </c>
      <c r="G10803" s="287" t="s">
        <v>241</v>
      </c>
      <c r="J10803" s="560">
        <f t="shared" si="356"/>
        <v>0</v>
      </c>
    </row>
    <row r="10804" spans="6:10" hidden="1" x14ac:dyDescent="0.25">
      <c r="F10804" s="284" t="s">
        <v>242</v>
      </c>
      <c r="G10804" s="287" t="s">
        <v>243</v>
      </c>
      <c r="J10804" s="560">
        <f t="shared" si="356"/>
        <v>0</v>
      </c>
    </row>
    <row r="10805" spans="6:10" hidden="1" x14ac:dyDescent="0.25">
      <c r="F10805" s="284" t="s">
        <v>244</v>
      </c>
      <c r="G10805" s="287" t="s">
        <v>245</v>
      </c>
      <c r="J10805" s="560">
        <f t="shared" si="356"/>
        <v>0</v>
      </c>
    </row>
    <row r="10806" spans="6:10" hidden="1" x14ac:dyDescent="0.25">
      <c r="F10806" s="284" t="s">
        <v>246</v>
      </c>
      <c r="G10806" s="598" t="s">
        <v>4996</v>
      </c>
      <c r="J10806" s="560">
        <f t="shared" si="356"/>
        <v>0</v>
      </c>
    </row>
    <row r="10807" spans="6:10" hidden="1" x14ac:dyDescent="0.25">
      <c r="F10807" s="284" t="s">
        <v>247</v>
      </c>
      <c r="G10807" s="598" t="s">
        <v>4995</v>
      </c>
      <c r="J10807" s="560">
        <f t="shared" si="356"/>
        <v>0</v>
      </c>
    </row>
    <row r="10808" spans="6:10" hidden="1" x14ac:dyDescent="0.25">
      <c r="F10808" s="284" t="s">
        <v>248</v>
      </c>
      <c r="G10808" s="287" t="s">
        <v>57</v>
      </c>
      <c r="J10808" s="560">
        <f t="shared" si="356"/>
        <v>0</v>
      </c>
    </row>
    <row r="10809" spans="6:10" hidden="1" x14ac:dyDescent="0.25">
      <c r="F10809" s="284" t="s">
        <v>249</v>
      </c>
      <c r="G10809" s="287" t="s">
        <v>250</v>
      </c>
      <c r="J10809" s="560">
        <f t="shared" si="356"/>
        <v>0</v>
      </c>
    </row>
    <row r="10810" spans="6:10" hidden="1" x14ac:dyDescent="0.25">
      <c r="F10810" s="284" t="s">
        <v>251</v>
      </c>
      <c r="G10810" s="287" t="s">
        <v>252</v>
      </c>
      <c r="J10810" s="560">
        <f t="shared" si="356"/>
        <v>0</v>
      </c>
    </row>
    <row r="10811" spans="6:10" ht="30" hidden="1" x14ac:dyDescent="0.25">
      <c r="F10811" s="284" t="s">
        <v>253</v>
      </c>
      <c r="G10811" s="287" t="s">
        <v>254</v>
      </c>
      <c r="J10811" s="560">
        <f t="shared" si="356"/>
        <v>0</v>
      </c>
    </row>
    <row r="10812" spans="6:10" hidden="1" x14ac:dyDescent="0.25">
      <c r="F10812" s="284" t="s">
        <v>255</v>
      </c>
      <c r="G10812" s="287" t="s">
        <v>256</v>
      </c>
      <c r="J10812" s="560">
        <f t="shared" si="356"/>
        <v>0</v>
      </c>
    </row>
    <row r="10813" spans="6:10" ht="30" hidden="1" x14ac:dyDescent="0.25">
      <c r="F10813" s="284" t="s">
        <v>257</v>
      </c>
      <c r="G10813" s="287" t="s">
        <v>258</v>
      </c>
      <c r="J10813" s="560">
        <f t="shared" si="356"/>
        <v>0</v>
      </c>
    </row>
    <row r="10814" spans="6:10" hidden="1" x14ac:dyDescent="0.25">
      <c r="F10814" s="284" t="s">
        <v>259</v>
      </c>
      <c r="G10814" s="287" t="s">
        <v>260</v>
      </c>
      <c r="J10814" s="560">
        <f t="shared" si="356"/>
        <v>0</v>
      </c>
    </row>
    <row r="10815" spans="6:10" hidden="1" x14ac:dyDescent="0.25">
      <c r="F10815" s="284" t="s">
        <v>261</v>
      </c>
      <c r="G10815" s="287" t="s">
        <v>262</v>
      </c>
      <c r="H10815" s="559"/>
      <c r="I10815" s="560"/>
      <c r="J10815" s="560">
        <f t="shared" si="356"/>
        <v>0</v>
      </c>
    </row>
    <row r="10816" spans="6:10" ht="15.75" hidden="1" thickBot="1" x14ac:dyDescent="0.3">
      <c r="G10816" s="268" t="s">
        <v>4916</v>
      </c>
      <c r="H10816" s="561">
        <f>SUM(H10800:H10815)</f>
        <v>0</v>
      </c>
      <c r="I10816" s="562">
        <f>SUM(I10801:I10815)</f>
        <v>0</v>
      </c>
      <c r="J10816" s="562">
        <f>SUM(J10800:J10815)</f>
        <v>0</v>
      </c>
    </row>
    <row r="10817" spans="3:10" hidden="1" x14ac:dyDescent="0.25"/>
    <row r="10818" spans="3:10" hidden="1" x14ac:dyDescent="0.25">
      <c r="C10818" s="267" t="s">
        <v>4544</v>
      </c>
      <c r="D10818" s="259"/>
      <c r="G10818" s="401" t="s">
        <v>4972</v>
      </c>
    </row>
    <row r="10819" spans="3:10" hidden="1" x14ac:dyDescent="0.25">
      <c r="C10819" s="267"/>
      <c r="D10819" s="331">
        <v>451</v>
      </c>
      <c r="E10819" s="869"/>
      <c r="F10819" s="331"/>
      <c r="G10819" s="332" t="s">
        <v>153</v>
      </c>
    </row>
    <row r="10820" spans="3:10" hidden="1" x14ac:dyDescent="0.25">
      <c r="F10820" s="410">
        <v>411</v>
      </c>
      <c r="G10820" s="400" t="s">
        <v>4131</v>
      </c>
      <c r="J10820" s="556">
        <f>SUM(H10820:I10820)</f>
        <v>0</v>
      </c>
    </row>
    <row r="10821" spans="3:10" hidden="1" x14ac:dyDescent="0.25">
      <c r="F10821" s="410">
        <v>412</v>
      </c>
      <c r="G10821" s="399" t="s">
        <v>3766</v>
      </c>
      <c r="J10821" s="556">
        <f t="shared" ref="J10821:J10879" si="357">SUM(H10821:I10821)</f>
        <v>0</v>
      </c>
    </row>
    <row r="10822" spans="3:10" hidden="1" x14ac:dyDescent="0.25">
      <c r="F10822" s="410">
        <v>413</v>
      </c>
      <c r="G10822" s="400" t="s">
        <v>4132</v>
      </c>
      <c r="J10822" s="556">
        <f t="shared" si="357"/>
        <v>0</v>
      </c>
    </row>
    <row r="10823" spans="3:10" hidden="1" x14ac:dyDescent="0.25">
      <c r="F10823" s="410">
        <v>414</v>
      </c>
      <c r="G10823" s="400" t="s">
        <v>3769</v>
      </c>
      <c r="J10823" s="556">
        <f t="shared" si="357"/>
        <v>0</v>
      </c>
    </row>
    <row r="10824" spans="3:10" hidden="1" x14ac:dyDescent="0.25">
      <c r="F10824" s="410">
        <v>415</v>
      </c>
      <c r="G10824" s="400" t="s">
        <v>4141</v>
      </c>
      <c r="J10824" s="556">
        <f t="shared" si="357"/>
        <v>0</v>
      </c>
    </row>
    <row r="10825" spans="3:10" hidden="1" x14ac:dyDescent="0.25">
      <c r="F10825" s="410">
        <v>416</v>
      </c>
      <c r="G10825" s="400" t="s">
        <v>4142</v>
      </c>
      <c r="J10825" s="556">
        <f t="shared" si="357"/>
        <v>0</v>
      </c>
    </row>
    <row r="10826" spans="3:10" hidden="1" x14ac:dyDescent="0.25">
      <c r="F10826" s="410">
        <v>417</v>
      </c>
      <c r="G10826" s="400" t="s">
        <v>4143</v>
      </c>
      <c r="J10826" s="556">
        <f t="shared" si="357"/>
        <v>0</v>
      </c>
    </row>
    <row r="10827" spans="3:10" hidden="1" x14ac:dyDescent="0.25">
      <c r="F10827" s="410">
        <v>418</v>
      </c>
      <c r="G10827" s="400" t="s">
        <v>3775</v>
      </c>
      <c r="J10827" s="556">
        <f t="shared" si="357"/>
        <v>0</v>
      </c>
    </row>
    <row r="10828" spans="3:10" hidden="1" x14ac:dyDescent="0.25">
      <c r="F10828" s="410">
        <v>421</v>
      </c>
      <c r="G10828" s="400" t="s">
        <v>3779</v>
      </c>
      <c r="J10828" s="556">
        <f t="shared" si="357"/>
        <v>0</v>
      </c>
    </row>
    <row r="10829" spans="3:10" hidden="1" x14ac:dyDescent="0.25">
      <c r="F10829" s="410">
        <v>422</v>
      </c>
      <c r="G10829" s="400" t="s">
        <v>3780</v>
      </c>
      <c r="J10829" s="556">
        <f t="shared" si="357"/>
        <v>0</v>
      </c>
    </row>
    <row r="10830" spans="3:10" hidden="1" x14ac:dyDescent="0.25">
      <c r="F10830" s="410">
        <v>423</v>
      </c>
      <c r="G10830" s="400" t="s">
        <v>3781</v>
      </c>
      <c r="J10830" s="556">
        <f t="shared" si="357"/>
        <v>0</v>
      </c>
    </row>
    <row r="10831" spans="3:10" hidden="1" x14ac:dyDescent="0.25">
      <c r="F10831" s="410">
        <v>424</v>
      </c>
      <c r="G10831" s="400" t="s">
        <v>3783</v>
      </c>
      <c r="J10831" s="556">
        <f t="shared" si="357"/>
        <v>0</v>
      </c>
    </row>
    <row r="10832" spans="3:10" hidden="1" x14ac:dyDescent="0.25">
      <c r="F10832" s="410">
        <v>425</v>
      </c>
      <c r="G10832" s="400" t="s">
        <v>4144</v>
      </c>
      <c r="J10832" s="556">
        <f t="shared" si="357"/>
        <v>0</v>
      </c>
    </row>
    <row r="10833" spans="6:10" hidden="1" x14ac:dyDescent="0.25">
      <c r="F10833" s="410">
        <v>426</v>
      </c>
      <c r="G10833" s="400" t="s">
        <v>3787</v>
      </c>
      <c r="J10833" s="556">
        <f t="shared" si="357"/>
        <v>0</v>
      </c>
    </row>
    <row r="10834" spans="6:10" hidden="1" x14ac:dyDescent="0.25">
      <c r="F10834" s="410">
        <v>431</v>
      </c>
      <c r="G10834" s="400" t="s">
        <v>4145</v>
      </c>
      <c r="J10834" s="556">
        <f t="shared" si="357"/>
        <v>0</v>
      </c>
    </row>
    <row r="10835" spans="6:10" hidden="1" x14ac:dyDescent="0.25">
      <c r="F10835" s="410">
        <v>432</v>
      </c>
      <c r="G10835" s="400" t="s">
        <v>4146</v>
      </c>
      <c r="J10835" s="556">
        <f t="shared" si="357"/>
        <v>0</v>
      </c>
    </row>
    <row r="10836" spans="6:10" hidden="1" x14ac:dyDescent="0.25">
      <c r="F10836" s="410">
        <v>433</v>
      </c>
      <c r="G10836" s="400" t="s">
        <v>4147</v>
      </c>
      <c r="J10836" s="556">
        <f t="shared" si="357"/>
        <v>0</v>
      </c>
    </row>
    <row r="10837" spans="6:10" hidden="1" x14ac:dyDescent="0.25">
      <c r="F10837" s="410">
        <v>434</v>
      </c>
      <c r="G10837" s="400" t="s">
        <v>4148</v>
      </c>
      <c r="J10837" s="556">
        <f t="shared" si="357"/>
        <v>0</v>
      </c>
    </row>
    <row r="10838" spans="6:10" hidden="1" x14ac:dyDescent="0.25">
      <c r="F10838" s="410">
        <v>435</v>
      </c>
      <c r="G10838" s="400" t="s">
        <v>3794</v>
      </c>
      <c r="J10838" s="556">
        <f t="shared" si="357"/>
        <v>0</v>
      </c>
    </row>
    <row r="10839" spans="6:10" hidden="1" x14ac:dyDescent="0.25">
      <c r="F10839" s="410">
        <v>441</v>
      </c>
      <c r="G10839" s="400" t="s">
        <v>4149</v>
      </c>
      <c r="J10839" s="556">
        <f t="shared" si="357"/>
        <v>0</v>
      </c>
    </row>
    <row r="10840" spans="6:10" hidden="1" x14ac:dyDescent="0.25">
      <c r="F10840" s="410">
        <v>442</v>
      </c>
      <c r="G10840" s="400" t="s">
        <v>4150</v>
      </c>
      <c r="J10840" s="556">
        <f t="shared" si="357"/>
        <v>0</v>
      </c>
    </row>
    <row r="10841" spans="6:10" hidden="1" x14ac:dyDescent="0.25">
      <c r="F10841" s="410">
        <v>443</v>
      </c>
      <c r="G10841" s="400" t="s">
        <v>3799</v>
      </c>
      <c r="J10841" s="556">
        <f t="shared" si="357"/>
        <v>0</v>
      </c>
    </row>
    <row r="10842" spans="6:10" hidden="1" x14ac:dyDescent="0.25">
      <c r="F10842" s="410">
        <v>444</v>
      </c>
      <c r="G10842" s="400" t="s">
        <v>3800</v>
      </c>
      <c r="J10842" s="556">
        <f t="shared" si="357"/>
        <v>0</v>
      </c>
    </row>
    <row r="10843" spans="6:10" ht="30" hidden="1" x14ac:dyDescent="0.25">
      <c r="F10843" s="410">
        <v>4511</v>
      </c>
      <c r="G10843" s="263" t="s">
        <v>1690</v>
      </c>
      <c r="J10843" s="556">
        <f t="shared" si="357"/>
        <v>0</v>
      </c>
    </row>
    <row r="10844" spans="6:10" ht="30" hidden="1" x14ac:dyDescent="0.25">
      <c r="F10844" s="410">
        <v>4512</v>
      </c>
      <c r="G10844" s="263" t="s">
        <v>1699</v>
      </c>
      <c r="J10844" s="556">
        <f t="shared" si="357"/>
        <v>0</v>
      </c>
    </row>
    <row r="10845" spans="6:10" hidden="1" x14ac:dyDescent="0.25">
      <c r="F10845" s="410">
        <v>452</v>
      </c>
      <c r="G10845" s="400" t="s">
        <v>4151</v>
      </c>
      <c r="J10845" s="556">
        <f t="shared" si="357"/>
        <v>0</v>
      </c>
    </row>
    <row r="10846" spans="6:10" hidden="1" x14ac:dyDescent="0.25">
      <c r="F10846" s="410">
        <v>453</v>
      </c>
      <c r="G10846" s="400" t="s">
        <v>4152</v>
      </c>
      <c r="J10846" s="556">
        <f t="shared" si="357"/>
        <v>0</v>
      </c>
    </row>
    <row r="10847" spans="6:10" hidden="1" x14ac:dyDescent="0.25">
      <c r="F10847" s="410">
        <v>454</v>
      </c>
      <c r="G10847" s="400" t="s">
        <v>3805</v>
      </c>
      <c r="J10847" s="556">
        <f t="shared" si="357"/>
        <v>0</v>
      </c>
    </row>
    <row r="10848" spans="6:10" hidden="1" x14ac:dyDescent="0.25">
      <c r="F10848" s="410">
        <v>461</v>
      </c>
      <c r="G10848" s="400" t="s">
        <v>4133</v>
      </c>
      <c r="J10848" s="556">
        <f t="shared" si="357"/>
        <v>0</v>
      </c>
    </row>
    <row r="10849" spans="6:10" hidden="1" x14ac:dyDescent="0.25">
      <c r="F10849" s="410">
        <v>462</v>
      </c>
      <c r="G10849" s="400" t="s">
        <v>3808</v>
      </c>
      <c r="J10849" s="556">
        <f t="shared" si="357"/>
        <v>0</v>
      </c>
    </row>
    <row r="10850" spans="6:10" hidden="1" x14ac:dyDescent="0.25">
      <c r="F10850" s="410">
        <v>4631</v>
      </c>
      <c r="G10850" s="400" t="s">
        <v>3809</v>
      </c>
      <c r="J10850" s="556">
        <f t="shared" si="357"/>
        <v>0</v>
      </c>
    </row>
    <row r="10851" spans="6:10" hidden="1" x14ac:dyDescent="0.25">
      <c r="F10851" s="410">
        <v>4632</v>
      </c>
      <c r="G10851" s="400" t="s">
        <v>3810</v>
      </c>
      <c r="J10851" s="556">
        <f t="shared" si="357"/>
        <v>0</v>
      </c>
    </row>
    <row r="10852" spans="6:10" hidden="1" x14ac:dyDescent="0.25">
      <c r="F10852" s="410">
        <v>464</v>
      </c>
      <c r="G10852" s="400" t="s">
        <v>3811</v>
      </c>
      <c r="J10852" s="556">
        <f t="shared" si="357"/>
        <v>0</v>
      </c>
    </row>
    <row r="10853" spans="6:10" hidden="1" x14ac:dyDescent="0.25">
      <c r="F10853" s="410">
        <v>465</v>
      </c>
      <c r="G10853" s="400" t="s">
        <v>4134</v>
      </c>
      <c r="J10853" s="556">
        <f t="shared" si="357"/>
        <v>0</v>
      </c>
    </row>
    <row r="10854" spans="6:10" hidden="1" x14ac:dyDescent="0.25">
      <c r="F10854" s="410">
        <v>472</v>
      </c>
      <c r="G10854" s="400" t="s">
        <v>3815</v>
      </c>
      <c r="J10854" s="556">
        <f t="shared" si="357"/>
        <v>0</v>
      </c>
    </row>
    <row r="10855" spans="6:10" hidden="1" x14ac:dyDescent="0.25">
      <c r="F10855" s="410">
        <v>481</v>
      </c>
      <c r="G10855" s="400" t="s">
        <v>4153</v>
      </c>
      <c r="J10855" s="556">
        <f t="shared" si="357"/>
        <v>0</v>
      </c>
    </row>
    <row r="10856" spans="6:10" hidden="1" x14ac:dyDescent="0.25">
      <c r="F10856" s="410">
        <v>482</v>
      </c>
      <c r="G10856" s="400" t="s">
        <v>4154</v>
      </c>
      <c r="J10856" s="556">
        <f t="shared" si="357"/>
        <v>0</v>
      </c>
    </row>
    <row r="10857" spans="6:10" hidden="1" x14ac:dyDescent="0.25">
      <c r="F10857" s="410">
        <v>483</v>
      </c>
      <c r="G10857" s="405" t="s">
        <v>4155</v>
      </c>
      <c r="J10857" s="556">
        <f t="shared" si="357"/>
        <v>0</v>
      </c>
    </row>
    <row r="10858" spans="6:10" ht="30" hidden="1" x14ac:dyDescent="0.25">
      <c r="F10858" s="410">
        <v>484</v>
      </c>
      <c r="G10858" s="400" t="s">
        <v>4156</v>
      </c>
      <c r="J10858" s="556">
        <f t="shared" si="357"/>
        <v>0</v>
      </c>
    </row>
    <row r="10859" spans="6:10" ht="30" hidden="1" x14ac:dyDescent="0.25">
      <c r="F10859" s="410">
        <v>485</v>
      </c>
      <c r="G10859" s="400" t="s">
        <v>4157</v>
      </c>
      <c r="J10859" s="556">
        <f t="shared" si="357"/>
        <v>0</v>
      </c>
    </row>
    <row r="10860" spans="6:10" ht="30" hidden="1" x14ac:dyDescent="0.25">
      <c r="F10860" s="410">
        <v>489</v>
      </c>
      <c r="G10860" s="400" t="s">
        <v>3823</v>
      </c>
      <c r="J10860" s="556">
        <f t="shared" si="357"/>
        <v>0</v>
      </c>
    </row>
    <row r="10861" spans="6:10" hidden="1" x14ac:dyDescent="0.25">
      <c r="F10861" s="410">
        <v>494</v>
      </c>
      <c r="G10861" s="400" t="s">
        <v>4135</v>
      </c>
      <c r="J10861" s="556">
        <f t="shared" si="357"/>
        <v>0</v>
      </c>
    </row>
    <row r="10862" spans="6:10" ht="30" hidden="1" x14ac:dyDescent="0.25">
      <c r="F10862" s="410">
        <v>495</v>
      </c>
      <c r="G10862" s="400" t="s">
        <v>4136</v>
      </c>
      <c r="J10862" s="556">
        <f t="shared" si="357"/>
        <v>0</v>
      </c>
    </row>
    <row r="10863" spans="6:10" ht="30" hidden="1" x14ac:dyDescent="0.25">
      <c r="F10863" s="410">
        <v>496</v>
      </c>
      <c r="G10863" s="400" t="s">
        <v>4137</v>
      </c>
      <c r="J10863" s="556">
        <f t="shared" si="357"/>
        <v>0</v>
      </c>
    </row>
    <row r="10864" spans="6:10" ht="30" hidden="1" x14ac:dyDescent="0.25">
      <c r="F10864" s="410">
        <v>499</v>
      </c>
      <c r="G10864" s="400" t="s">
        <v>4138</v>
      </c>
      <c r="J10864" s="556">
        <f t="shared" si="357"/>
        <v>0</v>
      </c>
    </row>
    <row r="10865" spans="5:10" hidden="1" x14ac:dyDescent="0.25">
      <c r="F10865" s="410">
        <v>511</v>
      </c>
      <c r="G10865" s="405" t="s">
        <v>4158</v>
      </c>
      <c r="J10865" s="556">
        <f t="shared" si="357"/>
        <v>0</v>
      </c>
    </row>
    <row r="10866" spans="5:10" hidden="1" x14ac:dyDescent="0.25">
      <c r="F10866" s="410">
        <v>512</v>
      </c>
      <c r="G10866" s="405" t="s">
        <v>4159</v>
      </c>
      <c r="J10866" s="556">
        <f t="shared" si="357"/>
        <v>0</v>
      </c>
    </row>
    <row r="10867" spans="5:10" hidden="1" x14ac:dyDescent="0.25">
      <c r="F10867" s="410">
        <v>513</v>
      </c>
      <c r="G10867" s="405" t="s">
        <v>4160</v>
      </c>
      <c r="J10867" s="556">
        <f t="shared" si="357"/>
        <v>0</v>
      </c>
    </row>
    <row r="10868" spans="5:10" hidden="1" x14ac:dyDescent="0.25">
      <c r="F10868" s="410">
        <v>514</v>
      </c>
      <c r="G10868" s="400" t="s">
        <v>4161</v>
      </c>
      <c r="J10868" s="556">
        <f t="shared" si="357"/>
        <v>0</v>
      </c>
    </row>
    <row r="10869" spans="5:10" hidden="1" x14ac:dyDescent="0.25">
      <c r="F10869" s="410">
        <v>515</v>
      </c>
      <c r="G10869" s="400" t="s">
        <v>3834</v>
      </c>
      <c r="J10869" s="556">
        <f t="shared" si="357"/>
        <v>0</v>
      </c>
    </row>
    <row r="10870" spans="5:10" hidden="1" x14ac:dyDescent="0.25">
      <c r="F10870" s="410">
        <v>521</v>
      </c>
      <c r="G10870" s="400" t="s">
        <v>4162</v>
      </c>
      <c r="J10870" s="556">
        <f t="shared" si="357"/>
        <v>0</v>
      </c>
    </row>
    <row r="10871" spans="5:10" hidden="1" x14ac:dyDescent="0.25">
      <c r="F10871" s="410">
        <v>522</v>
      </c>
      <c r="G10871" s="400" t="s">
        <v>4163</v>
      </c>
      <c r="J10871" s="556">
        <f t="shared" si="357"/>
        <v>0</v>
      </c>
    </row>
    <row r="10872" spans="5:10" hidden="1" x14ac:dyDescent="0.25">
      <c r="F10872" s="410">
        <v>523</v>
      </c>
      <c r="G10872" s="400" t="s">
        <v>3839</v>
      </c>
      <c r="J10872" s="556">
        <f t="shared" si="357"/>
        <v>0</v>
      </c>
    </row>
    <row r="10873" spans="5:10" hidden="1" x14ac:dyDescent="0.25">
      <c r="F10873" s="410">
        <v>531</v>
      </c>
      <c r="G10873" s="399" t="s">
        <v>4139</v>
      </c>
      <c r="J10873" s="556">
        <f t="shared" si="357"/>
        <v>0</v>
      </c>
    </row>
    <row r="10874" spans="5:10" hidden="1" x14ac:dyDescent="0.25">
      <c r="F10874" s="410">
        <v>541</v>
      </c>
      <c r="G10874" s="400" t="s">
        <v>4164</v>
      </c>
      <c r="J10874" s="556">
        <f t="shared" si="357"/>
        <v>0</v>
      </c>
    </row>
    <row r="10875" spans="5:10" hidden="1" x14ac:dyDescent="0.25">
      <c r="F10875" s="410">
        <v>542</v>
      </c>
      <c r="G10875" s="400" t="s">
        <v>4165</v>
      </c>
      <c r="J10875" s="556">
        <f t="shared" si="357"/>
        <v>0</v>
      </c>
    </row>
    <row r="10876" spans="5:10" hidden="1" x14ac:dyDescent="0.25">
      <c r="F10876" s="410">
        <v>543</v>
      </c>
      <c r="G10876" s="400" t="s">
        <v>3844</v>
      </c>
      <c r="J10876" s="556">
        <f t="shared" si="357"/>
        <v>0</v>
      </c>
    </row>
    <row r="10877" spans="5:10" ht="30" hidden="1" x14ac:dyDescent="0.25">
      <c r="F10877" s="410">
        <v>551</v>
      </c>
      <c r="G10877" s="400" t="s">
        <v>4140</v>
      </c>
      <c r="J10877" s="556">
        <f t="shared" si="357"/>
        <v>0</v>
      </c>
    </row>
    <row r="10878" spans="5:10" hidden="1" x14ac:dyDescent="0.25">
      <c r="F10878" s="411">
        <v>611</v>
      </c>
      <c r="G10878" s="409" t="s">
        <v>3850</v>
      </c>
      <c r="J10878" s="556">
        <f t="shared" si="357"/>
        <v>0</v>
      </c>
    </row>
    <row r="10879" spans="5:10" hidden="1" x14ac:dyDescent="0.25">
      <c r="F10879" s="411">
        <v>620</v>
      </c>
      <c r="G10879" s="409" t="s">
        <v>88</v>
      </c>
      <c r="J10879" s="556">
        <f t="shared" si="357"/>
        <v>0</v>
      </c>
    </row>
    <row r="10880" spans="5:10" hidden="1" x14ac:dyDescent="0.25">
      <c r="E10880" s="489"/>
      <c r="F10880" s="411"/>
      <c r="G10880" s="342" t="s">
        <v>4300</v>
      </c>
      <c r="H10880" s="557"/>
      <c r="I10880" s="583"/>
      <c r="J10880" s="558"/>
    </row>
    <row r="10881" spans="5:10" hidden="1" x14ac:dyDescent="0.25">
      <c r="E10881" s="693"/>
      <c r="F10881" s="284" t="s">
        <v>234</v>
      </c>
      <c r="G10881" s="287" t="s">
        <v>235</v>
      </c>
      <c r="H10881" s="559">
        <f>SUM(H10820:H10879)</f>
        <v>0</v>
      </c>
      <c r="I10881" s="560"/>
      <c r="J10881" s="560">
        <f>SUM(H10881:I10881)</f>
        <v>0</v>
      </c>
    </row>
    <row r="10882" spans="5:10" hidden="1" x14ac:dyDescent="0.25">
      <c r="F10882" s="284" t="s">
        <v>236</v>
      </c>
      <c r="G10882" s="287" t="s">
        <v>237</v>
      </c>
      <c r="J10882" s="560">
        <f t="shared" ref="J10882:J10896" si="358">SUM(H10882:I10882)</f>
        <v>0</v>
      </c>
    </row>
    <row r="10883" spans="5:10" hidden="1" x14ac:dyDescent="0.25">
      <c r="F10883" s="284" t="s">
        <v>238</v>
      </c>
      <c r="G10883" s="287" t="s">
        <v>239</v>
      </c>
      <c r="J10883" s="560">
        <f t="shared" si="358"/>
        <v>0</v>
      </c>
    </row>
    <row r="10884" spans="5:10" hidden="1" x14ac:dyDescent="0.25">
      <c r="F10884" s="284" t="s">
        <v>240</v>
      </c>
      <c r="G10884" s="287" t="s">
        <v>241</v>
      </c>
      <c r="J10884" s="560">
        <f t="shared" si="358"/>
        <v>0</v>
      </c>
    </row>
    <row r="10885" spans="5:10" hidden="1" x14ac:dyDescent="0.25">
      <c r="F10885" s="284" t="s">
        <v>242</v>
      </c>
      <c r="G10885" s="287" t="s">
        <v>243</v>
      </c>
      <c r="J10885" s="560">
        <f t="shared" si="358"/>
        <v>0</v>
      </c>
    </row>
    <row r="10886" spans="5:10" hidden="1" x14ac:dyDescent="0.25">
      <c r="F10886" s="284" t="s">
        <v>244</v>
      </c>
      <c r="G10886" s="287" t="s">
        <v>245</v>
      </c>
      <c r="J10886" s="560">
        <f t="shared" si="358"/>
        <v>0</v>
      </c>
    </row>
    <row r="10887" spans="5:10" hidden="1" x14ac:dyDescent="0.25">
      <c r="F10887" s="284" t="s">
        <v>246</v>
      </c>
      <c r="G10887" s="598" t="s">
        <v>4996</v>
      </c>
      <c r="J10887" s="560">
        <f t="shared" si="358"/>
        <v>0</v>
      </c>
    </row>
    <row r="10888" spans="5:10" hidden="1" x14ac:dyDescent="0.25">
      <c r="F10888" s="284" t="s">
        <v>247</v>
      </c>
      <c r="G10888" s="598" t="s">
        <v>4995</v>
      </c>
      <c r="J10888" s="560">
        <f t="shared" si="358"/>
        <v>0</v>
      </c>
    </row>
    <row r="10889" spans="5:10" hidden="1" x14ac:dyDescent="0.25">
      <c r="F10889" s="284" t="s">
        <v>248</v>
      </c>
      <c r="G10889" s="287" t="s">
        <v>57</v>
      </c>
      <c r="J10889" s="560">
        <f t="shared" si="358"/>
        <v>0</v>
      </c>
    </row>
    <row r="10890" spans="5:10" hidden="1" x14ac:dyDescent="0.25">
      <c r="F10890" s="284" t="s">
        <v>249</v>
      </c>
      <c r="G10890" s="287" t="s">
        <v>250</v>
      </c>
      <c r="J10890" s="560">
        <f t="shared" si="358"/>
        <v>0</v>
      </c>
    </row>
    <row r="10891" spans="5:10" hidden="1" x14ac:dyDescent="0.25">
      <c r="F10891" s="284" t="s">
        <v>251</v>
      </c>
      <c r="G10891" s="287" t="s">
        <v>252</v>
      </c>
      <c r="J10891" s="560">
        <f t="shared" si="358"/>
        <v>0</v>
      </c>
    </row>
    <row r="10892" spans="5:10" ht="30" hidden="1" x14ac:dyDescent="0.25">
      <c r="F10892" s="284" t="s">
        <v>253</v>
      </c>
      <c r="G10892" s="287" t="s">
        <v>254</v>
      </c>
      <c r="J10892" s="560">
        <f t="shared" si="358"/>
        <v>0</v>
      </c>
    </row>
    <row r="10893" spans="5:10" hidden="1" x14ac:dyDescent="0.25">
      <c r="F10893" s="284" t="s">
        <v>255</v>
      </c>
      <c r="G10893" s="287" t="s">
        <v>256</v>
      </c>
      <c r="J10893" s="560">
        <f t="shared" si="358"/>
        <v>0</v>
      </c>
    </row>
    <row r="10894" spans="5:10" ht="30" hidden="1" x14ac:dyDescent="0.25">
      <c r="F10894" s="284" t="s">
        <v>257</v>
      </c>
      <c r="G10894" s="287" t="s">
        <v>258</v>
      </c>
      <c r="J10894" s="560">
        <f t="shared" si="358"/>
        <v>0</v>
      </c>
    </row>
    <row r="10895" spans="5:10" hidden="1" x14ac:dyDescent="0.25">
      <c r="F10895" s="284" t="s">
        <v>259</v>
      </c>
      <c r="G10895" s="287" t="s">
        <v>260</v>
      </c>
      <c r="J10895" s="560">
        <f t="shared" si="358"/>
        <v>0</v>
      </c>
    </row>
    <row r="10896" spans="5:10" hidden="1" x14ac:dyDescent="0.25">
      <c r="F10896" s="284" t="s">
        <v>261</v>
      </c>
      <c r="G10896" s="287" t="s">
        <v>262</v>
      </c>
      <c r="H10896" s="559"/>
      <c r="I10896" s="560"/>
      <c r="J10896" s="560">
        <f t="shared" si="358"/>
        <v>0</v>
      </c>
    </row>
    <row r="10897" spans="5:10" ht="15.75" hidden="1" thickBot="1" x14ac:dyDescent="0.3">
      <c r="G10897" s="268" t="s">
        <v>4299</v>
      </c>
      <c r="H10897" s="561">
        <f>SUM(H10881:H10896)</f>
        <v>0</v>
      </c>
      <c r="I10897" s="562">
        <f>SUM(I10882:I10896)</f>
        <v>0</v>
      </c>
      <c r="J10897" s="562">
        <f>SUM(J10881:J10896)</f>
        <v>0</v>
      </c>
    </row>
    <row r="10898" spans="5:10" hidden="1" collapsed="1" x14ac:dyDescent="0.25">
      <c r="E10898" s="489"/>
      <c r="F10898" s="411"/>
      <c r="G10898" s="270" t="s">
        <v>4953</v>
      </c>
      <c r="H10898" s="563"/>
      <c r="I10898" s="584"/>
      <c r="J10898" s="564"/>
    </row>
    <row r="10899" spans="5:10" hidden="1" x14ac:dyDescent="0.25">
      <c r="E10899" s="693"/>
      <c r="F10899" s="284" t="s">
        <v>234</v>
      </c>
      <c r="G10899" s="287" t="s">
        <v>235</v>
      </c>
      <c r="H10899" s="559">
        <f>SUM(H10820:H10879)</f>
        <v>0</v>
      </c>
      <c r="I10899" s="560"/>
      <c r="J10899" s="560">
        <f>SUM(H10899:I10899)</f>
        <v>0</v>
      </c>
    </row>
    <row r="10900" spans="5:10" hidden="1" x14ac:dyDescent="0.25">
      <c r="F10900" s="284" t="s">
        <v>236</v>
      </c>
      <c r="G10900" s="287" t="s">
        <v>237</v>
      </c>
      <c r="J10900" s="560">
        <f t="shared" ref="J10900:J10914" si="359">SUM(H10900:I10900)</f>
        <v>0</v>
      </c>
    </row>
    <row r="10901" spans="5:10" hidden="1" x14ac:dyDescent="0.25">
      <c r="F10901" s="284" t="s">
        <v>238</v>
      </c>
      <c r="G10901" s="287" t="s">
        <v>239</v>
      </c>
      <c r="J10901" s="560">
        <f t="shared" si="359"/>
        <v>0</v>
      </c>
    </row>
    <row r="10902" spans="5:10" hidden="1" x14ac:dyDescent="0.25">
      <c r="F10902" s="284" t="s">
        <v>240</v>
      </c>
      <c r="G10902" s="287" t="s">
        <v>241</v>
      </c>
      <c r="J10902" s="560">
        <f t="shared" si="359"/>
        <v>0</v>
      </c>
    </row>
    <row r="10903" spans="5:10" hidden="1" x14ac:dyDescent="0.25">
      <c r="F10903" s="284" t="s">
        <v>242</v>
      </c>
      <c r="G10903" s="287" t="s">
        <v>243</v>
      </c>
      <c r="J10903" s="560">
        <f t="shared" si="359"/>
        <v>0</v>
      </c>
    </row>
    <row r="10904" spans="5:10" hidden="1" x14ac:dyDescent="0.25">
      <c r="F10904" s="284" t="s">
        <v>244</v>
      </c>
      <c r="G10904" s="287" t="s">
        <v>245</v>
      </c>
      <c r="J10904" s="560">
        <f t="shared" si="359"/>
        <v>0</v>
      </c>
    </row>
    <row r="10905" spans="5:10" hidden="1" x14ac:dyDescent="0.25">
      <c r="F10905" s="284" t="s">
        <v>246</v>
      </c>
      <c r="G10905" s="598" t="s">
        <v>4996</v>
      </c>
      <c r="J10905" s="560">
        <f t="shared" si="359"/>
        <v>0</v>
      </c>
    </row>
    <row r="10906" spans="5:10" hidden="1" x14ac:dyDescent="0.25">
      <c r="F10906" s="284" t="s">
        <v>247</v>
      </c>
      <c r="G10906" s="598" t="s">
        <v>4995</v>
      </c>
      <c r="J10906" s="560">
        <f t="shared" si="359"/>
        <v>0</v>
      </c>
    </row>
    <row r="10907" spans="5:10" hidden="1" x14ac:dyDescent="0.25">
      <c r="F10907" s="284" t="s">
        <v>248</v>
      </c>
      <c r="G10907" s="287" t="s">
        <v>57</v>
      </c>
      <c r="J10907" s="560">
        <f t="shared" si="359"/>
        <v>0</v>
      </c>
    </row>
    <row r="10908" spans="5:10" hidden="1" x14ac:dyDescent="0.25">
      <c r="F10908" s="284" t="s">
        <v>249</v>
      </c>
      <c r="G10908" s="287" t="s">
        <v>250</v>
      </c>
      <c r="J10908" s="560">
        <f t="shared" si="359"/>
        <v>0</v>
      </c>
    </row>
    <row r="10909" spans="5:10" hidden="1" x14ac:dyDescent="0.25">
      <c r="F10909" s="284" t="s">
        <v>251</v>
      </c>
      <c r="G10909" s="287" t="s">
        <v>252</v>
      </c>
      <c r="J10909" s="560">
        <f t="shared" si="359"/>
        <v>0</v>
      </c>
    </row>
    <row r="10910" spans="5:10" ht="30" hidden="1" x14ac:dyDescent="0.25">
      <c r="F10910" s="284" t="s">
        <v>253</v>
      </c>
      <c r="G10910" s="287" t="s">
        <v>254</v>
      </c>
      <c r="J10910" s="560">
        <f t="shared" si="359"/>
        <v>0</v>
      </c>
    </row>
    <row r="10911" spans="5:10" hidden="1" x14ac:dyDescent="0.25">
      <c r="F10911" s="284" t="s">
        <v>255</v>
      </c>
      <c r="G10911" s="287" t="s">
        <v>256</v>
      </c>
      <c r="J10911" s="560">
        <f t="shared" si="359"/>
        <v>0</v>
      </c>
    </row>
    <row r="10912" spans="5:10" ht="30" hidden="1" x14ac:dyDescent="0.25">
      <c r="F10912" s="284" t="s">
        <v>257</v>
      </c>
      <c r="G10912" s="287" t="s">
        <v>258</v>
      </c>
      <c r="J10912" s="560">
        <f t="shared" si="359"/>
        <v>0</v>
      </c>
    </row>
    <row r="10913" spans="3:10" hidden="1" x14ac:dyDescent="0.25">
      <c r="F10913" s="284" t="s">
        <v>259</v>
      </c>
      <c r="G10913" s="287" t="s">
        <v>260</v>
      </c>
      <c r="J10913" s="560">
        <f t="shared" si="359"/>
        <v>0</v>
      </c>
    </row>
    <row r="10914" spans="3:10" hidden="1" x14ac:dyDescent="0.25">
      <c r="F10914" s="284" t="s">
        <v>261</v>
      </c>
      <c r="G10914" s="287" t="s">
        <v>262</v>
      </c>
      <c r="H10914" s="559"/>
      <c r="I10914" s="560"/>
      <c r="J10914" s="560">
        <f t="shared" si="359"/>
        <v>0</v>
      </c>
    </row>
    <row r="10915" spans="3:10" ht="15.75" hidden="1" thickBot="1" x14ac:dyDescent="0.3">
      <c r="G10915" s="268" t="s">
        <v>4917</v>
      </c>
      <c r="H10915" s="561">
        <f>SUM(H10899:H10914)</f>
        <v>0</v>
      </c>
      <c r="I10915" s="562">
        <f>SUM(I10900:I10914)</f>
        <v>0</v>
      </c>
      <c r="J10915" s="562">
        <f>SUM(J10899:J10914)</f>
        <v>0</v>
      </c>
    </row>
    <row r="10916" spans="3:10" hidden="1" x14ac:dyDescent="0.25"/>
    <row r="10917" spans="3:10" hidden="1" x14ac:dyDescent="0.25">
      <c r="C10917" s="267" t="s">
        <v>4545</v>
      </c>
      <c r="D10917" s="259"/>
      <c r="G10917" s="493" t="s">
        <v>4991</v>
      </c>
    </row>
    <row r="10918" spans="3:10" hidden="1" x14ac:dyDescent="0.25">
      <c r="C10918" s="267"/>
      <c r="D10918" s="331">
        <v>451</v>
      </c>
      <c r="E10918" s="869"/>
      <c r="F10918" s="331"/>
      <c r="G10918" s="332" t="s">
        <v>153</v>
      </c>
    </row>
    <row r="10919" spans="3:10" hidden="1" x14ac:dyDescent="0.25">
      <c r="F10919" s="410">
        <v>411</v>
      </c>
      <c r="G10919" s="400" t="s">
        <v>4131</v>
      </c>
      <c r="J10919" s="556">
        <f>SUM(H10919:I10919)</f>
        <v>0</v>
      </c>
    </row>
    <row r="10920" spans="3:10" hidden="1" x14ac:dyDescent="0.25">
      <c r="F10920" s="410">
        <v>412</v>
      </c>
      <c r="G10920" s="399" t="s">
        <v>3766</v>
      </c>
      <c r="J10920" s="556">
        <f t="shared" ref="J10920:J10978" si="360">SUM(H10920:I10920)</f>
        <v>0</v>
      </c>
    </row>
    <row r="10921" spans="3:10" hidden="1" x14ac:dyDescent="0.25">
      <c r="F10921" s="410">
        <v>413</v>
      </c>
      <c r="G10921" s="400" t="s">
        <v>4132</v>
      </c>
      <c r="J10921" s="556">
        <f t="shared" si="360"/>
        <v>0</v>
      </c>
    </row>
    <row r="10922" spans="3:10" hidden="1" x14ac:dyDescent="0.25">
      <c r="F10922" s="410">
        <v>414</v>
      </c>
      <c r="G10922" s="400" t="s">
        <v>3769</v>
      </c>
      <c r="J10922" s="556">
        <f t="shared" si="360"/>
        <v>0</v>
      </c>
    </row>
    <row r="10923" spans="3:10" hidden="1" x14ac:dyDescent="0.25">
      <c r="F10923" s="410">
        <v>415</v>
      </c>
      <c r="G10923" s="400" t="s">
        <v>4141</v>
      </c>
      <c r="J10923" s="556">
        <f t="shared" si="360"/>
        <v>0</v>
      </c>
    </row>
    <row r="10924" spans="3:10" hidden="1" x14ac:dyDescent="0.25">
      <c r="F10924" s="410">
        <v>416</v>
      </c>
      <c r="G10924" s="400" t="s">
        <v>4142</v>
      </c>
      <c r="J10924" s="556">
        <f t="shared" si="360"/>
        <v>0</v>
      </c>
    </row>
    <row r="10925" spans="3:10" hidden="1" x14ac:dyDescent="0.25">
      <c r="F10925" s="410">
        <v>417</v>
      </c>
      <c r="G10925" s="400" t="s">
        <v>4143</v>
      </c>
      <c r="J10925" s="556">
        <f t="shared" si="360"/>
        <v>0</v>
      </c>
    </row>
    <row r="10926" spans="3:10" hidden="1" x14ac:dyDescent="0.25">
      <c r="F10926" s="410">
        <v>418</v>
      </c>
      <c r="G10926" s="400" t="s">
        <v>3775</v>
      </c>
      <c r="J10926" s="556">
        <f t="shared" si="360"/>
        <v>0</v>
      </c>
    </row>
    <row r="10927" spans="3:10" hidden="1" x14ac:dyDescent="0.25">
      <c r="F10927" s="410">
        <v>421</v>
      </c>
      <c r="G10927" s="400" t="s">
        <v>3779</v>
      </c>
      <c r="J10927" s="556">
        <f t="shared" si="360"/>
        <v>0</v>
      </c>
    </row>
    <row r="10928" spans="3:10" hidden="1" x14ac:dyDescent="0.25">
      <c r="F10928" s="410">
        <v>422</v>
      </c>
      <c r="G10928" s="400" t="s">
        <v>3780</v>
      </c>
      <c r="J10928" s="556">
        <f t="shared" si="360"/>
        <v>0</v>
      </c>
    </row>
    <row r="10929" spans="6:10" hidden="1" x14ac:dyDescent="0.25">
      <c r="F10929" s="410">
        <v>423</v>
      </c>
      <c r="G10929" s="400" t="s">
        <v>3781</v>
      </c>
      <c r="J10929" s="556">
        <f t="shared" si="360"/>
        <v>0</v>
      </c>
    </row>
    <row r="10930" spans="6:10" hidden="1" x14ac:dyDescent="0.25">
      <c r="F10930" s="410">
        <v>424</v>
      </c>
      <c r="G10930" s="400" t="s">
        <v>3783</v>
      </c>
      <c r="J10930" s="556">
        <f t="shared" si="360"/>
        <v>0</v>
      </c>
    </row>
    <row r="10931" spans="6:10" hidden="1" x14ac:dyDescent="0.25">
      <c r="F10931" s="410">
        <v>425</v>
      </c>
      <c r="G10931" s="400" t="s">
        <v>4144</v>
      </c>
      <c r="J10931" s="556">
        <f t="shared" si="360"/>
        <v>0</v>
      </c>
    </row>
    <row r="10932" spans="6:10" hidden="1" x14ac:dyDescent="0.25">
      <c r="F10932" s="410">
        <v>426</v>
      </c>
      <c r="G10932" s="400" t="s">
        <v>3787</v>
      </c>
      <c r="J10932" s="556">
        <f t="shared" si="360"/>
        <v>0</v>
      </c>
    </row>
    <row r="10933" spans="6:10" hidden="1" x14ac:dyDescent="0.25">
      <c r="F10933" s="410">
        <v>431</v>
      </c>
      <c r="G10933" s="400" t="s">
        <v>4145</v>
      </c>
      <c r="J10933" s="556">
        <f t="shared" si="360"/>
        <v>0</v>
      </c>
    </row>
    <row r="10934" spans="6:10" hidden="1" x14ac:dyDescent="0.25">
      <c r="F10934" s="410">
        <v>432</v>
      </c>
      <c r="G10934" s="400" t="s">
        <v>4146</v>
      </c>
      <c r="J10934" s="556">
        <f t="shared" si="360"/>
        <v>0</v>
      </c>
    </row>
    <row r="10935" spans="6:10" hidden="1" x14ac:dyDescent="0.25">
      <c r="F10935" s="410">
        <v>433</v>
      </c>
      <c r="G10935" s="400" t="s">
        <v>4147</v>
      </c>
      <c r="J10935" s="556">
        <f t="shared" si="360"/>
        <v>0</v>
      </c>
    </row>
    <row r="10936" spans="6:10" hidden="1" x14ac:dyDescent="0.25">
      <c r="F10936" s="410">
        <v>434</v>
      </c>
      <c r="G10936" s="400" t="s">
        <v>4148</v>
      </c>
      <c r="J10936" s="556">
        <f t="shared" si="360"/>
        <v>0</v>
      </c>
    </row>
    <row r="10937" spans="6:10" hidden="1" x14ac:dyDescent="0.25">
      <c r="F10937" s="410">
        <v>435</v>
      </c>
      <c r="G10937" s="400" t="s">
        <v>3794</v>
      </c>
      <c r="J10937" s="556">
        <f t="shared" si="360"/>
        <v>0</v>
      </c>
    </row>
    <row r="10938" spans="6:10" hidden="1" x14ac:dyDescent="0.25">
      <c r="F10938" s="410">
        <v>441</v>
      </c>
      <c r="G10938" s="400" t="s">
        <v>4149</v>
      </c>
      <c r="J10938" s="556">
        <f t="shared" si="360"/>
        <v>0</v>
      </c>
    </row>
    <row r="10939" spans="6:10" hidden="1" x14ac:dyDescent="0.25">
      <c r="F10939" s="410">
        <v>442</v>
      </c>
      <c r="G10939" s="400" t="s">
        <v>4150</v>
      </c>
      <c r="J10939" s="556">
        <f t="shared" si="360"/>
        <v>0</v>
      </c>
    </row>
    <row r="10940" spans="6:10" hidden="1" x14ac:dyDescent="0.25">
      <c r="F10940" s="410">
        <v>443</v>
      </c>
      <c r="G10940" s="400" t="s">
        <v>3799</v>
      </c>
      <c r="J10940" s="556">
        <f t="shared" si="360"/>
        <v>0</v>
      </c>
    </row>
    <row r="10941" spans="6:10" hidden="1" x14ac:dyDescent="0.25">
      <c r="F10941" s="410">
        <v>444</v>
      </c>
      <c r="G10941" s="400" t="s">
        <v>3800</v>
      </c>
      <c r="J10941" s="556">
        <f t="shared" si="360"/>
        <v>0</v>
      </c>
    </row>
    <row r="10942" spans="6:10" ht="30" hidden="1" x14ac:dyDescent="0.25">
      <c r="F10942" s="410">
        <v>4511</v>
      </c>
      <c r="G10942" s="263" t="s">
        <v>1690</v>
      </c>
      <c r="J10942" s="556">
        <f t="shared" si="360"/>
        <v>0</v>
      </c>
    </row>
    <row r="10943" spans="6:10" ht="30" hidden="1" x14ac:dyDescent="0.25">
      <c r="F10943" s="410">
        <v>4512</v>
      </c>
      <c r="G10943" s="263" t="s">
        <v>1699</v>
      </c>
      <c r="J10943" s="556">
        <f t="shared" si="360"/>
        <v>0</v>
      </c>
    </row>
    <row r="10944" spans="6:10" hidden="1" x14ac:dyDescent="0.25">
      <c r="F10944" s="410">
        <v>452</v>
      </c>
      <c r="G10944" s="400" t="s">
        <v>4151</v>
      </c>
      <c r="J10944" s="556">
        <f t="shared" si="360"/>
        <v>0</v>
      </c>
    </row>
    <row r="10945" spans="6:10" hidden="1" x14ac:dyDescent="0.25">
      <c r="F10945" s="410">
        <v>453</v>
      </c>
      <c r="G10945" s="400" t="s">
        <v>4152</v>
      </c>
      <c r="J10945" s="556">
        <f t="shared" si="360"/>
        <v>0</v>
      </c>
    </row>
    <row r="10946" spans="6:10" hidden="1" x14ac:dyDescent="0.25">
      <c r="F10946" s="410">
        <v>454</v>
      </c>
      <c r="G10946" s="400" t="s">
        <v>3805</v>
      </c>
      <c r="J10946" s="556">
        <f t="shared" si="360"/>
        <v>0</v>
      </c>
    </row>
    <row r="10947" spans="6:10" hidden="1" x14ac:dyDescent="0.25">
      <c r="F10947" s="410">
        <v>461</v>
      </c>
      <c r="G10947" s="400" t="s">
        <v>4133</v>
      </c>
      <c r="J10947" s="556">
        <f t="shared" si="360"/>
        <v>0</v>
      </c>
    </row>
    <row r="10948" spans="6:10" hidden="1" x14ac:dyDescent="0.25">
      <c r="F10948" s="410">
        <v>462</v>
      </c>
      <c r="G10948" s="400" t="s">
        <v>3808</v>
      </c>
      <c r="J10948" s="556">
        <f t="shared" si="360"/>
        <v>0</v>
      </c>
    </row>
    <row r="10949" spans="6:10" hidden="1" x14ac:dyDescent="0.25">
      <c r="F10949" s="410">
        <v>4631</v>
      </c>
      <c r="G10949" s="400" t="s">
        <v>3809</v>
      </c>
      <c r="J10949" s="556">
        <f t="shared" si="360"/>
        <v>0</v>
      </c>
    </row>
    <row r="10950" spans="6:10" hidden="1" x14ac:dyDescent="0.25">
      <c r="F10950" s="410">
        <v>4632</v>
      </c>
      <c r="G10950" s="400" t="s">
        <v>3810</v>
      </c>
      <c r="J10950" s="556">
        <f t="shared" si="360"/>
        <v>0</v>
      </c>
    </row>
    <row r="10951" spans="6:10" hidden="1" x14ac:dyDescent="0.25">
      <c r="F10951" s="410">
        <v>464</v>
      </c>
      <c r="G10951" s="400" t="s">
        <v>3811</v>
      </c>
      <c r="J10951" s="556">
        <f t="shared" si="360"/>
        <v>0</v>
      </c>
    </row>
    <row r="10952" spans="6:10" hidden="1" x14ac:dyDescent="0.25">
      <c r="F10952" s="410">
        <v>465</v>
      </c>
      <c r="G10952" s="400" t="s">
        <v>4134</v>
      </c>
      <c r="J10952" s="556">
        <f t="shared" si="360"/>
        <v>0</v>
      </c>
    </row>
    <row r="10953" spans="6:10" hidden="1" x14ac:dyDescent="0.25">
      <c r="F10953" s="410">
        <v>472</v>
      </c>
      <c r="G10953" s="400" t="s">
        <v>3815</v>
      </c>
      <c r="J10953" s="556">
        <f t="shared" si="360"/>
        <v>0</v>
      </c>
    </row>
    <row r="10954" spans="6:10" hidden="1" x14ac:dyDescent="0.25">
      <c r="F10954" s="410">
        <v>481</v>
      </c>
      <c r="G10954" s="400" t="s">
        <v>4153</v>
      </c>
      <c r="J10954" s="556">
        <f t="shared" si="360"/>
        <v>0</v>
      </c>
    </row>
    <row r="10955" spans="6:10" hidden="1" x14ac:dyDescent="0.25">
      <c r="F10955" s="410">
        <v>482</v>
      </c>
      <c r="G10955" s="400" t="s">
        <v>4154</v>
      </c>
      <c r="J10955" s="556">
        <f t="shared" si="360"/>
        <v>0</v>
      </c>
    </row>
    <row r="10956" spans="6:10" hidden="1" x14ac:dyDescent="0.25">
      <c r="F10956" s="410">
        <v>483</v>
      </c>
      <c r="G10956" s="405" t="s">
        <v>4155</v>
      </c>
      <c r="J10956" s="556">
        <f t="shared" si="360"/>
        <v>0</v>
      </c>
    </row>
    <row r="10957" spans="6:10" ht="30" hidden="1" x14ac:dyDescent="0.25">
      <c r="F10957" s="410">
        <v>484</v>
      </c>
      <c r="G10957" s="400" t="s">
        <v>4156</v>
      </c>
      <c r="J10957" s="556">
        <f t="shared" si="360"/>
        <v>0</v>
      </c>
    </row>
    <row r="10958" spans="6:10" ht="30" hidden="1" x14ac:dyDescent="0.25">
      <c r="F10958" s="410">
        <v>485</v>
      </c>
      <c r="G10958" s="400" t="s">
        <v>4157</v>
      </c>
      <c r="J10958" s="556">
        <f t="shared" si="360"/>
        <v>0</v>
      </c>
    </row>
    <row r="10959" spans="6:10" ht="30" hidden="1" x14ac:dyDescent="0.25">
      <c r="F10959" s="410">
        <v>489</v>
      </c>
      <c r="G10959" s="400" t="s">
        <v>3823</v>
      </c>
      <c r="J10959" s="556">
        <f t="shared" si="360"/>
        <v>0</v>
      </c>
    </row>
    <row r="10960" spans="6:10" hidden="1" x14ac:dyDescent="0.25">
      <c r="F10960" s="410">
        <v>494</v>
      </c>
      <c r="G10960" s="400" t="s">
        <v>4135</v>
      </c>
      <c r="J10960" s="556">
        <f t="shared" si="360"/>
        <v>0</v>
      </c>
    </row>
    <row r="10961" spans="6:10" ht="30" hidden="1" x14ac:dyDescent="0.25">
      <c r="F10961" s="410">
        <v>495</v>
      </c>
      <c r="G10961" s="400" t="s">
        <v>4136</v>
      </c>
      <c r="J10961" s="556">
        <f t="shared" si="360"/>
        <v>0</v>
      </c>
    </row>
    <row r="10962" spans="6:10" ht="30" hidden="1" x14ac:dyDescent="0.25">
      <c r="F10962" s="410">
        <v>496</v>
      </c>
      <c r="G10962" s="400" t="s">
        <v>4137</v>
      </c>
      <c r="J10962" s="556">
        <f t="shared" si="360"/>
        <v>0</v>
      </c>
    </row>
    <row r="10963" spans="6:10" ht="30" hidden="1" x14ac:dyDescent="0.25">
      <c r="F10963" s="410">
        <v>499</v>
      </c>
      <c r="G10963" s="400" t="s">
        <v>4138</v>
      </c>
      <c r="J10963" s="556">
        <f t="shared" si="360"/>
        <v>0</v>
      </c>
    </row>
    <row r="10964" spans="6:10" hidden="1" x14ac:dyDescent="0.25">
      <c r="F10964" s="410">
        <v>511</v>
      </c>
      <c r="G10964" s="405" t="s">
        <v>4158</v>
      </c>
      <c r="J10964" s="556">
        <f t="shared" si="360"/>
        <v>0</v>
      </c>
    </row>
    <row r="10965" spans="6:10" hidden="1" x14ac:dyDescent="0.25">
      <c r="F10965" s="410">
        <v>512</v>
      </c>
      <c r="G10965" s="405" t="s">
        <v>4159</v>
      </c>
      <c r="J10965" s="556">
        <f t="shared" si="360"/>
        <v>0</v>
      </c>
    </row>
    <row r="10966" spans="6:10" hidden="1" x14ac:dyDescent="0.25">
      <c r="F10966" s="410">
        <v>513</v>
      </c>
      <c r="G10966" s="405" t="s">
        <v>4160</v>
      </c>
      <c r="J10966" s="556">
        <f t="shared" si="360"/>
        <v>0</v>
      </c>
    </row>
    <row r="10967" spans="6:10" hidden="1" x14ac:dyDescent="0.25">
      <c r="F10967" s="410">
        <v>514</v>
      </c>
      <c r="G10967" s="400" t="s">
        <v>4161</v>
      </c>
      <c r="J10967" s="556">
        <f t="shared" si="360"/>
        <v>0</v>
      </c>
    </row>
    <row r="10968" spans="6:10" hidden="1" x14ac:dyDescent="0.25">
      <c r="F10968" s="410">
        <v>515</v>
      </c>
      <c r="G10968" s="400" t="s">
        <v>3834</v>
      </c>
      <c r="J10968" s="556">
        <f t="shared" si="360"/>
        <v>0</v>
      </c>
    </row>
    <row r="10969" spans="6:10" hidden="1" x14ac:dyDescent="0.25">
      <c r="F10969" s="410">
        <v>521</v>
      </c>
      <c r="G10969" s="400" t="s">
        <v>4162</v>
      </c>
      <c r="J10969" s="556">
        <f t="shared" si="360"/>
        <v>0</v>
      </c>
    </row>
    <row r="10970" spans="6:10" hidden="1" x14ac:dyDescent="0.25">
      <c r="F10970" s="410">
        <v>522</v>
      </c>
      <c r="G10970" s="400" t="s">
        <v>4163</v>
      </c>
      <c r="J10970" s="556">
        <f t="shared" si="360"/>
        <v>0</v>
      </c>
    </row>
    <row r="10971" spans="6:10" hidden="1" x14ac:dyDescent="0.25">
      <c r="F10971" s="410">
        <v>523</v>
      </c>
      <c r="G10971" s="400" t="s">
        <v>3839</v>
      </c>
      <c r="J10971" s="556">
        <f t="shared" si="360"/>
        <v>0</v>
      </c>
    </row>
    <row r="10972" spans="6:10" hidden="1" x14ac:dyDescent="0.25">
      <c r="F10972" s="410">
        <v>531</v>
      </c>
      <c r="G10972" s="399" t="s">
        <v>4139</v>
      </c>
      <c r="J10972" s="556">
        <f t="shared" si="360"/>
        <v>0</v>
      </c>
    </row>
    <row r="10973" spans="6:10" hidden="1" x14ac:dyDescent="0.25">
      <c r="F10973" s="410">
        <v>541</v>
      </c>
      <c r="G10973" s="400" t="s">
        <v>4164</v>
      </c>
      <c r="J10973" s="556">
        <f t="shared" si="360"/>
        <v>0</v>
      </c>
    </row>
    <row r="10974" spans="6:10" hidden="1" x14ac:dyDescent="0.25">
      <c r="F10974" s="410">
        <v>542</v>
      </c>
      <c r="G10974" s="400" t="s">
        <v>4165</v>
      </c>
      <c r="J10974" s="556">
        <f t="shared" si="360"/>
        <v>0</v>
      </c>
    </row>
    <row r="10975" spans="6:10" hidden="1" x14ac:dyDescent="0.25">
      <c r="F10975" s="410">
        <v>543</v>
      </c>
      <c r="G10975" s="400" t="s">
        <v>3844</v>
      </c>
      <c r="J10975" s="556">
        <f t="shared" si="360"/>
        <v>0</v>
      </c>
    </row>
    <row r="10976" spans="6:10" ht="30" hidden="1" x14ac:dyDescent="0.25">
      <c r="F10976" s="410">
        <v>551</v>
      </c>
      <c r="G10976" s="400" t="s">
        <v>4140</v>
      </c>
      <c r="J10976" s="556">
        <f t="shared" si="360"/>
        <v>0</v>
      </c>
    </row>
    <row r="10977" spans="5:10" hidden="1" x14ac:dyDescent="0.25">
      <c r="F10977" s="411">
        <v>611</v>
      </c>
      <c r="G10977" s="409" t="s">
        <v>3850</v>
      </c>
      <c r="J10977" s="556">
        <f t="shared" si="360"/>
        <v>0</v>
      </c>
    </row>
    <row r="10978" spans="5:10" hidden="1" x14ac:dyDescent="0.25">
      <c r="F10978" s="411">
        <v>620</v>
      </c>
      <c r="G10978" s="409" t="s">
        <v>88</v>
      </c>
      <c r="J10978" s="556">
        <f t="shared" si="360"/>
        <v>0</v>
      </c>
    </row>
    <row r="10979" spans="5:10" hidden="1" x14ac:dyDescent="0.25">
      <c r="E10979" s="489"/>
      <c r="F10979" s="411"/>
      <c r="G10979" s="342" t="s">
        <v>4300</v>
      </c>
      <c r="H10979" s="557"/>
      <c r="I10979" s="583"/>
      <c r="J10979" s="558"/>
    </row>
    <row r="10980" spans="5:10" hidden="1" x14ac:dyDescent="0.25">
      <c r="E10980" s="693"/>
      <c r="F10980" s="284" t="s">
        <v>234</v>
      </c>
      <c r="G10980" s="287" t="s">
        <v>235</v>
      </c>
      <c r="H10980" s="559">
        <f>SUM(H10919:H10978)</f>
        <v>0</v>
      </c>
      <c r="I10980" s="560"/>
      <c r="J10980" s="560">
        <f>SUM(H10980:I10980)</f>
        <v>0</v>
      </c>
    </row>
    <row r="10981" spans="5:10" hidden="1" x14ac:dyDescent="0.25">
      <c r="F10981" s="284" t="s">
        <v>236</v>
      </c>
      <c r="G10981" s="287" t="s">
        <v>237</v>
      </c>
      <c r="J10981" s="560">
        <f t="shared" ref="J10981:J10995" si="361">SUM(H10981:I10981)</f>
        <v>0</v>
      </c>
    </row>
    <row r="10982" spans="5:10" hidden="1" x14ac:dyDescent="0.25">
      <c r="F10982" s="284" t="s">
        <v>238</v>
      </c>
      <c r="G10982" s="287" t="s">
        <v>239</v>
      </c>
      <c r="J10982" s="560">
        <f t="shared" si="361"/>
        <v>0</v>
      </c>
    </row>
    <row r="10983" spans="5:10" hidden="1" x14ac:dyDescent="0.25">
      <c r="F10983" s="284" t="s">
        <v>240</v>
      </c>
      <c r="G10983" s="287" t="s">
        <v>241</v>
      </c>
      <c r="J10983" s="560">
        <f t="shared" si="361"/>
        <v>0</v>
      </c>
    </row>
    <row r="10984" spans="5:10" hidden="1" x14ac:dyDescent="0.25">
      <c r="F10984" s="284" t="s">
        <v>242</v>
      </c>
      <c r="G10984" s="287" t="s">
        <v>243</v>
      </c>
      <c r="J10984" s="560">
        <f t="shared" si="361"/>
        <v>0</v>
      </c>
    </row>
    <row r="10985" spans="5:10" hidden="1" x14ac:dyDescent="0.25">
      <c r="F10985" s="284" t="s">
        <v>244</v>
      </c>
      <c r="G10985" s="287" t="s">
        <v>245</v>
      </c>
      <c r="J10985" s="560">
        <f t="shared" si="361"/>
        <v>0</v>
      </c>
    </row>
    <row r="10986" spans="5:10" hidden="1" x14ac:dyDescent="0.25">
      <c r="F10986" s="284" t="s">
        <v>246</v>
      </c>
      <c r="G10986" s="598" t="s">
        <v>4996</v>
      </c>
      <c r="J10986" s="560">
        <f t="shared" si="361"/>
        <v>0</v>
      </c>
    </row>
    <row r="10987" spans="5:10" hidden="1" x14ac:dyDescent="0.25">
      <c r="F10987" s="284" t="s">
        <v>247</v>
      </c>
      <c r="G10987" s="598" t="s">
        <v>4995</v>
      </c>
      <c r="J10987" s="560">
        <f t="shared" si="361"/>
        <v>0</v>
      </c>
    </row>
    <row r="10988" spans="5:10" hidden="1" x14ac:dyDescent="0.25">
      <c r="F10988" s="284" t="s">
        <v>248</v>
      </c>
      <c r="G10988" s="287" t="s">
        <v>57</v>
      </c>
      <c r="J10988" s="560">
        <f t="shared" si="361"/>
        <v>0</v>
      </c>
    </row>
    <row r="10989" spans="5:10" hidden="1" x14ac:dyDescent="0.25">
      <c r="F10989" s="284" t="s">
        <v>249</v>
      </c>
      <c r="G10989" s="287" t="s">
        <v>250</v>
      </c>
      <c r="J10989" s="560">
        <f t="shared" si="361"/>
        <v>0</v>
      </c>
    </row>
    <row r="10990" spans="5:10" hidden="1" x14ac:dyDescent="0.25">
      <c r="F10990" s="284" t="s">
        <v>251</v>
      </c>
      <c r="G10990" s="287" t="s">
        <v>252</v>
      </c>
      <c r="J10990" s="560">
        <f t="shared" si="361"/>
        <v>0</v>
      </c>
    </row>
    <row r="10991" spans="5:10" ht="30" hidden="1" x14ac:dyDescent="0.25">
      <c r="F10991" s="284" t="s">
        <v>253</v>
      </c>
      <c r="G10991" s="287" t="s">
        <v>254</v>
      </c>
      <c r="J10991" s="560">
        <f t="shared" si="361"/>
        <v>0</v>
      </c>
    </row>
    <row r="10992" spans="5:10" hidden="1" x14ac:dyDescent="0.25">
      <c r="F10992" s="284" t="s">
        <v>255</v>
      </c>
      <c r="G10992" s="287" t="s">
        <v>256</v>
      </c>
      <c r="J10992" s="560">
        <f t="shared" si="361"/>
        <v>0</v>
      </c>
    </row>
    <row r="10993" spans="5:10" ht="30" hidden="1" x14ac:dyDescent="0.25">
      <c r="F10993" s="284" t="s">
        <v>257</v>
      </c>
      <c r="G10993" s="287" t="s">
        <v>258</v>
      </c>
      <c r="J10993" s="560">
        <f t="shared" si="361"/>
        <v>0</v>
      </c>
    </row>
    <row r="10994" spans="5:10" hidden="1" x14ac:dyDescent="0.25">
      <c r="F10994" s="284" t="s">
        <v>259</v>
      </c>
      <c r="G10994" s="287" t="s">
        <v>260</v>
      </c>
      <c r="J10994" s="560">
        <f t="shared" si="361"/>
        <v>0</v>
      </c>
    </row>
    <row r="10995" spans="5:10" hidden="1" x14ac:dyDescent="0.25">
      <c r="F10995" s="284" t="s">
        <v>261</v>
      </c>
      <c r="G10995" s="287" t="s">
        <v>262</v>
      </c>
      <c r="H10995" s="559"/>
      <c r="I10995" s="560"/>
      <c r="J10995" s="560">
        <f t="shared" si="361"/>
        <v>0</v>
      </c>
    </row>
    <row r="10996" spans="5:10" ht="15.75" hidden="1" thickBot="1" x14ac:dyDescent="0.3">
      <c r="G10996" s="268" t="s">
        <v>4299</v>
      </c>
      <c r="H10996" s="561">
        <f>SUM(H10980:H10995)</f>
        <v>0</v>
      </c>
      <c r="I10996" s="562">
        <f>SUM(I10981:I10995)</f>
        <v>0</v>
      </c>
      <c r="J10996" s="562">
        <f>SUM(J10980:J10995)</f>
        <v>0</v>
      </c>
    </row>
    <row r="10997" spans="5:10" hidden="1" collapsed="1" x14ac:dyDescent="0.25">
      <c r="E10997" s="489"/>
      <c r="F10997" s="411"/>
      <c r="G10997" s="270" t="s">
        <v>4929</v>
      </c>
      <c r="H10997" s="563"/>
      <c r="I10997" s="584"/>
      <c r="J10997" s="564"/>
    </row>
    <row r="10998" spans="5:10" hidden="1" x14ac:dyDescent="0.25">
      <c r="E10998" s="693"/>
      <c r="F10998" s="284" t="s">
        <v>234</v>
      </c>
      <c r="G10998" s="287" t="s">
        <v>235</v>
      </c>
      <c r="H10998" s="559">
        <f>SUM(H10919:H10978)</f>
        <v>0</v>
      </c>
      <c r="I10998" s="560"/>
      <c r="J10998" s="560">
        <f>SUM(H10998:I10998)</f>
        <v>0</v>
      </c>
    </row>
    <row r="10999" spans="5:10" hidden="1" x14ac:dyDescent="0.25">
      <c r="F10999" s="284" t="s">
        <v>236</v>
      </c>
      <c r="G10999" s="287" t="s">
        <v>237</v>
      </c>
      <c r="J10999" s="560">
        <f t="shared" ref="J10999:J11013" si="362">SUM(H10999:I10999)</f>
        <v>0</v>
      </c>
    </row>
    <row r="11000" spans="5:10" hidden="1" x14ac:dyDescent="0.25">
      <c r="F11000" s="284" t="s">
        <v>238</v>
      </c>
      <c r="G11000" s="287" t="s">
        <v>239</v>
      </c>
      <c r="J11000" s="560">
        <f t="shared" si="362"/>
        <v>0</v>
      </c>
    </row>
    <row r="11001" spans="5:10" hidden="1" x14ac:dyDescent="0.25">
      <c r="F11001" s="284" t="s">
        <v>240</v>
      </c>
      <c r="G11001" s="287" t="s">
        <v>241</v>
      </c>
      <c r="J11001" s="560">
        <f t="shared" si="362"/>
        <v>0</v>
      </c>
    </row>
    <row r="11002" spans="5:10" hidden="1" x14ac:dyDescent="0.25">
      <c r="F11002" s="284" t="s">
        <v>242</v>
      </c>
      <c r="G11002" s="287" t="s">
        <v>243</v>
      </c>
      <c r="J11002" s="560">
        <f t="shared" si="362"/>
        <v>0</v>
      </c>
    </row>
    <row r="11003" spans="5:10" hidden="1" x14ac:dyDescent="0.25">
      <c r="F11003" s="284" t="s">
        <v>244</v>
      </c>
      <c r="G11003" s="287" t="s">
        <v>245</v>
      </c>
      <c r="J11003" s="560">
        <f t="shared" si="362"/>
        <v>0</v>
      </c>
    </row>
    <row r="11004" spans="5:10" hidden="1" x14ac:dyDescent="0.25">
      <c r="F11004" s="284" t="s">
        <v>246</v>
      </c>
      <c r="G11004" s="598" t="s">
        <v>4996</v>
      </c>
      <c r="J11004" s="560">
        <f t="shared" si="362"/>
        <v>0</v>
      </c>
    </row>
    <row r="11005" spans="5:10" hidden="1" x14ac:dyDescent="0.25">
      <c r="F11005" s="284" t="s">
        <v>247</v>
      </c>
      <c r="G11005" s="598" t="s">
        <v>4995</v>
      </c>
      <c r="J11005" s="560">
        <f t="shared" si="362"/>
        <v>0</v>
      </c>
    </row>
    <row r="11006" spans="5:10" hidden="1" x14ac:dyDescent="0.25">
      <c r="F11006" s="284" t="s">
        <v>248</v>
      </c>
      <c r="G11006" s="287" t="s">
        <v>57</v>
      </c>
      <c r="J11006" s="560">
        <f t="shared" si="362"/>
        <v>0</v>
      </c>
    </row>
    <row r="11007" spans="5:10" hidden="1" x14ac:dyDescent="0.25">
      <c r="F11007" s="284" t="s">
        <v>249</v>
      </c>
      <c r="G11007" s="287" t="s">
        <v>250</v>
      </c>
      <c r="J11007" s="560">
        <f t="shared" si="362"/>
        <v>0</v>
      </c>
    </row>
    <row r="11008" spans="5:10" hidden="1" x14ac:dyDescent="0.25">
      <c r="F11008" s="284" t="s">
        <v>251</v>
      </c>
      <c r="G11008" s="287" t="s">
        <v>252</v>
      </c>
      <c r="J11008" s="560">
        <f t="shared" si="362"/>
        <v>0</v>
      </c>
    </row>
    <row r="11009" spans="5:10" ht="30" hidden="1" x14ac:dyDescent="0.25">
      <c r="F11009" s="284" t="s">
        <v>253</v>
      </c>
      <c r="G11009" s="287" t="s">
        <v>254</v>
      </c>
      <c r="J11009" s="560">
        <f t="shared" si="362"/>
        <v>0</v>
      </c>
    </row>
    <row r="11010" spans="5:10" hidden="1" x14ac:dyDescent="0.25">
      <c r="F11010" s="284" t="s">
        <v>255</v>
      </c>
      <c r="G11010" s="287" t="s">
        <v>256</v>
      </c>
      <c r="J11010" s="560">
        <f t="shared" si="362"/>
        <v>0</v>
      </c>
    </row>
    <row r="11011" spans="5:10" ht="30" hidden="1" x14ac:dyDescent="0.25">
      <c r="F11011" s="284" t="s">
        <v>257</v>
      </c>
      <c r="G11011" s="287" t="s">
        <v>258</v>
      </c>
      <c r="J11011" s="560">
        <f t="shared" si="362"/>
        <v>0</v>
      </c>
    </row>
    <row r="11012" spans="5:10" hidden="1" x14ac:dyDescent="0.25">
      <c r="F11012" s="284" t="s">
        <v>259</v>
      </c>
      <c r="G11012" s="287" t="s">
        <v>260</v>
      </c>
      <c r="J11012" s="560">
        <f t="shared" si="362"/>
        <v>0</v>
      </c>
    </row>
    <row r="11013" spans="5:10" hidden="1" x14ac:dyDescent="0.25">
      <c r="F11013" s="284" t="s">
        <v>261</v>
      </c>
      <c r="G11013" s="287" t="s">
        <v>262</v>
      </c>
      <c r="H11013" s="559"/>
      <c r="I11013" s="560"/>
      <c r="J11013" s="560">
        <f t="shared" si="362"/>
        <v>0</v>
      </c>
    </row>
    <row r="11014" spans="5:10" ht="15.75" hidden="1" thickBot="1" x14ac:dyDescent="0.3">
      <c r="G11014" s="268" t="s">
        <v>4930</v>
      </c>
      <c r="H11014" s="561">
        <f>SUM(H10998:H11013)</f>
        <v>0</v>
      </c>
      <c r="I11014" s="562">
        <f>SUM(I10999:I11013)</f>
        <v>0</v>
      </c>
      <c r="J11014" s="562">
        <f>SUM(J10998:J11013)</f>
        <v>0</v>
      </c>
    </row>
    <row r="11015" spans="5:10" hidden="1" x14ac:dyDescent="0.25"/>
    <row r="11016" spans="5:10" hidden="1" x14ac:dyDescent="0.25">
      <c r="E11016" s="489"/>
      <c r="F11016" s="411"/>
      <c r="G11016" s="285" t="s">
        <v>4203</v>
      </c>
      <c r="H11016" s="567"/>
      <c r="I11016" s="585"/>
      <c r="J11016" s="568"/>
    </row>
    <row r="11017" spans="5:10" hidden="1" x14ac:dyDescent="0.25">
      <c r="E11017" s="693"/>
      <c r="F11017" s="284" t="s">
        <v>234</v>
      </c>
      <c r="G11017" s="287" t="s">
        <v>235</v>
      </c>
      <c r="H11017" s="559">
        <f>SUM(H10998,H10899,H10800,H10701,H10602)</f>
        <v>0</v>
      </c>
      <c r="I11017" s="560"/>
      <c r="J11017" s="560">
        <f>SUM(H11017:I11017)</f>
        <v>0</v>
      </c>
    </row>
    <row r="11018" spans="5:10" hidden="1" x14ac:dyDescent="0.25">
      <c r="F11018" s="284" t="s">
        <v>236</v>
      </c>
      <c r="G11018" s="287" t="s">
        <v>237</v>
      </c>
      <c r="J11018" s="560">
        <f t="shared" ref="J11018:J11032" si="363">SUM(H11018:I11018)</f>
        <v>0</v>
      </c>
    </row>
    <row r="11019" spans="5:10" hidden="1" x14ac:dyDescent="0.25">
      <c r="F11019" s="284" t="s">
        <v>238</v>
      </c>
      <c r="G11019" s="287" t="s">
        <v>239</v>
      </c>
      <c r="J11019" s="560">
        <f t="shared" si="363"/>
        <v>0</v>
      </c>
    </row>
    <row r="11020" spans="5:10" hidden="1" x14ac:dyDescent="0.25">
      <c r="F11020" s="284" t="s">
        <v>240</v>
      </c>
      <c r="G11020" s="287" t="s">
        <v>241</v>
      </c>
      <c r="J11020" s="560">
        <f t="shared" si="363"/>
        <v>0</v>
      </c>
    </row>
    <row r="11021" spans="5:10" hidden="1" x14ac:dyDescent="0.25">
      <c r="F11021" s="284" t="s">
        <v>242</v>
      </c>
      <c r="G11021" s="287" t="s">
        <v>243</v>
      </c>
      <c r="J11021" s="560">
        <f t="shared" si="363"/>
        <v>0</v>
      </c>
    </row>
    <row r="11022" spans="5:10" hidden="1" x14ac:dyDescent="0.25">
      <c r="F11022" s="284" t="s">
        <v>244</v>
      </c>
      <c r="G11022" s="287" t="s">
        <v>245</v>
      </c>
      <c r="J11022" s="560">
        <f t="shared" si="363"/>
        <v>0</v>
      </c>
    </row>
    <row r="11023" spans="5:10" hidden="1" x14ac:dyDescent="0.25">
      <c r="F11023" s="284" t="s">
        <v>246</v>
      </c>
      <c r="G11023" s="598" t="s">
        <v>4996</v>
      </c>
      <c r="J11023" s="560">
        <f t="shared" si="363"/>
        <v>0</v>
      </c>
    </row>
    <row r="11024" spans="5:10" hidden="1" x14ac:dyDescent="0.25">
      <c r="F11024" s="284" t="s">
        <v>247</v>
      </c>
      <c r="G11024" s="598" t="s">
        <v>4995</v>
      </c>
      <c r="J11024" s="560">
        <f t="shared" si="363"/>
        <v>0</v>
      </c>
    </row>
    <row r="11025" spans="5:10" hidden="1" x14ac:dyDescent="0.25">
      <c r="F11025" s="284" t="s">
        <v>248</v>
      </c>
      <c r="G11025" s="287" t="s">
        <v>57</v>
      </c>
      <c r="J11025" s="560">
        <f t="shared" si="363"/>
        <v>0</v>
      </c>
    </row>
    <row r="11026" spans="5:10" hidden="1" x14ac:dyDescent="0.25">
      <c r="F11026" s="284" t="s">
        <v>249</v>
      </c>
      <c r="G11026" s="287" t="s">
        <v>250</v>
      </c>
      <c r="J11026" s="560">
        <f t="shared" si="363"/>
        <v>0</v>
      </c>
    </row>
    <row r="11027" spans="5:10" hidden="1" x14ac:dyDescent="0.25">
      <c r="F11027" s="284" t="s">
        <v>251</v>
      </c>
      <c r="G11027" s="287" t="s">
        <v>252</v>
      </c>
      <c r="J11027" s="560">
        <f t="shared" si="363"/>
        <v>0</v>
      </c>
    </row>
    <row r="11028" spans="5:10" ht="30" hidden="1" x14ac:dyDescent="0.25">
      <c r="F11028" s="284" t="s">
        <v>253</v>
      </c>
      <c r="G11028" s="287" t="s">
        <v>254</v>
      </c>
      <c r="J11028" s="560">
        <f t="shared" si="363"/>
        <v>0</v>
      </c>
    </row>
    <row r="11029" spans="5:10" hidden="1" x14ac:dyDescent="0.25">
      <c r="F11029" s="284" t="s">
        <v>255</v>
      </c>
      <c r="G11029" s="287" t="s">
        <v>256</v>
      </c>
      <c r="J11029" s="560">
        <f t="shared" si="363"/>
        <v>0</v>
      </c>
    </row>
    <row r="11030" spans="5:10" ht="30" hidden="1" x14ac:dyDescent="0.25">
      <c r="F11030" s="284" t="s">
        <v>257</v>
      </c>
      <c r="G11030" s="287" t="s">
        <v>258</v>
      </c>
      <c r="J11030" s="560">
        <f t="shared" si="363"/>
        <v>0</v>
      </c>
    </row>
    <row r="11031" spans="5:10" hidden="1" x14ac:dyDescent="0.25">
      <c r="F11031" s="284" t="s">
        <v>259</v>
      </c>
      <c r="G11031" s="287" t="s">
        <v>260</v>
      </c>
      <c r="J11031" s="560">
        <f t="shared" si="363"/>
        <v>0</v>
      </c>
    </row>
    <row r="11032" spans="5:10" hidden="1" x14ac:dyDescent="0.25">
      <c r="F11032" s="284" t="s">
        <v>261</v>
      </c>
      <c r="G11032" s="287" t="s">
        <v>262</v>
      </c>
      <c r="H11032" s="559"/>
      <c r="I11032" s="560"/>
      <c r="J11032" s="560">
        <f t="shared" si="363"/>
        <v>0</v>
      </c>
    </row>
    <row r="11033" spans="5:10" ht="15.75" hidden="1" thickBot="1" x14ac:dyDescent="0.3">
      <c r="G11033" s="268" t="s">
        <v>4204</v>
      </c>
      <c r="H11033" s="561">
        <f>SUM(H11017:H11032)</f>
        <v>0</v>
      </c>
      <c r="I11033" s="562">
        <f>SUM(I11018:I11032)</f>
        <v>0</v>
      </c>
      <c r="J11033" s="562">
        <f>SUM(J11017:J11032)</f>
        <v>0</v>
      </c>
    </row>
    <row r="11034" spans="5:10" hidden="1" x14ac:dyDescent="0.25"/>
    <row r="11035" spans="5:10" hidden="1" x14ac:dyDescent="0.25">
      <c r="E11035" s="489"/>
      <c r="F11035" s="411"/>
      <c r="G11035" s="285" t="s">
        <v>4353</v>
      </c>
      <c r="H11035" s="567"/>
      <c r="I11035" s="585"/>
      <c r="J11035" s="568"/>
    </row>
    <row r="11036" spans="5:10" hidden="1" x14ac:dyDescent="0.25">
      <c r="E11036" s="693"/>
      <c r="F11036" s="284" t="s">
        <v>234</v>
      </c>
      <c r="G11036" s="287" t="s">
        <v>235</v>
      </c>
      <c r="H11036" s="559" t="e">
        <f>SUM(H11017,H10501,H9687)</f>
        <v>#REF!</v>
      </c>
      <c r="I11036" s="560"/>
      <c r="J11036" s="560" t="e">
        <f>SUM(H11036:I11036)</f>
        <v>#REF!</v>
      </c>
    </row>
    <row r="11037" spans="5:10" hidden="1" x14ac:dyDescent="0.25">
      <c r="F11037" s="284" t="s">
        <v>236</v>
      </c>
      <c r="G11037" s="287" t="s">
        <v>237</v>
      </c>
      <c r="J11037" s="560">
        <f t="shared" ref="J11037:J11051" si="364">SUM(H11037:I11037)</f>
        <v>0</v>
      </c>
    </row>
    <row r="11038" spans="5:10" hidden="1" x14ac:dyDescent="0.25">
      <c r="F11038" s="284" t="s">
        <v>238</v>
      </c>
      <c r="G11038" s="287" t="s">
        <v>239</v>
      </c>
      <c r="J11038" s="560">
        <f t="shared" si="364"/>
        <v>0</v>
      </c>
    </row>
    <row r="11039" spans="5:10" hidden="1" x14ac:dyDescent="0.25">
      <c r="F11039" s="284" t="s">
        <v>240</v>
      </c>
      <c r="G11039" s="287" t="s">
        <v>241</v>
      </c>
      <c r="J11039" s="560">
        <f t="shared" si="364"/>
        <v>0</v>
      </c>
    </row>
    <row r="11040" spans="5:10" hidden="1" x14ac:dyDescent="0.25">
      <c r="F11040" s="284" t="s">
        <v>242</v>
      </c>
      <c r="G11040" s="287" t="s">
        <v>243</v>
      </c>
      <c r="J11040" s="560">
        <f t="shared" si="364"/>
        <v>0</v>
      </c>
    </row>
    <row r="11041" spans="1:10" hidden="1" x14ac:dyDescent="0.25">
      <c r="F11041" s="284" t="s">
        <v>244</v>
      </c>
      <c r="G11041" s="287" t="s">
        <v>245</v>
      </c>
      <c r="J11041" s="560">
        <f t="shared" si="364"/>
        <v>0</v>
      </c>
    </row>
    <row r="11042" spans="1:10" hidden="1" x14ac:dyDescent="0.25">
      <c r="F11042" s="284" t="s">
        <v>246</v>
      </c>
      <c r="G11042" s="598" t="s">
        <v>4996</v>
      </c>
      <c r="J11042" s="560">
        <f t="shared" si="364"/>
        <v>0</v>
      </c>
    </row>
    <row r="11043" spans="1:10" hidden="1" x14ac:dyDescent="0.25">
      <c r="F11043" s="284" t="s">
        <v>247</v>
      </c>
      <c r="G11043" s="598" t="s">
        <v>4995</v>
      </c>
      <c r="J11043" s="560">
        <f t="shared" si="364"/>
        <v>0</v>
      </c>
    </row>
    <row r="11044" spans="1:10" hidden="1" x14ac:dyDescent="0.25">
      <c r="F11044" s="284" t="s">
        <v>248</v>
      </c>
      <c r="G11044" s="287" t="s">
        <v>57</v>
      </c>
      <c r="J11044" s="560">
        <f t="shared" si="364"/>
        <v>0</v>
      </c>
    </row>
    <row r="11045" spans="1:10" hidden="1" x14ac:dyDescent="0.25">
      <c r="F11045" s="284" t="s">
        <v>249</v>
      </c>
      <c r="G11045" s="287" t="s">
        <v>250</v>
      </c>
      <c r="J11045" s="560">
        <f t="shared" si="364"/>
        <v>0</v>
      </c>
    </row>
    <row r="11046" spans="1:10" hidden="1" x14ac:dyDescent="0.25">
      <c r="F11046" s="284" t="s">
        <v>251</v>
      </c>
      <c r="G11046" s="287" t="s">
        <v>252</v>
      </c>
      <c r="J11046" s="560">
        <f t="shared" si="364"/>
        <v>0</v>
      </c>
    </row>
    <row r="11047" spans="1:10" ht="30" hidden="1" x14ac:dyDescent="0.25">
      <c r="F11047" s="284" t="s">
        <v>253</v>
      </c>
      <c r="G11047" s="287" t="s">
        <v>254</v>
      </c>
      <c r="J11047" s="560">
        <f t="shared" si="364"/>
        <v>0</v>
      </c>
    </row>
    <row r="11048" spans="1:10" hidden="1" x14ac:dyDescent="0.25">
      <c r="F11048" s="284" t="s">
        <v>255</v>
      </c>
      <c r="G11048" s="287" t="s">
        <v>256</v>
      </c>
      <c r="J11048" s="560">
        <f t="shared" si="364"/>
        <v>0</v>
      </c>
    </row>
    <row r="11049" spans="1:10" ht="30" hidden="1" x14ac:dyDescent="0.25">
      <c r="F11049" s="284" t="s">
        <v>257</v>
      </c>
      <c r="G11049" s="287" t="s">
        <v>258</v>
      </c>
      <c r="J11049" s="560">
        <f t="shared" si="364"/>
        <v>0</v>
      </c>
    </row>
    <row r="11050" spans="1:10" hidden="1" x14ac:dyDescent="0.25">
      <c r="F11050" s="284" t="s">
        <v>259</v>
      </c>
      <c r="G11050" s="287" t="s">
        <v>260</v>
      </c>
      <c r="J11050" s="560">
        <f t="shared" si="364"/>
        <v>0</v>
      </c>
    </row>
    <row r="11051" spans="1:10" hidden="1" x14ac:dyDescent="0.25">
      <c r="F11051" s="284" t="s">
        <v>261</v>
      </c>
      <c r="G11051" s="287" t="s">
        <v>262</v>
      </c>
      <c r="H11051" s="559"/>
      <c r="I11051" s="560"/>
      <c r="J11051" s="560">
        <f t="shared" si="364"/>
        <v>0</v>
      </c>
    </row>
    <row r="11052" spans="1:10" ht="15.75" hidden="1" thickBot="1" x14ac:dyDescent="0.3">
      <c r="G11052" s="268" t="s">
        <v>4354</v>
      </c>
      <c r="H11052" s="561" t="e">
        <f>SUM(H11036:H11051)</f>
        <v>#REF!</v>
      </c>
      <c r="I11052" s="562">
        <f>SUM(I11037:I11051)</f>
        <v>0</v>
      </c>
      <c r="J11052" s="562" t="e">
        <f>SUM(J11036:J11051)</f>
        <v>#REF!</v>
      </c>
    </row>
    <row r="11053" spans="1:10" hidden="1" x14ac:dyDescent="0.25"/>
    <row r="11054" spans="1:10" hidden="1" x14ac:dyDescent="0.25"/>
    <row r="11055" spans="1:10" hidden="1" x14ac:dyDescent="0.25">
      <c r="B11055" s="412">
        <v>8</v>
      </c>
      <c r="C11055" s="402"/>
      <c r="D11055" s="403"/>
      <c r="E11055" s="893"/>
      <c r="F11055" s="407"/>
      <c r="G11055" s="408" t="s">
        <v>4261</v>
      </c>
      <c r="H11055" s="586"/>
      <c r="I11055" s="592"/>
      <c r="J11055" s="578"/>
    </row>
    <row r="11056" spans="1:10" hidden="1" x14ac:dyDescent="0.25">
      <c r="A11056" s="402">
        <v>4</v>
      </c>
      <c r="C11056" s="267" t="s">
        <v>3593</v>
      </c>
      <c r="G11056" s="414" t="s">
        <v>4262</v>
      </c>
    </row>
    <row r="11057" spans="3:10" hidden="1" x14ac:dyDescent="0.25">
      <c r="C11057" s="267" t="s">
        <v>4089</v>
      </c>
      <c r="D11057" s="259"/>
      <c r="G11057" s="421" t="s">
        <v>4263</v>
      </c>
    </row>
    <row r="11058" spans="3:10" hidden="1" x14ac:dyDescent="0.25">
      <c r="C11058" s="267"/>
      <c r="D11058" s="331">
        <v>820</v>
      </c>
      <c r="E11058" s="869"/>
      <c r="F11058" s="331"/>
      <c r="G11058" s="332" t="s">
        <v>207</v>
      </c>
    </row>
    <row r="11059" spans="3:10" hidden="1" x14ac:dyDescent="0.25">
      <c r="F11059" s="418">
        <v>411</v>
      </c>
      <c r="G11059" s="415" t="s">
        <v>4131</v>
      </c>
      <c r="J11059" s="556">
        <f>SUM(H11059:I11059)</f>
        <v>0</v>
      </c>
    </row>
    <row r="11060" spans="3:10" hidden="1" x14ac:dyDescent="0.25">
      <c r="F11060" s="418">
        <v>412</v>
      </c>
      <c r="G11060" s="413" t="s">
        <v>3766</v>
      </c>
      <c r="J11060" s="556">
        <f t="shared" ref="J11060:J11118" si="365">SUM(H11060:I11060)</f>
        <v>0</v>
      </c>
    </row>
    <row r="11061" spans="3:10" hidden="1" x14ac:dyDescent="0.25">
      <c r="F11061" s="418">
        <v>413</v>
      </c>
      <c r="G11061" s="415" t="s">
        <v>4132</v>
      </c>
      <c r="J11061" s="556">
        <f t="shared" si="365"/>
        <v>0</v>
      </c>
    </row>
    <row r="11062" spans="3:10" hidden="1" x14ac:dyDescent="0.25">
      <c r="F11062" s="418">
        <v>414</v>
      </c>
      <c r="G11062" s="415" t="s">
        <v>3769</v>
      </c>
      <c r="J11062" s="556">
        <f t="shared" si="365"/>
        <v>0</v>
      </c>
    </row>
    <row r="11063" spans="3:10" hidden="1" x14ac:dyDescent="0.25">
      <c r="F11063" s="418">
        <v>415</v>
      </c>
      <c r="G11063" s="415" t="s">
        <v>4141</v>
      </c>
      <c r="J11063" s="556">
        <f t="shared" si="365"/>
        <v>0</v>
      </c>
    </row>
    <row r="11064" spans="3:10" hidden="1" x14ac:dyDescent="0.25">
      <c r="F11064" s="418">
        <v>416</v>
      </c>
      <c r="G11064" s="415" t="s">
        <v>4142</v>
      </c>
      <c r="J11064" s="556">
        <f t="shared" si="365"/>
        <v>0</v>
      </c>
    </row>
    <row r="11065" spans="3:10" hidden="1" x14ac:dyDescent="0.25">
      <c r="F11065" s="418">
        <v>417</v>
      </c>
      <c r="G11065" s="415" t="s">
        <v>4143</v>
      </c>
      <c r="J11065" s="556">
        <f t="shared" si="365"/>
        <v>0</v>
      </c>
    </row>
    <row r="11066" spans="3:10" hidden="1" x14ac:dyDescent="0.25">
      <c r="F11066" s="418">
        <v>418</v>
      </c>
      <c r="G11066" s="415" t="s">
        <v>3775</v>
      </c>
      <c r="J11066" s="556">
        <f t="shared" si="365"/>
        <v>0</v>
      </c>
    </row>
    <row r="11067" spans="3:10" hidden="1" x14ac:dyDescent="0.25">
      <c r="F11067" s="418">
        <v>421</v>
      </c>
      <c r="G11067" s="415" t="s">
        <v>3779</v>
      </c>
      <c r="J11067" s="556">
        <f t="shared" si="365"/>
        <v>0</v>
      </c>
    </row>
    <row r="11068" spans="3:10" hidden="1" x14ac:dyDescent="0.25">
      <c r="F11068" s="418">
        <v>422</v>
      </c>
      <c r="G11068" s="415" t="s">
        <v>3780</v>
      </c>
      <c r="J11068" s="556">
        <f t="shared" si="365"/>
        <v>0</v>
      </c>
    </row>
    <row r="11069" spans="3:10" hidden="1" x14ac:dyDescent="0.25">
      <c r="F11069" s="418">
        <v>423</v>
      </c>
      <c r="G11069" s="415" t="s">
        <v>3781</v>
      </c>
      <c r="J11069" s="556">
        <f t="shared" si="365"/>
        <v>0</v>
      </c>
    </row>
    <row r="11070" spans="3:10" hidden="1" x14ac:dyDescent="0.25">
      <c r="F11070" s="418">
        <v>424</v>
      </c>
      <c r="G11070" s="415" t="s">
        <v>3783</v>
      </c>
      <c r="J11070" s="556">
        <f t="shared" si="365"/>
        <v>0</v>
      </c>
    </row>
    <row r="11071" spans="3:10" hidden="1" x14ac:dyDescent="0.25">
      <c r="F11071" s="418">
        <v>425</v>
      </c>
      <c r="G11071" s="415" t="s">
        <v>4144</v>
      </c>
      <c r="J11071" s="556">
        <f t="shared" si="365"/>
        <v>0</v>
      </c>
    </row>
    <row r="11072" spans="3:10" hidden="1" x14ac:dyDescent="0.25">
      <c r="F11072" s="418">
        <v>426</v>
      </c>
      <c r="G11072" s="415" t="s">
        <v>3787</v>
      </c>
      <c r="J11072" s="556">
        <f t="shared" si="365"/>
        <v>0</v>
      </c>
    </row>
    <row r="11073" spans="6:10" hidden="1" x14ac:dyDescent="0.25">
      <c r="F11073" s="418">
        <v>431</v>
      </c>
      <c r="G11073" s="415" t="s">
        <v>4145</v>
      </c>
      <c r="J11073" s="556">
        <f t="shared" si="365"/>
        <v>0</v>
      </c>
    </row>
    <row r="11074" spans="6:10" hidden="1" x14ac:dyDescent="0.25">
      <c r="F11074" s="418">
        <v>432</v>
      </c>
      <c r="G11074" s="415" t="s">
        <v>4146</v>
      </c>
      <c r="J11074" s="556">
        <f t="shared" si="365"/>
        <v>0</v>
      </c>
    </row>
    <row r="11075" spans="6:10" hidden="1" x14ac:dyDescent="0.25">
      <c r="F11075" s="418">
        <v>433</v>
      </c>
      <c r="G11075" s="415" t="s">
        <v>4147</v>
      </c>
      <c r="J11075" s="556">
        <f t="shared" si="365"/>
        <v>0</v>
      </c>
    </row>
    <row r="11076" spans="6:10" hidden="1" x14ac:dyDescent="0.25">
      <c r="F11076" s="418">
        <v>434</v>
      </c>
      <c r="G11076" s="415" t="s">
        <v>4148</v>
      </c>
      <c r="J11076" s="556">
        <f t="shared" si="365"/>
        <v>0</v>
      </c>
    </row>
    <row r="11077" spans="6:10" hidden="1" x14ac:dyDescent="0.25">
      <c r="F11077" s="418">
        <v>435</v>
      </c>
      <c r="G11077" s="415" t="s">
        <v>3794</v>
      </c>
      <c r="J11077" s="556">
        <f t="shared" si="365"/>
        <v>0</v>
      </c>
    </row>
    <row r="11078" spans="6:10" hidden="1" x14ac:dyDescent="0.25">
      <c r="F11078" s="418">
        <v>441</v>
      </c>
      <c r="G11078" s="415" t="s">
        <v>4149</v>
      </c>
      <c r="J11078" s="556">
        <f t="shared" si="365"/>
        <v>0</v>
      </c>
    </row>
    <row r="11079" spans="6:10" hidden="1" x14ac:dyDescent="0.25">
      <c r="F11079" s="418">
        <v>442</v>
      </c>
      <c r="G11079" s="415" t="s">
        <v>4150</v>
      </c>
      <c r="J11079" s="556">
        <f t="shared" si="365"/>
        <v>0</v>
      </c>
    </row>
    <row r="11080" spans="6:10" hidden="1" x14ac:dyDescent="0.25">
      <c r="F11080" s="418">
        <v>443</v>
      </c>
      <c r="G11080" s="415" t="s">
        <v>3799</v>
      </c>
      <c r="J11080" s="556">
        <f t="shared" si="365"/>
        <v>0</v>
      </c>
    </row>
    <row r="11081" spans="6:10" hidden="1" x14ac:dyDescent="0.25">
      <c r="F11081" s="418">
        <v>444</v>
      </c>
      <c r="G11081" s="415" t="s">
        <v>3800</v>
      </c>
      <c r="J11081" s="556">
        <f t="shared" si="365"/>
        <v>0</v>
      </c>
    </row>
    <row r="11082" spans="6:10" ht="30" hidden="1" x14ac:dyDescent="0.25">
      <c r="F11082" s="418">
        <v>4511</v>
      </c>
      <c r="G11082" s="263" t="s">
        <v>1690</v>
      </c>
      <c r="J11082" s="556">
        <f t="shared" si="365"/>
        <v>0</v>
      </c>
    </row>
    <row r="11083" spans="6:10" ht="19.5" hidden="1" customHeight="1" x14ac:dyDescent="0.25">
      <c r="F11083" s="418">
        <v>4512</v>
      </c>
      <c r="G11083" s="263" t="s">
        <v>1699</v>
      </c>
      <c r="J11083" s="556">
        <f t="shared" si="365"/>
        <v>0</v>
      </c>
    </row>
    <row r="11084" spans="6:10" hidden="1" x14ac:dyDescent="0.25">
      <c r="F11084" s="418">
        <v>452</v>
      </c>
      <c r="G11084" s="415" t="s">
        <v>4151</v>
      </c>
      <c r="J11084" s="556">
        <f t="shared" si="365"/>
        <v>0</v>
      </c>
    </row>
    <row r="11085" spans="6:10" hidden="1" x14ac:dyDescent="0.25">
      <c r="F11085" s="418">
        <v>453</v>
      </c>
      <c r="G11085" s="415" t="s">
        <v>4152</v>
      </c>
      <c r="J11085" s="556">
        <f t="shared" si="365"/>
        <v>0</v>
      </c>
    </row>
    <row r="11086" spans="6:10" hidden="1" x14ac:dyDescent="0.25">
      <c r="F11086" s="418">
        <v>454</v>
      </c>
      <c r="G11086" s="415" t="s">
        <v>3805</v>
      </c>
      <c r="J11086" s="556">
        <f t="shared" si="365"/>
        <v>0</v>
      </c>
    </row>
    <row r="11087" spans="6:10" hidden="1" x14ac:dyDescent="0.25">
      <c r="F11087" s="418">
        <v>461</v>
      </c>
      <c r="G11087" s="415" t="s">
        <v>4133</v>
      </c>
      <c r="J11087" s="556">
        <f t="shared" si="365"/>
        <v>0</v>
      </c>
    </row>
    <row r="11088" spans="6:10" hidden="1" x14ac:dyDescent="0.25">
      <c r="F11088" s="418">
        <v>462</v>
      </c>
      <c r="G11088" s="415" t="s">
        <v>3808</v>
      </c>
      <c r="J11088" s="556">
        <f t="shared" si="365"/>
        <v>0</v>
      </c>
    </row>
    <row r="11089" spans="6:10" hidden="1" x14ac:dyDescent="0.25">
      <c r="F11089" s="418">
        <v>4631</v>
      </c>
      <c r="G11089" s="415" t="s">
        <v>3809</v>
      </c>
      <c r="J11089" s="556">
        <f t="shared" si="365"/>
        <v>0</v>
      </c>
    </row>
    <row r="11090" spans="6:10" hidden="1" x14ac:dyDescent="0.25">
      <c r="F11090" s="418">
        <v>4632</v>
      </c>
      <c r="G11090" s="415" t="s">
        <v>3810</v>
      </c>
      <c r="J11090" s="556">
        <f t="shared" si="365"/>
        <v>0</v>
      </c>
    </row>
    <row r="11091" spans="6:10" hidden="1" x14ac:dyDescent="0.25">
      <c r="F11091" s="418">
        <v>464</v>
      </c>
      <c r="G11091" s="415" t="s">
        <v>3811</v>
      </c>
      <c r="J11091" s="556">
        <f t="shared" si="365"/>
        <v>0</v>
      </c>
    </row>
    <row r="11092" spans="6:10" hidden="1" x14ac:dyDescent="0.25">
      <c r="F11092" s="418">
        <v>465</v>
      </c>
      <c r="G11092" s="415" t="s">
        <v>4134</v>
      </c>
      <c r="J11092" s="556">
        <f t="shared" si="365"/>
        <v>0</v>
      </c>
    </row>
    <row r="11093" spans="6:10" hidden="1" x14ac:dyDescent="0.25">
      <c r="F11093" s="418">
        <v>472</v>
      </c>
      <c r="G11093" s="415" t="s">
        <v>3815</v>
      </c>
      <c r="J11093" s="556">
        <f t="shared" si="365"/>
        <v>0</v>
      </c>
    </row>
    <row r="11094" spans="6:10" hidden="1" x14ac:dyDescent="0.25">
      <c r="F11094" s="418">
        <v>481</v>
      </c>
      <c r="G11094" s="415" t="s">
        <v>4153</v>
      </c>
      <c r="J11094" s="556">
        <f t="shared" si="365"/>
        <v>0</v>
      </c>
    </row>
    <row r="11095" spans="6:10" hidden="1" x14ac:dyDescent="0.25">
      <c r="F11095" s="418">
        <v>482</v>
      </c>
      <c r="G11095" s="415" t="s">
        <v>4154</v>
      </c>
      <c r="J11095" s="556">
        <f t="shared" si="365"/>
        <v>0</v>
      </c>
    </row>
    <row r="11096" spans="6:10" hidden="1" x14ac:dyDescent="0.25">
      <c r="F11096" s="418">
        <v>483</v>
      </c>
      <c r="G11096" s="416" t="s">
        <v>4155</v>
      </c>
      <c r="J11096" s="556">
        <f t="shared" si="365"/>
        <v>0</v>
      </c>
    </row>
    <row r="11097" spans="6:10" ht="30" hidden="1" x14ac:dyDescent="0.25">
      <c r="F11097" s="418">
        <v>484</v>
      </c>
      <c r="G11097" s="415" t="s">
        <v>4156</v>
      </c>
      <c r="J11097" s="556">
        <f t="shared" si="365"/>
        <v>0</v>
      </c>
    </row>
    <row r="11098" spans="6:10" ht="30" hidden="1" x14ac:dyDescent="0.25">
      <c r="F11098" s="418">
        <v>485</v>
      </c>
      <c r="G11098" s="415" t="s">
        <v>4157</v>
      </c>
      <c r="J11098" s="556">
        <f t="shared" si="365"/>
        <v>0</v>
      </c>
    </row>
    <row r="11099" spans="6:10" ht="30" hidden="1" x14ac:dyDescent="0.25">
      <c r="F11099" s="418">
        <v>489</v>
      </c>
      <c r="G11099" s="415" t="s">
        <v>3823</v>
      </c>
      <c r="J11099" s="556">
        <f t="shared" si="365"/>
        <v>0</v>
      </c>
    </row>
    <row r="11100" spans="6:10" hidden="1" x14ac:dyDescent="0.25">
      <c r="F11100" s="418">
        <v>494</v>
      </c>
      <c r="G11100" s="415" t="s">
        <v>4135</v>
      </c>
      <c r="J11100" s="556">
        <f t="shared" si="365"/>
        <v>0</v>
      </c>
    </row>
    <row r="11101" spans="6:10" ht="30" hidden="1" x14ac:dyDescent="0.25">
      <c r="F11101" s="418">
        <v>495</v>
      </c>
      <c r="G11101" s="415" t="s">
        <v>4136</v>
      </c>
      <c r="J11101" s="556">
        <f t="shared" si="365"/>
        <v>0</v>
      </c>
    </row>
    <row r="11102" spans="6:10" ht="30" hidden="1" x14ac:dyDescent="0.25">
      <c r="F11102" s="418">
        <v>496</v>
      </c>
      <c r="G11102" s="415" t="s">
        <v>4137</v>
      </c>
      <c r="J11102" s="556">
        <f t="shared" si="365"/>
        <v>0</v>
      </c>
    </row>
    <row r="11103" spans="6:10" ht="30" hidden="1" x14ac:dyDescent="0.25">
      <c r="F11103" s="418">
        <v>499</v>
      </c>
      <c r="G11103" s="415" t="s">
        <v>4138</v>
      </c>
      <c r="J11103" s="556">
        <f t="shared" si="365"/>
        <v>0</v>
      </c>
    </row>
    <row r="11104" spans="6:10" hidden="1" x14ac:dyDescent="0.25">
      <c r="F11104" s="418">
        <v>511</v>
      </c>
      <c r="G11104" s="416" t="s">
        <v>4158</v>
      </c>
      <c r="J11104" s="556">
        <f t="shared" si="365"/>
        <v>0</v>
      </c>
    </row>
    <row r="11105" spans="5:10" hidden="1" x14ac:dyDescent="0.25">
      <c r="F11105" s="418">
        <v>512</v>
      </c>
      <c r="G11105" s="416" t="s">
        <v>4159</v>
      </c>
      <c r="J11105" s="556">
        <f t="shared" si="365"/>
        <v>0</v>
      </c>
    </row>
    <row r="11106" spans="5:10" hidden="1" x14ac:dyDescent="0.25">
      <c r="F11106" s="418">
        <v>513</v>
      </c>
      <c r="G11106" s="416" t="s">
        <v>4160</v>
      </c>
      <c r="J11106" s="556">
        <f t="shared" si="365"/>
        <v>0</v>
      </c>
    </row>
    <row r="11107" spans="5:10" hidden="1" x14ac:dyDescent="0.25">
      <c r="F11107" s="418">
        <v>514</v>
      </c>
      <c r="G11107" s="415" t="s">
        <v>4161</v>
      </c>
      <c r="J11107" s="556">
        <f t="shared" si="365"/>
        <v>0</v>
      </c>
    </row>
    <row r="11108" spans="5:10" hidden="1" x14ac:dyDescent="0.25">
      <c r="F11108" s="418">
        <v>515</v>
      </c>
      <c r="G11108" s="415" t="s">
        <v>3834</v>
      </c>
      <c r="J11108" s="556">
        <f t="shared" si="365"/>
        <v>0</v>
      </c>
    </row>
    <row r="11109" spans="5:10" hidden="1" x14ac:dyDescent="0.25">
      <c r="F11109" s="418">
        <v>521</v>
      </c>
      <c r="G11109" s="415" t="s">
        <v>4162</v>
      </c>
      <c r="J11109" s="556">
        <f t="shared" si="365"/>
        <v>0</v>
      </c>
    </row>
    <row r="11110" spans="5:10" hidden="1" x14ac:dyDescent="0.25">
      <c r="F11110" s="418">
        <v>522</v>
      </c>
      <c r="G11110" s="415" t="s">
        <v>4163</v>
      </c>
      <c r="J11110" s="556">
        <f t="shared" si="365"/>
        <v>0</v>
      </c>
    </row>
    <row r="11111" spans="5:10" hidden="1" x14ac:dyDescent="0.25">
      <c r="F11111" s="418">
        <v>523</v>
      </c>
      <c r="G11111" s="415" t="s">
        <v>3839</v>
      </c>
      <c r="J11111" s="556">
        <f t="shared" si="365"/>
        <v>0</v>
      </c>
    </row>
    <row r="11112" spans="5:10" hidden="1" x14ac:dyDescent="0.25">
      <c r="F11112" s="418">
        <v>531</v>
      </c>
      <c r="G11112" s="413" t="s">
        <v>4139</v>
      </c>
      <c r="J11112" s="556">
        <f t="shared" si="365"/>
        <v>0</v>
      </c>
    </row>
    <row r="11113" spans="5:10" hidden="1" x14ac:dyDescent="0.25">
      <c r="F11113" s="418">
        <v>541</v>
      </c>
      <c r="G11113" s="415" t="s">
        <v>4164</v>
      </c>
      <c r="J11113" s="556">
        <f t="shared" si="365"/>
        <v>0</v>
      </c>
    </row>
    <row r="11114" spans="5:10" hidden="1" x14ac:dyDescent="0.25">
      <c r="F11114" s="418">
        <v>542</v>
      </c>
      <c r="G11114" s="415" t="s">
        <v>4165</v>
      </c>
      <c r="J11114" s="556">
        <f t="shared" si="365"/>
        <v>0</v>
      </c>
    </row>
    <row r="11115" spans="5:10" hidden="1" x14ac:dyDescent="0.25">
      <c r="F11115" s="418">
        <v>543</v>
      </c>
      <c r="G11115" s="415" t="s">
        <v>3844</v>
      </c>
      <c r="J11115" s="556">
        <f t="shared" si="365"/>
        <v>0</v>
      </c>
    </row>
    <row r="11116" spans="5:10" ht="30" hidden="1" x14ac:dyDescent="0.25">
      <c r="F11116" s="418">
        <v>551</v>
      </c>
      <c r="G11116" s="415" t="s">
        <v>4140</v>
      </c>
      <c r="J11116" s="556">
        <f t="shared" si="365"/>
        <v>0</v>
      </c>
    </row>
    <row r="11117" spans="5:10" hidden="1" x14ac:dyDescent="0.25">
      <c r="F11117" s="419">
        <v>611</v>
      </c>
      <c r="G11117" s="417" t="s">
        <v>3850</v>
      </c>
      <c r="H11117" s="559"/>
      <c r="J11117" s="556">
        <f t="shared" si="365"/>
        <v>0</v>
      </c>
    </row>
    <row r="11118" spans="5:10" hidden="1" x14ac:dyDescent="0.25">
      <c r="F11118" s="419">
        <v>620</v>
      </c>
      <c r="G11118" s="417" t="s">
        <v>88</v>
      </c>
      <c r="H11118" s="559"/>
      <c r="J11118" s="556">
        <f t="shared" si="365"/>
        <v>0</v>
      </c>
    </row>
    <row r="11119" spans="5:10" hidden="1" x14ac:dyDescent="0.25">
      <c r="E11119" s="489"/>
      <c r="F11119" s="419"/>
      <c r="G11119" s="343" t="s">
        <v>4356</v>
      </c>
      <c r="H11119" s="557"/>
      <c r="I11119" s="583"/>
      <c r="J11119" s="558"/>
    </row>
    <row r="11120" spans="5:10" hidden="1" x14ac:dyDescent="0.25">
      <c r="E11120" s="693"/>
      <c r="F11120" s="284" t="s">
        <v>234</v>
      </c>
      <c r="G11120" s="287" t="s">
        <v>235</v>
      </c>
      <c r="H11120" s="559">
        <f>SUM(H11059:H11118)</f>
        <v>0</v>
      </c>
      <c r="I11120" s="560"/>
      <c r="J11120" s="560">
        <f t="shared" ref="J11120:J11135" si="366">SUM(H11120:I11120)</f>
        <v>0</v>
      </c>
    </row>
    <row r="11121" spans="6:10" hidden="1" x14ac:dyDescent="0.25">
      <c r="F11121" s="284" t="s">
        <v>236</v>
      </c>
      <c r="G11121" s="287" t="s">
        <v>237</v>
      </c>
      <c r="J11121" s="560">
        <f t="shared" si="366"/>
        <v>0</v>
      </c>
    </row>
    <row r="11122" spans="6:10" hidden="1" x14ac:dyDescent="0.25">
      <c r="F11122" s="284" t="s">
        <v>238</v>
      </c>
      <c r="G11122" s="287" t="s">
        <v>239</v>
      </c>
      <c r="J11122" s="560">
        <f t="shared" si="366"/>
        <v>0</v>
      </c>
    </row>
    <row r="11123" spans="6:10" hidden="1" x14ac:dyDescent="0.25">
      <c r="F11123" s="284" t="s">
        <v>240</v>
      </c>
      <c r="G11123" s="287" t="s">
        <v>241</v>
      </c>
      <c r="J11123" s="560">
        <f t="shared" si="366"/>
        <v>0</v>
      </c>
    </row>
    <row r="11124" spans="6:10" hidden="1" x14ac:dyDescent="0.25">
      <c r="F11124" s="284" t="s">
        <v>242</v>
      </c>
      <c r="G11124" s="287" t="s">
        <v>243</v>
      </c>
      <c r="J11124" s="560">
        <f t="shared" si="366"/>
        <v>0</v>
      </c>
    </row>
    <row r="11125" spans="6:10" hidden="1" x14ac:dyDescent="0.25">
      <c r="F11125" s="284" t="s">
        <v>244</v>
      </c>
      <c r="G11125" s="287" t="s">
        <v>245</v>
      </c>
      <c r="J11125" s="560">
        <f t="shared" si="366"/>
        <v>0</v>
      </c>
    </row>
    <row r="11126" spans="6:10" hidden="1" x14ac:dyDescent="0.25">
      <c r="F11126" s="284" t="s">
        <v>246</v>
      </c>
      <c r="G11126" s="598" t="s">
        <v>4996</v>
      </c>
      <c r="J11126" s="560">
        <f t="shared" si="366"/>
        <v>0</v>
      </c>
    </row>
    <row r="11127" spans="6:10" hidden="1" x14ac:dyDescent="0.25">
      <c r="F11127" s="284" t="s">
        <v>247</v>
      </c>
      <c r="G11127" s="598" t="s">
        <v>4995</v>
      </c>
      <c r="J11127" s="560">
        <f t="shared" si="366"/>
        <v>0</v>
      </c>
    </row>
    <row r="11128" spans="6:10" hidden="1" x14ac:dyDescent="0.25">
      <c r="F11128" s="284" t="s">
        <v>248</v>
      </c>
      <c r="G11128" s="287" t="s">
        <v>57</v>
      </c>
      <c r="J11128" s="560">
        <f t="shared" si="366"/>
        <v>0</v>
      </c>
    </row>
    <row r="11129" spans="6:10" hidden="1" x14ac:dyDescent="0.25">
      <c r="F11129" s="284" t="s">
        <v>249</v>
      </c>
      <c r="G11129" s="287" t="s">
        <v>250</v>
      </c>
      <c r="J11129" s="560">
        <f t="shared" si="366"/>
        <v>0</v>
      </c>
    </row>
    <row r="11130" spans="6:10" hidden="1" x14ac:dyDescent="0.25">
      <c r="F11130" s="284" t="s">
        <v>251</v>
      </c>
      <c r="G11130" s="287" t="s">
        <v>252</v>
      </c>
      <c r="J11130" s="560">
        <f t="shared" si="366"/>
        <v>0</v>
      </c>
    </row>
    <row r="11131" spans="6:10" ht="30" hidden="1" x14ac:dyDescent="0.25">
      <c r="F11131" s="284" t="s">
        <v>253</v>
      </c>
      <c r="G11131" s="287" t="s">
        <v>254</v>
      </c>
      <c r="J11131" s="560">
        <f t="shared" si="366"/>
        <v>0</v>
      </c>
    </row>
    <row r="11132" spans="6:10" hidden="1" x14ac:dyDescent="0.25">
      <c r="F11132" s="284" t="s">
        <v>255</v>
      </c>
      <c r="G11132" s="287" t="s">
        <v>256</v>
      </c>
      <c r="J11132" s="560">
        <f t="shared" si="366"/>
        <v>0</v>
      </c>
    </row>
    <row r="11133" spans="6:10" ht="30" hidden="1" x14ac:dyDescent="0.25">
      <c r="F11133" s="284" t="s">
        <v>257</v>
      </c>
      <c r="G11133" s="287" t="s">
        <v>258</v>
      </c>
      <c r="J11133" s="560">
        <f t="shared" si="366"/>
        <v>0</v>
      </c>
    </row>
    <row r="11134" spans="6:10" hidden="1" x14ac:dyDescent="0.25">
      <c r="F11134" s="284" t="s">
        <v>259</v>
      </c>
      <c r="G11134" s="287" t="s">
        <v>260</v>
      </c>
      <c r="J11134" s="560">
        <f t="shared" si="366"/>
        <v>0</v>
      </c>
    </row>
    <row r="11135" spans="6:10" hidden="1" x14ac:dyDescent="0.25">
      <c r="F11135" s="284" t="s">
        <v>261</v>
      </c>
      <c r="G11135" s="287" t="s">
        <v>262</v>
      </c>
      <c r="H11135" s="559"/>
      <c r="I11135" s="560"/>
      <c r="J11135" s="560">
        <f t="shared" si="366"/>
        <v>0</v>
      </c>
    </row>
    <row r="11136" spans="6:10" ht="15.75" hidden="1" thickBot="1" x14ac:dyDescent="0.3">
      <c r="G11136" s="268" t="s">
        <v>4357</v>
      </c>
      <c r="H11136" s="561">
        <f>SUM(H11120:H11135)</f>
        <v>0</v>
      </c>
      <c r="I11136" s="562">
        <f>SUM(I11121:I11135)</f>
        <v>0</v>
      </c>
      <c r="J11136" s="562">
        <f>SUM(J11120:J11135)</f>
        <v>0</v>
      </c>
    </row>
    <row r="11137" spans="5:10" ht="28.5" hidden="1" collapsed="1" x14ac:dyDescent="0.25">
      <c r="E11137" s="489"/>
      <c r="F11137" s="419"/>
      <c r="G11137" s="270" t="s">
        <v>4358</v>
      </c>
      <c r="H11137" s="563"/>
      <c r="I11137" s="584"/>
      <c r="J11137" s="564"/>
    </row>
    <row r="11138" spans="5:10" hidden="1" x14ac:dyDescent="0.25">
      <c r="E11138" s="693"/>
      <c r="F11138" s="284" t="s">
        <v>234</v>
      </c>
      <c r="G11138" s="287" t="s">
        <v>235</v>
      </c>
      <c r="H11138" s="559">
        <f>SUM(H11059:H11118)</f>
        <v>0</v>
      </c>
      <c r="I11138" s="560"/>
      <c r="J11138" s="560">
        <f>SUM(H11138:I11138)</f>
        <v>0</v>
      </c>
    </row>
    <row r="11139" spans="5:10" hidden="1" x14ac:dyDescent="0.25">
      <c r="F11139" s="284" t="s">
        <v>236</v>
      </c>
      <c r="G11139" s="287" t="s">
        <v>237</v>
      </c>
      <c r="J11139" s="560">
        <f t="shared" ref="J11139:J11153" si="367">SUM(H11139:I11139)</f>
        <v>0</v>
      </c>
    </row>
    <row r="11140" spans="5:10" hidden="1" x14ac:dyDescent="0.25">
      <c r="F11140" s="284" t="s">
        <v>238</v>
      </c>
      <c r="G11140" s="287" t="s">
        <v>239</v>
      </c>
      <c r="J11140" s="560">
        <f t="shared" si="367"/>
        <v>0</v>
      </c>
    </row>
    <row r="11141" spans="5:10" hidden="1" x14ac:dyDescent="0.25">
      <c r="F11141" s="284" t="s">
        <v>240</v>
      </c>
      <c r="G11141" s="287" t="s">
        <v>241</v>
      </c>
      <c r="J11141" s="560">
        <f t="shared" si="367"/>
        <v>0</v>
      </c>
    </row>
    <row r="11142" spans="5:10" hidden="1" x14ac:dyDescent="0.25">
      <c r="F11142" s="284" t="s">
        <v>242</v>
      </c>
      <c r="G11142" s="287" t="s">
        <v>243</v>
      </c>
      <c r="J11142" s="560">
        <f t="shared" si="367"/>
        <v>0</v>
      </c>
    </row>
    <row r="11143" spans="5:10" hidden="1" x14ac:dyDescent="0.25">
      <c r="F11143" s="284" t="s">
        <v>244</v>
      </c>
      <c r="G11143" s="287" t="s">
        <v>245</v>
      </c>
      <c r="J11143" s="560">
        <f t="shared" si="367"/>
        <v>0</v>
      </c>
    </row>
    <row r="11144" spans="5:10" hidden="1" x14ac:dyDescent="0.25">
      <c r="F11144" s="284" t="s">
        <v>246</v>
      </c>
      <c r="G11144" s="598" t="s">
        <v>4996</v>
      </c>
      <c r="J11144" s="560">
        <f t="shared" si="367"/>
        <v>0</v>
      </c>
    </row>
    <row r="11145" spans="5:10" hidden="1" x14ac:dyDescent="0.25">
      <c r="F11145" s="284" t="s">
        <v>247</v>
      </c>
      <c r="G11145" s="598" t="s">
        <v>4995</v>
      </c>
      <c r="J11145" s="560">
        <f t="shared" si="367"/>
        <v>0</v>
      </c>
    </row>
    <row r="11146" spans="5:10" hidden="1" x14ac:dyDescent="0.25">
      <c r="F11146" s="284" t="s">
        <v>248</v>
      </c>
      <c r="G11146" s="287" t="s">
        <v>57</v>
      </c>
      <c r="J11146" s="560">
        <f t="shared" si="367"/>
        <v>0</v>
      </c>
    </row>
    <row r="11147" spans="5:10" hidden="1" x14ac:dyDescent="0.25">
      <c r="F11147" s="284" t="s">
        <v>249</v>
      </c>
      <c r="G11147" s="287" t="s">
        <v>250</v>
      </c>
      <c r="J11147" s="560">
        <f t="shared" si="367"/>
        <v>0</v>
      </c>
    </row>
    <row r="11148" spans="5:10" hidden="1" x14ac:dyDescent="0.25">
      <c r="F11148" s="284" t="s">
        <v>251</v>
      </c>
      <c r="G11148" s="287" t="s">
        <v>252</v>
      </c>
      <c r="J11148" s="560">
        <f t="shared" si="367"/>
        <v>0</v>
      </c>
    </row>
    <row r="11149" spans="5:10" ht="30" hidden="1" x14ac:dyDescent="0.25">
      <c r="F11149" s="284" t="s">
        <v>253</v>
      </c>
      <c r="G11149" s="287" t="s">
        <v>254</v>
      </c>
      <c r="J11149" s="560">
        <f t="shared" si="367"/>
        <v>0</v>
      </c>
    </row>
    <row r="11150" spans="5:10" hidden="1" x14ac:dyDescent="0.25">
      <c r="F11150" s="284" t="s">
        <v>255</v>
      </c>
      <c r="G11150" s="287" t="s">
        <v>256</v>
      </c>
      <c r="J11150" s="560">
        <f t="shared" si="367"/>
        <v>0</v>
      </c>
    </row>
    <row r="11151" spans="5:10" ht="30" hidden="1" x14ac:dyDescent="0.25">
      <c r="F11151" s="284" t="s">
        <v>257</v>
      </c>
      <c r="G11151" s="287" t="s">
        <v>258</v>
      </c>
      <c r="J11151" s="560">
        <f t="shared" si="367"/>
        <v>0</v>
      </c>
    </row>
    <row r="11152" spans="5:10" hidden="1" x14ac:dyDescent="0.25">
      <c r="F11152" s="284" t="s">
        <v>259</v>
      </c>
      <c r="G11152" s="287" t="s">
        <v>260</v>
      </c>
      <c r="J11152" s="560">
        <f t="shared" si="367"/>
        <v>0</v>
      </c>
    </row>
    <row r="11153" spans="3:10" hidden="1" x14ac:dyDescent="0.25">
      <c r="F11153" s="284" t="s">
        <v>261</v>
      </c>
      <c r="G11153" s="287" t="s">
        <v>262</v>
      </c>
      <c r="H11153" s="559"/>
      <c r="I11153" s="560"/>
      <c r="J11153" s="560">
        <f t="shared" si="367"/>
        <v>0</v>
      </c>
    </row>
    <row r="11154" spans="3:10" ht="15.75" hidden="1" collapsed="1" thickBot="1" x14ac:dyDescent="0.3">
      <c r="G11154" s="268" t="s">
        <v>4359</v>
      </c>
      <c r="H11154" s="561">
        <f>SUM(H11138:H11153)</f>
        <v>0</v>
      </c>
      <c r="I11154" s="562">
        <f>SUM(I11139:I11153)</f>
        <v>0</v>
      </c>
      <c r="J11154" s="562">
        <f>SUM(J11138:J11153)</f>
        <v>0</v>
      </c>
    </row>
    <row r="11155" spans="3:10" hidden="1" x14ac:dyDescent="0.25"/>
    <row r="11156" spans="3:10" hidden="1" x14ac:dyDescent="0.25">
      <c r="C11156" s="267" t="s">
        <v>4090</v>
      </c>
      <c r="D11156" s="259"/>
      <c r="G11156" s="423" t="s">
        <v>4196</v>
      </c>
    </row>
    <row r="11157" spans="3:10" hidden="1" x14ac:dyDescent="0.25">
      <c r="C11157" s="267"/>
      <c r="D11157" s="331">
        <v>820</v>
      </c>
      <c r="E11157" s="869"/>
      <c r="F11157" s="331"/>
      <c r="G11157" s="332" t="s">
        <v>207</v>
      </c>
    </row>
    <row r="11158" spans="3:10" hidden="1" x14ac:dyDescent="0.25">
      <c r="F11158" s="426">
        <v>411</v>
      </c>
      <c r="G11158" s="422" t="s">
        <v>4131</v>
      </c>
      <c r="J11158" s="556">
        <f>SUM(H11158:I11158)</f>
        <v>0</v>
      </c>
    </row>
    <row r="11159" spans="3:10" hidden="1" x14ac:dyDescent="0.25">
      <c r="F11159" s="426">
        <v>412</v>
      </c>
      <c r="G11159" s="420" t="s">
        <v>3766</v>
      </c>
      <c r="J11159" s="556">
        <f t="shared" ref="J11159:J11217" si="368">SUM(H11159:I11159)</f>
        <v>0</v>
      </c>
    </row>
    <row r="11160" spans="3:10" hidden="1" x14ac:dyDescent="0.25">
      <c r="F11160" s="426">
        <v>413</v>
      </c>
      <c r="G11160" s="422" t="s">
        <v>4132</v>
      </c>
      <c r="J11160" s="556">
        <f t="shared" si="368"/>
        <v>0</v>
      </c>
    </row>
    <row r="11161" spans="3:10" hidden="1" x14ac:dyDescent="0.25">
      <c r="F11161" s="426">
        <v>414</v>
      </c>
      <c r="G11161" s="422" t="s">
        <v>3769</v>
      </c>
      <c r="J11161" s="556">
        <f t="shared" si="368"/>
        <v>0</v>
      </c>
    </row>
    <row r="11162" spans="3:10" hidden="1" x14ac:dyDescent="0.25">
      <c r="F11162" s="426">
        <v>415</v>
      </c>
      <c r="G11162" s="422" t="s">
        <v>4141</v>
      </c>
      <c r="J11162" s="556">
        <f t="shared" si="368"/>
        <v>0</v>
      </c>
    </row>
    <row r="11163" spans="3:10" hidden="1" x14ac:dyDescent="0.25">
      <c r="F11163" s="426">
        <v>416</v>
      </c>
      <c r="G11163" s="422" t="s">
        <v>4142</v>
      </c>
      <c r="J11163" s="556">
        <f t="shared" si="368"/>
        <v>0</v>
      </c>
    </row>
    <row r="11164" spans="3:10" hidden="1" x14ac:dyDescent="0.25">
      <c r="F11164" s="426">
        <v>417</v>
      </c>
      <c r="G11164" s="422" t="s">
        <v>4143</v>
      </c>
      <c r="J11164" s="556">
        <f t="shared" si="368"/>
        <v>0</v>
      </c>
    </row>
    <row r="11165" spans="3:10" hidden="1" x14ac:dyDescent="0.25">
      <c r="F11165" s="426">
        <v>418</v>
      </c>
      <c r="G11165" s="422" t="s">
        <v>3775</v>
      </c>
      <c r="J11165" s="556">
        <f t="shared" si="368"/>
        <v>0</v>
      </c>
    </row>
    <row r="11166" spans="3:10" hidden="1" x14ac:dyDescent="0.25">
      <c r="F11166" s="426">
        <v>421</v>
      </c>
      <c r="G11166" s="422" t="s">
        <v>3779</v>
      </c>
      <c r="J11166" s="556">
        <f t="shared" si="368"/>
        <v>0</v>
      </c>
    </row>
    <row r="11167" spans="3:10" hidden="1" x14ac:dyDescent="0.25">
      <c r="F11167" s="426">
        <v>422</v>
      </c>
      <c r="G11167" s="422" t="s">
        <v>3780</v>
      </c>
      <c r="J11167" s="556">
        <f t="shared" si="368"/>
        <v>0</v>
      </c>
    </row>
    <row r="11168" spans="3:10" hidden="1" x14ac:dyDescent="0.25">
      <c r="F11168" s="426">
        <v>423</v>
      </c>
      <c r="G11168" s="422" t="s">
        <v>3781</v>
      </c>
      <c r="J11168" s="556">
        <f t="shared" si="368"/>
        <v>0</v>
      </c>
    </row>
    <row r="11169" spans="6:10" hidden="1" x14ac:dyDescent="0.25">
      <c r="F11169" s="426">
        <v>424</v>
      </c>
      <c r="G11169" s="422" t="s">
        <v>3783</v>
      </c>
      <c r="J11169" s="556">
        <f t="shared" si="368"/>
        <v>0</v>
      </c>
    </row>
    <row r="11170" spans="6:10" hidden="1" x14ac:dyDescent="0.25">
      <c r="F11170" s="426">
        <v>425</v>
      </c>
      <c r="G11170" s="422" t="s">
        <v>4144</v>
      </c>
      <c r="J11170" s="556">
        <f t="shared" si="368"/>
        <v>0</v>
      </c>
    </row>
    <row r="11171" spans="6:10" hidden="1" x14ac:dyDescent="0.25">
      <c r="F11171" s="426">
        <v>426</v>
      </c>
      <c r="G11171" s="422" t="s">
        <v>3787</v>
      </c>
      <c r="J11171" s="556">
        <f t="shared" si="368"/>
        <v>0</v>
      </c>
    </row>
    <row r="11172" spans="6:10" hidden="1" x14ac:dyDescent="0.25">
      <c r="F11172" s="426">
        <v>431</v>
      </c>
      <c r="G11172" s="422" t="s">
        <v>4145</v>
      </c>
      <c r="J11172" s="556">
        <f t="shared" si="368"/>
        <v>0</v>
      </c>
    </row>
    <row r="11173" spans="6:10" hidden="1" x14ac:dyDescent="0.25">
      <c r="F11173" s="426">
        <v>432</v>
      </c>
      <c r="G11173" s="422" t="s">
        <v>4146</v>
      </c>
      <c r="J11173" s="556">
        <f t="shared" si="368"/>
        <v>0</v>
      </c>
    </row>
    <row r="11174" spans="6:10" hidden="1" x14ac:dyDescent="0.25">
      <c r="F11174" s="426">
        <v>433</v>
      </c>
      <c r="G11174" s="422" t="s">
        <v>4147</v>
      </c>
      <c r="J11174" s="556">
        <f t="shared" si="368"/>
        <v>0</v>
      </c>
    </row>
    <row r="11175" spans="6:10" hidden="1" x14ac:dyDescent="0.25">
      <c r="F11175" s="426">
        <v>434</v>
      </c>
      <c r="G11175" s="422" t="s">
        <v>4148</v>
      </c>
      <c r="J11175" s="556">
        <f t="shared" si="368"/>
        <v>0</v>
      </c>
    </row>
    <row r="11176" spans="6:10" hidden="1" x14ac:dyDescent="0.25">
      <c r="F11176" s="426">
        <v>435</v>
      </c>
      <c r="G11176" s="422" t="s">
        <v>3794</v>
      </c>
      <c r="J11176" s="556">
        <f t="shared" si="368"/>
        <v>0</v>
      </c>
    </row>
    <row r="11177" spans="6:10" hidden="1" x14ac:dyDescent="0.25">
      <c r="F11177" s="426">
        <v>441</v>
      </c>
      <c r="G11177" s="422" t="s">
        <v>4149</v>
      </c>
      <c r="J11177" s="556">
        <f t="shared" si="368"/>
        <v>0</v>
      </c>
    </row>
    <row r="11178" spans="6:10" hidden="1" x14ac:dyDescent="0.25">
      <c r="F11178" s="426">
        <v>442</v>
      </c>
      <c r="G11178" s="422" t="s">
        <v>4150</v>
      </c>
      <c r="J11178" s="556">
        <f t="shared" si="368"/>
        <v>0</v>
      </c>
    </row>
    <row r="11179" spans="6:10" hidden="1" x14ac:dyDescent="0.25">
      <c r="F11179" s="426">
        <v>443</v>
      </c>
      <c r="G11179" s="422" t="s">
        <v>3799</v>
      </c>
      <c r="J11179" s="556">
        <f t="shared" si="368"/>
        <v>0</v>
      </c>
    </row>
    <row r="11180" spans="6:10" hidden="1" x14ac:dyDescent="0.25">
      <c r="F11180" s="426">
        <v>444</v>
      </c>
      <c r="G11180" s="422" t="s">
        <v>3800</v>
      </c>
      <c r="J11180" s="556">
        <f t="shared" si="368"/>
        <v>0</v>
      </c>
    </row>
    <row r="11181" spans="6:10" ht="30" hidden="1" x14ac:dyDescent="0.25">
      <c r="F11181" s="426">
        <v>4511</v>
      </c>
      <c r="G11181" s="263" t="s">
        <v>1690</v>
      </c>
      <c r="J11181" s="556">
        <f t="shared" si="368"/>
        <v>0</v>
      </c>
    </row>
    <row r="11182" spans="6:10" ht="30" hidden="1" x14ac:dyDescent="0.25">
      <c r="F11182" s="426">
        <v>4512</v>
      </c>
      <c r="G11182" s="263" t="s">
        <v>1699</v>
      </c>
      <c r="J11182" s="556">
        <f t="shared" si="368"/>
        <v>0</v>
      </c>
    </row>
    <row r="11183" spans="6:10" hidden="1" x14ac:dyDescent="0.25">
      <c r="F11183" s="426">
        <v>452</v>
      </c>
      <c r="G11183" s="422" t="s">
        <v>4151</v>
      </c>
      <c r="J11183" s="556">
        <f t="shared" si="368"/>
        <v>0</v>
      </c>
    </row>
    <row r="11184" spans="6:10" hidden="1" x14ac:dyDescent="0.25">
      <c r="F11184" s="426">
        <v>453</v>
      </c>
      <c r="G11184" s="422" t="s">
        <v>4152</v>
      </c>
      <c r="J11184" s="556">
        <f t="shared" si="368"/>
        <v>0</v>
      </c>
    </row>
    <row r="11185" spans="6:10" hidden="1" x14ac:dyDescent="0.25">
      <c r="F11185" s="426">
        <v>454</v>
      </c>
      <c r="G11185" s="422" t="s">
        <v>3805</v>
      </c>
      <c r="J11185" s="556">
        <f t="shared" si="368"/>
        <v>0</v>
      </c>
    </row>
    <row r="11186" spans="6:10" hidden="1" x14ac:dyDescent="0.25">
      <c r="F11186" s="426">
        <v>461</v>
      </c>
      <c r="G11186" s="422" t="s">
        <v>4133</v>
      </c>
      <c r="J11186" s="556">
        <f t="shared" si="368"/>
        <v>0</v>
      </c>
    </row>
    <row r="11187" spans="6:10" hidden="1" x14ac:dyDescent="0.25">
      <c r="F11187" s="426">
        <v>462</v>
      </c>
      <c r="G11187" s="422" t="s">
        <v>3808</v>
      </c>
      <c r="J11187" s="556">
        <f t="shared" si="368"/>
        <v>0</v>
      </c>
    </row>
    <row r="11188" spans="6:10" hidden="1" x14ac:dyDescent="0.25">
      <c r="F11188" s="426">
        <v>4631</v>
      </c>
      <c r="G11188" s="422" t="s">
        <v>3809</v>
      </c>
      <c r="J11188" s="556">
        <f t="shared" si="368"/>
        <v>0</v>
      </c>
    </row>
    <row r="11189" spans="6:10" hidden="1" x14ac:dyDescent="0.25">
      <c r="F11189" s="426">
        <v>4632</v>
      </c>
      <c r="G11189" s="422" t="s">
        <v>3810</v>
      </c>
      <c r="J11189" s="556">
        <f t="shared" si="368"/>
        <v>0</v>
      </c>
    </row>
    <row r="11190" spans="6:10" hidden="1" x14ac:dyDescent="0.25">
      <c r="F11190" s="426">
        <v>464</v>
      </c>
      <c r="G11190" s="422" t="s">
        <v>3811</v>
      </c>
      <c r="J11190" s="556">
        <f t="shared" si="368"/>
        <v>0</v>
      </c>
    </row>
    <row r="11191" spans="6:10" hidden="1" x14ac:dyDescent="0.25">
      <c r="F11191" s="426">
        <v>465</v>
      </c>
      <c r="G11191" s="422" t="s">
        <v>4134</v>
      </c>
      <c r="J11191" s="556">
        <f t="shared" si="368"/>
        <v>0</v>
      </c>
    </row>
    <row r="11192" spans="6:10" hidden="1" x14ac:dyDescent="0.25">
      <c r="F11192" s="426">
        <v>472</v>
      </c>
      <c r="G11192" s="422" t="s">
        <v>3815</v>
      </c>
      <c r="J11192" s="556">
        <f t="shared" si="368"/>
        <v>0</v>
      </c>
    </row>
    <row r="11193" spans="6:10" hidden="1" x14ac:dyDescent="0.25">
      <c r="F11193" s="426">
        <v>481</v>
      </c>
      <c r="G11193" s="422" t="s">
        <v>4153</v>
      </c>
      <c r="J11193" s="556">
        <f t="shared" si="368"/>
        <v>0</v>
      </c>
    </row>
    <row r="11194" spans="6:10" hidden="1" x14ac:dyDescent="0.25">
      <c r="F11194" s="426">
        <v>482</v>
      </c>
      <c r="G11194" s="422" t="s">
        <v>4154</v>
      </c>
      <c r="J11194" s="556">
        <f t="shared" si="368"/>
        <v>0</v>
      </c>
    </row>
    <row r="11195" spans="6:10" hidden="1" x14ac:dyDescent="0.25">
      <c r="F11195" s="426">
        <v>483</v>
      </c>
      <c r="G11195" s="424" t="s">
        <v>4155</v>
      </c>
      <c r="J11195" s="556">
        <f t="shared" si="368"/>
        <v>0</v>
      </c>
    </row>
    <row r="11196" spans="6:10" ht="30" hidden="1" x14ac:dyDescent="0.25">
      <c r="F11196" s="426">
        <v>484</v>
      </c>
      <c r="G11196" s="422" t="s">
        <v>4156</v>
      </c>
      <c r="J11196" s="556">
        <f t="shared" si="368"/>
        <v>0</v>
      </c>
    </row>
    <row r="11197" spans="6:10" ht="30" hidden="1" x14ac:dyDescent="0.25">
      <c r="F11197" s="426">
        <v>485</v>
      </c>
      <c r="G11197" s="422" t="s">
        <v>4157</v>
      </c>
      <c r="J11197" s="556">
        <f t="shared" si="368"/>
        <v>0</v>
      </c>
    </row>
    <row r="11198" spans="6:10" ht="30" hidden="1" x14ac:dyDescent="0.25">
      <c r="F11198" s="426">
        <v>489</v>
      </c>
      <c r="G11198" s="422" t="s">
        <v>3823</v>
      </c>
      <c r="J11198" s="556">
        <f t="shared" si="368"/>
        <v>0</v>
      </c>
    </row>
    <row r="11199" spans="6:10" hidden="1" x14ac:dyDescent="0.25">
      <c r="F11199" s="426">
        <v>494</v>
      </c>
      <c r="G11199" s="422" t="s">
        <v>4135</v>
      </c>
      <c r="J11199" s="556">
        <f t="shared" si="368"/>
        <v>0</v>
      </c>
    </row>
    <row r="11200" spans="6:10" ht="30" hidden="1" x14ac:dyDescent="0.25">
      <c r="F11200" s="426">
        <v>495</v>
      </c>
      <c r="G11200" s="422" t="s">
        <v>4136</v>
      </c>
      <c r="J11200" s="556">
        <f t="shared" si="368"/>
        <v>0</v>
      </c>
    </row>
    <row r="11201" spans="6:10" ht="30" hidden="1" x14ac:dyDescent="0.25">
      <c r="F11201" s="426">
        <v>496</v>
      </c>
      <c r="G11201" s="422" t="s">
        <v>4137</v>
      </c>
      <c r="J11201" s="556">
        <f t="shared" si="368"/>
        <v>0</v>
      </c>
    </row>
    <row r="11202" spans="6:10" ht="30" hidden="1" x14ac:dyDescent="0.25">
      <c r="F11202" s="426">
        <v>499</v>
      </c>
      <c r="G11202" s="422" t="s">
        <v>4138</v>
      </c>
      <c r="J11202" s="556">
        <f t="shared" si="368"/>
        <v>0</v>
      </c>
    </row>
    <row r="11203" spans="6:10" hidden="1" x14ac:dyDescent="0.25">
      <c r="F11203" s="426">
        <v>511</v>
      </c>
      <c r="G11203" s="424" t="s">
        <v>4158</v>
      </c>
      <c r="J11203" s="556">
        <f t="shared" si="368"/>
        <v>0</v>
      </c>
    </row>
    <row r="11204" spans="6:10" hidden="1" x14ac:dyDescent="0.25">
      <c r="F11204" s="426">
        <v>512</v>
      </c>
      <c r="G11204" s="424" t="s">
        <v>4159</v>
      </c>
      <c r="J11204" s="556">
        <f t="shared" si="368"/>
        <v>0</v>
      </c>
    </row>
    <row r="11205" spans="6:10" hidden="1" x14ac:dyDescent="0.25">
      <c r="F11205" s="426">
        <v>513</v>
      </c>
      <c r="G11205" s="424" t="s">
        <v>4160</v>
      </c>
      <c r="J11205" s="556">
        <f t="shared" si="368"/>
        <v>0</v>
      </c>
    </row>
    <row r="11206" spans="6:10" hidden="1" x14ac:dyDescent="0.25">
      <c r="F11206" s="426">
        <v>514</v>
      </c>
      <c r="G11206" s="422" t="s">
        <v>4161</v>
      </c>
      <c r="J11206" s="556">
        <f t="shared" si="368"/>
        <v>0</v>
      </c>
    </row>
    <row r="11207" spans="6:10" hidden="1" x14ac:dyDescent="0.25">
      <c r="F11207" s="426">
        <v>515</v>
      </c>
      <c r="G11207" s="422" t="s">
        <v>3834</v>
      </c>
      <c r="J11207" s="556">
        <f t="shared" si="368"/>
        <v>0</v>
      </c>
    </row>
    <row r="11208" spans="6:10" hidden="1" x14ac:dyDescent="0.25">
      <c r="F11208" s="426">
        <v>521</v>
      </c>
      <c r="G11208" s="422" t="s">
        <v>4162</v>
      </c>
      <c r="J11208" s="556">
        <f t="shared" si="368"/>
        <v>0</v>
      </c>
    </row>
    <row r="11209" spans="6:10" hidden="1" x14ac:dyDescent="0.25">
      <c r="F11209" s="426">
        <v>522</v>
      </c>
      <c r="G11209" s="422" t="s">
        <v>4163</v>
      </c>
      <c r="J11209" s="556">
        <f t="shared" si="368"/>
        <v>0</v>
      </c>
    </row>
    <row r="11210" spans="6:10" hidden="1" x14ac:dyDescent="0.25">
      <c r="F11210" s="426">
        <v>523</v>
      </c>
      <c r="G11210" s="422" t="s">
        <v>3839</v>
      </c>
      <c r="J11210" s="556">
        <f t="shared" si="368"/>
        <v>0</v>
      </c>
    </row>
    <row r="11211" spans="6:10" hidden="1" x14ac:dyDescent="0.25">
      <c r="F11211" s="426">
        <v>531</v>
      </c>
      <c r="G11211" s="420" t="s">
        <v>4139</v>
      </c>
      <c r="J11211" s="556">
        <f t="shared" si="368"/>
        <v>0</v>
      </c>
    </row>
    <row r="11212" spans="6:10" hidden="1" x14ac:dyDescent="0.25">
      <c r="F11212" s="426">
        <v>541</v>
      </c>
      <c r="G11212" s="422" t="s">
        <v>4164</v>
      </c>
      <c r="J11212" s="556">
        <f t="shared" si="368"/>
        <v>0</v>
      </c>
    </row>
    <row r="11213" spans="6:10" hidden="1" x14ac:dyDescent="0.25">
      <c r="F11213" s="426">
        <v>542</v>
      </c>
      <c r="G11213" s="422" t="s">
        <v>4165</v>
      </c>
      <c r="J11213" s="556">
        <f t="shared" si="368"/>
        <v>0</v>
      </c>
    </row>
    <row r="11214" spans="6:10" hidden="1" x14ac:dyDescent="0.25">
      <c r="F11214" s="426">
        <v>543</v>
      </c>
      <c r="G11214" s="422" t="s">
        <v>3844</v>
      </c>
      <c r="J11214" s="556">
        <f t="shared" si="368"/>
        <v>0</v>
      </c>
    </row>
    <row r="11215" spans="6:10" ht="30" hidden="1" x14ac:dyDescent="0.25">
      <c r="F11215" s="426">
        <v>551</v>
      </c>
      <c r="G11215" s="422" t="s">
        <v>4140</v>
      </c>
      <c r="J11215" s="556">
        <f t="shared" si="368"/>
        <v>0</v>
      </c>
    </row>
    <row r="11216" spans="6:10" hidden="1" x14ac:dyDescent="0.25">
      <c r="F11216" s="427">
        <v>611</v>
      </c>
      <c r="G11216" s="425" t="s">
        <v>3850</v>
      </c>
      <c r="H11216" s="559"/>
      <c r="J11216" s="556">
        <f t="shared" si="368"/>
        <v>0</v>
      </c>
    </row>
    <row r="11217" spans="5:10" hidden="1" x14ac:dyDescent="0.25">
      <c r="F11217" s="427">
        <v>620</v>
      </c>
      <c r="G11217" s="425" t="s">
        <v>88</v>
      </c>
      <c r="H11217" s="559"/>
      <c r="J11217" s="556">
        <f t="shared" si="368"/>
        <v>0</v>
      </c>
    </row>
    <row r="11218" spans="5:10" hidden="1" x14ac:dyDescent="0.25">
      <c r="E11218" s="489"/>
      <c r="F11218" s="427"/>
      <c r="G11218" s="342" t="s">
        <v>4356</v>
      </c>
      <c r="H11218" s="557"/>
      <c r="I11218" s="583"/>
      <c r="J11218" s="558"/>
    </row>
    <row r="11219" spans="5:10" hidden="1" x14ac:dyDescent="0.25">
      <c r="E11219" s="693"/>
      <c r="F11219" s="284" t="s">
        <v>234</v>
      </c>
      <c r="G11219" s="287" t="s">
        <v>235</v>
      </c>
      <c r="H11219" s="559">
        <f>SUM(H11158:H11217)</f>
        <v>0</v>
      </c>
      <c r="I11219" s="560"/>
      <c r="J11219" s="560">
        <f>SUM(H11219:I11219)</f>
        <v>0</v>
      </c>
    </row>
    <row r="11220" spans="5:10" hidden="1" x14ac:dyDescent="0.25">
      <c r="F11220" s="284" t="s">
        <v>236</v>
      </c>
      <c r="G11220" s="287" t="s">
        <v>237</v>
      </c>
      <c r="J11220" s="560">
        <f t="shared" ref="J11220:J11234" si="369">SUM(H11220:I11220)</f>
        <v>0</v>
      </c>
    </row>
    <row r="11221" spans="5:10" hidden="1" x14ac:dyDescent="0.25">
      <c r="F11221" s="284" t="s">
        <v>238</v>
      </c>
      <c r="G11221" s="287" t="s">
        <v>239</v>
      </c>
      <c r="J11221" s="560">
        <f t="shared" si="369"/>
        <v>0</v>
      </c>
    </row>
    <row r="11222" spans="5:10" hidden="1" x14ac:dyDescent="0.25">
      <c r="F11222" s="284" t="s">
        <v>240</v>
      </c>
      <c r="G11222" s="287" t="s">
        <v>241</v>
      </c>
      <c r="J11222" s="560">
        <f t="shared" si="369"/>
        <v>0</v>
      </c>
    </row>
    <row r="11223" spans="5:10" hidden="1" x14ac:dyDescent="0.25">
      <c r="F11223" s="284" t="s">
        <v>242</v>
      </c>
      <c r="G11223" s="287" t="s">
        <v>243</v>
      </c>
      <c r="J11223" s="560">
        <f t="shared" si="369"/>
        <v>0</v>
      </c>
    </row>
    <row r="11224" spans="5:10" hidden="1" x14ac:dyDescent="0.25">
      <c r="F11224" s="284" t="s">
        <v>244</v>
      </c>
      <c r="G11224" s="287" t="s">
        <v>245</v>
      </c>
      <c r="J11224" s="560">
        <f t="shared" si="369"/>
        <v>0</v>
      </c>
    </row>
    <row r="11225" spans="5:10" hidden="1" x14ac:dyDescent="0.25">
      <c r="F11225" s="284" t="s">
        <v>246</v>
      </c>
      <c r="G11225" s="598" t="s">
        <v>4996</v>
      </c>
      <c r="J11225" s="560">
        <f t="shared" si="369"/>
        <v>0</v>
      </c>
    </row>
    <row r="11226" spans="5:10" hidden="1" x14ac:dyDescent="0.25">
      <c r="F11226" s="284" t="s">
        <v>247</v>
      </c>
      <c r="G11226" s="598" t="s">
        <v>4995</v>
      </c>
      <c r="J11226" s="560">
        <f t="shared" si="369"/>
        <v>0</v>
      </c>
    </row>
    <row r="11227" spans="5:10" hidden="1" x14ac:dyDescent="0.25">
      <c r="F11227" s="284" t="s">
        <v>248</v>
      </c>
      <c r="G11227" s="287" t="s">
        <v>57</v>
      </c>
      <c r="J11227" s="560">
        <f t="shared" si="369"/>
        <v>0</v>
      </c>
    </row>
    <row r="11228" spans="5:10" hidden="1" x14ac:dyDescent="0.25">
      <c r="F11228" s="284" t="s">
        <v>249</v>
      </c>
      <c r="G11228" s="287" t="s">
        <v>250</v>
      </c>
      <c r="J11228" s="560">
        <f t="shared" si="369"/>
        <v>0</v>
      </c>
    </row>
    <row r="11229" spans="5:10" hidden="1" x14ac:dyDescent="0.25">
      <c r="F11229" s="284" t="s">
        <v>251</v>
      </c>
      <c r="G11229" s="287" t="s">
        <v>252</v>
      </c>
      <c r="J11229" s="560">
        <f t="shared" si="369"/>
        <v>0</v>
      </c>
    </row>
    <row r="11230" spans="5:10" ht="30" hidden="1" x14ac:dyDescent="0.25">
      <c r="F11230" s="284" t="s">
        <v>253</v>
      </c>
      <c r="G11230" s="287" t="s">
        <v>254</v>
      </c>
      <c r="J11230" s="560">
        <f t="shared" si="369"/>
        <v>0</v>
      </c>
    </row>
    <row r="11231" spans="5:10" hidden="1" x14ac:dyDescent="0.25">
      <c r="F11231" s="284" t="s">
        <v>255</v>
      </c>
      <c r="G11231" s="287" t="s">
        <v>256</v>
      </c>
      <c r="J11231" s="560">
        <f t="shared" si="369"/>
        <v>0</v>
      </c>
    </row>
    <row r="11232" spans="5:10" ht="30" hidden="1" x14ac:dyDescent="0.25">
      <c r="F11232" s="284" t="s">
        <v>257</v>
      </c>
      <c r="G11232" s="287" t="s">
        <v>258</v>
      </c>
      <c r="J11232" s="560">
        <f t="shared" si="369"/>
        <v>0</v>
      </c>
    </row>
    <row r="11233" spans="5:10" hidden="1" x14ac:dyDescent="0.25">
      <c r="F11233" s="284" t="s">
        <v>259</v>
      </c>
      <c r="G11233" s="287" t="s">
        <v>260</v>
      </c>
      <c r="J11233" s="560">
        <f t="shared" si="369"/>
        <v>0</v>
      </c>
    </row>
    <row r="11234" spans="5:10" hidden="1" x14ac:dyDescent="0.25">
      <c r="F11234" s="284" t="s">
        <v>261</v>
      </c>
      <c r="G11234" s="287" t="s">
        <v>262</v>
      </c>
      <c r="H11234" s="559"/>
      <c r="I11234" s="560"/>
      <c r="J11234" s="560">
        <f t="shared" si="369"/>
        <v>0</v>
      </c>
    </row>
    <row r="11235" spans="5:10" ht="15.75" hidden="1" thickBot="1" x14ac:dyDescent="0.3">
      <c r="G11235" s="268" t="s">
        <v>4357</v>
      </c>
      <c r="H11235" s="561">
        <f>SUM(H11219:H11234)</f>
        <v>0</v>
      </c>
      <c r="I11235" s="562">
        <f>SUM(I11220:I11234)</f>
        <v>0</v>
      </c>
      <c r="J11235" s="562">
        <f>SUM(J11219:J11234)</f>
        <v>0</v>
      </c>
    </row>
    <row r="11236" spans="5:10" hidden="1" collapsed="1" x14ac:dyDescent="0.25">
      <c r="E11236" s="489"/>
      <c r="F11236" s="427"/>
      <c r="G11236" s="270" t="s">
        <v>4362</v>
      </c>
      <c r="H11236" s="563"/>
      <c r="I11236" s="584"/>
      <c r="J11236" s="564"/>
    </row>
    <row r="11237" spans="5:10" hidden="1" x14ac:dyDescent="0.25">
      <c r="E11237" s="693"/>
      <c r="F11237" s="284" t="s">
        <v>234</v>
      </c>
      <c r="G11237" s="287" t="s">
        <v>235</v>
      </c>
      <c r="H11237" s="559">
        <f>SUM(H11158:H11217)</f>
        <v>0</v>
      </c>
      <c r="I11237" s="560"/>
      <c r="J11237" s="560">
        <f>SUM(H11237:I11237)</f>
        <v>0</v>
      </c>
    </row>
    <row r="11238" spans="5:10" hidden="1" x14ac:dyDescent="0.25">
      <c r="F11238" s="284" t="s">
        <v>236</v>
      </c>
      <c r="G11238" s="287" t="s">
        <v>237</v>
      </c>
      <c r="J11238" s="560">
        <f t="shared" ref="J11238:J11252" si="370">SUM(H11238:I11238)</f>
        <v>0</v>
      </c>
    </row>
    <row r="11239" spans="5:10" hidden="1" x14ac:dyDescent="0.25">
      <c r="F11239" s="284" t="s">
        <v>238</v>
      </c>
      <c r="G11239" s="287" t="s">
        <v>239</v>
      </c>
      <c r="J11239" s="560">
        <f t="shared" si="370"/>
        <v>0</v>
      </c>
    </row>
    <row r="11240" spans="5:10" hidden="1" x14ac:dyDescent="0.25">
      <c r="F11240" s="284" t="s">
        <v>240</v>
      </c>
      <c r="G11240" s="287" t="s">
        <v>241</v>
      </c>
      <c r="J11240" s="560">
        <f t="shared" si="370"/>
        <v>0</v>
      </c>
    </row>
    <row r="11241" spans="5:10" hidden="1" x14ac:dyDescent="0.25">
      <c r="F11241" s="284" t="s">
        <v>242</v>
      </c>
      <c r="G11241" s="287" t="s">
        <v>243</v>
      </c>
      <c r="J11241" s="560">
        <f t="shared" si="370"/>
        <v>0</v>
      </c>
    </row>
    <row r="11242" spans="5:10" hidden="1" x14ac:dyDescent="0.25">
      <c r="F11242" s="284" t="s">
        <v>244</v>
      </c>
      <c r="G11242" s="287" t="s">
        <v>245</v>
      </c>
      <c r="J11242" s="560">
        <f t="shared" si="370"/>
        <v>0</v>
      </c>
    </row>
    <row r="11243" spans="5:10" hidden="1" x14ac:dyDescent="0.25">
      <c r="F11243" s="284" t="s">
        <v>246</v>
      </c>
      <c r="G11243" s="598" t="s">
        <v>4996</v>
      </c>
      <c r="J11243" s="560">
        <f t="shared" si="370"/>
        <v>0</v>
      </c>
    </row>
    <row r="11244" spans="5:10" hidden="1" x14ac:dyDescent="0.25">
      <c r="F11244" s="284" t="s">
        <v>247</v>
      </c>
      <c r="G11244" s="598" t="s">
        <v>4995</v>
      </c>
      <c r="J11244" s="560">
        <f t="shared" si="370"/>
        <v>0</v>
      </c>
    </row>
    <row r="11245" spans="5:10" hidden="1" x14ac:dyDescent="0.25">
      <c r="F11245" s="284" t="s">
        <v>248</v>
      </c>
      <c r="G11245" s="287" t="s">
        <v>57</v>
      </c>
      <c r="J11245" s="560">
        <f t="shared" si="370"/>
        <v>0</v>
      </c>
    </row>
    <row r="11246" spans="5:10" hidden="1" x14ac:dyDescent="0.25">
      <c r="F11246" s="284" t="s">
        <v>249</v>
      </c>
      <c r="G11246" s="287" t="s">
        <v>250</v>
      </c>
      <c r="J11246" s="560">
        <f t="shared" si="370"/>
        <v>0</v>
      </c>
    </row>
    <row r="11247" spans="5:10" hidden="1" x14ac:dyDescent="0.25">
      <c r="F11247" s="284" t="s">
        <v>251</v>
      </c>
      <c r="G11247" s="287" t="s">
        <v>252</v>
      </c>
      <c r="J11247" s="560">
        <f t="shared" si="370"/>
        <v>0</v>
      </c>
    </row>
    <row r="11248" spans="5:10" ht="30" hidden="1" x14ac:dyDescent="0.25">
      <c r="F11248" s="284" t="s">
        <v>253</v>
      </c>
      <c r="G11248" s="287" t="s">
        <v>254</v>
      </c>
      <c r="J11248" s="560">
        <f t="shared" si="370"/>
        <v>0</v>
      </c>
    </row>
    <row r="11249" spans="3:10" hidden="1" x14ac:dyDescent="0.25">
      <c r="F11249" s="284" t="s">
        <v>255</v>
      </c>
      <c r="G11249" s="287" t="s">
        <v>256</v>
      </c>
      <c r="J11249" s="560">
        <f t="shared" si="370"/>
        <v>0</v>
      </c>
    </row>
    <row r="11250" spans="3:10" ht="30" hidden="1" x14ac:dyDescent="0.25">
      <c r="F11250" s="284" t="s">
        <v>257</v>
      </c>
      <c r="G11250" s="287" t="s">
        <v>258</v>
      </c>
      <c r="J11250" s="560">
        <f t="shared" si="370"/>
        <v>0</v>
      </c>
    </row>
    <row r="11251" spans="3:10" hidden="1" x14ac:dyDescent="0.25">
      <c r="F11251" s="284" t="s">
        <v>259</v>
      </c>
      <c r="G11251" s="287" t="s">
        <v>260</v>
      </c>
      <c r="J11251" s="560">
        <f t="shared" si="370"/>
        <v>0</v>
      </c>
    </row>
    <row r="11252" spans="3:10" hidden="1" x14ac:dyDescent="0.25">
      <c r="F11252" s="284" t="s">
        <v>261</v>
      </c>
      <c r="G11252" s="287" t="s">
        <v>262</v>
      </c>
      <c r="H11252" s="559"/>
      <c r="I11252" s="560"/>
      <c r="J11252" s="560">
        <f t="shared" si="370"/>
        <v>0</v>
      </c>
    </row>
    <row r="11253" spans="3:10" ht="15.75" hidden="1" thickBot="1" x14ac:dyDescent="0.3">
      <c r="G11253" s="268" t="s">
        <v>4921</v>
      </c>
      <c r="H11253" s="561">
        <f>SUM(H11237:H11252)</f>
        <v>0</v>
      </c>
      <c r="I11253" s="562">
        <f>SUM(I11238:I11252)</f>
        <v>0</v>
      </c>
      <c r="J11253" s="562">
        <f>SUM(J11237:J11252)</f>
        <v>0</v>
      </c>
    </row>
    <row r="11254" spans="3:10" hidden="1" x14ac:dyDescent="0.25"/>
    <row r="11255" spans="3:10" hidden="1" x14ac:dyDescent="0.25">
      <c r="C11255" s="267" t="s">
        <v>4360</v>
      </c>
      <c r="D11255" s="259"/>
      <c r="G11255" s="423" t="s">
        <v>4196</v>
      </c>
    </row>
    <row r="11256" spans="3:10" hidden="1" x14ac:dyDescent="0.25">
      <c r="C11256" s="267"/>
      <c r="D11256" s="331">
        <v>820</v>
      </c>
      <c r="E11256" s="869"/>
      <c r="F11256" s="331"/>
      <c r="G11256" s="332" t="s">
        <v>207</v>
      </c>
    </row>
    <row r="11257" spans="3:10" hidden="1" x14ac:dyDescent="0.25">
      <c r="F11257" s="426">
        <v>411</v>
      </c>
      <c r="G11257" s="422" t="s">
        <v>4131</v>
      </c>
      <c r="J11257" s="556">
        <f>SUM(H11257:I11257)</f>
        <v>0</v>
      </c>
    </row>
    <row r="11258" spans="3:10" hidden="1" x14ac:dyDescent="0.25">
      <c r="F11258" s="426">
        <v>412</v>
      </c>
      <c r="G11258" s="420" t="s">
        <v>3766</v>
      </c>
      <c r="J11258" s="556">
        <f t="shared" ref="J11258:J11316" si="371">SUM(H11258:I11258)</f>
        <v>0</v>
      </c>
    </row>
    <row r="11259" spans="3:10" hidden="1" x14ac:dyDescent="0.25">
      <c r="F11259" s="426">
        <v>413</v>
      </c>
      <c r="G11259" s="422" t="s">
        <v>4132</v>
      </c>
      <c r="J11259" s="556">
        <f t="shared" si="371"/>
        <v>0</v>
      </c>
    </row>
    <row r="11260" spans="3:10" hidden="1" x14ac:dyDescent="0.25">
      <c r="F11260" s="426">
        <v>414</v>
      </c>
      <c r="G11260" s="422" t="s">
        <v>3769</v>
      </c>
      <c r="J11260" s="556">
        <f t="shared" si="371"/>
        <v>0</v>
      </c>
    </row>
    <row r="11261" spans="3:10" hidden="1" x14ac:dyDescent="0.25">
      <c r="F11261" s="426">
        <v>415</v>
      </c>
      <c r="G11261" s="422" t="s">
        <v>4141</v>
      </c>
      <c r="J11261" s="556">
        <f t="shared" si="371"/>
        <v>0</v>
      </c>
    </row>
    <row r="11262" spans="3:10" hidden="1" x14ac:dyDescent="0.25">
      <c r="F11262" s="426">
        <v>416</v>
      </c>
      <c r="G11262" s="422" t="s">
        <v>4142</v>
      </c>
      <c r="J11262" s="556">
        <f t="shared" si="371"/>
        <v>0</v>
      </c>
    </row>
    <row r="11263" spans="3:10" hidden="1" x14ac:dyDescent="0.25">
      <c r="F11263" s="426">
        <v>417</v>
      </c>
      <c r="G11263" s="422" t="s">
        <v>4143</v>
      </c>
      <c r="J11263" s="556">
        <f t="shared" si="371"/>
        <v>0</v>
      </c>
    </row>
    <row r="11264" spans="3:10" hidden="1" x14ac:dyDescent="0.25">
      <c r="F11264" s="426">
        <v>418</v>
      </c>
      <c r="G11264" s="422" t="s">
        <v>3775</v>
      </c>
      <c r="J11264" s="556">
        <f t="shared" si="371"/>
        <v>0</v>
      </c>
    </row>
    <row r="11265" spans="6:10" hidden="1" x14ac:dyDescent="0.25">
      <c r="F11265" s="426">
        <v>421</v>
      </c>
      <c r="G11265" s="422" t="s">
        <v>3779</v>
      </c>
      <c r="J11265" s="556">
        <f t="shared" si="371"/>
        <v>0</v>
      </c>
    </row>
    <row r="11266" spans="6:10" hidden="1" x14ac:dyDescent="0.25">
      <c r="F11266" s="426">
        <v>422</v>
      </c>
      <c r="G11266" s="422" t="s">
        <v>3780</v>
      </c>
      <c r="J11266" s="556">
        <f t="shared" si="371"/>
        <v>0</v>
      </c>
    </row>
    <row r="11267" spans="6:10" hidden="1" x14ac:dyDescent="0.25">
      <c r="F11267" s="426">
        <v>423</v>
      </c>
      <c r="G11267" s="422" t="s">
        <v>3781</v>
      </c>
      <c r="J11267" s="556">
        <f t="shared" si="371"/>
        <v>0</v>
      </c>
    </row>
    <row r="11268" spans="6:10" hidden="1" x14ac:dyDescent="0.25">
      <c r="F11268" s="426">
        <v>424</v>
      </c>
      <c r="G11268" s="422" t="s">
        <v>3783</v>
      </c>
      <c r="J11268" s="556">
        <f t="shared" si="371"/>
        <v>0</v>
      </c>
    </row>
    <row r="11269" spans="6:10" hidden="1" x14ac:dyDescent="0.25">
      <c r="F11269" s="426">
        <v>425</v>
      </c>
      <c r="G11269" s="422" t="s">
        <v>4144</v>
      </c>
      <c r="J11269" s="556">
        <f t="shared" si="371"/>
        <v>0</v>
      </c>
    </row>
    <row r="11270" spans="6:10" hidden="1" x14ac:dyDescent="0.25">
      <c r="F11270" s="426">
        <v>426</v>
      </c>
      <c r="G11270" s="422" t="s">
        <v>3787</v>
      </c>
      <c r="J11270" s="556">
        <f t="shared" si="371"/>
        <v>0</v>
      </c>
    </row>
    <row r="11271" spans="6:10" hidden="1" x14ac:dyDescent="0.25">
      <c r="F11271" s="426">
        <v>431</v>
      </c>
      <c r="G11271" s="422" t="s">
        <v>4145</v>
      </c>
      <c r="J11271" s="556">
        <f t="shared" si="371"/>
        <v>0</v>
      </c>
    </row>
    <row r="11272" spans="6:10" hidden="1" x14ac:dyDescent="0.25">
      <c r="F11272" s="426">
        <v>432</v>
      </c>
      <c r="G11272" s="422" t="s">
        <v>4146</v>
      </c>
      <c r="J11272" s="556">
        <f t="shared" si="371"/>
        <v>0</v>
      </c>
    </row>
    <row r="11273" spans="6:10" hidden="1" x14ac:dyDescent="0.25">
      <c r="F11273" s="426">
        <v>433</v>
      </c>
      <c r="G11273" s="422" t="s">
        <v>4147</v>
      </c>
      <c r="J11273" s="556">
        <f t="shared" si="371"/>
        <v>0</v>
      </c>
    </row>
    <row r="11274" spans="6:10" hidden="1" x14ac:dyDescent="0.25">
      <c r="F11274" s="426">
        <v>434</v>
      </c>
      <c r="G11274" s="422" t="s">
        <v>4148</v>
      </c>
      <c r="J11274" s="556">
        <f t="shared" si="371"/>
        <v>0</v>
      </c>
    </row>
    <row r="11275" spans="6:10" hidden="1" x14ac:dyDescent="0.25">
      <c r="F11275" s="426">
        <v>435</v>
      </c>
      <c r="G11275" s="422" t="s">
        <v>3794</v>
      </c>
      <c r="J11275" s="556">
        <f t="shared" si="371"/>
        <v>0</v>
      </c>
    </row>
    <row r="11276" spans="6:10" hidden="1" x14ac:dyDescent="0.25">
      <c r="F11276" s="426">
        <v>441</v>
      </c>
      <c r="G11276" s="422" t="s">
        <v>4149</v>
      </c>
      <c r="J11276" s="556">
        <f t="shared" si="371"/>
        <v>0</v>
      </c>
    </row>
    <row r="11277" spans="6:10" hidden="1" x14ac:dyDescent="0.25">
      <c r="F11277" s="426">
        <v>442</v>
      </c>
      <c r="G11277" s="422" t="s">
        <v>4150</v>
      </c>
      <c r="J11277" s="556">
        <f t="shared" si="371"/>
        <v>0</v>
      </c>
    </row>
    <row r="11278" spans="6:10" hidden="1" x14ac:dyDescent="0.25">
      <c r="F11278" s="426">
        <v>443</v>
      </c>
      <c r="G11278" s="422" t="s">
        <v>3799</v>
      </c>
      <c r="J11278" s="556">
        <f t="shared" si="371"/>
        <v>0</v>
      </c>
    </row>
    <row r="11279" spans="6:10" hidden="1" x14ac:dyDescent="0.25">
      <c r="F11279" s="426">
        <v>444</v>
      </c>
      <c r="G11279" s="422" t="s">
        <v>3800</v>
      </c>
      <c r="J11279" s="556">
        <f t="shared" si="371"/>
        <v>0</v>
      </c>
    </row>
    <row r="11280" spans="6:10" ht="30" hidden="1" x14ac:dyDescent="0.25">
      <c r="F11280" s="426">
        <v>4511</v>
      </c>
      <c r="G11280" s="263" t="s">
        <v>1690</v>
      </c>
      <c r="J11280" s="556">
        <f t="shared" si="371"/>
        <v>0</v>
      </c>
    </row>
    <row r="11281" spans="6:10" ht="30" hidden="1" x14ac:dyDescent="0.25">
      <c r="F11281" s="426">
        <v>4512</v>
      </c>
      <c r="G11281" s="263" t="s">
        <v>1699</v>
      </c>
      <c r="J11281" s="556">
        <f t="shared" si="371"/>
        <v>0</v>
      </c>
    </row>
    <row r="11282" spans="6:10" hidden="1" x14ac:dyDescent="0.25">
      <c r="F11282" s="426">
        <v>452</v>
      </c>
      <c r="G11282" s="422" t="s">
        <v>4151</v>
      </c>
      <c r="J11282" s="556">
        <f t="shared" si="371"/>
        <v>0</v>
      </c>
    </row>
    <row r="11283" spans="6:10" hidden="1" x14ac:dyDescent="0.25">
      <c r="F11283" s="426">
        <v>453</v>
      </c>
      <c r="G11283" s="422" t="s">
        <v>4152</v>
      </c>
      <c r="J11283" s="556">
        <f t="shared" si="371"/>
        <v>0</v>
      </c>
    </row>
    <row r="11284" spans="6:10" hidden="1" x14ac:dyDescent="0.25">
      <c r="F11284" s="426">
        <v>454</v>
      </c>
      <c r="G11284" s="422" t="s">
        <v>3805</v>
      </c>
      <c r="J11284" s="556">
        <f t="shared" si="371"/>
        <v>0</v>
      </c>
    </row>
    <row r="11285" spans="6:10" hidden="1" x14ac:dyDescent="0.25">
      <c r="F11285" s="426">
        <v>461</v>
      </c>
      <c r="G11285" s="422" t="s">
        <v>4133</v>
      </c>
      <c r="J11285" s="556">
        <f t="shared" si="371"/>
        <v>0</v>
      </c>
    </row>
    <row r="11286" spans="6:10" hidden="1" x14ac:dyDescent="0.25">
      <c r="F11286" s="426">
        <v>462</v>
      </c>
      <c r="G11286" s="422" t="s">
        <v>3808</v>
      </c>
      <c r="J11286" s="556">
        <f t="shared" si="371"/>
        <v>0</v>
      </c>
    </row>
    <row r="11287" spans="6:10" hidden="1" x14ac:dyDescent="0.25">
      <c r="F11287" s="426">
        <v>4631</v>
      </c>
      <c r="G11287" s="422" t="s">
        <v>3809</v>
      </c>
      <c r="J11287" s="556">
        <f t="shared" si="371"/>
        <v>0</v>
      </c>
    </row>
    <row r="11288" spans="6:10" hidden="1" x14ac:dyDescent="0.25">
      <c r="F11288" s="426">
        <v>4632</v>
      </c>
      <c r="G11288" s="422" t="s">
        <v>3810</v>
      </c>
      <c r="J11288" s="556">
        <f t="shared" si="371"/>
        <v>0</v>
      </c>
    </row>
    <row r="11289" spans="6:10" hidden="1" x14ac:dyDescent="0.25">
      <c r="F11289" s="426">
        <v>464</v>
      </c>
      <c r="G11289" s="422" t="s">
        <v>3811</v>
      </c>
      <c r="J11289" s="556">
        <f t="shared" si="371"/>
        <v>0</v>
      </c>
    </row>
    <row r="11290" spans="6:10" hidden="1" x14ac:dyDescent="0.25">
      <c r="F11290" s="426">
        <v>465</v>
      </c>
      <c r="G11290" s="422" t="s">
        <v>4134</v>
      </c>
      <c r="J11290" s="556">
        <f t="shared" si="371"/>
        <v>0</v>
      </c>
    </row>
    <row r="11291" spans="6:10" hidden="1" x14ac:dyDescent="0.25">
      <c r="F11291" s="426">
        <v>472</v>
      </c>
      <c r="G11291" s="422" t="s">
        <v>3815</v>
      </c>
      <c r="J11291" s="556">
        <f t="shared" si="371"/>
        <v>0</v>
      </c>
    </row>
    <row r="11292" spans="6:10" hidden="1" x14ac:dyDescent="0.25">
      <c r="F11292" s="426">
        <v>481</v>
      </c>
      <c r="G11292" s="422" t="s">
        <v>4153</v>
      </c>
      <c r="J11292" s="556">
        <f t="shared" si="371"/>
        <v>0</v>
      </c>
    </row>
    <row r="11293" spans="6:10" hidden="1" x14ac:dyDescent="0.25">
      <c r="F11293" s="426">
        <v>482</v>
      </c>
      <c r="G11293" s="422" t="s">
        <v>4154</v>
      </c>
      <c r="J11293" s="556">
        <f t="shared" si="371"/>
        <v>0</v>
      </c>
    </row>
    <row r="11294" spans="6:10" hidden="1" x14ac:dyDescent="0.25">
      <c r="F11294" s="426">
        <v>483</v>
      </c>
      <c r="G11294" s="424" t="s">
        <v>4155</v>
      </c>
      <c r="J11294" s="556">
        <f t="shared" si="371"/>
        <v>0</v>
      </c>
    </row>
    <row r="11295" spans="6:10" ht="30" hidden="1" x14ac:dyDescent="0.25">
      <c r="F11295" s="426">
        <v>484</v>
      </c>
      <c r="G11295" s="422" t="s">
        <v>4156</v>
      </c>
      <c r="J11295" s="556">
        <f t="shared" si="371"/>
        <v>0</v>
      </c>
    </row>
    <row r="11296" spans="6:10" ht="30" hidden="1" x14ac:dyDescent="0.25">
      <c r="F11296" s="426">
        <v>485</v>
      </c>
      <c r="G11296" s="422" t="s">
        <v>4157</v>
      </c>
      <c r="J11296" s="556">
        <f t="shared" si="371"/>
        <v>0</v>
      </c>
    </row>
    <row r="11297" spans="6:10" ht="30" hidden="1" x14ac:dyDescent="0.25">
      <c r="F11297" s="426">
        <v>489</v>
      </c>
      <c r="G11297" s="422" t="s">
        <v>3823</v>
      </c>
      <c r="J11297" s="556">
        <f t="shared" si="371"/>
        <v>0</v>
      </c>
    </row>
    <row r="11298" spans="6:10" hidden="1" x14ac:dyDescent="0.25">
      <c r="F11298" s="426">
        <v>494</v>
      </c>
      <c r="G11298" s="422" t="s">
        <v>4135</v>
      </c>
      <c r="J11298" s="556">
        <f t="shared" si="371"/>
        <v>0</v>
      </c>
    </row>
    <row r="11299" spans="6:10" ht="30" hidden="1" x14ac:dyDescent="0.25">
      <c r="F11299" s="426">
        <v>495</v>
      </c>
      <c r="G11299" s="422" t="s">
        <v>4136</v>
      </c>
      <c r="J11299" s="556">
        <f t="shared" si="371"/>
        <v>0</v>
      </c>
    </row>
    <row r="11300" spans="6:10" ht="30" hidden="1" x14ac:dyDescent="0.25">
      <c r="F11300" s="426">
        <v>496</v>
      </c>
      <c r="G11300" s="422" t="s">
        <v>4137</v>
      </c>
      <c r="J11300" s="556">
        <f t="shared" si="371"/>
        <v>0</v>
      </c>
    </row>
    <row r="11301" spans="6:10" ht="30" hidden="1" x14ac:dyDescent="0.25">
      <c r="F11301" s="426">
        <v>499</v>
      </c>
      <c r="G11301" s="422" t="s">
        <v>4138</v>
      </c>
      <c r="J11301" s="556">
        <f t="shared" si="371"/>
        <v>0</v>
      </c>
    </row>
    <row r="11302" spans="6:10" hidden="1" x14ac:dyDescent="0.25">
      <c r="F11302" s="426">
        <v>511</v>
      </c>
      <c r="G11302" s="424" t="s">
        <v>4158</v>
      </c>
      <c r="J11302" s="556">
        <f t="shared" si="371"/>
        <v>0</v>
      </c>
    </row>
    <row r="11303" spans="6:10" hidden="1" x14ac:dyDescent="0.25">
      <c r="F11303" s="426">
        <v>512</v>
      </c>
      <c r="G11303" s="424" t="s">
        <v>4159</v>
      </c>
      <c r="J11303" s="556">
        <f t="shared" si="371"/>
        <v>0</v>
      </c>
    </row>
    <row r="11304" spans="6:10" hidden="1" x14ac:dyDescent="0.25">
      <c r="F11304" s="426">
        <v>513</v>
      </c>
      <c r="G11304" s="424" t="s">
        <v>4160</v>
      </c>
      <c r="J11304" s="556">
        <f t="shared" si="371"/>
        <v>0</v>
      </c>
    </row>
    <row r="11305" spans="6:10" hidden="1" x14ac:dyDescent="0.25">
      <c r="F11305" s="426">
        <v>514</v>
      </c>
      <c r="G11305" s="422" t="s">
        <v>4161</v>
      </c>
      <c r="J11305" s="556">
        <f t="shared" si="371"/>
        <v>0</v>
      </c>
    </row>
    <row r="11306" spans="6:10" hidden="1" x14ac:dyDescent="0.25">
      <c r="F11306" s="426">
        <v>515</v>
      </c>
      <c r="G11306" s="422" t="s">
        <v>3834</v>
      </c>
      <c r="J11306" s="556">
        <f t="shared" si="371"/>
        <v>0</v>
      </c>
    </row>
    <row r="11307" spans="6:10" hidden="1" x14ac:dyDescent="0.25">
      <c r="F11307" s="426">
        <v>521</v>
      </c>
      <c r="G11307" s="422" t="s">
        <v>4162</v>
      </c>
      <c r="J11307" s="556">
        <f t="shared" si="371"/>
        <v>0</v>
      </c>
    </row>
    <row r="11308" spans="6:10" hidden="1" x14ac:dyDescent="0.25">
      <c r="F11308" s="426">
        <v>522</v>
      </c>
      <c r="G11308" s="422" t="s">
        <v>4163</v>
      </c>
      <c r="J11308" s="556">
        <f t="shared" si="371"/>
        <v>0</v>
      </c>
    </row>
    <row r="11309" spans="6:10" hidden="1" x14ac:dyDescent="0.25">
      <c r="F11309" s="426">
        <v>523</v>
      </c>
      <c r="G11309" s="422" t="s">
        <v>3839</v>
      </c>
      <c r="J11309" s="556">
        <f t="shared" si="371"/>
        <v>0</v>
      </c>
    </row>
    <row r="11310" spans="6:10" hidden="1" x14ac:dyDescent="0.25">
      <c r="F11310" s="426">
        <v>531</v>
      </c>
      <c r="G11310" s="420" t="s">
        <v>4139</v>
      </c>
      <c r="J11310" s="556">
        <f t="shared" si="371"/>
        <v>0</v>
      </c>
    </row>
    <row r="11311" spans="6:10" hidden="1" x14ac:dyDescent="0.25">
      <c r="F11311" s="426">
        <v>541</v>
      </c>
      <c r="G11311" s="422" t="s">
        <v>4164</v>
      </c>
      <c r="J11311" s="556">
        <f t="shared" si="371"/>
        <v>0</v>
      </c>
    </row>
    <row r="11312" spans="6:10" hidden="1" x14ac:dyDescent="0.25">
      <c r="F11312" s="426">
        <v>542</v>
      </c>
      <c r="G11312" s="422" t="s">
        <v>4165</v>
      </c>
      <c r="J11312" s="556">
        <f t="shared" si="371"/>
        <v>0</v>
      </c>
    </row>
    <row r="11313" spans="5:10" hidden="1" x14ac:dyDescent="0.25">
      <c r="F11313" s="426">
        <v>543</v>
      </c>
      <c r="G11313" s="422" t="s">
        <v>3844</v>
      </c>
      <c r="J11313" s="556">
        <f t="shared" si="371"/>
        <v>0</v>
      </c>
    </row>
    <row r="11314" spans="5:10" ht="30" hidden="1" x14ac:dyDescent="0.25">
      <c r="F11314" s="426">
        <v>551</v>
      </c>
      <c r="G11314" s="422" t="s">
        <v>4140</v>
      </c>
      <c r="J11314" s="556">
        <f t="shared" si="371"/>
        <v>0</v>
      </c>
    </row>
    <row r="11315" spans="5:10" hidden="1" x14ac:dyDescent="0.25">
      <c r="F11315" s="427">
        <v>611</v>
      </c>
      <c r="G11315" s="425" t="s">
        <v>3850</v>
      </c>
      <c r="H11315" s="559"/>
      <c r="J11315" s="556">
        <f t="shared" si="371"/>
        <v>0</v>
      </c>
    </row>
    <row r="11316" spans="5:10" hidden="1" x14ac:dyDescent="0.25">
      <c r="F11316" s="427">
        <v>620</v>
      </c>
      <c r="G11316" s="425" t="s">
        <v>88</v>
      </c>
      <c r="H11316" s="559"/>
      <c r="J11316" s="556">
        <f t="shared" si="371"/>
        <v>0</v>
      </c>
    </row>
    <row r="11317" spans="5:10" hidden="1" x14ac:dyDescent="0.25">
      <c r="E11317" s="489"/>
      <c r="F11317" s="427"/>
      <c r="G11317" s="342" t="s">
        <v>4356</v>
      </c>
      <c r="H11317" s="557"/>
      <c r="I11317" s="583"/>
      <c r="J11317" s="558"/>
    </row>
    <row r="11318" spans="5:10" hidden="1" x14ac:dyDescent="0.25">
      <c r="E11318" s="693"/>
      <c r="F11318" s="284" t="s">
        <v>234</v>
      </c>
      <c r="G11318" s="287" t="s">
        <v>235</v>
      </c>
      <c r="H11318" s="559">
        <f>SUM(H11257:H11316)</f>
        <v>0</v>
      </c>
      <c r="I11318" s="560"/>
      <c r="J11318" s="560">
        <f>SUM(H11318:I11318)</f>
        <v>0</v>
      </c>
    </row>
    <row r="11319" spans="5:10" hidden="1" x14ac:dyDescent="0.25">
      <c r="F11319" s="284" t="s">
        <v>236</v>
      </c>
      <c r="G11319" s="287" t="s">
        <v>237</v>
      </c>
      <c r="J11319" s="560">
        <f t="shared" ref="J11319:J11333" si="372">SUM(H11319:I11319)</f>
        <v>0</v>
      </c>
    </row>
    <row r="11320" spans="5:10" hidden="1" x14ac:dyDescent="0.25">
      <c r="F11320" s="284" t="s">
        <v>238</v>
      </c>
      <c r="G11320" s="287" t="s">
        <v>239</v>
      </c>
      <c r="J11320" s="560">
        <f t="shared" si="372"/>
        <v>0</v>
      </c>
    </row>
    <row r="11321" spans="5:10" hidden="1" x14ac:dyDescent="0.25">
      <c r="F11321" s="284" t="s">
        <v>240</v>
      </c>
      <c r="G11321" s="287" t="s">
        <v>241</v>
      </c>
      <c r="J11321" s="560">
        <f t="shared" si="372"/>
        <v>0</v>
      </c>
    </row>
    <row r="11322" spans="5:10" hidden="1" x14ac:dyDescent="0.25">
      <c r="F11322" s="284" t="s">
        <v>242</v>
      </c>
      <c r="G11322" s="287" t="s">
        <v>243</v>
      </c>
      <c r="J11322" s="560">
        <f t="shared" si="372"/>
        <v>0</v>
      </c>
    </row>
    <row r="11323" spans="5:10" hidden="1" x14ac:dyDescent="0.25">
      <c r="F11323" s="284" t="s">
        <v>244</v>
      </c>
      <c r="G11323" s="287" t="s">
        <v>245</v>
      </c>
      <c r="J11323" s="560">
        <f t="shared" si="372"/>
        <v>0</v>
      </c>
    </row>
    <row r="11324" spans="5:10" hidden="1" x14ac:dyDescent="0.25">
      <c r="F11324" s="284" t="s">
        <v>246</v>
      </c>
      <c r="G11324" s="598" t="s">
        <v>4996</v>
      </c>
      <c r="J11324" s="560">
        <f t="shared" si="372"/>
        <v>0</v>
      </c>
    </row>
    <row r="11325" spans="5:10" hidden="1" x14ac:dyDescent="0.25">
      <c r="F11325" s="284" t="s">
        <v>247</v>
      </c>
      <c r="G11325" s="598" t="s">
        <v>4995</v>
      </c>
      <c r="J11325" s="560">
        <f t="shared" si="372"/>
        <v>0</v>
      </c>
    </row>
    <row r="11326" spans="5:10" hidden="1" x14ac:dyDescent="0.25">
      <c r="F11326" s="284" t="s">
        <v>248</v>
      </c>
      <c r="G11326" s="287" t="s">
        <v>57</v>
      </c>
      <c r="J11326" s="560">
        <f t="shared" si="372"/>
        <v>0</v>
      </c>
    </row>
    <row r="11327" spans="5:10" hidden="1" x14ac:dyDescent="0.25">
      <c r="F11327" s="284" t="s">
        <v>249</v>
      </c>
      <c r="G11327" s="287" t="s">
        <v>250</v>
      </c>
      <c r="J11327" s="560">
        <f t="shared" si="372"/>
        <v>0</v>
      </c>
    </row>
    <row r="11328" spans="5:10" hidden="1" x14ac:dyDescent="0.25">
      <c r="F11328" s="284" t="s">
        <v>251</v>
      </c>
      <c r="G11328" s="287" t="s">
        <v>252</v>
      </c>
      <c r="J11328" s="560">
        <f t="shared" si="372"/>
        <v>0</v>
      </c>
    </row>
    <row r="11329" spans="5:10" ht="30" hidden="1" x14ac:dyDescent="0.25">
      <c r="F11329" s="284" t="s">
        <v>253</v>
      </c>
      <c r="G11329" s="287" t="s">
        <v>254</v>
      </c>
      <c r="J11329" s="560">
        <f t="shared" si="372"/>
        <v>0</v>
      </c>
    </row>
    <row r="11330" spans="5:10" hidden="1" x14ac:dyDescent="0.25">
      <c r="F11330" s="284" t="s">
        <v>255</v>
      </c>
      <c r="G11330" s="287" t="s">
        <v>256</v>
      </c>
      <c r="J11330" s="560">
        <f t="shared" si="372"/>
        <v>0</v>
      </c>
    </row>
    <row r="11331" spans="5:10" ht="30" hidden="1" x14ac:dyDescent="0.25">
      <c r="F11331" s="284" t="s">
        <v>257</v>
      </c>
      <c r="G11331" s="287" t="s">
        <v>258</v>
      </c>
      <c r="J11331" s="560">
        <f t="shared" si="372"/>
        <v>0</v>
      </c>
    </row>
    <row r="11332" spans="5:10" hidden="1" x14ac:dyDescent="0.25">
      <c r="F11332" s="284" t="s">
        <v>259</v>
      </c>
      <c r="G11332" s="287" t="s">
        <v>260</v>
      </c>
      <c r="J11332" s="560">
        <f t="shared" si="372"/>
        <v>0</v>
      </c>
    </row>
    <row r="11333" spans="5:10" hidden="1" x14ac:dyDescent="0.25">
      <c r="F11333" s="284" t="s">
        <v>261</v>
      </c>
      <c r="G11333" s="287" t="s">
        <v>262</v>
      </c>
      <c r="H11333" s="559"/>
      <c r="I11333" s="560"/>
      <c r="J11333" s="560">
        <f t="shared" si="372"/>
        <v>0</v>
      </c>
    </row>
    <row r="11334" spans="5:10" ht="15.75" hidden="1" thickBot="1" x14ac:dyDescent="0.3">
      <c r="G11334" s="268" t="s">
        <v>4357</v>
      </c>
      <c r="H11334" s="561">
        <f>SUM(H11318:H11333)</f>
        <v>0</v>
      </c>
      <c r="I11334" s="562">
        <f>SUM(I11319:I11333)</f>
        <v>0</v>
      </c>
      <c r="J11334" s="562">
        <f>SUM(J11318:J11333)</f>
        <v>0</v>
      </c>
    </row>
    <row r="11335" spans="5:10" hidden="1" collapsed="1" x14ac:dyDescent="0.25">
      <c r="E11335" s="489"/>
      <c r="F11335" s="427"/>
      <c r="G11335" s="270" t="s">
        <v>4363</v>
      </c>
      <c r="H11335" s="563"/>
      <c r="I11335" s="584"/>
      <c r="J11335" s="564"/>
    </row>
    <row r="11336" spans="5:10" hidden="1" x14ac:dyDescent="0.25">
      <c r="E11336" s="693"/>
      <c r="F11336" s="284" t="s">
        <v>234</v>
      </c>
      <c r="G11336" s="287" t="s">
        <v>235</v>
      </c>
      <c r="H11336" s="559">
        <f>SUM(H11257:H11316)</f>
        <v>0</v>
      </c>
      <c r="I11336" s="560"/>
      <c r="J11336" s="560">
        <f>SUM(H11336:I11336)</f>
        <v>0</v>
      </c>
    </row>
    <row r="11337" spans="5:10" hidden="1" x14ac:dyDescent="0.25">
      <c r="F11337" s="284" t="s">
        <v>236</v>
      </c>
      <c r="G11337" s="287" t="s">
        <v>237</v>
      </c>
      <c r="J11337" s="560">
        <f t="shared" ref="J11337:J11351" si="373">SUM(H11337:I11337)</f>
        <v>0</v>
      </c>
    </row>
    <row r="11338" spans="5:10" hidden="1" x14ac:dyDescent="0.25">
      <c r="F11338" s="284" t="s">
        <v>238</v>
      </c>
      <c r="G11338" s="287" t="s">
        <v>239</v>
      </c>
      <c r="J11338" s="560">
        <f t="shared" si="373"/>
        <v>0</v>
      </c>
    </row>
    <row r="11339" spans="5:10" hidden="1" x14ac:dyDescent="0.25">
      <c r="F11339" s="284" t="s">
        <v>240</v>
      </c>
      <c r="G11339" s="287" t="s">
        <v>241</v>
      </c>
      <c r="J11339" s="560">
        <f t="shared" si="373"/>
        <v>0</v>
      </c>
    </row>
    <row r="11340" spans="5:10" hidden="1" x14ac:dyDescent="0.25">
      <c r="F11340" s="284" t="s">
        <v>242</v>
      </c>
      <c r="G11340" s="287" t="s">
        <v>243</v>
      </c>
      <c r="J11340" s="560">
        <f t="shared" si="373"/>
        <v>0</v>
      </c>
    </row>
    <row r="11341" spans="5:10" hidden="1" x14ac:dyDescent="0.25">
      <c r="F11341" s="284" t="s">
        <v>244</v>
      </c>
      <c r="G11341" s="287" t="s">
        <v>245</v>
      </c>
      <c r="J11341" s="560">
        <f t="shared" si="373"/>
        <v>0</v>
      </c>
    </row>
    <row r="11342" spans="5:10" hidden="1" x14ac:dyDescent="0.25">
      <c r="F11342" s="284" t="s">
        <v>246</v>
      </c>
      <c r="G11342" s="598" t="s">
        <v>4996</v>
      </c>
      <c r="J11342" s="560">
        <f t="shared" si="373"/>
        <v>0</v>
      </c>
    </row>
    <row r="11343" spans="5:10" hidden="1" x14ac:dyDescent="0.25">
      <c r="F11343" s="284" t="s">
        <v>247</v>
      </c>
      <c r="G11343" s="598" t="s">
        <v>4995</v>
      </c>
      <c r="J11343" s="560">
        <f t="shared" si="373"/>
        <v>0</v>
      </c>
    </row>
    <row r="11344" spans="5:10" hidden="1" x14ac:dyDescent="0.25">
      <c r="F11344" s="284" t="s">
        <v>248</v>
      </c>
      <c r="G11344" s="287" t="s">
        <v>57</v>
      </c>
      <c r="J11344" s="560">
        <f t="shared" si="373"/>
        <v>0</v>
      </c>
    </row>
    <row r="11345" spans="3:10" hidden="1" x14ac:dyDescent="0.25">
      <c r="F11345" s="284" t="s">
        <v>249</v>
      </c>
      <c r="G11345" s="287" t="s">
        <v>250</v>
      </c>
      <c r="J11345" s="560">
        <f t="shared" si="373"/>
        <v>0</v>
      </c>
    </row>
    <row r="11346" spans="3:10" hidden="1" x14ac:dyDescent="0.25">
      <c r="F11346" s="284" t="s">
        <v>251</v>
      </c>
      <c r="G11346" s="287" t="s">
        <v>252</v>
      </c>
      <c r="J11346" s="560">
        <f t="shared" si="373"/>
        <v>0</v>
      </c>
    </row>
    <row r="11347" spans="3:10" ht="30" hidden="1" x14ac:dyDescent="0.25">
      <c r="F11347" s="284" t="s">
        <v>253</v>
      </c>
      <c r="G11347" s="287" t="s">
        <v>254</v>
      </c>
      <c r="J11347" s="560">
        <f t="shared" si="373"/>
        <v>0</v>
      </c>
    </row>
    <row r="11348" spans="3:10" hidden="1" x14ac:dyDescent="0.25">
      <c r="F11348" s="284" t="s">
        <v>255</v>
      </c>
      <c r="G11348" s="287" t="s">
        <v>256</v>
      </c>
      <c r="J11348" s="560">
        <f t="shared" si="373"/>
        <v>0</v>
      </c>
    </row>
    <row r="11349" spans="3:10" ht="30" hidden="1" x14ac:dyDescent="0.25">
      <c r="F11349" s="284" t="s">
        <v>257</v>
      </c>
      <c r="G11349" s="287" t="s">
        <v>258</v>
      </c>
      <c r="J11349" s="560">
        <f t="shared" si="373"/>
        <v>0</v>
      </c>
    </row>
    <row r="11350" spans="3:10" hidden="1" x14ac:dyDescent="0.25">
      <c r="F11350" s="284" t="s">
        <v>259</v>
      </c>
      <c r="G11350" s="287" t="s">
        <v>260</v>
      </c>
      <c r="J11350" s="560">
        <f t="shared" si="373"/>
        <v>0</v>
      </c>
    </row>
    <row r="11351" spans="3:10" hidden="1" x14ac:dyDescent="0.25">
      <c r="F11351" s="284" t="s">
        <v>261</v>
      </c>
      <c r="G11351" s="287" t="s">
        <v>262</v>
      </c>
      <c r="H11351" s="559"/>
      <c r="I11351" s="560"/>
      <c r="J11351" s="560">
        <f t="shared" si="373"/>
        <v>0</v>
      </c>
    </row>
    <row r="11352" spans="3:10" ht="15.75" hidden="1" thickBot="1" x14ac:dyDescent="0.3">
      <c r="G11352" s="268" t="s">
        <v>4920</v>
      </c>
      <c r="H11352" s="561">
        <f>SUM(H11336:H11351)</f>
        <v>0</v>
      </c>
      <c r="I11352" s="562">
        <f>SUM(I11337:I11351)</f>
        <v>0</v>
      </c>
      <c r="J11352" s="562">
        <f>SUM(J11336:J11351)</f>
        <v>0</v>
      </c>
    </row>
    <row r="11353" spans="3:10" hidden="1" x14ac:dyDescent="0.25"/>
    <row r="11354" spans="3:10" hidden="1" x14ac:dyDescent="0.25">
      <c r="C11354" s="267" t="s">
        <v>4361</v>
      </c>
      <c r="D11354" s="259"/>
      <c r="G11354" s="423" t="s">
        <v>4196</v>
      </c>
    </row>
    <row r="11355" spans="3:10" hidden="1" x14ac:dyDescent="0.25">
      <c r="C11355" s="267"/>
      <c r="D11355" s="331">
        <v>820</v>
      </c>
      <c r="E11355" s="869"/>
      <c r="F11355" s="331"/>
      <c r="G11355" s="332" t="s">
        <v>207</v>
      </c>
    </row>
    <row r="11356" spans="3:10" hidden="1" x14ac:dyDescent="0.25">
      <c r="F11356" s="426">
        <v>411</v>
      </c>
      <c r="G11356" s="422" t="s">
        <v>4131</v>
      </c>
      <c r="J11356" s="556">
        <f>SUM(H11356:I11356)</f>
        <v>0</v>
      </c>
    </row>
    <row r="11357" spans="3:10" hidden="1" x14ac:dyDescent="0.25">
      <c r="F11357" s="426">
        <v>412</v>
      </c>
      <c r="G11357" s="420" t="s">
        <v>3766</v>
      </c>
      <c r="J11357" s="556">
        <f t="shared" ref="J11357:J11415" si="374">SUM(H11357:I11357)</f>
        <v>0</v>
      </c>
    </row>
    <row r="11358" spans="3:10" hidden="1" x14ac:dyDescent="0.25">
      <c r="F11358" s="426">
        <v>413</v>
      </c>
      <c r="G11358" s="422" t="s">
        <v>4132</v>
      </c>
      <c r="J11358" s="556">
        <f t="shared" si="374"/>
        <v>0</v>
      </c>
    </row>
    <row r="11359" spans="3:10" hidden="1" x14ac:dyDescent="0.25">
      <c r="F11359" s="426">
        <v>414</v>
      </c>
      <c r="G11359" s="422" t="s">
        <v>3769</v>
      </c>
      <c r="J11359" s="556">
        <f t="shared" si="374"/>
        <v>0</v>
      </c>
    </row>
    <row r="11360" spans="3:10" hidden="1" x14ac:dyDescent="0.25">
      <c r="F11360" s="426">
        <v>415</v>
      </c>
      <c r="G11360" s="422" t="s">
        <v>4141</v>
      </c>
      <c r="J11360" s="556">
        <f t="shared" si="374"/>
        <v>0</v>
      </c>
    </row>
    <row r="11361" spans="6:10" hidden="1" x14ac:dyDescent="0.25">
      <c r="F11361" s="426">
        <v>416</v>
      </c>
      <c r="G11361" s="422" t="s">
        <v>4142</v>
      </c>
      <c r="J11361" s="556">
        <f t="shared" si="374"/>
        <v>0</v>
      </c>
    </row>
    <row r="11362" spans="6:10" hidden="1" x14ac:dyDescent="0.25">
      <c r="F11362" s="426">
        <v>417</v>
      </c>
      <c r="G11362" s="422" t="s">
        <v>4143</v>
      </c>
      <c r="J11362" s="556">
        <f t="shared" si="374"/>
        <v>0</v>
      </c>
    </row>
    <row r="11363" spans="6:10" hidden="1" x14ac:dyDescent="0.25">
      <c r="F11363" s="426">
        <v>418</v>
      </c>
      <c r="G11363" s="422" t="s">
        <v>3775</v>
      </c>
      <c r="J11363" s="556">
        <f t="shared" si="374"/>
        <v>0</v>
      </c>
    </row>
    <row r="11364" spans="6:10" hidden="1" x14ac:dyDescent="0.25">
      <c r="F11364" s="426">
        <v>421</v>
      </c>
      <c r="G11364" s="422" t="s">
        <v>3779</v>
      </c>
      <c r="J11364" s="556">
        <f t="shared" si="374"/>
        <v>0</v>
      </c>
    </row>
    <row r="11365" spans="6:10" hidden="1" x14ac:dyDescent="0.25">
      <c r="F11365" s="426">
        <v>422</v>
      </c>
      <c r="G11365" s="422" t="s">
        <v>3780</v>
      </c>
      <c r="J11365" s="556">
        <f t="shared" si="374"/>
        <v>0</v>
      </c>
    </row>
    <row r="11366" spans="6:10" hidden="1" x14ac:dyDescent="0.25">
      <c r="F11366" s="426">
        <v>423</v>
      </c>
      <c r="G11366" s="422" t="s">
        <v>3781</v>
      </c>
      <c r="J11366" s="556">
        <f t="shared" si="374"/>
        <v>0</v>
      </c>
    </row>
    <row r="11367" spans="6:10" hidden="1" x14ac:dyDescent="0.25">
      <c r="F11367" s="426">
        <v>424</v>
      </c>
      <c r="G11367" s="422" t="s">
        <v>3783</v>
      </c>
      <c r="J11367" s="556">
        <f t="shared" si="374"/>
        <v>0</v>
      </c>
    </row>
    <row r="11368" spans="6:10" hidden="1" x14ac:dyDescent="0.25">
      <c r="F11368" s="426">
        <v>425</v>
      </c>
      <c r="G11368" s="422" t="s">
        <v>4144</v>
      </c>
      <c r="J11368" s="556">
        <f t="shared" si="374"/>
        <v>0</v>
      </c>
    </row>
    <row r="11369" spans="6:10" hidden="1" x14ac:dyDescent="0.25">
      <c r="F11369" s="426">
        <v>426</v>
      </c>
      <c r="G11369" s="422" t="s">
        <v>3787</v>
      </c>
      <c r="J11369" s="556">
        <f t="shared" si="374"/>
        <v>0</v>
      </c>
    </row>
    <row r="11370" spans="6:10" hidden="1" x14ac:dyDescent="0.25">
      <c r="F11370" s="426">
        <v>431</v>
      </c>
      <c r="G11370" s="422" t="s">
        <v>4145</v>
      </c>
      <c r="J11370" s="556">
        <f t="shared" si="374"/>
        <v>0</v>
      </c>
    </row>
    <row r="11371" spans="6:10" hidden="1" x14ac:dyDescent="0.25">
      <c r="F11371" s="426">
        <v>432</v>
      </c>
      <c r="G11371" s="422" t="s">
        <v>4146</v>
      </c>
      <c r="J11371" s="556">
        <f t="shared" si="374"/>
        <v>0</v>
      </c>
    </row>
    <row r="11372" spans="6:10" hidden="1" x14ac:dyDescent="0.25">
      <c r="F11372" s="426">
        <v>433</v>
      </c>
      <c r="G11372" s="422" t="s">
        <v>4147</v>
      </c>
      <c r="J11372" s="556">
        <f t="shared" si="374"/>
        <v>0</v>
      </c>
    </row>
    <row r="11373" spans="6:10" hidden="1" x14ac:dyDescent="0.25">
      <c r="F11373" s="426">
        <v>434</v>
      </c>
      <c r="G11373" s="422" t="s">
        <v>4148</v>
      </c>
      <c r="J11373" s="556">
        <f t="shared" si="374"/>
        <v>0</v>
      </c>
    </row>
    <row r="11374" spans="6:10" hidden="1" x14ac:dyDescent="0.25">
      <c r="F11374" s="426">
        <v>435</v>
      </c>
      <c r="G11374" s="422" t="s">
        <v>3794</v>
      </c>
      <c r="J11374" s="556">
        <f t="shared" si="374"/>
        <v>0</v>
      </c>
    </row>
    <row r="11375" spans="6:10" hidden="1" x14ac:dyDescent="0.25">
      <c r="F11375" s="426">
        <v>441</v>
      </c>
      <c r="G11375" s="422" t="s">
        <v>4149</v>
      </c>
      <c r="J11375" s="556">
        <f t="shared" si="374"/>
        <v>0</v>
      </c>
    </row>
    <row r="11376" spans="6:10" hidden="1" x14ac:dyDescent="0.25">
      <c r="F11376" s="426">
        <v>442</v>
      </c>
      <c r="G11376" s="422" t="s">
        <v>4150</v>
      </c>
      <c r="J11376" s="556">
        <f t="shared" si="374"/>
        <v>0</v>
      </c>
    </row>
    <row r="11377" spans="6:10" hidden="1" x14ac:dyDescent="0.25">
      <c r="F11377" s="426">
        <v>443</v>
      </c>
      <c r="G11377" s="422" t="s">
        <v>3799</v>
      </c>
      <c r="J11377" s="556">
        <f t="shared" si="374"/>
        <v>0</v>
      </c>
    </row>
    <row r="11378" spans="6:10" hidden="1" x14ac:dyDescent="0.25">
      <c r="F11378" s="426">
        <v>444</v>
      </c>
      <c r="G11378" s="422" t="s">
        <v>3800</v>
      </c>
      <c r="J11378" s="556">
        <f t="shared" si="374"/>
        <v>0</v>
      </c>
    </row>
    <row r="11379" spans="6:10" ht="30" hidden="1" x14ac:dyDescent="0.25">
      <c r="F11379" s="426">
        <v>4511</v>
      </c>
      <c r="G11379" s="263" t="s">
        <v>1690</v>
      </c>
      <c r="J11379" s="556">
        <f t="shared" si="374"/>
        <v>0</v>
      </c>
    </row>
    <row r="11380" spans="6:10" ht="30" hidden="1" x14ac:dyDescent="0.25">
      <c r="F11380" s="426">
        <v>4512</v>
      </c>
      <c r="G11380" s="263" t="s">
        <v>1699</v>
      </c>
      <c r="J11380" s="556">
        <f t="shared" si="374"/>
        <v>0</v>
      </c>
    </row>
    <row r="11381" spans="6:10" hidden="1" x14ac:dyDescent="0.25">
      <c r="F11381" s="426">
        <v>452</v>
      </c>
      <c r="G11381" s="422" t="s">
        <v>4151</v>
      </c>
      <c r="J11381" s="556">
        <f t="shared" si="374"/>
        <v>0</v>
      </c>
    </row>
    <row r="11382" spans="6:10" hidden="1" x14ac:dyDescent="0.25">
      <c r="F11382" s="426">
        <v>453</v>
      </c>
      <c r="G11382" s="422" t="s">
        <v>4152</v>
      </c>
      <c r="J11382" s="556">
        <f t="shared" si="374"/>
        <v>0</v>
      </c>
    </row>
    <row r="11383" spans="6:10" hidden="1" x14ac:dyDescent="0.25">
      <c r="F11383" s="426">
        <v>454</v>
      </c>
      <c r="G11383" s="422" t="s">
        <v>3805</v>
      </c>
      <c r="J11383" s="556">
        <f t="shared" si="374"/>
        <v>0</v>
      </c>
    </row>
    <row r="11384" spans="6:10" hidden="1" x14ac:dyDescent="0.25">
      <c r="F11384" s="426">
        <v>461</v>
      </c>
      <c r="G11384" s="422" t="s">
        <v>4133</v>
      </c>
      <c r="J11384" s="556">
        <f t="shared" si="374"/>
        <v>0</v>
      </c>
    </row>
    <row r="11385" spans="6:10" hidden="1" x14ac:dyDescent="0.25">
      <c r="F11385" s="426">
        <v>462</v>
      </c>
      <c r="G11385" s="422" t="s">
        <v>3808</v>
      </c>
      <c r="J11385" s="556">
        <f t="shared" si="374"/>
        <v>0</v>
      </c>
    </row>
    <row r="11386" spans="6:10" hidden="1" x14ac:dyDescent="0.25">
      <c r="F11386" s="426">
        <v>4631</v>
      </c>
      <c r="G11386" s="422" t="s">
        <v>3809</v>
      </c>
      <c r="J11386" s="556">
        <f t="shared" si="374"/>
        <v>0</v>
      </c>
    </row>
    <row r="11387" spans="6:10" hidden="1" x14ac:dyDescent="0.25">
      <c r="F11387" s="426">
        <v>4632</v>
      </c>
      <c r="G11387" s="422" t="s">
        <v>3810</v>
      </c>
      <c r="J11387" s="556">
        <f t="shared" si="374"/>
        <v>0</v>
      </c>
    </row>
    <row r="11388" spans="6:10" hidden="1" x14ac:dyDescent="0.25">
      <c r="F11388" s="426">
        <v>464</v>
      </c>
      <c r="G11388" s="422" t="s">
        <v>3811</v>
      </c>
      <c r="J11388" s="556">
        <f t="shared" si="374"/>
        <v>0</v>
      </c>
    </row>
    <row r="11389" spans="6:10" hidden="1" x14ac:dyDescent="0.25">
      <c r="F11389" s="426">
        <v>465</v>
      </c>
      <c r="G11389" s="422" t="s">
        <v>4134</v>
      </c>
      <c r="J11389" s="556">
        <f t="shared" si="374"/>
        <v>0</v>
      </c>
    </row>
    <row r="11390" spans="6:10" hidden="1" x14ac:dyDescent="0.25">
      <c r="F11390" s="426">
        <v>472</v>
      </c>
      <c r="G11390" s="422" t="s">
        <v>3815</v>
      </c>
      <c r="J11390" s="556">
        <f t="shared" si="374"/>
        <v>0</v>
      </c>
    </row>
    <row r="11391" spans="6:10" hidden="1" x14ac:dyDescent="0.25">
      <c r="F11391" s="426">
        <v>481</v>
      </c>
      <c r="G11391" s="422" t="s">
        <v>4153</v>
      </c>
      <c r="J11391" s="556">
        <f t="shared" si="374"/>
        <v>0</v>
      </c>
    </row>
    <row r="11392" spans="6:10" hidden="1" x14ac:dyDescent="0.25">
      <c r="F11392" s="426">
        <v>482</v>
      </c>
      <c r="G11392" s="422" t="s">
        <v>4154</v>
      </c>
      <c r="J11392" s="556">
        <f t="shared" si="374"/>
        <v>0</v>
      </c>
    </row>
    <row r="11393" spans="6:10" hidden="1" x14ac:dyDescent="0.25">
      <c r="F11393" s="426">
        <v>483</v>
      </c>
      <c r="G11393" s="424" t="s">
        <v>4155</v>
      </c>
      <c r="J11393" s="556">
        <f t="shared" si="374"/>
        <v>0</v>
      </c>
    </row>
    <row r="11394" spans="6:10" ht="30" hidden="1" x14ac:dyDescent="0.25">
      <c r="F11394" s="426">
        <v>484</v>
      </c>
      <c r="G11394" s="422" t="s">
        <v>4156</v>
      </c>
      <c r="J11394" s="556">
        <f t="shared" si="374"/>
        <v>0</v>
      </c>
    </row>
    <row r="11395" spans="6:10" ht="30" hidden="1" x14ac:dyDescent="0.25">
      <c r="F11395" s="426">
        <v>485</v>
      </c>
      <c r="G11395" s="422" t="s">
        <v>4157</v>
      </c>
      <c r="J11395" s="556">
        <f t="shared" si="374"/>
        <v>0</v>
      </c>
    </row>
    <row r="11396" spans="6:10" ht="30" hidden="1" x14ac:dyDescent="0.25">
      <c r="F11396" s="426">
        <v>489</v>
      </c>
      <c r="G11396" s="422" t="s">
        <v>3823</v>
      </c>
      <c r="J11396" s="556">
        <f t="shared" si="374"/>
        <v>0</v>
      </c>
    </row>
    <row r="11397" spans="6:10" hidden="1" x14ac:dyDescent="0.25">
      <c r="F11397" s="426">
        <v>494</v>
      </c>
      <c r="G11397" s="422" t="s">
        <v>4135</v>
      </c>
      <c r="J11397" s="556">
        <f t="shared" si="374"/>
        <v>0</v>
      </c>
    </row>
    <row r="11398" spans="6:10" ht="30" hidden="1" x14ac:dyDescent="0.25">
      <c r="F11398" s="426">
        <v>495</v>
      </c>
      <c r="G11398" s="422" t="s">
        <v>4136</v>
      </c>
      <c r="J11398" s="556">
        <f t="shared" si="374"/>
        <v>0</v>
      </c>
    </row>
    <row r="11399" spans="6:10" ht="30" hidden="1" x14ac:dyDescent="0.25">
      <c r="F11399" s="426">
        <v>496</v>
      </c>
      <c r="G11399" s="422" t="s">
        <v>4137</v>
      </c>
      <c r="J11399" s="556">
        <f t="shared" si="374"/>
        <v>0</v>
      </c>
    </row>
    <row r="11400" spans="6:10" ht="30" hidden="1" x14ac:dyDescent="0.25">
      <c r="F11400" s="426">
        <v>499</v>
      </c>
      <c r="G11400" s="422" t="s">
        <v>4138</v>
      </c>
      <c r="J11400" s="556">
        <f t="shared" si="374"/>
        <v>0</v>
      </c>
    </row>
    <row r="11401" spans="6:10" hidden="1" x14ac:dyDescent="0.25">
      <c r="F11401" s="426">
        <v>511</v>
      </c>
      <c r="G11401" s="424" t="s">
        <v>4158</v>
      </c>
      <c r="J11401" s="556">
        <f t="shared" si="374"/>
        <v>0</v>
      </c>
    </row>
    <row r="11402" spans="6:10" hidden="1" x14ac:dyDescent="0.25">
      <c r="F11402" s="426">
        <v>512</v>
      </c>
      <c r="G11402" s="424" t="s">
        <v>4159</v>
      </c>
      <c r="J11402" s="556">
        <f t="shared" si="374"/>
        <v>0</v>
      </c>
    </row>
    <row r="11403" spans="6:10" hidden="1" x14ac:dyDescent="0.25">
      <c r="F11403" s="426">
        <v>513</v>
      </c>
      <c r="G11403" s="424" t="s">
        <v>4160</v>
      </c>
      <c r="J11403" s="556">
        <f t="shared" si="374"/>
        <v>0</v>
      </c>
    </row>
    <row r="11404" spans="6:10" hidden="1" x14ac:dyDescent="0.25">
      <c r="F11404" s="426">
        <v>514</v>
      </c>
      <c r="G11404" s="422" t="s">
        <v>4161</v>
      </c>
      <c r="J11404" s="556">
        <f t="shared" si="374"/>
        <v>0</v>
      </c>
    </row>
    <row r="11405" spans="6:10" hidden="1" x14ac:dyDescent="0.25">
      <c r="F11405" s="426">
        <v>515</v>
      </c>
      <c r="G11405" s="422" t="s">
        <v>3834</v>
      </c>
      <c r="J11405" s="556">
        <f t="shared" si="374"/>
        <v>0</v>
      </c>
    </row>
    <row r="11406" spans="6:10" hidden="1" x14ac:dyDescent="0.25">
      <c r="F11406" s="426">
        <v>521</v>
      </c>
      <c r="G11406" s="422" t="s">
        <v>4162</v>
      </c>
      <c r="J11406" s="556">
        <f t="shared" si="374"/>
        <v>0</v>
      </c>
    </row>
    <row r="11407" spans="6:10" hidden="1" x14ac:dyDescent="0.25">
      <c r="F11407" s="426">
        <v>522</v>
      </c>
      <c r="G11407" s="422" t="s">
        <v>4163</v>
      </c>
      <c r="J11407" s="556">
        <f t="shared" si="374"/>
        <v>0</v>
      </c>
    </row>
    <row r="11408" spans="6:10" hidden="1" x14ac:dyDescent="0.25">
      <c r="F11408" s="426">
        <v>523</v>
      </c>
      <c r="G11408" s="422" t="s">
        <v>3839</v>
      </c>
      <c r="J11408" s="556">
        <f t="shared" si="374"/>
        <v>0</v>
      </c>
    </row>
    <row r="11409" spans="5:10" hidden="1" x14ac:dyDescent="0.25">
      <c r="F11409" s="426">
        <v>531</v>
      </c>
      <c r="G11409" s="420" t="s">
        <v>4139</v>
      </c>
      <c r="J11409" s="556">
        <f t="shared" si="374"/>
        <v>0</v>
      </c>
    </row>
    <row r="11410" spans="5:10" hidden="1" x14ac:dyDescent="0.25">
      <c r="F11410" s="426">
        <v>541</v>
      </c>
      <c r="G11410" s="422" t="s">
        <v>4164</v>
      </c>
      <c r="J11410" s="556">
        <f t="shared" si="374"/>
        <v>0</v>
      </c>
    </row>
    <row r="11411" spans="5:10" hidden="1" x14ac:dyDescent="0.25">
      <c r="F11411" s="426">
        <v>542</v>
      </c>
      <c r="G11411" s="422" t="s">
        <v>4165</v>
      </c>
      <c r="J11411" s="556">
        <f t="shared" si="374"/>
        <v>0</v>
      </c>
    </row>
    <row r="11412" spans="5:10" hidden="1" x14ac:dyDescent="0.25">
      <c r="F11412" s="426">
        <v>543</v>
      </c>
      <c r="G11412" s="422" t="s">
        <v>3844</v>
      </c>
      <c r="J11412" s="556">
        <f t="shared" si="374"/>
        <v>0</v>
      </c>
    </row>
    <row r="11413" spans="5:10" ht="30" hidden="1" x14ac:dyDescent="0.25">
      <c r="F11413" s="426">
        <v>551</v>
      </c>
      <c r="G11413" s="422" t="s">
        <v>4140</v>
      </c>
      <c r="J11413" s="556">
        <f t="shared" si="374"/>
        <v>0</v>
      </c>
    </row>
    <row r="11414" spans="5:10" hidden="1" x14ac:dyDescent="0.25">
      <c r="F11414" s="427">
        <v>611</v>
      </c>
      <c r="G11414" s="425" t="s">
        <v>3850</v>
      </c>
      <c r="H11414" s="559"/>
      <c r="J11414" s="556">
        <f t="shared" si="374"/>
        <v>0</v>
      </c>
    </row>
    <row r="11415" spans="5:10" hidden="1" x14ac:dyDescent="0.25">
      <c r="F11415" s="427">
        <v>620</v>
      </c>
      <c r="G11415" s="425" t="s">
        <v>88</v>
      </c>
      <c r="H11415" s="559"/>
      <c r="J11415" s="556">
        <f t="shared" si="374"/>
        <v>0</v>
      </c>
    </row>
    <row r="11416" spans="5:10" hidden="1" x14ac:dyDescent="0.25">
      <c r="E11416" s="489"/>
      <c r="F11416" s="427"/>
      <c r="G11416" s="342" t="s">
        <v>4356</v>
      </c>
      <c r="H11416" s="557"/>
      <c r="I11416" s="583"/>
      <c r="J11416" s="558"/>
    </row>
    <row r="11417" spans="5:10" hidden="1" x14ac:dyDescent="0.25">
      <c r="E11417" s="693"/>
      <c r="F11417" s="284" t="s">
        <v>234</v>
      </c>
      <c r="G11417" s="287" t="s">
        <v>235</v>
      </c>
      <c r="H11417" s="559">
        <f>SUM(H11356:H11415)</f>
        <v>0</v>
      </c>
      <c r="I11417" s="560"/>
      <c r="J11417" s="560">
        <f>SUM(H11417:I11417)</f>
        <v>0</v>
      </c>
    </row>
    <row r="11418" spans="5:10" hidden="1" x14ac:dyDescent="0.25">
      <c r="F11418" s="284" t="s">
        <v>236</v>
      </c>
      <c r="G11418" s="287" t="s">
        <v>237</v>
      </c>
      <c r="J11418" s="560">
        <f t="shared" ref="J11418:J11432" si="375">SUM(H11418:I11418)</f>
        <v>0</v>
      </c>
    </row>
    <row r="11419" spans="5:10" hidden="1" x14ac:dyDescent="0.25">
      <c r="F11419" s="284" t="s">
        <v>238</v>
      </c>
      <c r="G11419" s="287" t="s">
        <v>239</v>
      </c>
      <c r="J11419" s="560">
        <f t="shared" si="375"/>
        <v>0</v>
      </c>
    </row>
    <row r="11420" spans="5:10" hidden="1" x14ac:dyDescent="0.25">
      <c r="F11420" s="284" t="s">
        <v>240</v>
      </c>
      <c r="G11420" s="287" t="s">
        <v>241</v>
      </c>
      <c r="J11420" s="560">
        <f t="shared" si="375"/>
        <v>0</v>
      </c>
    </row>
    <row r="11421" spans="5:10" hidden="1" x14ac:dyDescent="0.25">
      <c r="F11421" s="284" t="s">
        <v>242</v>
      </c>
      <c r="G11421" s="287" t="s">
        <v>243</v>
      </c>
      <c r="J11421" s="560">
        <f t="shared" si="375"/>
        <v>0</v>
      </c>
    </row>
    <row r="11422" spans="5:10" hidden="1" x14ac:dyDescent="0.25">
      <c r="F11422" s="284" t="s">
        <v>244</v>
      </c>
      <c r="G11422" s="287" t="s">
        <v>245</v>
      </c>
      <c r="J11422" s="560">
        <f t="shared" si="375"/>
        <v>0</v>
      </c>
    </row>
    <row r="11423" spans="5:10" hidden="1" x14ac:dyDescent="0.25">
      <c r="F11423" s="284" t="s">
        <v>246</v>
      </c>
      <c r="G11423" s="598" t="s">
        <v>4996</v>
      </c>
      <c r="J11423" s="560">
        <f t="shared" si="375"/>
        <v>0</v>
      </c>
    </row>
    <row r="11424" spans="5:10" hidden="1" x14ac:dyDescent="0.25">
      <c r="F11424" s="284" t="s">
        <v>247</v>
      </c>
      <c r="G11424" s="598" t="s">
        <v>4995</v>
      </c>
      <c r="J11424" s="560">
        <f t="shared" si="375"/>
        <v>0</v>
      </c>
    </row>
    <row r="11425" spans="5:10" hidden="1" x14ac:dyDescent="0.25">
      <c r="F11425" s="284" t="s">
        <v>248</v>
      </c>
      <c r="G11425" s="287" t="s">
        <v>57</v>
      </c>
      <c r="J11425" s="560">
        <f t="shared" si="375"/>
        <v>0</v>
      </c>
    </row>
    <row r="11426" spans="5:10" hidden="1" x14ac:dyDescent="0.25">
      <c r="F11426" s="284" t="s">
        <v>249</v>
      </c>
      <c r="G11426" s="287" t="s">
        <v>250</v>
      </c>
      <c r="J11426" s="560">
        <f t="shared" si="375"/>
        <v>0</v>
      </c>
    </row>
    <row r="11427" spans="5:10" hidden="1" x14ac:dyDescent="0.25">
      <c r="F11427" s="284" t="s">
        <v>251</v>
      </c>
      <c r="G11427" s="287" t="s">
        <v>252</v>
      </c>
      <c r="J11427" s="560">
        <f t="shared" si="375"/>
        <v>0</v>
      </c>
    </row>
    <row r="11428" spans="5:10" ht="30" hidden="1" x14ac:dyDescent="0.25">
      <c r="F11428" s="284" t="s">
        <v>253</v>
      </c>
      <c r="G11428" s="287" t="s">
        <v>254</v>
      </c>
      <c r="J11428" s="560">
        <f t="shared" si="375"/>
        <v>0</v>
      </c>
    </row>
    <row r="11429" spans="5:10" hidden="1" x14ac:dyDescent="0.25">
      <c r="F11429" s="284" t="s">
        <v>255</v>
      </c>
      <c r="G11429" s="287" t="s">
        <v>256</v>
      </c>
      <c r="J11429" s="560">
        <f t="shared" si="375"/>
        <v>0</v>
      </c>
    </row>
    <row r="11430" spans="5:10" ht="30" hidden="1" x14ac:dyDescent="0.25">
      <c r="F11430" s="284" t="s">
        <v>257</v>
      </c>
      <c r="G11430" s="287" t="s">
        <v>258</v>
      </c>
      <c r="J11430" s="560">
        <f t="shared" si="375"/>
        <v>0</v>
      </c>
    </row>
    <row r="11431" spans="5:10" hidden="1" x14ac:dyDescent="0.25">
      <c r="F11431" s="284" t="s">
        <v>259</v>
      </c>
      <c r="G11431" s="287" t="s">
        <v>260</v>
      </c>
      <c r="J11431" s="560">
        <f t="shared" si="375"/>
        <v>0</v>
      </c>
    </row>
    <row r="11432" spans="5:10" hidden="1" x14ac:dyDescent="0.25">
      <c r="F11432" s="284" t="s">
        <v>261</v>
      </c>
      <c r="G11432" s="287" t="s">
        <v>262</v>
      </c>
      <c r="H11432" s="559"/>
      <c r="I11432" s="560"/>
      <c r="J11432" s="560">
        <f t="shared" si="375"/>
        <v>0</v>
      </c>
    </row>
    <row r="11433" spans="5:10" ht="15.75" hidden="1" thickBot="1" x14ac:dyDescent="0.3">
      <c r="G11433" s="268" t="s">
        <v>4357</v>
      </c>
      <c r="H11433" s="561">
        <f>SUM(H11417:H11432)</f>
        <v>0</v>
      </c>
      <c r="I11433" s="562">
        <f>SUM(I11418:I11432)</f>
        <v>0</v>
      </c>
      <c r="J11433" s="562">
        <f>SUM(J11417:J11432)</f>
        <v>0</v>
      </c>
    </row>
    <row r="11434" spans="5:10" hidden="1" collapsed="1" x14ac:dyDescent="0.25">
      <c r="E11434" s="489"/>
      <c r="F11434" s="427"/>
      <c r="G11434" s="270" t="s">
        <v>4364</v>
      </c>
      <c r="H11434" s="563"/>
      <c r="I11434" s="584"/>
      <c r="J11434" s="564"/>
    </row>
    <row r="11435" spans="5:10" hidden="1" x14ac:dyDescent="0.25">
      <c r="E11435" s="693"/>
      <c r="F11435" s="284" t="s">
        <v>234</v>
      </c>
      <c r="G11435" s="287" t="s">
        <v>235</v>
      </c>
      <c r="H11435" s="559">
        <f>SUM(H11356:H11415)</f>
        <v>0</v>
      </c>
      <c r="I11435" s="560"/>
      <c r="J11435" s="560">
        <f>SUM(H11435:I11435)</f>
        <v>0</v>
      </c>
    </row>
    <row r="11436" spans="5:10" hidden="1" x14ac:dyDescent="0.25">
      <c r="F11436" s="284" t="s">
        <v>236</v>
      </c>
      <c r="G11436" s="287" t="s">
        <v>237</v>
      </c>
      <c r="J11436" s="560">
        <f t="shared" ref="J11436:J11450" si="376">SUM(H11436:I11436)</f>
        <v>0</v>
      </c>
    </row>
    <row r="11437" spans="5:10" hidden="1" x14ac:dyDescent="0.25">
      <c r="F11437" s="284" t="s">
        <v>238</v>
      </c>
      <c r="G11437" s="287" t="s">
        <v>239</v>
      </c>
      <c r="J11437" s="560">
        <f t="shared" si="376"/>
        <v>0</v>
      </c>
    </row>
    <row r="11438" spans="5:10" hidden="1" x14ac:dyDescent="0.25">
      <c r="F11438" s="284" t="s">
        <v>240</v>
      </c>
      <c r="G11438" s="287" t="s">
        <v>241</v>
      </c>
      <c r="J11438" s="560">
        <f t="shared" si="376"/>
        <v>0</v>
      </c>
    </row>
    <row r="11439" spans="5:10" hidden="1" x14ac:dyDescent="0.25">
      <c r="F11439" s="284" t="s">
        <v>242</v>
      </c>
      <c r="G11439" s="287" t="s">
        <v>243</v>
      </c>
      <c r="J11439" s="560">
        <f t="shared" si="376"/>
        <v>0</v>
      </c>
    </row>
    <row r="11440" spans="5:10" hidden="1" x14ac:dyDescent="0.25">
      <c r="F11440" s="284" t="s">
        <v>244</v>
      </c>
      <c r="G11440" s="287" t="s">
        <v>245</v>
      </c>
      <c r="J11440" s="560">
        <f t="shared" si="376"/>
        <v>0</v>
      </c>
    </row>
    <row r="11441" spans="1:10" hidden="1" x14ac:dyDescent="0.25">
      <c r="F11441" s="284" t="s">
        <v>246</v>
      </c>
      <c r="G11441" s="598" t="s">
        <v>4996</v>
      </c>
      <c r="J11441" s="560">
        <f t="shared" si="376"/>
        <v>0</v>
      </c>
    </row>
    <row r="11442" spans="1:10" hidden="1" x14ac:dyDescent="0.25">
      <c r="F11442" s="284" t="s">
        <v>247</v>
      </c>
      <c r="G11442" s="598" t="s">
        <v>4995</v>
      </c>
      <c r="J11442" s="560">
        <f t="shared" si="376"/>
        <v>0</v>
      </c>
    </row>
    <row r="11443" spans="1:10" hidden="1" x14ac:dyDescent="0.25">
      <c r="F11443" s="284" t="s">
        <v>248</v>
      </c>
      <c r="G11443" s="287" t="s">
        <v>57</v>
      </c>
      <c r="J11443" s="560">
        <f t="shared" si="376"/>
        <v>0</v>
      </c>
    </row>
    <row r="11444" spans="1:10" hidden="1" x14ac:dyDescent="0.25">
      <c r="F11444" s="284" t="s">
        <v>249</v>
      </c>
      <c r="G11444" s="287" t="s">
        <v>250</v>
      </c>
      <c r="J11444" s="560">
        <f t="shared" si="376"/>
        <v>0</v>
      </c>
    </row>
    <row r="11445" spans="1:10" hidden="1" x14ac:dyDescent="0.25">
      <c r="F11445" s="284" t="s">
        <v>251</v>
      </c>
      <c r="G11445" s="287" t="s">
        <v>252</v>
      </c>
      <c r="J11445" s="560">
        <f t="shared" si="376"/>
        <v>0</v>
      </c>
    </row>
    <row r="11446" spans="1:10" ht="30" hidden="1" x14ac:dyDescent="0.25">
      <c r="F11446" s="284" t="s">
        <v>253</v>
      </c>
      <c r="G11446" s="287" t="s">
        <v>254</v>
      </c>
      <c r="J11446" s="560">
        <f t="shared" si="376"/>
        <v>0</v>
      </c>
    </row>
    <row r="11447" spans="1:10" hidden="1" x14ac:dyDescent="0.25">
      <c r="F11447" s="284" t="s">
        <v>255</v>
      </c>
      <c r="G11447" s="287" t="s">
        <v>256</v>
      </c>
      <c r="J11447" s="560">
        <f t="shared" si="376"/>
        <v>0</v>
      </c>
    </row>
    <row r="11448" spans="1:10" ht="30" hidden="1" x14ac:dyDescent="0.25">
      <c r="F11448" s="284" t="s">
        <v>257</v>
      </c>
      <c r="G11448" s="287" t="s">
        <v>258</v>
      </c>
      <c r="J11448" s="560">
        <f t="shared" si="376"/>
        <v>0</v>
      </c>
    </row>
    <row r="11449" spans="1:10" hidden="1" x14ac:dyDescent="0.25">
      <c r="F11449" s="284" t="s">
        <v>259</v>
      </c>
      <c r="G11449" s="287" t="s">
        <v>260</v>
      </c>
      <c r="J11449" s="560">
        <f t="shared" si="376"/>
        <v>0</v>
      </c>
    </row>
    <row r="11450" spans="1:10" hidden="1" x14ac:dyDescent="0.25">
      <c r="F11450" s="284" t="s">
        <v>261</v>
      </c>
      <c r="G11450" s="287" t="s">
        <v>262</v>
      </c>
      <c r="H11450" s="559"/>
      <c r="I11450" s="560"/>
      <c r="J11450" s="560">
        <f t="shared" si="376"/>
        <v>0</v>
      </c>
    </row>
    <row r="11451" spans="1:10" ht="15.75" hidden="1" thickBot="1" x14ac:dyDescent="0.3">
      <c r="G11451" s="268" t="s">
        <v>4920</v>
      </c>
      <c r="H11451" s="561">
        <f>SUM(H11435:H11450)</f>
        <v>0</v>
      </c>
      <c r="I11451" s="562">
        <f>SUM(I11436:I11450)</f>
        <v>0</v>
      </c>
      <c r="J11451" s="562">
        <f>SUM(J11435:J11450)</f>
        <v>0</v>
      </c>
    </row>
    <row r="11452" spans="1:10" hidden="1" x14ac:dyDescent="0.25"/>
    <row r="11453" spans="1:10" ht="0.75" customHeight="1" x14ac:dyDescent="0.25"/>
    <row r="11454" spans="1:10" hidden="1" x14ac:dyDescent="0.25"/>
    <row r="11455" spans="1:10" hidden="1" x14ac:dyDescent="0.25">
      <c r="B11455" s="429" t="s">
        <v>4281</v>
      </c>
      <c r="C11455" s="428" t="s">
        <v>4001</v>
      </c>
      <c r="D11455" s="430"/>
      <c r="E11455" s="894"/>
      <c r="F11455" s="431"/>
      <c r="G11455" s="432" t="s">
        <v>4264</v>
      </c>
      <c r="H11455" s="593"/>
      <c r="I11455" s="594"/>
      <c r="J11455" s="579"/>
    </row>
    <row r="11456" spans="1:10" ht="16.5" hidden="1" customHeight="1" x14ac:dyDescent="0.25">
      <c r="A11456" s="428">
        <v>4</v>
      </c>
      <c r="C11456" s="267" t="s">
        <v>3593</v>
      </c>
      <c r="G11456" s="454" t="s">
        <v>4262</v>
      </c>
    </row>
    <row r="11457" spans="3:10" hidden="1" x14ac:dyDescent="0.25">
      <c r="C11457" s="267" t="s">
        <v>4089</v>
      </c>
      <c r="D11457" s="259"/>
      <c r="G11457" s="454" t="s">
        <v>4263</v>
      </c>
    </row>
    <row r="11458" spans="3:10" hidden="1" x14ac:dyDescent="0.25">
      <c r="C11458" s="267"/>
      <c r="D11458" s="331">
        <v>820</v>
      </c>
      <c r="E11458" s="869"/>
      <c r="F11458" s="331"/>
      <c r="G11458" s="332" t="s">
        <v>207</v>
      </c>
    </row>
    <row r="11459" spans="3:10" hidden="1" x14ac:dyDescent="0.25">
      <c r="F11459" s="464">
        <v>411</v>
      </c>
      <c r="G11459" s="455" t="s">
        <v>4131</v>
      </c>
      <c r="J11459" s="556">
        <f>SUM(H11459:I11459)</f>
        <v>0</v>
      </c>
    </row>
    <row r="11460" spans="3:10" hidden="1" x14ac:dyDescent="0.25">
      <c r="F11460" s="464">
        <v>412</v>
      </c>
      <c r="G11460" s="453" t="s">
        <v>3766</v>
      </c>
      <c r="J11460" s="556">
        <f t="shared" ref="J11460:J11518" si="377">SUM(H11460:I11460)</f>
        <v>0</v>
      </c>
    </row>
    <row r="11461" spans="3:10" hidden="1" x14ac:dyDescent="0.25">
      <c r="F11461" s="464">
        <v>413</v>
      </c>
      <c r="G11461" s="455" t="s">
        <v>4132</v>
      </c>
      <c r="J11461" s="556">
        <f t="shared" si="377"/>
        <v>0</v>
      </c>
    </row>
    <row r="11462" spans="3:10" hidden="1" x14ac:dyDescent="0.25">
      <c r="F11462" s="464">
        <v>414</v>
      </c>
      <c r="G11462" s="455" t="s">
        <v>3769</v>
      </c>
      <c r="J11462" s="556">
        <f t="shared" si="377"/>
        <v>0</v>
      </c>
    </row>
    <row r="11463" spans="3:10" hidden="1" x14ac:dyDescent="0.25">
      <c r="F11463" s="464">
        <v>415</v>
      </c>
      <c r="G11463" s="455" t="s">
        <v>4141</v>
      </c>
      <c r="J11463" s="556">
        <f t="shared" si="377"/>
        <v>0</v>
      </c>
    </row>
    <row r="11464" spans="3:10" hidden="1" x14ac:dyDescent="0.25">
      <c r="F11464" s="464">
        <v>416</v>
      </c>
      <c r="G11464" s="455" t="s">
        <v>4142</v>
      </c>
      <c r="J11464" s="556">
        <f t="shared" si="377"/>
        <v>0</v>
      </c>
    </row>
    <row r="11465" spans="3:10" hidden="1" x14ac:dyDescent="0.25">
      <c r="F11465" s="464">
        <v>417</v>
      </c>
      <c r="G11465" s="455" t="s">
        <v>4143</v>
      </c>
      <c r="J11465" s="556">
        <f t="shared" si="377"/>
        <v>0</v>
      </c>
    </row>
    <row r="11466" spans="3:10" hidden="1" x14ac:dyDescent="0.25">
      <c r="F11466" s="464">
        <v>418</v>
      </c>
      <c r="G11466" s="455" t="s">
        <v>3775</v>
      </c>
      <c r="J11466" s="556">
        <f t="shared" si="377"/>
        <v>0</v>
      </c>
    </row>
    <row r="11467" spans="3:10" hidden="1" x14ac:dyDescent="0.25">
      <c r="F11467" s="464">
        <v>421</v>
      </c>
      <c r="G11467" s="455" t="s">
        <v>3779</v>
      </c>
      <c r="J11467" s="556">
        <f t="shared" si="377"/>
        <v>0</v>
      </c>
    </row>
    <row r="11468" spans="3:10" hidden="1" x14ac:dyDescent="0.25">
      <c r="F11468" s="464">
        <v>422</v>
      </c>
      <c r="G11468" s="455" t="s">
        <v>3780</v>
      </c>
      <c r="J11468" s="556">
        <f t="shared" si="377"/>
        <v>0</v>
      </c>
    </row>
    <row r="11469" spans="3:10" hidden="1" x14ac:dyDescent="0.25">
      <c r="F11469" s="464">
        <v>423</v>
      </c>
      <c r="G11469" s="455" t="s">
        <v>3781</v>
      </c>
      <c r="J11469" s="556">
        <f t="shared" si="377"/>
        <v>0</v>
      </c>
    </row>
    <row r="11470" spans="3:10" hidden="1" x14ac:dyDescent="0.25">
      <c r="F11470" s="464">
        <v>424</v>
      </c>
      <c r="G11470" s="455" t="s">
        <v>3783</v>
      </c>
      <c r="J11470" s="556">
        <f t="shared" si="377"/>
        <v>0</v>
      </c>
    </row>
    <row r="11471" spans="3:10" hidden="1" x14ac:dyDescent="0.25">
      <c r="F11471" s="464">
        <v>425</v>
      </c>
      <c r="G11471" s="455" t="s">
        <v>4144</v>
      </c>
      <c r="J11471" s="556">
        <f t="shared" si="377"/>
        <v>0</v>
      </c>
    </row>
    <row r="11472" spans="3:10" hidden="1" x14ac:dyDescent="0.25">
      <c r="F11472" s="464">
        <v>426</v>
      </c>
      <c r="G11472" s="455" t="s">
        <v>3787</v>
      </c>
      <c r="J11472" s="556">
        <f t="shared" si="377"/>
        <v>0</v>
      </c>
    </row>
    <row r="11473" spans="6:10" hidden="1" x14ac:dyDescent="0.25">
      <c r="F11473" s="464">
        <v>431</v>
      </c>
      <c r="G11473" s="455" t="s">
        <v>4145</v>
      </c>
      <c r="J11473" s="556">
        <f t="shared" si="377"/>
        <v>0</v>
      </c>
    </row>
    <row r="11474" spans="6:10" hidden="1" x14ac:dyDescent="0.25">
      <c r="F11474" s="464">
        <v>432</v>
      </c>
      <c r="G11474" s="455" t="s">
        <v>4146</v>
      </c>
      <c r="J11474" s="556">
        <f t="shared" si="377"/>
        <v>0</v>
      </c>
    </row>
    <row r="11475" spans="6:10" hidden="1" x14ac:dyDescent="0.25">
      <c r="F11475" s="464">
        <v>433</v>
      </c>
      <c r="G11475" s="455" t="s">
        <v>4147</v>
      </c>
      <c r="J11475" s="556">
        <f t="shared" si="377"/>
        <v>0</v>
      </c>
    </row>
    <row r="11476" spans="6:10" hidden="1" x14ac:dyDescent="0.25">
      <c r="F11476" s="464">
        <v>434</v>
      </c>
      <c r="G11476" s="455" t="s">
        <v>4148</v>
      </c>
      <c r="J11476" s="556">
        <f t="shared" si="377"/>
        <v>0</v>
      </c>
    </row>
    <row r="11477" spans="6:10" hidden="1" x14ac:dyDescent="0.25">
      <c r="F11477" s="464">
        <v>435</v>
      </c>
      <c r="G11477" s="455" t="s">
        <v>3794</v>
      </c>
      <c r="J11477" s="556">
        <f t="shared" si="377"/>
        <v>0</v>
      </c>
    </row>
    <row r="11478" spans="6:10" hidden="1" x14ac:dyDescent="0.25">
      <c r="F11478" s="464">
        <v>441</v>
      </c>
      <c r="G11478" s="455" t="s">
        <v>4149</v>
      </c>
      <c r="J11478" s="556">
        <f t="shared" si="377"/>
        <v>0</v>
      </c>
    </row>
    <row r="11479" spans="6:10" hidden="1" x14ac:dyDescent="0.25">
      <c r="F11479" s="464">
        <v>442</v>
      </c>
      <c r="G11479" s="455" t="s">
        <v>4150</v>
      </c>
      <c r="J11479" s="556">
        <f t="shared" si="377"/>
        <v>0</v>
      </c>
    </row>
    <row r="11480" spans="6:10" hidden="1" x14ac:dyDescent="0.25">
      <c r="F11480" s="464">
        <v>443</v>
      </c>
      <c r="G11480" s="455" t="s">
        <v>3799</v>
      </c>
      <c r="J11480" s="556">
        <f t="shared" si="377"/>
        <v>0</v>
      </c>
    </row>
    <row r="11481" spans="6:10" hidden="1" x14ac:dyDescent="0.25">
      <c r="F11481" s="464">
        <v>444</v>
      </c>
      <c r="G11481" s="455" t="s">
        <v>3800</v>
      </c>
      <c r="J11481" s="556">
        <f t="shared" si="377"/>
        <v>0</v>
      </c>
    </row>
    <row r="11482" spans="6:10" ht="30" hidden="1" x14ac:dyDescent="0.25">
      <c r="F11482" s="464">
        <v>4511</v>
      </c>
      <c r="G11482" s="263" t="s">
        <v>1690</v>
      </c>
      <c r="J11482" s="556">
        <f t="shared" si="377"/>
        <v>0</v>
      </c>
    </row>
    <row r="11483" spans="6:10" ht="19.5" hidden="1" customHeight="1" x14ac:dyDescent="0.25">
      <c r="F11483" s="464">
        <v>4512</v>
      </c>
      <c r="G11483" s="263" t="s">
        <v>1699</v>
      </c>
      <c r="J11483" s="556">
        <f t="shared" si="377"/>
        <v>0</v>
      </c>
    </row>
    <row r="11484" spans="6:10" hidden="1" x14ac:dyDescent="0.25">
      <c r="F11484" s="464">
        <v>452</v>
      </c>
      <c r="G11484" s="455" t="s">
        <v>4151</v>
      </c>
      <c r="J11484" s="556">
        <f t="shared" si="377"/>
        <v>0</v>
      </c>
    </row>
    <row r="11485" spans="6:10" hidden="1" x14ac:dyDescent="0.25">
      <c r="F11485" s="464">
        <v>453</v>
      </c>
      <c r="G11485" s="455" t="s">
        <v>4152</v>
      </c>
      <c r="J11485" s="556">
        <f t="shared" si="377"/>
        <v>0</v>
      </c>
    </row>
    <row r="11486" spans="6:10" hidden="1" x14ac:dyDescent="0.25">
      <c r="F11486" s="464">
        <v>454</v>
      </c>
      <c r="G11486" s="455" t="s">
        <v>3805</v>
      </c>
      <c r="J11486" s="556">
        <f t="shared" si="377"/>
        <v>0</v>
      </c>
    </row>
    <row r="11487" spans="6:10" hidden="1" x14ac:dyDescent="0.25">
      <c r="F11487" s="464">
        <v>461</v>
      </c>
      <c r="G11487" s="455" t="s">
        <v>4133</v>
      </c>
      <c r="J11487" s="556">
        <f t="shared" si="377"/>
        <v>0</v>
      </c>
    </row>
    <row r="11488" spans="6:10" hidden="1" x14ac:dyDescent="0.25">
      <c r="F11488" s="464">
        <v>462</v>
      </c>
      <c r="G11488" s="455" t="s">
        <v>3808</v>
      </c>
      <c r="J11488" s="556">
        <f t="shared" si="377"/>
        <v>0</v>
      </c>
    </row>
    <row r="11489" spans="6:10" hidden="1" x14ac:dyDescent="0.25">
      <c r="F11489" s="464">
        <v>4631</v>
      </c>
      <c r="G11489" s="455" t="s">
        <v>3809</v>
      </c>
      <c r="J11489" s="556">
        <f t="shared" si="377"/>
        <v>0</v>
      </c>
    </row>
    <row r="11490" spans="6:10" hidden="1" x14ac:dyDescent="0.25">
      <c r="F11490" s="464">
        <v>4632</v>
      </c>
      <c r="G11490" s="455" t="s">
        <v>3810</v>
      </c>
      <c r="J11490" s="556">
        <f t="shared" si="377"/>
        <v>0</v>
      </c>
    </row>
    <row r="11491" spans="6:10" hidden="1" x14ac:dyDescent="0.25">
      <c r="F11491" s="464">
        <v>464</v>
      </c>
      <c r="G11491" s="455" t="s">
        <v>3811</v>
      </c>
      <c r="J11491" s="556">
        <f t="shared" si="377"/>
        <v>0</v>
      </c>
    </row>
    <row r="11492" spans="6:10" hidden="1" x14ac:dyDescent="0.25">
      <c r="F11492" s="464">
        <v>465</v>
      </c>
      <c r="G11492" s="455" t="s">
        <v>4134</v>
      </c>
      <c r="J11492" s="556">
        <f t="shared" si="377"/>
        <v>0</v>
      </c>
    </row>
    <row r="11493" spans="6:10" hidden="1" x14ac:dyDescent="0.25">
      <c r="F11493" s="464">
        <v>472</v>
      </c>
      <c r="G11493" s="455" t="s">
        <v>3815</v>
      </c>
      <c r="J11493" s="556">
        <f t="shared" si="377"/>
        <v>0</v>
      </c>
    </row>
    <row r="11494" spans="6:10" hidden="1" x14ac:dyDescent="0.25">
      <c r="F11494" s="464">
        <v>481</v>
      </c>
      <c r="G11494" s="455" t="s">
        <v>4153</v>
      </c>
      <c r="J11494" s="556">
        <f t="shared" si="377"/>
        <v>0</v>
      </c>
    </row>
    <row r="11495" spans="6:10" hidden="1" x14ac:dyDescent="0.25">
      <c r="F11495" s="464">
        <v>482</v>
      </c>
      <c r="G11495" s="455" t="s">
        <v>4154</v>
      </c>
      <c r="J11495" s="556">
        <f t="shared" si="377"/>
        <v>0</v>
      </c>
    </row>
    <row r="11496" spans="6:10" hidden="1" x14ac:dyDescent="0.25">
      <c r="F11496" s="464">
        <v>483</v>
      </c>
      <c r="G11496" s="457" t="s">
        <v>4155</v>
      </c>
      <c r="J11496" s="556">
        <f t="shared" si="377"/>
        <v>0</v>
      </c>
    </row>
    <row r="11497" spans="6:10" ht="30" hidden="1" x14ac:dyDescent="0.25">
      <c r="F11497" s="464">
        <v>484</v>
      </c>
      <c r="G11497" s="455" t="s">
        <v>4156</v>
      </c>
      <c r="J11497" s="556">
        <f t="shared" si="377"/>
        <v>0</v>
      </c>
    </row>
    <row r="11498" spans="6:10" ht="30" hidden="1" x14ac:dyDescent="0.25">
      <c r="F11498" s="464">
        <v>485</v>
      </c>
      <c r="G11498" s="455" t="s">
        <v>4157</v>
      </c>
      <c r="J11498" s="556">
        <f t="shared" si="377"/>
        <v>0</v>
      </c>
    </row>
    <row r="11499" spans="6:10" ht="30" hidden="1" x14ac:dyDescent="0.25">
      <c r="F11499" s="464">
        <v>489</v>
      </c>
      <c r="G11499" s="455" t="s">
        <v>3823</v>
      </c>
      <c r="J11499" s="556">
        <f t="shared" si="377"/>
        <v>0</v>
      </c>
    </row>
    <row r="11500" spans="6:10" hidden="1" x14ac:dyDescent="0.25">
      <c r="F11500" s="464">
        <v>494</v>
      </c>
      <c r="G11500" s="455" t="s">
        <v>4135</v>
      </c>
      <c r="J11500" s="556">
        <f t="shared" si="377"/>
        <v>0</v>
      </c>
    </row>
    <row r="11501" spans="6:10" ht="30" hidden="1" x14ac:dyDescent="0.25">
      <c r="F11501" s="464">
        <v>495</v>
      </c>
      <c r="G11501" s="455" t="s">
        <v>4136</v>
      </c>
      <c r="J11501" s="556">
        <f t="shared" si="377"/>
        <v>0</v>
      </c>
    </row>
    <row r="11502" spans="6:10" ht="30" hidden="1" x14ac:dyDescent="0.25">
      <c r="F11502" s="464">
        <v>496</v>
      </c>
      <c r="G11502" s="455" t="s">
        <v>4137</v>
      </c>
      <c r="J11502" s="556">
        <f t="shared" si="377"/>
        <v>0</v>
      </c>
    </row>
    <row r="11503" spans="6:10" ht="30" hidden="1" x14ac:dyDescent="0.25">
      <c r="F11503" s="464">
        <v>499</v>
      </c>
      <c r="G11503" s="455" t="s">
        <v>4138</v>
      </c>
      <c r="J11503" s="556">
        <f t="shared" si="377"/>
        <v>0</v>
      </c>
    </row>
    <row r="11504" spans="6:10" hidden="1" x14ac:dyDescent="0.25">
      <c r="F11504" s="464">
        <v>511</v>
      </c>
      <c r="G11504" s="457" t="s">
        <v>4158</v>
      </c>
      <c r="J11504" s="556">
        <f t="shared" si="377"/>
        <v>0</v>
      </c>
    </row>
    <row r="11505" spans="5:10" hidden="1" x14ac:dyDescent="0.25">
      <c r="F11505" s="464">
        <v>512</v>
      </c>
      <c r="G11505" s="457" t="s">
        <v>4159</v>
      </c>
      <c r="J11505" s="556">
        <f t="shared" si="377"/>
        <v>0</v>
      </c>
    </row>
    <row r="11506" spans="5:10" hidden="1" x14ac:dyDescent="0.25">
      <c r="F11506" s="464">
        <v>513</v>
      </c>
      <c r="G11506" s="457" t="s">
        <v>4160</v>
      </c>
      <c r="J11506" s="556">
        <f t="shared" si="377"/>
        <v>0</v>
      </c>
    </row>
    <row r="11507" spans="5:10" hidden="1" x14ac:dyDescent="0.25">
      <c r="F11507" s="464">
        <v>514</v>
      </c>
      <c r="G11507" s="455" t="s">
        <v>4161</v>
      </c>
      <c r="J11507" s="556">
        <f t="shared" si="377"/>
        <v>0</v>
      </c>
    </row>
    <row r="11508" spans="5:10" hidden="1" x14ac:dyDescent="0.25">
      <c r="F11508" s="464">
        <v>515</v>
      </c>
      <c r="G11508" s="455" t="s">
        <v>3834</v>
      </c>
      <c r="J11508" s="556">
        <f t="shared" si="377"/>
        <v>0</v>
      </c>
    </row>
    <row r="11509" spans="5:10" hidden="1" x14ac:dyDescent="0.25">
      <c r="F11509" s="464">
        <v>521</v>
      </c>
      <c r="G11509" s="455" t="s">
        <v>4162</v>
      </c>
      <c r="J11509" s="556">
        <f t="shared" si="377"/>
        <v>0</v>
      </c>
    </row>
    <row r="11510" spans="5:10" hidden="1" x14ac:dyDescent="0.25">
      <c r="F11510" s="464">
        <v>522</v>
      </c>
      <c r="G11510" s="455" t="s">
        <v>4163</v>
      </c>
      <c r="J11510" s="556">
        <f t="shared" si="377"/>
        <v>0</v>
      </c>
    </row>
    <row r="11511" spans="5:10" hidden="1" x14ac:dyDescent="0.25">
      <c r="F11511" s="464">
        <v>523</v>
      </c>
      <c r="G11511" s="455" t="s">
        <v>3839</v>
      </c>
      <c r="J11511" s="556">
        <f t="shared" si="377"/>
        <v>0</v>
      </c>
    </row>
    <row r="11512" spans="5:10" hidden="1" x14ac:dyDescent="0.25">
      <c r="F11512" s="464">
        <v>531</v>
      </c>
      <c r="G11512" s="453" t="s">
        <v>4139</v>
      </c>
      <c r="J11512" s="556">
        <f t="shared" si="377"/>
        <v>0</v>
      </c>
    </row>
    <row r="11513" spans="5:10" hidden="1" x14ac:dyDescent="0.25">
      <c r="F11513" s="464">
        <v>541</v>
      </c>
      <c r="G11513" s="455" t="s">
        <v>4164</v>
      </c>
      <c r="J11513" s="556">
        <f t="shared" si="377"/>
        <v>0</v>
      </c>
    </row>
    <row r="11514" spans="5:10" hidden="1" x14ac:dyDescent="0.25">
      <c r="F11514" s="464">
        <v>542</v>
      </c>
      <c r="G11514" s="455" t="s">
        <v>4165</v>
      </c>
      <c r="J11514" s="556">
        <f t="shared" si="377"/>
        <v>0</v>
      </c>
    </row>
    <row r="11515" spans="5:10" hidden="1" x14ac:dyDescent="0.25">
      <c r="F11515" s="464">
        <v>543</v>
      </c>
      <c r="G11515" s="455" t="s">
        <v>3844</v>
      </c>
      <c r="J11515" s="556">
        <f t="shared" si="377"/>
        <v>0</v>
      </c>
    </row>
    <row r="11516" spans="5:10" ht="30" hidden="1" x14ac:dyDescent="0.25">
      <c r="F11516" s="464">
        <v>551</v>
      </c>
      <c r="G11516" s="455" t="s">
        <v>4140</v>
      </c>
      <c r="J11516" s="556">
        <f t="shared" si="377"/>
        <v>0</v>
      </c>
    </row>
    <row r="11517" spans="5:10" hidden="1" x14ac:dyDescent="0.25">
      <c r="F11517" s="465">
        <v>611</v>
      </c>
      <c r="G11517" s="463" t="s">
        <v>3850</v>
      </c>
      <c r="J11517" s="556">
        <f t="shared" si="377"/>
        <v>0</v>
      </c>
    </row>
    <row r="11518" spans="5:10" hidden="1" x14ac:dyDescent="0.25">
      <c r="F11518" s="465">
        <v>620</v>
      </c>
      <c r="G11518" s="463" t="s">
        <v>88</v>
      </c>
      <c r="J11518" s="556">
        <f t="shared" si="377"/>
        <v>0</v>
      </c>
    </row>
    <row r="11519" spans="5:10" hidden="1" x14ac:dyDescent="0.25">
      <c r="E11519" s="489"/>
      <c r="F11519" s="465"/>
      <c r="G11519" s="343" t="s">
        <v>4356</v>
      </c>
      <c r="H11519" s="557"/>
      <c r="I11519" s="583"/>
      <c r="J11519" s="558"/>
    </row>
    <row r="11520" spans="5:10" hidden="1" x14ac:dyDescent="0.25">
      <c r="E11520" s="693"/>
      <c r="F11520" s="284" t="s">
        <v>234</v>
      </c>
      <c r="G11520" s="287" t="s">
        <v>235</v>
      </c>
      <c r="H11520" s="559">
        <f>SUM(H11459:H11518)</f>
        <v>0</v>
      </c>
      <c r="I11520" s="560"/>
      <c r="J11520" s="560">
        <f t="shared" ref="J11520:J11535" si="378">SUM(H11520:I11520)</f>
        <v>0</v>
      </c>
    </row>
    <row r="11521" spans="6:10" hidden="1" x14ac:dyDescent="0.25">
      <c r="F11521" s="284" t="s">
        <v>236</v>
      </c>
      <c r="G11521" s="287" t="s">
        <v>237</v>
      </c>
      <c r="J11521" s="560">
        <f t="shared" si="378"/>
        <v>0</v>
      </c>
    </row>
    <row r="11522" spans="6:10" hidden="1" x14ac:dyDescent="0.25">
      <c r="F11522" s="284" t="s">
        <v>238</v>
      </c>
      <c r="G11522" s="287" t="s">
        <v>239</v>
      </c>
      <c r="J11522" s="560">
        <f t="shared" si="378"/>
        <v>0</v>
      </c>
    </row>
    <row r="11523" spans="6:10" hidden="1" x14ac:dyDescent="0.25">
      <c r="F11523" s="284" t="s">
        <v>240</v>
      </c>
      <c r="G11523" s="287" t="s">
        <v>241</v>
      </c>
      <c r="J11523" s="560">
        <f t="shared" si="378"/>
        <v>0</v>
      </c>
    </row>
    <row r="11524" spans="6:10" hidden="1" x14ac:dyDescent="0.25">
      <c r="F11524" s="284" t="s">
        <v>242</v>
      </c>
      <c r="G11524" s="287" t="s">
        <v>243</v>
      </c>
      <c r="J11524" s="560">
        <f t="shared" si="378"/>
        <v>0</v>
      </c>
    </row>
    <row r="11525" spans="6:10" hidden="1" x14ac:dyDescent="0.25">
      <c r="F11525" s="284" t="s">
        <v>244</v>
      </c>
      <c r="G11525" s="287" t="s">
        <v>245</v>
      </c>
      <c r="J11525" s="560">
        <f t="shared" si="378"/>
        <v>0</v>
      </c>
    </row>
    <row r="11526" spans="6:10" hidden="1" x14ac:dyDescent="0.25">
      <c r="F11526" s="284" t="s">
        <v>246</v>
      </c>
      <c r="G11526" s="598" t="s">
        <v>4996</v>
      </c>
      <c r="J11526" s="560">
        <f t="shared" si="378"/>
        <v>0</v>
      </c>
    </row>
    <row r="11527" spans="6:10" hidden="1" x14ac:dyDescent="0.25">
      <c r="F11527" s="284" t="s">
        <v>247</v>
      </c>
      <c r="G11527" s="598" t="s">
        <v>4995</v>
      </c>
      <c r="J11527" s="560">
        <f t="shared" si="378"/>
        <v>0</v>
      </c>
    </row>
    <row r="11528" spans="6:10" hidden="1" x14ac:dyDescent="0.25">
      <c r="F11528" s="284" t="s">
        <v>248</v>
      </c>
      <c r="G11528" s="287" t="s">
        <v>57</v>
      </c>
      <c r="J11528" s="560">
        <f t="shared" si="378"/>
        <v>0</v>
      </c>
    </row>
    <row r="11529" spans="6:10" hidden="1" x14ac:dyDescent="0.25">
      <c r="F11529" s="284" t="s">
        <v>249</v>
      </c>
      <c r="G11529" s="287" t="s">
        <v>250</v>
      </c>
      <c r="J11529" s="560">
        <f t="shared" si="378"/>
        <v>0</v>
      </c>
    </row>
    <row r="11530" spans="6:10" hidden="1" x14ac:dyDescent="0.25">
      <c r="F11530" s="284" t="s">
        <v>251</v>
      </c>
      <c r="G11530" s="287" t="s">
        <v>252</v>
      </c>
      <c r="J11530" s="560">
        <f t="shared" si="378"/>
        <v>0</v>
      </c>
    </row>
    <row r="11531" spans="6:10" ht="30" hidden="1" x14ac:dyDescent="0.25">
      <c r="F11531" s="284" t="s">
        <v>253</v>
      </c>
      <c r="G11531" s="287" t="s">
        <v>254</v>
      </c>
      <c r="J11531" s="560">
        <f t="shared" si="378"/>
        <v>0</v>
      </c>
    </row>
    <row r="11532" spans="6:10" hidden="1" x14ac:dyDescent="0.25">
      <c r="F11532" s="284" t="s">
        <v>255</v>
      </c>
      <c r="G11532" s="287" t="s">
        <v>256</v>
      </c>
      <c r="J11532" s="560">
        <f t="shared" si="378"/>
        <v>0</v>
      </c>
    </row>
    <row r="11533" spans="6:10" ht="30" hidden="1" x14ac:dyDescent="0.25">
      <c r="F11533" s="284" t="s">
        <v>257</v>
      </c>
      <c r="G11533" s="287" t="s">
        <v>258</v>
      </c>
      <c r="J11533" s="560">
        <f t="shared" si="378"/>
        <v>0</v>
      </c>
    </row>
    <row r="11534" spans="6:10" hidden="1" x14ac:dyDescent="0.25">
      <c r="F11534" s="284" t="s">
        <v>259</v>
      </c>
      <c r="G11534" s="287" t="s">
        <v>260</v>
      </c>
      <c r="J11534" s="560">
        <f t="shared" si="378"/>
        <v>0</v>
      </c>
    </row>
    <row r="11535" spans="6:10" hidden="1" x14ac:dyDescent="0.25">
      <c r="F11535" s="284" t="s">
        <v>261</v>
      </c>
      <c r="G11535" s="287" t="s">
        <v>262</v>
      </c>
      <c r="H11535" s="559"/>
      <c r="I11535" s="560"/>
      <c r="J11535" s="560">
        <f t="shared" si="378"/>
        <v>0</v>
      </c>
    </row>
    <row r="11536" spans="6:10" ht="15.75" hidden="1" thickBot="1" x14ac:dyDescent="0.3">
      <c r="G11536" s="268" t="s">
        <v>4357</v>
      </c>
      <c r="H11536" s="561">
        <f>SUM(H11520:H11535)</f>
        <v>0</v>
      </c>
      <c r="I11536" s="562">
        <f>SUM(I11521:I11535)</f>
        <v>0</v>
      </c>
      <c r="J11536" s="562">
        <f>SUM(J11520:J11535)</f>
        <v>0</v>
      </c>
    </row>
    <row r="11537" spans="5:10" ht="28.5" hidden="1" collapsed="1" x14ac:dyDescent="0.25">
      <c r="E11537" s="489"/>
      <c r="F11537" s="465"/>
      <c r="G11537" s="270" t="s">
        <v>4358</v>
      </c>
      <c r="H11537" s="563"/>
      <c r="I11537" s="584"/>
      <c r="J11537" s="564"/>
    </row>
    <row r="11538" spans="5:10" hidden="1" x14ac:dyDescent="0.25">
      <c r="E11538" s="693"/>
      <c r="F11538" s="284" t="s">
        <v>234</v>
      </c>
      <c r="G11538" s="287" t="s">
        <v>235</v>
      </c>
      <c r="H11538" s="559">
        <f>SUM(H11459:H11518)</f>
        <v>0</v>
      </c>
      <c r="I11538" s="560"/>
      <c r="J11538" s="560">
        <f>SUM(H11538:I11538)</f>
        <v>0</v>
      </c>
    </row>
    <row r="11539" spans="5:10" hidden="1" x14ac:dyDescent="0.25">
      <c r="F11539" s="284" t="s">
        <v>236</v>
      </c>
      <c r="G11539" s="287" t="s">
        <v>237</v>
      </c>
      <c r="J11539" s="560">
        <f t="shared" ref="J11539:J11553" si="379">SUM(H11539:I11539)</f>
        <v>0</v>
      </c>
    </row>
    <row r="11540" spans="5:10" hidden="1" x14ac:dyDescent="0.25">
      <c r="F11540" s="284" t="s">
        <v>238</v>
      </c>
      <c r="G11540" s="287" t="s">
        <v>239</v>
      </c>
      <c r="J11540" s="560">
        <f t="shared" si="379"/>
        <v>0</v>
      </c>
    </row>
    <row r="11541" spans="5:10" hidden="1" x14ac:dyDescent="0.25">
      <c r="F11541" s="284" t="s">
        <v>240</v>
      </c>
      <c r="G11541" s="287" t="s">
        <v>241</v>
      </c>
      <c r="J11541" s="560">
        <f t="shared" si="379"/>
        <v>0</v>
      </c>
    </row>
    <row r="11542" spans="5:10" hidden="1" x14ac:dyDescent="0.25">
      <c r="F11542" s="284" t="s">
        <v>242</v>
      </c>
      <c r="G11542" s="287" t="s">
        <v>243</v>
      </c>
      <c r="J11542" s="560">
        <f t="shared" si="379"/>
        <v>0</v>
      </c>
    </row>
    <row r="11543" spans="5:10" hidden="1" x14ac:dyDescent="0.25">
      <c r="F11543" s="284" t="s">
        <v>244</v>
      </c>
      <c r="G11543" s="287" t="s">
        <v>245</v>
      </c>
      <c r="J11543" s="560">
        <f t="shared" si="379"/>
        <v>0</v>
      </c>
    </row>
    <row r="11544" spans="5:10" hidden="1" x14ac:dyDescent="0.25">
      <c r="F11544" s="284" t="s">
        <v>246</v>
      </c>
      <c r="G11544" s="598" t="s">
        <v>4996</v>
      </c>
      <c r="J11544" s="560">
        <f t="shared" si="379"/>
        <v>0</v>
      </c>
    </row>
    <row r="11545" spans="5:10" hidden="1" x14ac:dyDescent="0.25">
      <c r="F11545" s="284" t="s">
        <v>247</v>
      </c>
      <c r="G11545" s="598" t="s">
        <v>4995</v>
      </c>
      <c r="J11545" s="560">
        <f t="shared" si="379"/>
        <v>0</v>
      </c>
    </row>
    <row r="11546" spans="5:10" hidden="1" x14ac:dyDescent="0.25">
      <c r="F11546" s="284" t="s">
        <v>248</v>
      </c>
      <c r="G11546" s="287" t="s">
        <v>57</v>
      </c>
      <c r="J11546" s="560">
        <f t="shared" si="379"/>
        <v>0</v>
      </c>
    </row>
    <row r="11547" spans="5:10" hidden="1" x14ac:dyDescent="0.25">
      <c r="F11547" s="284" t="s">
        <v>249</v>
      </c>
      <c r="G11547" s="287" t="s">
        <v>250</v>
      </c>
      <c r="J11547" s="560">
        <f t="shared" si="379"/>
        <v>0</v>
      </c>
    </row>
    <row r="11548" spans="5:10" hidden="1" x14ac:dyDescent="0.25">
      <c r="F11548" s="284" t="s">
        <v>251</v>
      </c>
      <c r="G11548" s="287" t="s">
        <v>252</v>
      </c>
      <c r="J11548" s="560">
        <f t="shared" si="379"/>
        <v>0</v>
      </c>
    </row>
    <row r="11549" spans="5:10" ht="30" hidden="1" x14ac:dyDescent="0.25">
      <c r="F11549" s="284" t="s">
        <v>253</v>
      </c>
      <c r="G11549" s="287" t="s">
        <v>254</v>
      </c>
      <c r="J11549" s="560">
        <f t="shared" si="379"/>
        <v>0</v>
      </c>
    </row>
    <row r="11550" spans="5:10" hidden="1" x14ac:dyDescent="0.25">
      <c r="F11550" s="284" t="s">
        <v>255</v>
      </c>
      <c r="G11550" s="287" t="s">
        <v>256</v>
      </c>
      <c r="J11550" s="560">
        <f t="shared" si="379"/>
        <v>0</v>
      </c>
    </row>
    <row r="11551" spans="5:10" ht="30" hidden="1" x14ac:dyDescent="0.25">
      <c r="F11551" s="284" t="s">
        <v>257</v>
      </c>
      <c r="G11551" s="287" t="s">
        <v>258</v>
      </c>
      <c r="J11551" s="560">
        <f t="shared" si="379"/>
        <v>0</v>
      </c>
    </row>
    <row r="11552" spans="5:10" hidden="1" x14ac:dyDescent="0.25">
      <c r="F11552" s="284" t="s">
        <v>259</v>
      </c>
      <c r="G11552" s="287" t="s">
        <v>260</v>
      </c>
      <c r="J11552" s="560">
        <f t="shared" si="379"/>
        <v>0</v>
      </c>
    </row>
    <row r="11553" spans="3:10" hidden="1" x14ac:dyDescent="0.25">
      <c r="F11553" s="284" t="s">
        <v>261</v>
      </c>
      <c r="G11553" s="287" t="s">
        <v>262</v>
      </c>
      <c r="H11553" s="559"/>
      <c r="I11553" s="560"/>
      <c r="J11553" s="560">
        <f t="shared" si="379"/>
        <v>0</v>
      </c>
    </row>
    <row r="11554" spans="3:10" ht="15.75" hidden="1" collapsed="1" thickBot="1" x14ac:dyDescent="0.3">
      <c r="G11554" s="268" t="s">
        <v>4359</v>
      </c>
      <c r="H11554" s="561">
        <f>SUM(H11538:H11553)</f>
        <v>0</v>
      </c>
      <c r="I11554" s="562">
        <f>SUM(I11539:I11553)</f>
        <v>0</v>
      </c>
      <c r="J11554" s="562">
        <f>SUM(J11538:J11553)</f>
        <v>0</v>
      </c>
    </row>
    <row r="11555" spans="3:10" hidden="1" x14ac:dyDescent="0.25"/>
    <row r="11556" spans="3:10" hidden="1" x14ac:dyDescent="0.25">
      <c r="C11556" s="267" t="s">
        <v>4744</v>
      </c>
      <c r="D11556" s="259"/>
      <c r="G11556" s="456" t="s">
        <v>4973</v>
      </c>
    </row>
    <row r="11557" spans="3:10" hidden="1" x14ac:dyDescent="0.25">
      <c r="C11557" s="267"/>
      <c r="D11557" s="331">
        <v>820</v>
      </c>
      <c r="E11557" s="869"/>
      <c r="F11557" s="331"/>
      <c r="G11557" s="332" t="s">
        <v>207</v>
      </c>
    </row>
    <row r="11558" spans="3:10" hidden="1" x14ac:dyDescent="0.25">
      <c r="F11558" s="464">
        <v>411</v>
      </c>
      <c r="G11558" s="455" t="s">
        <v>4131</v>
      </c>
      <c r="J11558" s="556">
        <f>SUM(H11558:I11558)</f>
        <v>0</v>
      </c>
    </row>
    <row r="11559" spans="3:10" hidden="1" x14ac:dyDescent="0.25">
      <c r="F11559" s="464">
        <v>412</v>
      </c>
      <c r="G11559" s="453" t="s">
        <v>3766</v>
      </c>
      <c r="J11559" s="556">
        <f t="shared" ref="J11559:J11617" si="380">SUM(H11559:I11559)</f>
        <v>0</v>
      </c>
    </row>
    <row r="11560" spans="3:10" hidden="1" x14ac:dyDescent="0.25">
      <c r="F11560" s="464">
        <v>413</v>
      </c>
      <c r="G11560" s="455" t="s">
        <v>4132</v>
      </c>
      <c r="J11560" s="556">
        <f t="shared" si="380"/>
        <v>0</v>
      </c>
    </row>
    <row r="11561" spans="3:10" hidden="1" x14ac:dyDescent="0.25">
      <c r="F11561" s="464">
        <v>414</v>
      </c>
      <c r="G11561" s="455" t="s">
        <v>3769</v>
      </c>
      <c r="J11561" s="556">
        <f t="shared" si="380"/>
        <v>0</v>
      </c>
    </row>
    <row r="11562" spans="3:10" hidden="1" x14ac:dyDescent="0.25">
      <c r="F11562" s="464">
        <v>415</v>
      </c>
      <c r="G11562" s="455" t="s">
        <v>4141</v>
      </c>
      <c r="J11562" s="556">
        <f t="shared" si="380"/>
        <v>0</v>
      </c>
    </row>
    <row r="11563" spans="3:10" hidden="1" x14ac:dyDescent="0.25">
      <c r="F11563" s="464">
        <v>416</v>
      </c>
      <c r="G11563" s="455" t="s">
        <v>4142</v>
      </c>
      <c r="J11563" s="556">
        <f t="shared" si="380"/>
        <v>0</v>
      </c>
    </row>
    <row r="11564" spans="3:10" hidden="1" x14ac:dyDescent="0.25">
      <c r="F11564" s="464">
        <v>417</v>
      </c>
      <c r="G11564" s="455" t="s">
        <v>4143</v>
      </c>
      <c r="J11564" s="556">
        <f t="shared" si="380"/>
        <v>0</v>
      </c>
    </row>
    <row r="11565" spans="3:10" hidden="1" x14ac:dyDescent="0.25">
      <c r="F11565" s="464">
        <v>418</v>
      </c>
      <c r="G11565" s="455" t="s">
        <v>3775</v>
      </c>
      <c r="J11565" s="556">
        <f t="shared" si="380"/>
        <v>0</v>
      </c>
    </row>
    <row r="11566" spans="3:10" hidden="1" x14ac:dyDescent="0.25">
      <c r="F11566" s="464">
        <v>421</v>
      </c>
      <c r="G11566" s="455" t="s">
        <v>3779</v>
      </c>
      <c r="J11566" s="556">
        <f t="shared" si="380"/>
        <v>0</v>
      </c>
    </row>
    <row r="11567" spans="3:10" hidden="1" x14ac:dyDescent="0.25">
      <c r="F11567" s="464">
        <v>422</v>
      </c>
      <c r="G11567" s="455" t="s">
        <v>3780</v>
      </c>
      <c r="J11567" s="556">
        <f t="shared" si="380"/>
        <v>0</v>
      </c>
    </row>
    <row r="11568" spans="3:10" hidden="1" x14ac:dyDescent="0.25">
      <c r="F11568" s="464">
        <v>423</v>
      </c>
      <c r="G11568" s="455" t="s">
        <v>3781</v>
      </c>
      <c r="J11568" s="556">
        <f t="shared" si="380"/>
        <v>0</v>
      </c>
    </row>
    <row r="11569" spans="6:10" hidden="1" x14ac:dyDescent="0.25">
      <c r="F11569" s="464">
        <v>424</v>
      </c>
      <c r="G11569" s="455" t="s">
        <v>3783</v>
      </c>
      <c r="J11569" s="556">
        <f t="shared" si="380"/>
        <v>0</v>
      </c>
    </row>
    <row r="11570" spans="6:10" hidden="1" x14ac:dyDescent="0.25">
      <c r="F11570" s="464">
        <v>425</v>
      </c>
      <c r="G11570" s="455" t="s">
        <v>4144</v>
      </c>
      <c r="J11570" s="556">
        <f t="shared" si="380"/>
        <v>0</v>
      </c>
    </row>
    <row r="11571" spans="6:10" hidden="1" x14ac:dyDescent="0.25">
      <c r="F11571" s="464">
        <v>426</v>
      </c>
      <c r="G11571" s="455" t="s">
        <v>3787</v>
      </c>
      <c r="J11571" s="556">
        <f t="shared" si="380"/>
        <v>0</v>
      </c>
    </row>
    <row r="11572" spans="6:10" hidden="1" x14ac:dyDescent="0.25">
      <c r="F11572" s="464">
        <v>431</v>
      </c>
      <c r="G11572" s="455" t="s">
        <v>4145</v>
      </c>
      <c r="J11572" s="556">
        <f t="shared" si="380"/>
        <v>0</v>
      </c>
    </row>
    <row r="11573" spans="6:10" hidden="1" x14ac:dyDescent="0.25">
      <c r="F11573" s="464">
        <v>432</v>
      </c>
      <c r="G11573" s="455" t="s">
        <v>4146</v>
      </c>
      <c r="J11573" s="556">
        <f t="shared" si="380"/>
        <v>0</v>
      </c>
    </row>
    <row r="11574" spans="6:10" hidden="1" x14ac:dyDescent="0.25">
      <c r="F11574" s="464">
        <v>433</v>
      </c>
      <c r="G11574" s="455" t="s">
        <v>4147</v>
      </c>
      <c r="J11574" s="556">
        <f t="shared" si="380"/>
        <v>0</v>
      </c>
    </row>
    <row r="11575" spans="6:10" hidden="1" x14ac:dyDescent="0.25">
      <c r="F11575" s="464">
        <v>434</v>
      </c>
      <c r="G11575" s="455" t="s">
        <v>4148</v>
      </c>
      <c r="J11575" s="556">
        <f t="shared" si="380"/>
        <v>0</v>
      </c>
    </row>
    <row r="11576" spans="6:10" hidden="1" x14ac:dyDescent="0.25">
      <c r="F11576" s="464">
        <v>435</v>
      </c>
      <c r="G11576" s="455" t="s">
        <v>3794</v>
      </c>
      <c r="J11576" s="556">
        <f t="shared" si="380"/>
        <v>0</v>
      </c>
    </row>
    <row r="11577" spans="6:10" hidden="1" x14ac:dyDescent="0.25">
      <c r="F11577" s="464">
        <v>441</v>
      </c>
      <c r="G11577" s="455" t="s">
        <v>4149</v>
      </c>
      <c r="J11577" s="556">
        <f t="shared" si="380"/>
        <v>0</v>
      </c>
    </row>
    <row r="11578" spans="6:10" hidden="1" x14ac:dyDescent="0.25">
      <c r="F11578" s="464">
        <v>442</v>
      </c>
      <c r="G11578" s="455" t="s">
        <v>4150</v>
      </c>
      <c r="J11578" s="556">
        <f t="shared" si="380"/>
        <v>0</v>
      </c>
    </row>
    <row r="11579" spans="6:10" hidden="1" x14ac:dyDescent="0.25">
      <c r="F11579" s="464">
        <v>443</v>
      </c>
      <c r="G11579" s="455" t="s">
        <v>3799</v>
      </c>
      <c r="J11579" s="556">
        <f t="shared" si="380"/>
        <v>0</v>
      </c>
    </row>
    <row r="11580" spans="6:10" hidden="1" x14ac:dyDescent="0.25">
      <c r="F11580" s="464">
        <v>444</v>
      </c>
      <c r="G11580" s="455" t="s">
        <v>3800</v>
      </c>
      <c r="J11580" s="556">
        <f t="shared" si="380"/>
        <v>0</v>
      </c>
    </row>
    <row r="11581" spans="6:10" ht="30" hidden="1" x14ac:dyDescent="0.25">
      <c r="F11581" s="464">
        <v>4511</v>
      </c>
      <c r="G11581" s="263" t="s">
        <v>1690</v>
      </c>
      <c r="J11581" s="556">
        <f t="shared" si="380"/>
        <v>0</v>
      </c>
    </row>
    <row r="11582" spans="6:10" ht="30" hidden="1" x14ac:dyDescent="0.25">
      <c r="F11582" s="464">
        <v>4512</v>
      </c>
      <c r="G11582" s="263" t="s">
        <v>1699</v>
      </c>
      <c r="J11582" s="556">
        <f t="shared" si="380"/>
        <v>0</v>
      </c>
    </row>
    <row r="11583" spans="6:10" hidden="1" x14ac:dyDescent="0.25">
      <c r="F11583" s="464">
        <v>452</v>
      </c>
      <c r="G11583" s="455" t="s">
        <v>4151</v>
      </c>
      <c r="J11583" s="556">
        <f t="shared" si="380"/>
        <v>0</v>
      </c>
    </row>
    <row r="11584" spans="6:10" hidden="1" x14ac:dyDescent="0.25">
      <c r="F11584" s="464">
        <v>453</v>
      </c>
      <c r="G11584" s="455" t="s">
        <v>4152</v>
      </c>
      <c r="J11584" s="556">
        <f t="shared" si="380"/>
        <v>0</v>
      </c>
    </row>
    <row r="11585" spans="6:10" hidden="1" x14ac:dyDescent="0.25">
      <c r="F11585" s="464">
        <v>454</v>
      </c>
      <c r="G11585" s="455" t="s">
        <v>3805</v>
      </c>
      <c r="J11585" s="556">
        <f t="shared" si="380"/>
        <v>0</v>
      </c>
    </row>
    <row r="11586" spans="6:10" hidden="1" x14ac:dyDescent="0.25">
      <c r="F11586" s="464">
        <v>461</v>
      </c>
      <c r="G11586" s="455" t="s">
        <v>4133</v>
      </c>
      <c r="J11586" s="556">
        <f t="shared" si="380"/>
        <v>0</v>
      </c>
    </row>
    <row r="11587" spans="6:10" hidden="1" x14ac:dyDescent="0.25">
      <c r="F11587" s="464">
        <v>462</v>
      </c>
      <c r="G11587" s="455" t="s">
        <v>3808</v>
      </c>
      <c r="J11587" s="556">
        <f t="shared" si="380"/>
        <v>0</v>
      </c>
    </row>
    <row r="11588" spans="6:10" hidden="1" x14ac:dyDescent="0.25">
      <c r="F11588" s="464">
        <v>4631</v>
      </c>
      <c r="G11588" s="455" t="s">
        <v>3809</v>
      </c>
      <c r="J11588" s="556">
        <f t="shared" si="380"/>
        <v>0</v>
      </c>
    </row>
    <row r="11589" spans="6:10" hidden="1" x14ac:dyDescent="0.25">
      <c r="F11589" s="464">
        <v>4632</v>
      </c>
      <c r="G11589" s="455" t="s">
        <v>3810</v>
      </c>
      <c r="J11589" s="556">
        <f t="shared" si="380"/>
        <v>0</v>
      </c>
    </row>
    <row r="11590" spans="6:10" hidden="1" x14ac:dyDescent="0.25">
      <c r="F11590" s="464">
        <v>464</v>
      </c>
      <c r="G11590" s="455" t="s">
        <v>3811</v>
      </c>
      <c r="J11590" s="556">
        <f t="shared" si="380"/>
        <v>0</v>
      </c>
    </row>
    <row r="11591" spans="6:10" hidden="1" x14ac:dyDescent="0.25">
      <c r="F11591" s="464">
        <v>465</v>
      </c>
      <c r="G11591" s="455" t="s">
        <v>4134</v>
      </c>
      <c r="J11591" s="556">
        <f t="shared" si="380"/>
        <v>0</v>
      </c>
    </row>
    <row r="11592" spans="6:10" hidden="1" x14ac:dyDescent="0.25">
      <c r="F11592" s="464">
        <v>472</v>
      </c>
      <c r="G11592" s="455" t="s">
        <v>3815</v>
      </c>
      <c r="J11592" s="556">
        <f t="shared" si="380"/>
        <v>0</v>
      </c>
    </row>
    <row r="11593" spans="6:10" hidden="1" x14ac:dyDescent="0.25">
      <c r="F11593" s="464">
        <v>481</v>
      </c>
      <c r="G11593" s="455" t="s">
        <v>4153</v>
      </c>
      <c r="J11593" s="556">
        <f t="shared" si="380"/>
        <v>0</v>
      </c>
    </row>
    <row r="11594" spans="6:10" hidden="1" x14ac:dyDescent="0.25">
      <c r="F11594" s="464">
        <v>482</v>
      </c>
      <c r="G11594" s="455" t="s">
        <v>4154</v>
      </c>
      <c r="J11594" s="556">
        <f t="shared" si="380"/>
        <v>0</v>
      </c>
    </row>
    <row r="11595" spans="6:10" hidden="1" x14ac:dyDescent="0.25">
      <c r="F11595" s="464">
        <v>483</v>
      </c>
      <c r="G11595" s="457" t="s">
        <v>4155</v>
      </c>
      <c r="J11595" s="556">
        <f t="shared" si="380"/>
        <v>0</v>
      </c>
    </row>
    <row r="11596" spans="6:10" ht="30" hidden="1" x14ac:dyDescent="0.25">
      <c r="F11596" s="464">
        <v>484</v>
      </c>
      <c r="G11596" s="455" t="s">
        <v>4156</v>
      </c>
      <c r="J11596" s="556">
        <f t="shared" si="380"/>
        <v>0</v>
      </c>
    </row>
    <row r="11597" spans="6:10" ht="30" hidden="1" x14ac:dyDescent="0.25">
      <c r="F11597" s="464">
        <v>485</v>
      </c>
      <c r="G11597" s="455" t="s">
        <v>4157</v>
      </c>
      <c r="J11597" s="556">
        <f t="shared" si="380"/>
        <v>0</v>
      </c>
    </row>
    <row r="11598" spans="6:10" ht="30" hidden="1" x14ac:dyDescent="0.25">
      <c r="F11598" s="464">
        <v>489</v>
      </c>
      <c r="G11598" s="455" t="s">
        <v>3823</v>
      </c>
      <c r="J11598" s="556">
        <f t="shared" si="380"/>
        <v>0</v>
      </c>
    </row>
    <row r="11599" spans="6:10" hidden="1" x14ac:dyDescent="0.25">
      <c r="F11599" s="464">
        <v>494</v>
      </c>
      <c r="G11599" s="455" t="s">
        <v>4135</v>
      </c>
      <c r="J11599" s="556">
        <f t="shared" si="380"/>
        <v>0</v>
      </c>
    </row>
    <row r="11600" spans="6:10" ht="30" hidden="1" x14ac:dyDescent="0.25">
      <c r="F11600" s="464">
        <v>495</v>
      </c>
      <c r="G11600" s="455" t="s">
        <v>4136</v>
      </c>
      <c r="J11600" s="556">
        <f t="shared" si="380"/>
        <v>0</v>
      </c>
    </row>
    <row r="11601" spans="6:10" ht="30" hidden="1" x14ac:dyDescent="0.25">
      <c r="F11601" s="464">
        <v>496</v>
      </c>
      <c r="G11601" s="455" t="s">
        <v>4137</v>
      </c>
      <c r="J11601" s="556">
        <f t="shared" si="380"/>
        <v>0</v>
      </c>
    </row>
    <row r="11602" spans="6:10" ht="30" hidden="1" x14ac:dyDescent="0.25">
      <c r="F11602" s="464">
        <v>499</v>
      </c>
      <c r="G11602" s="455" t="s">
        <v>4138</v>
      </c>
      <c r="J11602" s="556">
        <f t="shared" si="380"/>
        <v>0</v>
      </c>
    </row>
    <row r="11603" spans="6:10" hidden="1" x14ac:dyDescent="0.25">
      <c r="F11603" s="464">
        <v>511</v>
      </c>
      <c r="G11603" s="457" t="s">
        <v>4158</v>
      </c>
      <c r="J11603" s="556">
        <f t="shared" si="380"/>
        <v>0</v>
      </c>
    </row>
    <row r="11604" spans="6:10" hidden="1" x14ac:dyDescent="0.25">
      <c r="F11604" s="464">
        <v>512</v>
      </c>
      <c r="G11604" s="457" t="s">
        <v>4159</v>
      </c>
      <c r="J11604" s="556">
        <f t="shared" si="380"/>
        <v>0</v>
      </c>
    </row>
    <row r="11605" spans="6:10" hidden="1" x14ac:dyDescent="0.25">
      <c r="F11605" s="464">
        <v>513</v>
      </c>
      <c r="G11605" s="457" t="s">
        <v>4160</v>
      </c>
      <c r="J11605" s="556">
        <f t="shared" si="380"/>
        <v>0</v>
      </c>
    </row>
    <row r="11606" spans="6:10" hidden="1" x14ac:dyDescent="0.25">
      <c r="F11606" s="464">
        <v>514</v>
      </c>
      <c r="G11606" s="455" t="s">
        <v>4161</v>
      </c>
      <c r="J11606" s="556">
        <f t="shared" si="380"/>
        <v>0</v>
      </c>
    </row>
    <row r="11607" spans="6:10" hidden="1" x14ac:dyDescent="0.25">
      <c r="F11607" s="464">
        <v>515</v>
      </c>
      <c r="G11607" s="455" t="s">
        <v>3834</v>
      </c>
      <c r="J11607" s="556">
        <f t="shared" si="380"/>
        <v>0</v>
      </c>
    </row>
    <row r="11608" spans="6:10" hidden="1" x14ac:dyDescent="0.25">
      <c r="F11608" s="464">
        <v>521</v>
      </c>
      <c r="G11608" s="455" t="s">
        <v>4162</v>
      </c>
      <c r="J11608" s="556">
        <f t="shared" si="380"/>
        <v>0</v>
      </c>
    </row>
    <row r="11609" spans="6:10" hidden="1" x14ac:dyDescent="0.25">
      <c r="F11609" s="464">
        <v>522</v>
      </c>
      <c r="G11609" s="455" t="s">
        <v>4163</v>
      </c>
      <c r="J11609" s="556">
        <f t="shared" si="380"/>
        <v>0</v>
      </c>
    </row>
    <row r="11610" spans="6:10" hidden="1" x14ac:dyDescent="0.25">
      <c r="F11610" s="464">
        <v>523</v>
      </c>
      <c r="G11610" s="455" t="s">
        <v>3839</v>
      </c>
      <c r="J11610" s="556">
        <f t="shared" si="380"/>
        <v>0</v>
      </c>
    </row>
    <row r="11611" spans="6:10" hidden="1" x14ac:dyDescent="0.25">
      <c r="F11611" s="464">
        <v>531</v>
      </c>
      <c r="G11611" s="453" t="s">
        <v>4139</v>
      </c>
      <c r="J11611" s="556">
        <f t="shared" si="380"/>
        <v>0</v>
      </c>
    </row>
    <row r="11612" spans="6:10" hidden="1" x14ac:dyDescent="0.25">
      <c r="F11612" s="464">
        <v>541</v>
      </c>
      <c r="G11612" s="455" t="s">
        <v>4164</v>
      </c>
      <c r="J11612" s="556">
        <f t="shared" si="380"/>
        <v>0</v>
      </c>
    </row>
    <row r="11613" spans="6:10" hidden="1" x14ac:dyDescent="0.25">
      <c r="F11613" s="464">
        <v>542</v>
      </c>
      <c r="G11613" s="455" t="s">
        <v>4165</v>
      </c>
      <c r="J11613" s="556">
        <f t="shared" si="380"/>
        <v>0</v>
      </c>
    </row>
    <row r="11614" spans="6:10" hidden="1" x14ac:dyDescent="0.25">
      <c r="F11614" s="464">
        <v>543</v>
      </c>
      <c r="G11614" s="455" t="s">
        <v>3844</v>
      </c>
      <c r="J11614" s="556">
        <f t="shared" si="380"/>
        <v>0</v>
      </c>
    </row>
    <row r="11615" spans="6:10" ht="30" hidden="1" x14ac:dyDescent="0.25">
      <c r="F11615" s="464">
        <v>551</v>
      </c>
      <c r="G11615" s="455" t="s">
        <v>4140</v>
      </c>
      <c r="J11615" s="556">
        <f t="shared" si="380"/>
        <v>0</v>
      </c>
    </row>
    <row r="11616" spans="6:10" hidden="1" x14ac:dyDescent="0.25">
      <c r="F11616" s="465">
        <v>611</v>
      </c>
      <c r="G11616" s="463" t="s">
        <v>3850</v>
      </c>
      <c r="J11616" s="556">
        <f t="shared" si="380"/>
        <v>0</v>
      </c>
    </row>
    <row r="11617" spans="5:10" hidden="1" x14ac:dyDescent="0.25">
      <c r="F11617" s="465">
        <v>620</v>
      </c>
      <c r="G11617" s="463" t="s">
        <v>88</v>
      </c>
      <c r="J11617" s="556">
        <f t="shared" si="380"/>
        <v>0</v>
      </c>
    </row>
    <row r="11618" spans="5:10" hidden="1" x14ac:dyDescent="0.25">
      <c r="E11618" s="489"/>
      <c r="F11618" s="465"/>
      <c r="G11618" s="342" t="s">
        <v>4356</v>
      </c>
      <c r="H11618" s="557"/>
      <c r="I11618" s="583"/>
      <c r="J11618" s="558"/>
    </row>
    <row r="11619" spans="5:10" hidden="1" x14ac:dyDescent="0.25">
      <c r="E11619" s="693"/>
      <c r="F11619" s="284" t="s">
        <v>234</v>
      </c>
      <c r="G11619" s="287" t="s">
        <v>235</v>
      </c>
      <c r="H11619" s="559">
        <f>SUM(H11558:H11617)</f>
        <v>0</v>
      </c>
      <c r="I11619" s="560"/>
      <c r="J11619" s="560">
        <f>SUM(H11619:I11619)</f>
        <v>0</v>
      </c>
    </row>
    <row r="11620" spans="5:10" hidden="1" x14ac:dyDescent="0.25">
      <c r="F11620" s="284" t="s">
        <v>236</v>
      </c>
      <c r="G11620" s="287" t="s">
        <v>237</v>
      </c>
      <c r="J11620" s="560">
        <f t="shared" ref="J11620:J11634" si="381">SUM(H11620:I11620)</f>
        <v>0</v>
      </c>
    </row>
    <row r="11621" spans="5:10" hidden="1" x14ac:dyDescent="0.25">
      <c r="F11621" s="284" t="s">
        <v>238</v>
      </c>
      <c r="G11621" s="287" t="s">
        <v>239</v>
      </c>
      <c r="J11621" s="560">
        <f t="shared" si="381"/>
        <v>0</v>
      </c>
    </row>
    <row r="11622" spans="5:10" hidden="1" x14ac:dyDescent="0.25">
      <c r="F11622" s="284" t="s">
        <v>240</v>
      </c>
      <c r="G11622" s="287" t="s">
        <v>241</v>
      </c>
      <c r="J11622" s="560">
        <f t="shared" si="381"/>
        <v>0</v>
      </c>
    </row>
    <row r="11623" spans="5:10" hidden="1" x14ac:dyDescent="0.25">
      <c r="F11623" s="284" t="s">
        <v>242</v>
      </c>
      <c r="G11623" s="287" t="s">
        <v>243</v>
      </c>
      <c r="J11623" s="560">
        <f t="shared" si="381"/>
        <v>0</v>
      </c>
    </row>
    <row r="11624" spans="5:10" hidden="1" x14ac:dyDescent="0.25">
      <c r="F11624" s="284" t="s">
        <v>244</v>
      </c>
      <c r="G11624" s="287" t="s">
        <v>245</v>
      </c>
      <c r="J11624" s="560">
        <f t="shared" si="381"/>
        <v>0</v>
      </c>
    </row>
    <row r="11625" spans="5:10" hidden="1" x14ac:dyDescent="0.25">
      <c r="F11625" s="284" t="s">
        <v>246</v>
      </c>
      <c r="G11625" s="598" t="s">
        <v>4996</v>
      </c>
      <c r="J11625" s="560">
        <f t="shared" si="381"/>
        <v>0</v>
      </c>
    </row>
    <row r="11626" spans="5:10" hidden="1" x14ac:dyDescent="0.25">
      <c r="F11626" s="284" t="s">
        <v>247</v>
      </c>
      <c r="G11626" s="598" t="s">
        <v>4995</v>
      </c>
      <c r="J11626" s="560">
        <f t="shared" si="381"/>
        <v>0</v>
      </c>
    </row>
    <row r="11627" spans="5:10" hidden="1" x14ac:dyDescent="0.25">
      <c r="F11627" s="284" t="s">
        <v>248</v>
      </c>
      <c r="G11627" s="287" t="s">
        <v>57</v>
      </c>
      <c r="J11627" s="560">
        <f t="shared" si="381"/>
        <v>0</v>
      </c>
    </row>
    <row r="11628" spans="5:10" hidden="1" x14ac:dyDescent="0.25">
      <c r="F11628" s="284" t="s">
        <v>249</v>
      </c>
      <c r="G11628" s="287" t="s">
        <v>250</v>
      </c>
      <c r="J11628" s="560">
        <f t="shared" si="381"/>
        <v>0</v>
      </c>
    </row>
    <row r="11629" spans="5:10" hidden="1" x14ac:dyDescent="0.25">
      <c r="F11629" s="284" t="s">
        <v>251</v>
      </c>
      <c r="G11629" s="287" t="s">
        <v>252</v>
      </c>
      <c r="J11629" s="560">
        <f t="shared" si="381"/>
        <v>0</v>
      </c>
    </row>
    <row r="11630" spans="5:10" ht="30" hidden="1" x14ac:dyDescent="0.25">
      <c r="F11630" s="284" t="s">
        <v>253</v>
      </c>
      <c r="G11630" s="287" t="s">
        <v>254</v>
      </c>
      <c r="J11630" s="560">
        <f t="shared" si="381"/>
        <v>0</v>
      </c>
    </row>
    <row r="11631" spans="5:10" hidden="1" x14ac:dyDescent="0.25">
      <c r="F11631" s="284" t="s">
        <v>255</v>
      </c>
      <c r="G11631" s="287" t="s">
        <v>256</v>
      </c>
      <c r="J11631" s="560">
        <f t="shared" si="381"/>
        <v>0</v>
      </c>
    </row>
    <row r="11632" spans="5:10" ht="30" hidden="1" x14ac:dyDescent="0.25">
      <c r="F11632" s="284" t="s">
        <v>257</v>
      </c>
      <c r="G11632" s="287" t="s">
        <v>258</v>
      </c>
      <c r="J11632" s="560">
        <f t="shared" si="381"/>
        <v>0</v>
      </c>
    </row>
    <row r="11633" spans="5:10" hidden="1" x14ac:dyDescent="0.25">
      <c r="F11633" s="284" t="s">
        <v>259</v>
      </c>
      <c r="G11633" s="287" t="s">
        <v>260</v>
      </c>
      <c r="J11633" s="560">
        <f t="shared" si="381"/>
        <v>0</v>
      </c>
    </row>
    <row r="11634" spans="5:10" hidden="1" x14ac:dyDescent="0.25">
      <c r="F11634" s="284" t="s">
        <v>261</v>
      </c>
      <c r="G11634" s="287" t="s">
        <v>262</v>
      </c>
      <c r="H11634" s="559"/>
      <c r="I11634" s="560"/>
      <c r="J11634" s="560">
        <f t="shared" si="381"/>
        <v>0</v>
      </c>
    </row>
    <row r="11635" spans="5:10" ht="15.75" hidden="1" thickBot="1" x14ac:dyDescent="0.3">
      <c r="G11635" s="268" t="s">
        <v>4357</v>
      </c>
      <c r="H11635" s="561">
        <f>SUM(H11619:H11634)</f>
        <v>0</v>
      </c>
      <c r="I11635" s="562">
        <f>SUM(I11620:I11634)</f>
        <v>0</v>
      </c>
      <c r="J11635" s="562">
        <f>SUM(J11619:J11634)</f>
        <v>0</v>
      </c>
    </row>
    <row r="11636" spans="5:10" hidden="1" collapsed="1" x14ac:dyDescent="0.25">
      <c r="E11636" s="489"/>
      <c r="F11636" s="465"/>
      <c r="G11636" s="270" t="s">
        <v>4931</v>
      </c>
      <c r="H11636" s="563"/>
      <c r="I11636" s="584"/>
      <c r="J11636" s="564"/>
    </row>
    <row r="11637" spans="5:10" hidden="1" x14ac:dyDescent="0.25">
      <c r="E11637" s="693"/>
      <c r="F11637" s="284" t="s">
        <v>234</v>
      </c>
      <c r="G11637" s="287" t="s">
        <v>235</v>
      </c>
      <c r="H11637" s="559">
        <f>SUM(H11558:H11617)</f>
        <v>0</v>
      </c>
      <c r="I11637" s="560"/>
      <c r="J11637" s="560">
        <f>SUM(H11637:I11637)</f>
        <v>0</v>
      </c>
    </row>
    <row r="11638" spans="5:10" hidden="1" x14ac:dyDescent="0.25">
      <c r="F11638" s="284" t="s">
        <v>236</v>
      </c>
      <c r="G11638" s="287" t="s">
        <v>237</v>
      </c>
      <c r="J11638" s="560">
        <f t="shared" ref="J11638:J11652" si="382">SUM(H11638:I11638)</f>
        <v>0</v>
      </c>
    </row>
    <row r="11639" spans="5:10" hidden="1" x14ac:dyDescent="0.25">
      <c r="F11639" s="284" t="s">
        <v>238</v>
      </c>
      <c r="G11639" s="287" t="s">
        <v>239</v>
      </c>
      <c r="J11639" s="560">
        <f t="shared" si="382"/>
        <v>0</v>
      </c>
    </row>
    <row r="11640" spans="5:10" hidden="1" x14ac:dyDescent="0.25">
      <c r="F11640" s="284" t="s">
        <v>240</v>
      </c>
      <c r="G11640" s="287" t="s">
        <v>241</v>
      </c>
      <c r="J11640" s="560">
        <f t="shared" si="382"/>
        <v>0</v>
      </c>
    </row>
    <row r="11641" spans="5:10" hidden="1" x14ac:dyDescent="0.25">
      <c r="F11641" s="284" t="s">
        <v>242</v>
      </c>
      <c r="G11641" s="287" t="s">
        <v>243</v>
      </c>
      <c r="J11641" s="560">
        <f t="shared" si="382"/>
        <v>0</v>
      </c>
    </row>
    <row r="11642" spans="5:10" hidden="1" x14ac:dyDescent="0.25">
      <c r="F11642" s="284" t="s">
        <v>244</v>
      </c>
      <c r="G11642" s="287" t="s">
        <v>245</v>
      </c>
      <c r="J11642" s="560">
        <f t="shared" si="382"/>
        <v>0</v>
      </c>
    </row>
    <row r="11643" spans="5:10" hidden="1" x14ac:dyDescent="0.25">
      <c r="F11643" s="284" t="s">
        <v>246</v>
      </c>
      <c r="G11643" s="598" t="s">
        <v>4996</v>
      </c>
      <c r="J11643" s="560">
        <f t="shared" si="382"/>
        <v>0</v>
      </c>
    </row>
    <row r="11644" spans="5:10" hidden="1" x14ac:dyDescent="0.25">
      <c r="F11644" s="284" t="s">
        <v>247</v>
      </c>
      <c r="G11644" s="598" t="s">
        <v>4995</v>
      </c>
      <c r="J11644" s="560">
        <f t="shared" si="382"/>
        <v>0</v>
      </c>
    </row>
    <row r="11645" spans="5:10" hidden="1" x14ac:dyDescent="0.25">
      <c r="F11645" s="284" t="s">
        <v>248</v>
      </c>
      <c r="G11645" s="287" t="s">
        <v>57</v>
      </c>
      <c r="J11645" s="560">
        <f t="shared" si="382"/>
        <v>0</v>
      </c>
    </row>
    <row r="11646" spans="5:10" hidden="1" x14ac:dyDescent="0.25">
      <c r="F11646" s="284" t="s">
        <v>249</v>
      </c>
      <c r="G11646" s="287" t="s">
        <v>250</v>
      </c>
      <c r="J11646" s="560">
        <f t="shared" si="382"/>
        <v>0</v>
      </c>
    </row>
    <row r="11647" spans="5:10" hidden="1" x14ac:dyDescent="0.25">
      <c r="F11647" s="284" t="s">
        <v>251</v>
      </c>
      <c r="G11647" s="287" t="s">
        <v>252</v>
      </c>
      <c r="J11647" s="560">
        <f t="shared" si="382"/>
        <v>0</v>
      </c>
    </row>
    <row r="11648" spans="5:10" ht="30" hidden="1" x14ac:dyDescent="0.25">
      <c r="F11648" s="284" t="s">
        <v>253</v>
      </c>
      <c r="G11648" s="287" t="s">
        <v>254</v>
      </c>
      <c r="J11648" s="560">
        <f t="shared" si="382"/>
        <v>0</v>
      </c>
    </row>
    <row r="11649" spans="5:10" hidden="1" x14ac:dyDescent="0.25">
      <c r="F11649" s="284" t="s">
        <v>255</v>
      </c>
      <c r="G11649" s="287" t="s">
        <v>256</v>
      </c>
      <c r="J11649" s="560">
        <f t="shared" si="382"/>
        <v>0</v>
      </c>
    </row>
    <row r="11650" spans="5:10" ht="30" hidden="1" x14ac:dyDescent="0.25">
      <c r="F11650" s="284" t="s">
        <v>257</v>
      </c>
      <c r="G11650" s="287" t="s">
        <v>258</v>
      </c>
      <c r="J11650" s="560">
        <f t="shared" si="382"/>
        <v>0</v>
      </c>
    </row>
    <row r="11651" spans="5:10" hidden="1" x14ac:dyDescent="0.25">
      <c r="F11651" s="284" t="s">
        <v>259</v>
      </c>
      <c r="G11651" s="287" t="s">
        <v>260</v>
      </c>
      <c r="J11651" s="560">
        <f t="shared" si="382"/>
        <v>0</v>
      </c>
    </row>
    <row r="11652" spans="5:10" hidden="1" x14ac:dyDescent="0.25">
      <c r="F11652" s="284" t="s">
        <v>261</v>
      </c>
      <c r="G11652" s="287" t="s">
        <v>262</v>
      </c>
      <c r="H11652" s="559"/>
      <c r="I11652" s="560"/>
      <c r="J11652" s="560">
        <f t="shared" si="382"/>
        <v>0</v>
      </c>
    </row>
    <row r="11653" spans="5:10" ht="15.75" hidden="1" thickBot="1" x14ac:dyDescent="0.3">
      <c r="G11653" s="268" t="s">
        <v>4918</v>
      </c>
      <c r="H11653" s="561">
        <f>SUM(H11637:H11652)</f>
        <v>0</v>
      </c>
      <c r="I11653" s="562">
        <f>SUM(I11638:I11652)</f>
        <v>0</v>
      </c>
      <c r="J11653" s="562">
        <f>SUM(J11637:J11652)</f>
        <v>0</v>
      </c>
    </row>
    <row r="11654" spans="5:10" hidden="1" x14ac:dyDescent="0.25"/>
    <row r="11655" spans="5:10" hidden="1" x14ac:dyDescent="0.25">
      <c r="E11655" s="489"/>
      <c r="F11655" s="465"/>
      <c r="G11655" s="285" t="s">
        <v>4270</v>
      </c>
      <c r="H11655" s="567"/>
      <c r="I11655" s="585"/>
      <c r="J11655" s="568"/>
    </row>
    <row r="11656" spans="5:10" hidden="1" x14ac:dyDescent="0.25">
      <c r="E11656" s="693"/>
      <c r="F11656" s="284" t="s">
        <v>234</v>
      </c>
      <c r="G11656" s="287" t="s">
        <v>235</v>
      </c>
      <c r="H11656" s="559">
        <f>SUM(H11637,H11538)</f>
        <v>0</v>
      </c>
      <c r="I11656" s="560"/>
      <c r="J11656" s="560">
        <f>SUM(H11656:I11656)</f>
        <v>0</v>
      </c>
    </row>
    <row r="11657" spans="5:10" hidden="1" x14ac:dyDescent="0.25">
      <c r="F11657" s="284" t="s">
        <v>236</v>
      </c>
      <c r="G11657" s="287" t="s">
        <v>237</v>
      </c>
      <c r="J11657" s="560">
        <f t="shared" ref="J11657:J11671" si="383">SUM(H11657:I11657)</f>
        <v>0</v>
      </c>
    </row>
    <row r="11658" spans="5:10" hidden="1" x14ac:dyDescent="0.25">
      <c r="F11658" s="284" t="s">
        <v>238</v>
      </c>
      <c r="G11658" s="287" t="s">
        <v>239</v>
      </c>
      <c r="J11658" s="560">
        <f t="shared" si="383"/>
        <v>0</v>
      </c>
    </row>
    <row r="11659" spans="5:10" hidden="1" x14ac:dyDescent="0.25">
      <c r="F11659" s="284" t="s">
        <v>240</v>
      </c>
      <c r="G11659" s="287" t="s">
        <v>241</v>
      </c>
      <c r="J11659" s="560">
        <f t="shared" si="383"/>
        <v>0</v>
      </c>
    </row>
    <row r="11660" spans="5:10" hidden="1" x14ac:dyDescent="0.25">
      <c r="F11660" s="284" t="s">
        <v>242</v>
      </c>
      <c r="G11660" s="287" t="s">
        <v>243</v>
      </c>
      <c r="J11660" s="560">
        <f t="shared" si="383"/>
        <v>0</v>
      </c>
    </row>
    <row r="11661" spans="5:10" hidden="1" x14ac:dyDescent="0.25">
      <c r="F11661" s="284" t="s">
        <v>244</v>
      </c>
      <c r="G11661" s="287" t="s">
        <v>245</v>
      </c>
      <c r="J11661" s="560">
        <f t="shared" si="383"/>
        <v>0</v>
      </c>
    </row>
    <row r="11662" spans="5:10" hidden="1" x14ac:dyDescent="0.25">
      <c r="F11662" s="284" t="s">
        <v>246</v>
      </c>
      <c r="G11662" s="598" t="s">
        <v>4996</v>
      </c>
      <c r="J11662" s="560">
        <f t="shared" si="383"/>
        <v>0</v>
      </c>
    </row>
    <row r="11663" spans="5:10" hidden="1" x14ac:dyDescent="0.25">
      <c r="F11663" s="284" t="s">
        <v>247</v>
      </c>
      <c r="G11663" s="598" t="s">
        <v>4995</v>
      </c>
      <c r="J11663" s="560">
        <f t="shared" si="383"/>
        <v>0</v>
      </c>
    </row>
    <row r="11664" spans="5:10" hidden="1" x14ac:dyDescent="0.25">
      <c r="F11664" s="284" t="s">
        <v>248</v>
      </c>
      <c r="G11664" s="287" t="s">
        <v>57</v>
      </c>
      <c r="J11664" s="560">
        <f t="shared" si="383"/>
        <v>0</v>
      </c>
    </row>
    <row r="11665" spans="5:10" hidden="1" x14ac:dyDescent="0.25">
      <c r="F11665" s="284" t="s">
        <v>249</v>
      </c>
      <c r="G11665" s="287" t="s">
        <v>250</v>
      </c>
      <c r="J11665" s="560">
        <f t="shared" si="383"/>
        <v>0</v>
      </c>
    </row>
    <row r="11666" spans="5:10" hidden="1" x14ac:dyDescent="0.25">
      <c r="F11666" s="284" t="s">
        <v>251</v>
      </c>
      <c r="G11666" s="287" t="s">
        <v>252</v>
      </c>
      <c r="J11666" s="560">
        <f t="shared" si="383"/>
        <v>0</v>
      </c>
    </row>
    <row r="11667" spans="5:10" ht="30" hidden="1" x14ac:dyDescent="0.25">
      <c r="F11667" s="284" t="s">
        <v>253</v>
      </c>
      <c r="G11667" s="287" t="s">
        <v>254</v>
      </c>
      <c r="J11667" s="560">
        <f t="shared" si="383"/>
        <v>0</v>
      </c>
    </row>
    <row r="11668" spans="5:10" hidden="1" x14ac:dyDescent="0.25">
      <c r="F11668" s="284" t="s">
        <v>255</v>
      </c>
      <c r="G11668" s="287" t="s">
        <v>256</v>
      </c>
      <c r="J11668" s="560">
        <f t="shared" si="383"/>
        <v>0</v>
      </c>
    </row>
    <row r="11669" spans="5:10" ht="30" hidden="1" x14ac:dyDescent="0.25">
      <c r="F11669" s="284" t="s">
        <v>257</v>
      </c>
      <c r="G11669" s="287" t="s">
        <v>258</v>
      </c>
      <c r="J11669" s="560">
        <f t="shared" si="383"/>
        <v>0</v>
      </c>
    </row>
    <row r="11670" spans="5:10" hidden="1" x14ac:dyDescent="0.25">
      <c r="F11670" s="284" t="s">
        <v>259</v>
      </c>
      <c r="G11670" s="287" t="s">
        <v>260</v>
      </c>
      <c r="J11670" s="560">
        <f t="shared" si="383"/>
        <v>0</v>
      </c>
    </row>
    <row r="11671" spans="5:10" hidden="1" x14ac:dyDescent="0.25">
      <c r="F11671" s="284" t="s">
        <v>261</v>
      </c>
      <c r="G11671" s="287" t="s">
        <v>262</v>
      </c>
      <c r="H11671" s="559"/>
      <c r="I11671" s="560"/>
      <c r="J11671" s="560">
        <f t="shared" si="383"/>
        <v>0</v>
      </c>
    </row>
    <row r="11672" spans="5:10" ht="15.75" hidden="1" thickBot="1" x14ac:dyDescent="0.3">
      <c r="G11672" s="268" t="s">
        <v>4271</v>
      </c>
      <c r="H11672" s="561">
        <f>SUM(H11656:H11671)</f>
        <v>0</v>
      </c>
      <c r="I11672" s="562">
        <f>SUM(I11657:I11671)</f>
        <v>0</v>
      </c>
      <c r="J11672" s="562">
        <f>SUM(J11656:J11671)</f>
        <v>0</v>
      </c>
    </row>
    <row r="11673" spans="5:10" hidden="1" x14ac:dyDescent="0.25"/>
    <row r="11674" spans="5:10" hidden="1" x14ac:dyDescent="0.25">
      <c r="E11674" s="489"/>
      <c r="F11674" s="465"/>
      <c r="G11674" s="285" t="s">
        <v>4954</v>
      </c>
      <c r="H11674" s="567"/>
      <c r="I11674" s="585"/>
      <c r="J11674" s="568"/>
    </row>
    <row r="11675" spans="5:10" hidden="1" x14ac:dyDescent="0.25">
      <c r="E11675" s="693"/>
      <c r="F11675" s="284" t="s">
        <v>234</v>
      </c>
      <c r="G11675" s="287" t="s">
        <v>235</v>
      </c>
      <c r="H11675" s="559">
        <f>SUM(H11656)</f>
        <v>0</v>
      </c>
      <c r="I11675" s="560"/>
      <c r="J11675" s="560">
        <f>SUM(H11675:I11675)</f>
        <v>0</v>
      </c>
    </row>
    <row r="11676" spans="5:10" hidden="1" x14ac:dyDescent="0.25">
      <c r="F11676" s="284" t="s">
        <v>236</v>
      </c>
      <c r="G11676" s="287" t="s">
        <v>237</v>
      </c>
      <c r="J11676" s="560">
        <f t="shared" ref="J11676:J11690" si="384">SUM(H11676:I11676)</f>
        <v>0</v>
      </c>
    </row>
    <row r="11677" spans="5:10" hidden="1" x14ac:dyDescent="0.25">
      <c r="F11677" s="284" t="s">
        <v>238</v>
      </c>
      <c r="G11677" s="287" t="s">
        <v>239</v>
      </c>
      <c r="J11677" s="560">
        <f t="shared" si="384"/>
        <v>0</v>
      </c>
    </row>
    <row r="11678" spans="5:10" hidden="1" x14ac:dyDescent="0.25">
      <c r="F11678" s="284" t="s">
        <v>240</v>
      </c>
      <c r="G11678" s="287" t="s">
        <v>241</v>
      </c>
      <c r="J11678" s="560">
        <f t="shared" si="384"/>
        <v>0</v>
      </c>
    </row>
    <row r="11679" spans="5:10" hidden="1" x14ac:dyDescent="0.25">
      <c r="F11679" s="284" t="s">
        <v>242</v>
      </c>
      <c r="G11679" s="287" t="s">
        <v>243</v>
      </c>
      <c r="J11679" s="560">
        <f t="shared" si="384"/>
        <v>0</v>
      </c>
    </row>
    <row r="11680" spans="5:10" hidden="1" x14ac:dyDescent="0.25">
      <c r="F11680" s="284" t="s">
        <v>244</v>
      </c>
      <c r="G11680" s="287" t="s">
        <v>245</v>
      </c>
      <c r="J11680" s="560">
        <f t="shared" si="384"/>
        <v>0</v>
      </c>
    </row>
    <row r="11681" spans="1:10" hidden="1" x14ac:dyDescent="0.25">
      <c r="F11681" s="284" t="s">
        <v>246</v>
      </c>
      <c r="G11681" s="598" t="s">
        <v>4996</v>
      </c>
      <c r="J11681" s="560">
        <f t="shared" si="384"/>
        <v>0</v>
      </c>
    </row>
    <row r="11682" spans="1:10" hidden="1" x14ac:dyDescent="0.25">
      <c r="F11682" s="284" t="s">
        <v>247</v>
      </c>
      <c r="G11682" s="598" t="s">
        <v>4995</v>
      </c>
      <c r="J11682" s="560">
        <f t="shared" si="384"/>
        <v>0</v>
      </c>
    </row>
    <row r="11683" spans="1:10" hidden="1" x14ac:dyDescent="0.25">
      <c r="F11683" s="284" t="s">
        <v>248</v>
      </c>
      <c r="G11683" s="287" t="s">
        <v>57</v>
      </c>
      <c r="J11683" s="560">
        <f t="shared" si="384"/>
        <v>0</v>
      </c>
    </row>
    <row r="11684" spans="1:10" hidden="1" x14ac:dyDescent="0.25">
      <c r="F11684" s="284" t="s">
        <v>249</v>
      </c>
      <c r="G11684" s="287" t="s">
        <v>250</v>
      </c>
      <c r="J11684" s="560">
        <f t="shared" si="384"/>
        <v>0</v>
      </c>
    </row>
    <row r="11685" spans="1:10" hidden="1" x14ac:dyDescent="0.25">
      <c r="F11685" s="284" t="s">
        <v>251</v>
      </c>
      <c r="G11685" s="287" t="s">
        <v>252</v>
      </c>
      <c r="J11685" s="560">
        <f t="shared" si="384"/>
        <v>0</v>
      </c>
    </row>
    <row r="11686" spans="1:10" ht="30" hidden="1" x14ac:dyDescent="0.25">
      <c r="F11686" s="284" t="s">
        <v>253</v>
      </c>
      <c r="G11686" s="287" t="s">
        <v>254</v>
      </c>
      <c r="J11686" s="560">
        <f t="shared" si="384"/>
        <v>0</v>
      </c>
    </row>
    <row r="11687" spans="1:10" hidden="1" x14ac:dyDescent="0.25">
      <c r="F11687" s="284" t="s">
        <v>255</v>
      </c>
      <c r="G11687" s="287" t="s">
        <v>256</v>
      </c>
      <c r="J11687" s="560">
        <f t="shared" si="384"/>
        <v>0</v>
      </c>
    </row>
    <row r="11688" spans="1:10" ht="30" hidden="1" x14ac:dyDescent="0.25">
      <c r="F11688" s="284" t="s">
        <v>257</v>
      </c>
      <c r="G11688" s="287" t="s">
        <v>258</v>
      </c>
      <c r="J11688" s="560">
        <f t="shared" si="384"/>
        <v>0</v>
      </c>
    </row>
    <row r="11689" spans="1:10" hidden="1" x14ac:dyDescent="0.25">
      <c r="F11689" s="284" t="s">
        <v>259</v>
      </c>
      <c r="G11689" s="287" t="s">
        <v>260</v>
      </c>
      <c r="J11689" s="560">
        <f t="shared" si="384"/>
        <v>0</v>
      </c>
    </row>
    <row r="11690" spans="1:10" hidden="1" x14ac:dyDescent="0.25">
      <c r="F11690" s="284" t="s">
        <v>261</v>
      </c>
      <c r="G11690" s="287" t="s">
        <v>262</v>
      </c>
      <c r="H11690" s="559"/>
      <c r="I11690" s="560"/>
      <c r="J11690" s="560">
        <f t="shared" si="384"/>
        <v>0</v>
      </c>
    </row>
    <row r="11691" spans="1:10" ht="15.75" hidden="1" thickBot="1" x14ac:dyDescent="0.3">
      <c r="G11691" s="268" t="s">
        <v>4955</v>
      </c>
      <c r="H11691" s="561">
        <f>SUM(H11675:H11690)</f>
        <v>0</v>
      </c>
      <c r="I11691" s="562">
        <f>SUM(I11676:I11690)</f>
        <v>0</v>
      </c>
      <c r="J11691" s="562">
        <f>SUM(J11675:J11690)</f>
        <v>0</v>
      </c>
    </row>
    <row r="11692" spans="1:10" hidden="1" x14ac:dyDescent="0.25"/>
    <row r="11693" spans="1:10" hidden="1" x14ac:dyDescent="0.25"/>
    <row r="11694" spans="1:10" hidden="1" x14ac:dyDescent="0.25">
      <c r="B11694" s="434" t="s">
        <v>4282</v>
      </c>
      <c r="C11694" s="433" t="s">
        <v>4001</v>
      </c>
      <c r="D11694" s="435"/>
      <c r="E11694" s="894"/>
      <c r="F11694" s="436"/>
      <c r="G11694" s="437" t="s">
        <v>4265</v>
      </c>
      <c r="H11694" s="593"/>
      <c r="I11694" s="594"/>
      <c r="J11694" s="579"/>
    </row>
    <row r="11695" spans="1:10" ht="16.5" hidden="1" customHeight="1" x14ac:dyDescent="0.25">
      <c r="A11695" s="433">
        <v>4</v>
      </c>
      <c r="C11695" s="267" t="s">
        <v>3593</v>
      </c>
      <c r="G11695" s="454" t="s">
        <v>4262</v>
      </c>
    </row>
    <row r="11696" spans="1:10" hidden="1" x14ac:dyDescent="0.25">
      <c r="C11696" s="267" t="s">
        <v>4089</v>
      </c>
      <c r="D11696" s="259"/>
      <c r="G11696" s="454" t="s">
        <v>4263</v>
      </c>
    </row>
    <row r="11697" spans="3:10" hidden="1" x14ac:dyDescent="0.25">
      <c r="C11697" s="267"/>
      <c r="D11697" s="331">
        <v>820</v>
      </c>
      <c r="E11697" s="869"/>
      <c r="F11697" s="331"/>
      <c r="G11697" s="332" t="s">
        <v>207</v>
      </c>
    </row>
    <row r="11698" spans="3:10" hidden="1" x14ac:dyDescent="0.25">
      <c r="F11698" s="464">
        <v>411</v>
      </c>
      <c r="G11698" s="455" t="s">
        <v>4131</v>
      </c>
      <c r="J11698" s="556">
        <f>SUM(H11698:I11698)</f>
        <v>0</v>
      </c>
    </row>
    <row r="11699" spans="3:10" hidden="1" x14ac:dyDescent="0.25">
      <c r="F11699" s="464">
        <v>412</v>
      </c>
      <c r="G11699" s="453" t="s">
        <v>3766</v>
      </c>
      <c r="J11699" s="556">
        <f t="shared" ref="J11699:J11757" si="385">SUM(H11699:I11699)</f>
        <v>0</v>
      </c>
    </row>
    <row r="11700" spans="3:10" hidden="1" x14ac:dyDescent="0.25">
      <c r="F11700" s="464">
        <v>413</v>
      </c>
      <c r="G11700" s="455" t="s">
        <v>4132</v>
      </c>
      <c r="J11700" s="556">
        <f t="shared" si="385"/>
        <v>0</v>
      </c>
    </row>
    <row r="11701" spans="3:10" hidden="1" x14ac:dyDescent="0.25">
      <c r="F11701" s="464">
        <v>414</v>
      </c>
      <c r="G11701" s="455" t="s">
        <v>3769</v>
      </c>
      <c r="J11701" s="556">
        <f t="shared" si="385"/>
        <v>0</v>
      </c>
    </row>
    <row r="11702" spans="3:10" hidden="1" x14ac:dyDescent="0.25">
      <c r="F11702" s="464">
        <v>415</v>
      </c>
      <c r="G11702" s="455" t="s">
        <v>4141</v>
      </c>
      <c r="J11702" s="556">
        <f t="shared" si="385"/>
        <v>0</v>
      </c>
    </row>
    <row r="11703" spans="3:10" hidden="1" x14ac:dyDescent="0.25">
      <c r="F11703" s="464">
        <v>416</v>
      </c>
      <c r="G11703" s="455" t="s">
        <v>4142</v>
      </c>
      <c r="J11703" s="556">
        <f t="shared" si="385"/>
        <v>0</v>
      </c>
    </row>
    <row r="11704" spans="3:10" hidden="1" x14ac:dyDescent="0.25">
      <c r="F11704" s="464">
        <v>417</v>
      </c>
      <c r="G11704" s="455" t="s">
        <v>4143</v>
      </c>
      <c r="J11704" s="556">
        <f t="shared" si="385"/>
        <v>0</v>
      </c>
    </row>
    <row r="11705" spans="3:10" hidden="1" x14ac:dyDescent="0.25">
      <c r="F11705" s="464">
        <v>418</v>
      </c>
      <c r="G11705" s="455" t="s">
        <v>3775</v>
      </c>
      <c r="J11705" s="556">
        <f t="shared" si="385"/>
        <v>0</v>
      </c>
    </row>
    <row r="11706" spans="3:10" hidden="1" x14ac:dyDescent="0.25">
      <c r="F11706" s="464">
        <v>421</v>
      </c>
      <c r="G11706" s="455" t="s">
        <v>3779</v>
      </c>
      <c r="J11706" s="556">
        <f t="shared" si="385"/>
        <v>0</v>
      </c>
    </row>
    <row r="11707" spans="3:10" hidden="1" x14ac:dyDescent="0.25">
      <c r="F11707" s="464">
        <v>422</v>
      </c>
      <c r="G11707" s="455" t="s">
        <v>3780</v>
      </c>
      <c r="J11707" s="556">
        <f t="shared" si="385"/>
        <v>0</v>
      </c>
    </row>
    <row r="11708" spans="3:10" hidden="1" x14ac:dyDescent="0.25">
      <c r="F11708" s="464">
        <v>423</v>
      </c>
      <c r="G11708" s="455" t="s">
        <v>3781</v>
      </c>
      <c r="J11708" s="556">
        <f t="shared" si="385"/>
        <v>0</v>
      </c>
    </row>
    <row r="11709" spans="3:10" hidden="1" x14ac:dyDescent="0.25">
      <c r="F11709" s="464">
        <v>424</v>
      </c>
      <c r="G11709" s="455" t="s">
        <v>3783</v>
      </c>
      <c r="J11709" s="556">
        <f t="shared" si="385"/>
        <v>0</v>
      </c>
    </row>
    <row r="11710" spans="3:10" hidden="1" x14ac:dyDescent="0.25">
      <c r="F11710" s="464">
        <v>425</v>
      </c>
      <c r="G11710" s="455" t="s">
        <v>4144</v>
      </c>
      <c r="J11710" s="556">
        <f t="shared" si="385"/>
        <v>0</v>
      </c>
    </row>
    <row r="11711" spans="3:10" hidden="1" x14ac:dyDescent="0.25">
      <c r="F11711" s="464">
        <v>426</v>
      </c>
      <c r="G11711" s="455" t="s">
        <v>3787</v>
      </c>
      <c r="J11711" s="556">
        <f t="shared" si="385"/>
        <v>0</v>
      </c>
    </row>
    <row r="11712" spans="3:10" hidden="1" x14ac:dyDescent="0.25">
      <c r="F11712" s="464">
        <v>431</v>
      </c>
      <c r="G11712" s="455" t="s">
        <v>4145</v>
      </c>
      <c r="J11712" s="556">
        <f t="shared" si="385"/>
        <v>0</v>
      </c>
    </row>
    <row r="11713" spans="6:10" hidden="1" x14ac:dyDescent="0.25">
      <c r="F11713" s="464">
        <v>432</v>
      </c>
      <c r="G11713" s="455" t="s">
        <v>4146</v>
      </c>
      <c r="J11713" s="556">
        <f t="shared" si="385"/>
        <v>0</v>
      </c>
    </row>
    <row r="11714" spans="6:10" hidden="1" x14ac:dyDescent="0.25">
      <c r="F11714" s="464">
        <v>433</v>
      </c>
      <c r="G11714" s="455" t="s">
        <v>4147</v>
      </c>
      <c r="J11714" s="556">
        <f t="shared" si="385"/>
        <v>0</v>
      </c>
    </row>
    <row r="11715" spans="6:10" hidden="1" x14ac:dyDescent="0.25">
      <c r="F11715" s="464">
        <v>434</v>
      </c>
      <c r="G11715" s="455" t="s">
        <v>4148</v>
      </c>
      <c r="J11715" s="556">
        <f t="shared" si="385"/>
        <v>0</v>
      </c>
    </row>
    <row r="11716" spans="6:10" hidden="1" x14ac:dyDescent="0.25">
      <c r="F11716" s="464">
        <v>435</v>
      </c>
      <c r="G11716" s="455" t="s">
        <v>3794</v>
      </c>
      <c r="J11716" s="556">
        <f t="shared" si="385"/>
        <v>0</v>
      </c>
    </row>
    <row r="11717" spans="6:10" hidden="1" x14ac:dyDescent="0.25">
      <c r="F11717" s="464">
        <v>441</v>
      </c>
      <c r="G11717" s="455" t="s">
        <v>4149</v>
      </c>
      <c r="J11717" s="556">
        <f t="shared" si="385"/>
        <v>0</v>
      </c>
    </row>
    <row r="11718" spans="6:10" hidden="1" x14ac:dyDescent="0.25">
      <c r="F11718" s="464">
        <v>442</v>
      </c>
      <c r="G11718" s="455" t="s">
        <v>4150</v>
      </c>
      <c r="J11718" s="556">
        <f t="shared" si="385"/>
        <v>0</v>
      </c>
    </row>
    <row r="11719" spans="6:10" hidden="1" x14ac:dyDescent="0.25">
      <c r="F11719" s="464">
        <v>443</v>
      </c>
      <c r="G11719" s="455" t="s">
        <v>3799</v>
      </c>
      <c r="J11719" s="556">
        <f t="shared" si="385"/>
        <v>0</v>
      </c>
    </row>
    <row r="11720" spans="6:10" hidden="1" x14ac:dyDescent="0.25">
      <c r="F11720" s="464">
        <v>444</v>
      </c>
      <c r="G11720" s="455" t="s">
        <v>3800</v>
      </c>
      <c r="J11720" s="556">
        <f t="shared" si="385"/>
        <v>0</v>
      </c>
    </row>
    <row r="11721" spans="6:10" ht="30" hidden="1" x14ac:dyDescent="0.25">
      <c r="F11721" s="464">
        <v>4511</v>
      </c>
      <c r="G11721" s="263" t="s">
        <v>1690</v>
      </c>
      <c r="J11721" s="556">
        <f t="shared" si="385"/>
        <v>0</v>
      </c>
    </row>
    <row r="11722" spans="6:10" ht="19.5" hidden="1" customHeight="1" x14ac:dyDescent="0.25">
      <c r="F11722" s="464">
        <v>4512</v>
      </c>
      <c r="G11722" s="263" t="s">
        <v>1699</v>
      </c>
      <c r="J11722" s="556">
        <f t="shared" si="385"/>
        <v>0</v>
      </c>
    </row>
    <row r="11723" spans="6:10" hidden="1" x14ac:dyDescent="0.25">
      <c r="F11723" s="464">
        <v>452</v>
      </c>
      <c r="G11723" s="455" t="s">
        <v>4151</v>
      </c>
      <c r="J11723" s="556">
        <f t="shared" si="385"/>
        <v>0</v>
      </c>
    </row>
    <row r="11724" spans="6:10" hidden="1" x14ac:dyDescent="0.25">
      <c r="F11724" s="464">
        <v>453</v>
      </c>
      <c r="G11724" s="455" t="s">
        <v>4152</v>
      </c>
      <c r="J11724" s="556">
        <f t="shared" si="385"/>
        <v>0</v>
      </c>
    </row>
    <row r="11725" spans="6:10" hidden="1" x14ac:dyDescent="0.25">
      <c r="F11725" s="464">
        <v>454</v>
      </c>
      <c r="G11725" s="455" t="s">
        <v>3805</v>
      </c>
      <c r="J11725" s="556">
        <f t="shared" si="385"/>
        <v>0</v>
      </c>
    </row>
    <row r="11726" spans="6:10" hidden="1" x14ac:dyDescent="0.25">
      <c r="F11726" s="464">
        <v>461</v>
      </c>
      <c r="G11726" s="455" t="s">
        <v>4133</v>
      </c>
      <c r="J11726" s="556">
        <f t="shared" si="385"/>
        <v>0</v>
      </c>
    </row>
    <row r="11727" spans="6:10" hidden="1" x14ac:dyDescent="0.25">
      <c r="F11727" s="464">
        <v>462</v>
      </c>
      <c r="G11727" s="455" t="s">
        <v>3808</v>
      </c>
      <c r="J11727" s="556">
        <f t="shared" si="385"/>
        <v>0</v>
      </c>
    </row>
    <row r="11728" spans="6:10" hidden="1" x14ac:dyDescent="0.25">
      <c r="F11728" s="464">
        <v>4631</v>
      </c>
      <c r="G11728" s="455" t="s">
        <v>3809</v>
      </c>
      <c r="J11728" s="556">
        <f t="shared" si="385"/>
        <v>0</v>
      </c>
    </row>
    <row r="11729" spans="6:10" hidden="1" x14ac:dyDescent="0.25">
      <c r="F11729" s="464">
        <v>4632</v>
      </c>
      <c r="G11729" s="455" t="s">
        <v>3810</v>
      </c>
      <c r="J11729" s="556">
        <f t="shared" si="385"/>
        <v>0</v>
      </c>
    </row>
    <row r="11730" spans="6:10" hidden="1" x14ac:dyDescent="0.25">
      <c r="F11730" s="464">
        <v>464</v>
      </c>
      <c r="G11730" s="455" t="s">
        <v>3811</v>
      </c>
      <c r="J11730" s="556">
        <f t="shared" si="385"/>
        <v>0</v>
      </c>
    </row>
    <row r="11731" spans="6:10" hidden="1" x14ac:dyDescent="0.25">
      <c r="F11731" s="464">
        <v>465</v>
      </c>
      <c r="G11731" s="455" t="s">
        <v>4134</v>
      </c>
      <c r="J11731" s="556">
        <f t="shared" si="385"/>
        <v>0</v>
      </c>
    </row>
    <row r="11732" spans="6:10" hidden="1" x14ac:dyDescent="0.25">
      <c r="F11732" s="464">
        <v>472</v>
      </c>
      <c r="G11732" s="455" t="s">
        <v>3815</v>
      </c>
      <c r="J11732" s="556">
        <f t="shared" si="385"/>
        <v>0</v>
      </c>
    </row>
    <row r="11733" spans="6:10" hidden="1" x14ac:dyDescent="0.25">
      <c r="F11733" s="464">
        <v>481</v>
      </c>
      <c r="G11733" s="455" t="s">
        <v>4153</v>
      </c>
      <c r="J11733" s="556">
        <f t="shared" si="385"/>
        <v>0</v>
      </c>
    </row>
    <row r="11734" spans="6:10" hidden="1" x14ac:dyDescent="0.25">
      <c r="F11734" s="464">
        <v>482</v>
      </c>
      <c r="G11734" s="455" t="s">
        <v>4154</v>
      </c>
      <c r="J11734" s="556">
        <f t="shared" si="385"/>
        <v>0</v>
      </c>
    </row>
    <row r="11735" spans="6:10" hidden="1" x14ac:dyDescent="0.25">
      <c r="F11735" s="464">
        <v>483</v>
      </c>
      <c r="G11735" s="457" t="s">
        <v>4155</v>
      </c>
      <c r="J11735" s="556">
        <f t="shared" si="385"/>
        <v>0</v>
      </c>
    </row>
    <row r="11736" spans="6:10" ht="30" hidden="1" x14ac:dyDescent="0.25">
      <c r="F11736" s="464">
        <v>484</v>
      </c>
      <c r="G11736" s="455" t="s">
        <v>4156</v>
      </c>
      <c r="J11736" s="556">
        <f t="shared" si="385"/>
        <v>0</v>
      </c>
    </row>
    <row r="11737" spans="6:10" ht="30" hidden="1" x14ac:dyDescent="0.25">
      <c r="F11737" s="464">
        <v>485</v>
      </c>
      <c r="G11737" s="455" t="s">
        <v>4157</v>
      </c>
      <c r="J11737" s="556">
        <f t="shared" si="385"/>
        <v>0</v>
      </c>
    </row>
    <row r="11738" spans="6:10" ht="30" hidden="1" x14ac:dyDescent="0.25">
      <c r="F11738" s="464">
        <v>489</v>
      </c>
      <c r="G11738" s="455" t="s">
        <v>3823</v>
      </c>
      <c r="J11738" s="556">
        <f t="shared" si="385"/>
        <v>0</v>
      </c>
    </row>
    <row r="11739" spans="6:10" hidden="1" x14ac:dyDescent="0.25">
      <c r="F11739" s="464">
        <v>494</v>
      </c>
      <c r="G11739" s="455" t="s">
        <v>4135</v>
      </c>
      <c r="J11739" s="556">
        <f t="shared" si="385"/>
        <v>0</v>
      </c>
    </row>
    <row r="11740" spans="6:10" ht="30" hidden="1" x14ac:dyDescent="0.25">
      <c r="F11740" s="464">
        <v>495</v>
      </c>
      <c r="G11740" s="455" t="s">
        <v>4136</v>
      </c>
      <c r="J11740" s="556">
        <f t="shared" si="385"/>
        <v>0</v>
      </c>
    </row>
    <row r="11741" spans="6:10" ht="30" hidden="1" x14ac:dyDescent="0.25">
      <c r="F11741" s="464">
        <v>496</v>
      </c>
      <c r="G11741" s="455" t="s">
        <v>4137</v>
      </c>
      <c r="J11741" s="556">
        <f t="shared" si="385"/>
        <v>0</v>
      </c>
    </row>
    <row r="11742" spans="6:10" ht="30" hidden="1" x14ac:dyDescent="0.25">
      <c r="F11742" s="464">
        <v>499</v>
      </c>
      <c r="G11742" s="455" t="s">
        <v>4138</v>
      </c>
      <c r="J11742" s="556">
        <f t="shared" si="385"/>
        <v>0</v>
      </c>
    </row>
    <row r="11743" spans="6:10" hidden="1" x14ac:dyDescent="0.25">
      <c r="F11743" s="464">
        <v>511</v>
      </c>
      <c r="G11743" s="457" t="s">
        <v>4158</v>
      </c>
      <c r="J11743" s="556">
        <f t="shared" si="385"/>
        <v>0</v>
      </c>
    </row>
    <row r="11744" spans="6:10" hidden="1" x14ac:dyDescent="0.25">
      <c r="F11744" s="464">
        <v>512</v>
      </c>
      <c r="G11744" s="457" t="s">
        <v>4159</v>
      </c>
      <c r="J11744" s="556">
        <f t="shared" si="385"/>
        <v>0</v>
      </c>
    </row>
    <row r="11745" spans="5:10" hidden="1" x14ac:dyDescent="0.25">
      <c r="F11745" s="464">
        <v>513</v>
      </c>
      <c r="G11745" s="457" t="s">
        <v>4160</v>
      </c>
      <c r="J11745" s="556">
        <f t="shared" si="385"/>
        <v>0</v>
      </c>
    </row>
    <row r="11746" spans="5:10" hidden="1" x14ac:dyDescent="0.25">
      <c r="F11746" s="464">
        <v>514</v>
      </c>
      <c r="G11746" s="455" t="s">
        <v>4161</v>
      </c>
      <c r="J11746" s="556">
        <f t="shared" si="385"/>
        <v>0</v>
      </c>
    </row>
    <row r="11747" spans="5:10" hidden="1" x14ac:dyDescent="0.25">
      <c r="F11747" s="464">
        <v>515</v>
      </c>
      <c r="G11747" s="455" t="s">
        <v>3834</v>
      </c>
      <c r="J11747" s="556">
        <f t="shared" si="385"/>
        <v>0</v>
      </c>
    </row>
    <row r="11748" spans="5:10" hidden="1" x14ac:dyDescent="0.25">
      <c r="F11748" s="464">
        <v>521</v>
      </c>
      <c r="G11748" s="455" t="s">
        <v>4162</v>
      </c>
      <c r="J11748" s="556">
        <f t="shared" si="385"/>
        <v>0</v>
      </c>
    </row>
    <row r="11749" spans="5:10" hidden="1" x14ac:dyDescent="0.25">
      <c r="F11749" s="464">
        <v>522</v>
      </c>
      <c r="G11749" s="455" t="s">
        <v>4163</v>
      </c>
      <c r="J11749" s="556">
        <f t="shared" si="385"/>
        <v>0</v>
      </c>
    </row>
    <row r="11750" spans="5:10" hidden="1" x14ac:dyDescent="0.25">
      <c r="F11750" s="464">
        <v>523</v>
      </c>
      <c r="G11750" s="455" t="s">
        <v>3839</v>
      </c>
      <c r="J11750" s="556">
        <f t="shared" si="385"/>
        <v>0</v>
      </c>
    </row>
    <row r="11751" spans="5:10" hidden="1" x14ac:dyDescent="0.25">
      <c r="F11751" s="464">
        <v>531</v>
      </c>
      <c r="G11751" s="453" t="s">
        <v>4139</v>
      </c>
      <c r="J11751" s="556">
        <f t="shared" si="385"/>
        <v>0</v>
      </c>
    </row>
    <row r="11752" spans="5:10" hidden="1" x14ac:dyDescent="0.25">
      <c r="F11752" s="464">
        <v>541</v>
      </c>
      <c r="G11752" s="455" t="s">
        <v>4164</v>
      </c>
      <c r="J11752" s="556">
        <f t="shared" si="385"/>
        <v>0</v>
      </c>
    </row>
    <row r="11753" spans="5:10" hidden="1" x14ac:dyDescent="0.25">
      <c r="F11753" s="464">
        <v>542</v>
      </c>
      <c r="G11753" s="455" t="s">
        <v>4165</v>
      </c>
      <c r="J11753" s="556">
        <f t="shared" si="385"/>
        <v>0</v>
      </c>
    </row>
    <row r="11754" spans="5:10" hidden="1" x14ac:dyDescent="0.25">
      <c r="F11754" s="464">
        <v>543</v>
      </c>
      <c r="G11754" s="455" t="s">
        <v>3844</v>
      </c>
      <c r="J11754" s="556">
        <f t="shared" si="385"/>
        <v>0</v>
      </c>
    </row>
    <row r="11755" spans="5:10" ht="30" hidden="1" x14ac:dyDescent="0.25">
      <c r="F11755" s="464">
        <v>551</v>
      </c>
      <c r="G11755" s="455" t="s">
        <v>4140</v>
      </c>
      <c r="J11755" s="556">
        <f t="shared" si="385"/>
        <v>0</v>
      </c>
    </row>
    <row r="11756" spans="5:10" hidden="1" x14ac:dyDescent="0.25">
      <c r="F11756" s="465">
        <v>611</v>
      </c>
      <c r="G11756" s="463" t="s">
        <v>3850</v>
      </c>
      <c r="J11756" s="556">
        <f t="shared" si="385"/>
        <v>0</v>
      </c>
    </row>
    <row r="11757" spans="5:10" hidden="1" x14ac:dyDescent="0.25">
      <c r="F11757" s="465">
        <v>620</v>
      </c>
      <c r="G11757" s="463" t="s">
        <v>88</v>
      </c>
      <c r="J11757" s="556">
        <f t="shared" si="385"/>
        <v>0</v>
      </c>
    </row>
    <row r="11758" spans="5:10" hidden="1" x14ac:dyDescent="0.25">
      <c r="E11758" s="489"/>
      <c r="F11758" s="465"/>
      <c r="G11758" s="343" t="s">
        <v>4356</v>
      </c>
      <c r="H11758" s="557"/>
      <c r="I11758" s="583"/>
      <c r="J11758" s="558"/>
    </row>
    <row r="11759" spans="5:10" hidden="1" x14ac:dyDescent="0.25">
      <c r="E11759" s="693"/>
      <c r="F11759" s="284" t="s">
        <v>234</v>
      </c>
      <c r="G11759" s="287" t="s">
        <v>235</v>
      </c>
      <c r="H11759" s="559">
        <f>SUM(H11698:H11757)</f>
        <v>0</v>
      </c>
      <c r="I11759" s="560"/>
      <c r="J11759" s="560">
        <f t="shared" ref="J11759:J11774" si="386">SUM(H11759:I11759)</f>
        <v>0</v>
      </c>
    </row>
    <row r="11760" spans="5:10" hidden="1" x14ac:dyDescent="0.25">
      <c r="F11760" s="284" t="s">
        <v>236</v>
      </c>
      <c r="G11760" s="287" t="s">
        <v>237</v>
      </c>
      <c r="J11760" s="560">
        <f t="shared" si="386"/>
        <v>0</v>
      </c>
    </row>
    <row r="11761" spans="5:10" hidden="1" x14ac:dyDescent="0.25">
      <c r="F11761" s="284" t="s">
        <v>238</v>
      </c>
      <c r="G11761" s="287" t="s">
        <v>239</v>
      </c>
      <c r="J11761" s="560">
        <f t="shared" si="386"/>
        <v>0</v>
      </c>
    </row>
    <row r="11762" spans="5:10" hidden="1" x14ac:dyDescent="0.25">
      <c r="F11762" s="284" t="s">
        <v>240</v>
      </c>
      <c r="G11762" s="287" t="s">
        <v>241</v>
      </c>
      <c r="J11762" s="560">
        <f t="shared" si="386"/>
        <v>0</v>
      </c>
    </row>
    <row r="11763" spans="5:10" hidden="1" x14ac:dyDescent="0.25">
      <c r="F11763" s="284" t="s">
        <v>242</v>
      </c>
      <c r="G11763" s="287" t="s">
        <v>243</v>
      </c>
      <c r="J11763" s="560">
        <f t="shared" si="386"/>
        <v>0</v>
      </c>
    </row>
    <row r="11764" spans="5:10" hidden="1" x14ac:dyDescent="0.25">
      <c r="F11764" s="284" t="s">
        <v>244</v>
      </c>
      <c r="G11764" s="287" t="s">
        <v>245</v>
      </c>
      <c r="J11764" s="560">
        <f t="shared" si="386"/>
        <v>0</v>
      </c>
    </row>
    <row r="11765" spans="5:10" hidden="1" x14ac:dyDescent="0.25">
      <c r="F11765" s="284" t="s">
        <v>246</v>
      </c>
      <c r="G11765" s="598" t="s">
        <v>4996</v>
      </c>
      <c r="J11765" s="560">
        <f t="shared" si="386"/>
        <v>0</v>
      </c>
    </row>
    <row r="11766" spans="5:10" hidden="1" x14ac:dyDescent="0.25">
      <c r="F11766" s="284" t="s">
        <v>247</v>
      </c>
      <c r="G11766" s="598" t="s">
        <v>4995</v>
      </c>
      <c r="J11766" s="560">
        <f t="shared" si="386"/>
        <v>0</v>
      </c>
    </row>
    <row r="11767" spans="5:10" hidden="1" x14ac:dyDescent="0.25">
      <c r="F11767" s="284" t="s">
        <v>248</v>
      </c>
      <c r="G11767" s="287" t="s">
        <v>57</v>
      </c>
      <c r="J11767" s="560">
        <f t="shared" si="386"/>
        <v>0</v>
      </c>
    </row>
    <row r="11768" spans="5:10" hidden="1" x14ac:dyDescent="0.25">
      <c r="F11768" s="284" t="s">
        <v>249</v>
      </c>
      <c r="G11768" s="287" t="s">
        <v>250</v>
      </c>
      <c r="J11768" s="560">
        <f t="shared" si="386"/>
        <v>0</v>
      </c>
    </row>
    <row r="11769" spans="5:10" hidden="1" x14ac:dyDescent="0.25">
      <c r="F11769" s="284" t="s">
        <v>251</v>
      </c>
      <c r="G11769" s="287" t="s">
        <v>252</v>
      </c>
      <c r="J11769" s="560">
        <f t="shared" si="386"/>
        <v>0</v>
      </c>
    </row>
    <row r="11770" spans="5:10" ht="30" hidden="1" x14ac:dyDescent="0.25">
      <c r="F11770" s="284" t="s">
        <v>253</v>
      </c>
      <c r="G11770" s="287" t="s">
        <v>254</v>
      </c>
      <c r="J11770" s="560">
        <f t="shared" si="386"/>
        <v>0</v>
      </c>
    </row>
    <row r="11771" spans="5:10" hidden="1" x14ac:dyDescent="0.25">
      <c r="F11771" s="284" t="s">
        <v>255</v>
      </c>
      <c r="G11771" s="287" t="s">
        <v>256</v>
      </c>
      <c r="J11771" s="560">
        <f t="shared" si="386"/>
        <v>0</v>
      </c>
    </row>
    <row r="11772" spans="5:10" ht="30" hidden="1" x14ac:dyDescent="0.25">
      <c r="F11772" s="284" t="s">
        <v>257</v>
      </c>
      <c r="G11772" s="287" t="s">
        <v>258</v>
      </c>
      <c r="J11772" s="560">
        <f t="shared" si="386"/>
        <v>0</v>
      </c>
    </row>
    <row r="11773" spans="5:10" hidden="1" x14ac:dyDescent="0.25">
      <c r="F11773" s="284" t="s">
        <v>259</v>
      </c>
      <c r="G11773" s="287" t="s">
        <v>260</v>
      </c>
      <c r="J11773" s="560">
        <f t="shared" si="386"/>
        <v>0</v>
      </c>
    </row>
    <row r="11774" spans="5:10" hidden="1" x14ac:dyDescent="0.25">
      <c r="F11774" s="284" t="s">
        <v>261</v>
      </c>
      <c r="G11774" s="287" t="s">
        <v>262</v>
      </c>
      <c r="H11774" s="559"/>
      <c r="I11774" s="560"/>
      <c r="J11774" s="560">
        <f t="shared" si="386"/>
        <v>0</v>
      </c>
    </row>
    <row r="11775" spans="5:10" ht="15.75" hidden="1" thickBot="1" x14ac:dyDescent="0.3">
      <c r="G11775" s="268" t="s">
        <v>4357</v>
      </c>
      <c r="H11775" s="561">
        <f>SUM(H11759:H11774)</f>
        <v>0</v>
      </c>
      <c r="I11775" s="562">
        <f>SUM(I11760:I11774)</f>
        <v>0</v>
      </c>
      <c r="J11775" s="562">
        <f>SUM(J11759:J11774)</f>
        <v>0</v>
      </c>
    </row>
    <row r="11776" spans="5:10" ht="28.5" hidden="1" collapsed="1" x14ac:dyDescent="0.25">
      <c r="E11776" s="489"/>
      <c r="F11776" s="465"/>
      <c r="G11776" s="270" t="s">
        <v>4358</v>
      </c>
      <c r="H11776" s="563"/>
      <c r="I11776" s="584"/>
      <c r="J11776" s="564"/>
    </row>
    <row r="11777" spans="5:10" hidden="1" x14ac:dyDescent="0.25">
      <c r="E11777" s="693"/>
      <c r="F11777" s="284" t="s">
        <v>234</v>
      </c>
      <c r="G11777" s="287" t="s">
        <v>235</v>
      </c>
      <c r="H11777" s="559">
        <f>SUM(H11698:H11757)</f>
        <v>0</v>
      </c>
      <c r="I11777" s="560"/>
      <c r="J11777" s="560">
        <f>SUM(H11777:I11777)</f>
        <v>0</v>
      </c>
    </row>
    <row r="11778" spans="5:10" hidden="1" x14ac:dyDescent="0.25">
      <c r="F11778" s="284" t="s">
        <v>236</v>
      </c>
      <c r="G11778" s="287" t="s">
        <v>237</v>
      </c>
      <c r="J11778" s="560">
        <f t="shared" ref="J11778:J11792" si="387">SUM(H11778:I11778)</f>
        <v>0</v>
      </c>
    </row>
    <row r="11779" spans="5:10" hidden="1" x14ac:dyDescent="0.25">
      <c r="F11779" s="284" t="s">
        <v>238</v>
      </c>
      <c r="G11779" s="287" t="s">
        <v>239</v>
      </c>
      <c r="J11779" s="560">
        <f t="shared" si="387"/>
        <v>0</v>
      </c>
    </row>
    <row r="11780" spans="5:10" hidden="1" x14ac:dyDescent="0.25">
      <c r="F11780" s="284" t="s">
        <v>240</v>
      </c>
      <c r="G11780" s="287" t="s">
        <v>241</v>
      </c>
      <c r="J11780" s="560">
        <f t="shared" si="387"/>
        <v>0</v>
      </c>
    </row>
    <row r="11781" spans="5:10" hidden="1" x14ac:dyDescent="0.25">
      <c r="F11781" s="284" t="s">
        <v>242</v>
      </c>
      <c r="G11781" s="287" t="s">
        <v>243</v>
      </c>
      <c r="J11781" s="560">
        <f t="shared" si="387"/>
        <v>0</v>
      </c>
    </row>
    <row r="11782" spans="5:10" hidden="1" x14ac:dyDescent="0.25">
      <c r="F11782" s="284" t="s">
        <v>244</v>
      </c>
      <c r="G11782" s="287" t="s">
        <v>245</v>
      </c>
      <c r="J11782" s="560">
        <f t="shared" si="387"/>
        <v>0</v>
      </c>
    </row>
    <row r="11783" spans="5:10" hidden="1" x14ac:dyDescent="0.25">
      <c r="F11783" s="284" t="s">
        <v>246</v>
      </c>
      <c r="G11783" s="598" t="s">
        <v>4996</v>
      </c>
      <c r="J11783" s="560">
        <f t="shared" si="387"/>
        <v>0</v>
      </c>
    </row>
    <row r="11784" spans="5:10" hidden="1" x14ac:dyDescent="0.25">
      <c r="F11784" s="284" t="s">
        <v>247</v>
      </c>
      <c r="G11784" s="598" t="s">
        <v>4995</v>
      </c>
      <c r="J11784" s="560">
        <f t="shared" si="387"/>
        <v>0</v>
      </c>
    </row>
    <row r="11785" spans="5:10" hidden="1" x14ac:dyDescent="0.25">
      <c r="F11785" s="284" t="s">
        <v>248</v>
      </c>
      <c r="G11785" s="287" t="s">
        <v>57</v>
      </c>
      <c r="J11785" s="560">
        <f t="shared" si="387"/>
        <v>0</v>
      </c>
    </row>
    <row r="11786" spans="5:10" hidden="1" x14ac:dyDescent="0.25">
      <c r="F11786" s="284" t="s">
        <v>249</v>
      </c>
      <c r="G11786" s="287" t="s">
        <v>250</v>
      </c>
      <c r="J11786" s="560">
        <f t="shared" si="387"/>
        <v>0</v>
      </c>
    </row>
    <row r="11787" spans="5:10" hidden="1" x14ac:dyDescent="0.25">
      <c r="F11787" s="284" t="s">
        <v>251</v>
      </c>
      <c r="G11787" s="287" t="s">
        <v>252</v>
      </c>
      <c r="J11787" s="560">
        <f t="shared" si="387"/>
        <v>0</v>
      </c>
    </row>
    <row r="11788" spans="5:10" ht="30" hidden="1" x14ac:dyDescent="0.25">
      <c r="F11788" s="284" t="s">
        <v>253</v>
      </c>
      <c r="G11788" s="287" t="s">
        <v>254</v>
      </c>
      <c r="J11788" s="560">
        <f t="shared" si="387"/>
        <v>0</v>
      </c>
    </row>
    <row r="11789" spans="5:10" hidden="1" x14ac:dyDescent="0.25">
      <c r="F11789" s="284" t="s">
        <v>255</v>
      </c>
      <c r="G11789" s="287" t="s">
        <v>256</v>
      </c>
      <c r="J11789" s="560">
        <f t="shared" si="387"/>
        <v>0</v>
      </c>
    </row>
    <row r="11790" spans="5:10" ht="30" hidden="1" x14ac:dyDescent="0.25">
      <c r="F11790" s="284" t="s">
        <v>257</v>
      </c>
      <c r="G11790" s="287" t="s">
        <v>258</v>
      </c>
      <c r="J11790" s="560">
        <f t="shared" si="387"/>
        <v>0</v>
      </c>
    </row>
    <row r="11791" spans="5:10" hidden="1" x14ac:dyDescent="0.25">
      <c r="F11791" s="284" t="s">
        <v>259</v>
      </c>
      <c r="G11791" s="287" t="s">
        <v>260</v>
      </c>
      <c r="J11791" s="560">
        <f t="shared" si="387"/>
        <v>0</v>
      </c>
    </row>
    <row r="11792" spans="5:10" hidden="1" x14ac:dyDescent="0.25">
      <c r="F11792" s="284" t="s">
        <v>261</v>
      </c>
      <c r="G11792" s="287" t="s">
        <v>262</v>
      </c>
      <c r="H11792" s="559"/>
      <c r="I11792" s="560"/>
      <c r="J11792" s="560">
        <f t="shared" si="387"/>
        <v>0</v>
      </c>
    </row>
    <row r="11793" spans="3:10" ht="15.75" hidden="1" collapsed="1" thickBot="1" x14ac:dyDescent="0.3">
      <c r="G11793" s="268" t="s">
        <v>4359</v>
      </c>
      <c r="H11793" s="561">
        <f>SUM(H11777:H11792)</f>
        <v>0</v>
      </c>
      <c r="I11793" s="562">
        <f>SUM(I11778:I11792)</f>
        <v>0</v>
      </c>
      <c r="J11793" s="562">
        <f>SUM(J11777:J11792)</f>
        <v>0</v>
      </c>
    </row>
    <row r="11794" spans="3:10" hidden="1" x14ac:dyDescent="0.25"/>
    <row r="11795" spans="3:10" hidden="1" x14ac:dyDescent="0.25">
      <c r="C11795" s="267" t="s">
        <v>4745</v>
      </c>
      <c r="D11795" s="259"/>
      <c r="G11795" s="456" t="s">
        <v>4196</v>
      </c>
    </row>
    <row r="11796" spans="3:10" hidden="1" x14ac:dyDescent="0.25">
      <c r="C11796" s="267"/>
      <c r="D11796" s="331">
        <v>820</v>
      </c>
      <c r="E11796" s="869"/>
      <c r="F11796" s="331"/>
      <c r="G11796" s="332" t="s">
        <v>207</v>
      </c>
    </row>
    <row r="11797" spans="3:10" hidden="1" x14ac:dyDescent="0.25">
      <c r="F11797" s="464">
        <v>411</v>
      </c>
      <c r="G11797" s="455" t="s">
        <v>4131</v>
      </c>
      <c r="J11797" s="556">
        <f>SUM(H11797:I11797)</f>
        <v>0</v>
      </c>
    </row>
    <row r="11798" spans="3:10" hidden="1" x14ac:dyDescent="0.25">
      <c r="F11798" s="464">
        <v>412</v>
      </c>
      <c r="G11798" s="453" t="s">
        <v>3766</v>
      </c>
      <c r="J11798" s="556">
        <f t="shared" ref="J11798:J11856" si="388">SUM(H11798:I11798)</f>
        <v>0</v>
      </c>
    </row>
    <row r="11799" spans="3:10" hidden="1" x14ac:dyDescent="0.25">
      <c r="F11799" s="464">
        <v>413</v>
      </c>
      <c r="G11799" s="455" t="s">
        <v>4132</v>
      </c>
      <c r="J11799" s="556">
        <f t="shared" si="388"/>
        <v>0</v>
      </c>
    </row>
    <row r="11800" spans="3:10" hidden="1" x14ac:dyDescent="0.25">
      <c r="F11800" s="464">
        <v>414</v>
      </c>
      <c r="G11800" s="455" t="s">
        <v>3769</v>
      </c>
      <c r="J11800" s="556">
        <f t="shared" si="388"/>
        <v>0</v>
      </c>
    </row>
    <row r="11801" spans="3:10" hidden="1" x14ac:dyDescent="0.25">
      <c r="F11801" s="464">
        <v>415</v>
      </c>
      <c r="G11801" s="455" t="s">
        <v>4141</v>
      </c>
      <c r="J11801" s="556">
        <f t="shared" si="388"/>
        <v>0</v>
      </c>
    </row>
    <row r="11802" spans="3:10" hidden="1" x14ac:dyDescent="0.25">
      <c r="F11802" s="464">
        <v>416</v>
      </c>
      <c r="G11802" s="455" t="s">
        <v>4142</v>
      </c>
      <c r="J11802" s="556">
        <f t="shared" si="388"/>
        <v>0</v>
      </c>
    </row>
    <row r="11803" spans="3:10" hidden="1" x14ac:dyDescent="0.25">
      <c r="F11803" s="464">
        <v>417</v>
      </c>
      <c r="G11803" s="455" t="s">
        <v>4143</v>
      </c>
      <c r="J11803" s="556">
        <f t="shared" si="388"/>
        <v>0</v>
      </c>
    </row>
    <row r="11804" spans="3:10" hidden="1" x14ac:dyDescent="0.25">
      <c r="F11804" s="464">
        <v>418</v>
      </c>
      <c r="G11804" s="455" t="s">
        <v>3775</v>
      </c>
      <c r="J11804" s="556">
        <f t="shared" si="388"/>
        <v>0</v>
      </c>
    </row>
    <row r="11805" spans="3:10" hidden="1" x14ac:dyDescent="0.25">
      <c r="F11805" s="464">
        <v>421</v>
      </c>
      <c r="G11805" s="455" t="s">
        <v>3779</v>
      </c>
      <c r="J11805" s="556">
        <f t="shared" si="388"/>
        <v>0</v>
      </c>
    </row>
    <row r="11806" spans="3:10" hidden="1" x14ac:dyDescent="0.25">
      <c r="F11806" s="464">
        <v>422</v>
      </c>
      <c r="G11806" s="455" t="s">
        <v>3780</v>
      </c>
      <c r="J11806" s="556">
        <f t="shared" si="388"/>
        <v>0</v>
      </c>
    </row>
    <row r="11807" spans="3:10" hidden="1" x14ac:dyDescent="0.25">
      <c r="F11807" s="464">
        <v>423</v>
      </c>
      <c r="G11807" s="455" t="s">
        <v>3781</v>
      </c>
      <c r="J11807" s="556">
        <f t="shared" si="388"/>
        <v>0</v>
      </c>
    </row>
    <row r="11808" spans="3:10" hidden="1" x14ac:dyDescent="0.25">
      <c r="F11808" s="464">
        <v>424</v>
      </c>
      <c r="G11808" s="455" t="s">
        <v>3783</v>
      </c>
      <c r="J11808" s="556">
        <f t="shared" si="388"/>
        <v>0</v>
      </c>
    </row>
    <row r="11809" spans="6:10" hidden="1" x14ac:dyDescent="0.25">
      <c r="F11809" s="464">
        <v>425</v>
      </c>
      <c r="G11809" s="455" t="s">
        <v>4144</v>
      </c>
      <c r="J11809" s="556">
        <f t="shared" si="388"/>
        <v>0</v>
      </c>
    </row>
    <row r="11810" spans="6:10" hidden="1" x14ac:dyDescent="0.25">
      <c r="F11810" s="464">
        <v>426</v>
      </c>
      <c r="G11810" s="455" t="s">
        <v>3787</v>
      </c>
      <c r="J11810" s="556">
        <f t="shared" si="388"/>
        <v>0</v>
      </c>
    </row>
    <row r="11811" spans="6:10" hidden="1" x14ac:dyDescent="0.25">
      <c r="F11811" s="464">
        <v>431</v>
      </c>
      <c r="G11811" s="455" t="s">
        <v>4145</v>
      </c>
      <c r="J11811" s="556">
        <f t="shared" si="388"/>
        <v>0</v>
      </c>
    </row>
    <row r="11812" spans="6:10" hidden="1" x14ac:dyDescent="0.25">
      <c r="F11812" s="464">
        <v>432</v>
      </c>
      <c r="G11812" s="455" t="s">
        <v>4146</v>
      </c>
      <c r="J11812" s="556">
        <f t="shared" si="388"/>
        <v>0</v>
      </c>
    </row>
    <row r="11813" spans="6:10" hidden="1" x14ac:dyDescent="0.25">
      <c r="F11813" s="464">
        <v>433</v>
      </c>
      <c r="G11813" s="455" t="s">
        <v>4147</v>
      </c>
      <c r="J11813" s="556">
        <f t="shared" si="388"/>
        <v>0</v>
      </c>
    </row>
    <row r="11814" spans="6:10" hidden="1" x14ac:dyDescent="0.25">
      <c r="F11814" s="464">
        <v>434</v>
      </c>
      <c r="G11814" s="455" t="s">
        <v>4148</v>
      </c>
      <c r="J11814" s="556">
        <f t="shared" si="388"/>
        <v>0</v>
      </c>
    </row>
    <row r="11815" spans="6:10" hidden="1" x14ac:dyDescent="0.25">
      <c r="F11815" s="464">
        <v>435</v>
      </c>
      <c r="G11815" s="455" t="s">
        <v>3794</v>
      </c>
      <c r="J11815" s="556">
        <f t="shared" si="388"/>
        <v>0</v>
      </c>
    </row>
    <row r="11816" spans="6:10" hidden="1" x14ac:dyDescent="0.25">
      <c r="F11816" s="464">
        <v>441</v>
      </c>
      <c r="G11816" s="455" t="s">
        <v>4149</v>
      </c>
      <c r="J11816" s="556">
        <f t="shared" si="388"/>
        <v>0</v>
      </c>
    </row>
    <row r="11817" spans="6:10" hidden="1" x14ac:dyDescent="0.25">
      <c r="F11817" s="464">
        <v>442</v>
      </c>
      <c r="G11817" s="455" t="s">
        <v>4150</v>
      </c>
      <c r="J11817" s="556">
        <f t="shared" si="388"/>
        <v>0</v>
      </c>
    </row>
    <row r="11818" spans="6:10" hidden="1" x14ac:dyDescent="0.25">
      <c r="F11818" s="464">
        <v>443</v>
      </c>
      <c r="G11818" s="455" t="s">
        <v>3799</v>
      </c>
      <c r="J11818" s="556">
        <f t="shared" si="388"/>
        <v>0</v>
      </c>
    </row>
    <row r="11819" spans="6:10" hidden="1" x14ac:dyDescent="0.25">
      <c r="F11819" s="464">
        <v>444</v>
      </c>
      <c r="G11819" s="455" t="s">
        <v>3800</v>
      </c>
      <c r="J11819" s="556">
        <f t="shared" si="388"/>
        <v>0</v>
      </c>
    </row>
    <row r="11820" spans="6:10" ht="30" hidden="1" x14ac:dyDescent="0.25">
      <c r="F11820" s="464">
        <v>4511</v>
      </c>
      <c r="G11820" s="263" t="s">
        <v>1690</v>
      </c>
      <c r="J11820" s="556">
        <f t="shared" si="388"/>
        <v>0</v>
      </c>
    </row>
    <row r="11821" spans="6:10" ht="30" hidden="1" x14ac:dyDescent="0.25">
      <c r="F11821" s="464">
        <v>4512</v>
      </c>
      <c r="G11821" s="263" t="s">
        <v>1699</v>
      </c>
      <c r="J11821" s="556">
        <f t="shared" si="388"/>
        <v>0</v>
      </c>
    </row>
    <row r="11822" spans="6:10" hidden="1" x14ac:dyDescent="0.25">
      <c r="F11822" s="464">
        <v>452</v>
      </c>
      <c r="G11822" s="455" t="s">
        <v>4151</v>
      </c>
      <c r="J11822" s="556">
        <f t="shared" si="388"/>
        <v>0</v>
      </c>
    </row>
    <row r="11823" spans="6:10" hidden="1" x14ac:dyDescent="0.25">
      <c r="F11823" s="464">
        <v>453</v>
      </c>
      <c r="G11823" s="455" t="s">
        <v>4152</v>
      </c>
      <c r="J11823" s="556">
        <f t="shared" si="388"/>
        <v>0</v>
      </c>
    </row>
    <row r="11824" spans="6:10" hidden="1" x14ac:dyDescent="0.25">
      <c r="F11824" s="464">
        <v>454</v>
      </c>
      <c r="G11824" s="455" t="s">
        <v>3805</v>
      </c>
      <c r="J11824" s="556">
        <f t="shared" si="388"/>
        <v>0</v>
      </c>
    </row>
    <row r="11825" spans="6:10" hidden="1" x14ac:dyDescent="0.25">
      <c r="F11825" s="464">
        <v>461</v>
      </c>
      <c r="G11825" s="455" t="s">
        <v>4133</v>
      </c>
      <c r="J11825" s="556">
        <f t="shared" si="388"/>
        <v>0</v>
      </c>
    </row>
    <row r="11826" spans="6:10" hidden="1" x14ac:dyDescent="0.25">
      <c r="F11826" s="464">
        <v>462</v>
      </c>
      <c r="G11826" s="455" t="s">
        <v>3808</v>
      </c>
      <c r="J11826" s="556">
        <f t="shared" si="388"/>
        <v>0</v>
      </c>
    </row>
    <row r="11827" spans="6:10" hidden="1" x14ac:dyDescent="0.25">
      <c r="F11827" s="464">
        <v>4631</v>
      </c>
      <c r="G11827" s="455" t="s">
        <v>3809</v>
      </c>
      <c r="J11827" s="556">
        <f t="shared" si="388"/>
        <v>0</v>
      </c>
    </row>
    <row r="11828" spans="6:10" hidden="1" x14ac:dyDescent="0.25">
      <c r="F11828" s="464">
        <v>4632</v>
      </c>
      <c r="G11828" s="455" t="s">
        <v>3810</v>
      </c>
      <c r="J11828" s="556">
        <f t="shared" si="388"/>
        <v>0</v>
      </c>
    </row>
    <row r="11829" spans="6:10" hidden="1" x14ac:dyDescent="0.25">
      <c r="F11829" s="464">
        <v>464</v>
      </c>
      <c r="G11829" s="455" t="s">
        <v>3811</v>
      </c>
      <c r="J11829" s="556">
        <f t="shared" si="388"/>
        <v>0</v>
      </c>
    </row>
    <row r="11830" spans="6:10" hidden="1" x14ac:dyDescent="0.25">
      <c r="F11830" s="464">
        <v>465</v>
      </c>
      <c r="G11830" s="455" t="s">
        <v>4134</v>
      </c>
      <c r="J11830" s="556">
        <f t="shared" si="388"/>
        <v>0</v>
      </c>
    </row>
    <row r="11831" spans="6:10" hidden="1" x14ac:dyDescent="0.25">
      <c r="F11831" s="464">
        <v>472</v>
      </c>
      <c r="G11831" s="455" t="s">
        <v>3815</v>
      </c>
      <c r="J11831" s="556">
        <f t="shared" si="388"/>
        <v>0</v>
      </c>
    </row>
    <row r="11832" spans="6:10" hidden="1" x14ac:dyDescent="0.25">
      <c r="F11832" s="464">
        <v>481</v>
      </c>
      <c r="G11832" s="455" t="s">
        <v>4153</v>
      </c>
      <c r="J11832" s="556">
        <f t="shared" si="388"/>
        <v>0</v>
      </c>
    </row>
    <row r="11833" spans="6:10" hidden="1" x14ac:dyDescent="0.25">
      <c r="F11833" s="464">
        <v>482</v>
      </c>
      <c r="G11833" s="455" t="s">
        <v>4154</v>
      </c>
      <c r="J11833" s="556">
        <f t="shared" si="388"/>
        <v>0</v>
      </c>
    </row>
    <row r="11834" spans="6:10" hidden="1" x14ac:dyDescent="0.25">
      <c r="F11834" s="464">
        <v>483</v>
      </c>
      <c r="G11834" s="457" t="s">
        <v>4155</v>
      </c>
      <c r="J11834" s="556">
        <f t="shared" si="388"/>
        <v>0</v>
      </c>
    </row>
    <row r="11835" spans="6:10" ht="30" hidden="1" x14ac:dyDescent="0.25">
      <c r="F11835" s="464">
        <v>484</v>
      </c>
      <c r="G11835" s="455" t="s">
        <v>4156</v>
      </c>
      <c r="J11835" s="556">
        <f t="shared" si="388"/>
        <v>0</v>
      </c>
    </row>
    <row r="11836" spans="6:10" ht="30" hidden="1" x14ac:dyDescent="0.25">
      <c r="F11836" s="464">
        <v>485</v>
      </c>
      <c r="G11836" s="455" t="s">
        <v>4157</v>
      </c>
      <c r="J11836" s="556">
        <f t="shared" si="388"/>
        <v>0</v>
      </c>
    </row>
    <row r="11837" spans="6:10" ht="30" hidden="1" x14ac:dyDescent="0.25">
      <c r="F11837" s="464">
        <v>489</v>
      </c>
      <c r="G11837" s="455" t="s">
        <v>3823</v>
      </c>
      <c r="J11837" s="556">
        <f t="shared" si="388"/>
        <v>0</v>
      </c>
    </row>
    <row r="11838" spans="6:10" hidden="1" x14ac:dyDescent="0.25">
      <c r="F11838" s="464">
        <v>494</v>
      </c>
      <c r="G11838" s="455" t="s">
        <v>4135</v>
      </c>
      <c r="J11838" s="556">
        <f t="shared" si="388"/>
        <v>0</v>
      </c>
    </row>
    <row r="11839" spans="6:10" ht="30" hidden="1" x14ac:dyDescent="0.25">
      <c r="F11839" s="464">
        <v>495</v>
      </c>
      <c r="G11839" s="455" t="s">
        <v>4136</v>
      </c>
      <c r="J11839" s="556">
        <f t="shared" si="388"/>
        <v>0</v>
      </c>
    </row>
    <row r="11840" spans="6:10" ht="30" hidden="1" x14ac:dyDescent="0.25">
      <c r="F11840" s="464">
        <v>496</v>
      </c>
      <c r="G11840" s="455" t="s">
        <v>4137</v>
      </c>
      <c r="J11840" s="556">
        <f t="shared" si="388"/>
        <v>0</v>
      </c>
    </row>
    <row r="11841" spans="6:10" ht="30" hidden="1" x14ac:dyDescent="0.25">
      <c r="F11841" s="464">
        <v>499</v>
      </c>
      <c r="G11841" s="455" t="s">
        <v>4138</v>
      </c>
      <c r="J11841" s="556">
        <f t="shared" si="388"/>
        <v>0</v>
      </c>
    </row>
    <row r="11842" spans="6:10" hidden="1" x14ac:dyDescent="0.25">
      <c r="F11842" s="464">
        <v>511</v>
      </c>
      <c r="G11842" s="457" t="s">
        <v>4158</v>
      </c>
      <c r="J11842" s="556">
        <f t="shared" si="388"/>
        <v>0</v>
      </c>
    </row>
    <row r="11843" spans="6:10" hidden="1" x14ac:dyDescent="0.25">
      <c r="F11843" s="464">
        <v>512</v>
      </c>
      <c r="G11843" s="457" t="s">
        <v>4159</v>
      </c>
      <c r="J11843" s="556">
        <f t="shared" si="388"/>
        <v>0</v>
      </c>
    </row>
    <row r="11844" spans="6:10" hidden="1" x14ac:dyDescent="0.25">
      <c r="F11844" s="464">
        <v>513</v>
      </c>
      <c r="G11844" s="457" t="s">
        <v>4160</v>
      </c>
      <c r="J11844" s="556">
        <f t="shared" si="388"/>
        <v>0</v>
      </c>
    </row>
    <row r="11845" spans="6:10" hidden="1" x14ac:dyDescent="0.25">
      <c r="F11845" s="464">
        <v>514</v>
      </c>
      <c r="G11845" s="455" t="s">
        <v>4161</v>
      </c>
      <c r="J11845" s="556">
        <f t="shared" si="388"/>
        <v>0</v>
      </c>
    </row>
    <row r="11846" spans="6:10" hidden="1" x14ac:dyDescent="0.25">
      <c r="F11846" s="464">
        <v>515</v>
      </c>
      <c r="G11846" s="455" t="s">
        <v>3834</v>
      </c>
      <c r="J11846" s="556">
        <f t="shared" si="388"/>
        <v>0</v>
      </c>
    </row>
    <row r="11847" spans="6:10" hidden="1" x14ac:dyDescent="0.25">
      <c r="F11847" s="464">
        <v>521</v>
      </c>
      <c r="G11847" s="455" t="s">
        <v>4162</v>
      </c>
      <c r="J11847" s="556">
        <f t="shared" si="388"/>
        <v>0</v>
      </c>
    </row>
    <row r="11848" spans="6:10" hidden="1" x14ac:dyDescent="0.25">
      <c r="F11848" s="464">
        <v>522</v>
      </c>
      <c r="G11848" s="455" t="s">
        <v>4163</v>
      </c>
      <c r="J11848" s="556">
        <f t="shared" si="388"/>
        <v>0</v>
      </c>
    </row>
    <row r="11849" spans="6:10" hidden="1" x14ac:dyDescent="0.25">
      <c r="F11849" s="464">
        <v>523</v>
      </c>
      <c r="G11849" s="455" t="s">
        <v>3839</v>
      </c>
      <c r="J11849" s="556">
        <f t="shared" si="388"/>
        <v>0</v>
      </c>
    </row>
    <row r="11850" spans="6:10" hidden="1" x14ac:dyDescent="0.25">
      <c r="F11850" s="464">
        <v>531</v>
      </c>
      <c r="G11850" s="453" t="s">
        <v>4139</v>
      </c>
      <c r="J11850" s="556">
        <f t="shared" si="388"/>
        <v>0</v>
      </c>
    </row>
    <row r="11851" spans="6:10" hidden="1" x14ac:dyDescent="0.25">
      <c r="F11851" s="464">
        <v>541</v>
      </c>
      <c r="G11851" s="455" t="s">
        <v>4164</v>
      </c>
      <c r="J11851" s="556">
        <f t="shared" si="388"/>
        <v>0</v>
      </c>
    </row>
    <row r="11852" spans="6:10" hidden="1" x14ac:dyDescent="0.25">
      <c r="F11852" s="464">
        <v>542</v>
      </c>
      <c r="G11852" s="455" t="s">
        <v>4165</v>
      </c>
      <c r="J11852" s="556">
        <f t="shared" si="388"/>
        <v>0</v>
      </c>
    </row>
    <row r="11853" spans="6:10" hidden="1" x14ac:dyDescent="0.25">
      <c r="F11853" s="464">
        <v>543</v>
      </c>
      <c r="G11853" s="455" t="s">
        <v>3844</v>
      </c>
      <c r="J11853" s="556">
        <f t="shared" si="388"/>
        <v>0</v>
      </c>
    </row>
    <row r="11854" spans="6:10" ht="30" hidden="1" x14ac:dyDescent="0.25">
      <c r="F11854" s="464">
        <v>551</v>
      </c>
      <c r="G11854" s="455" t="s">
        <v>4140</v>
      </c>
      <c r="J11854" s="556">
        <f t="shared" si="388"/>
        <v>0</v>
      </c>
    </row>
    <row r="11855" spans="6:10" hidden="1" x14ac:dyDescent="0.25">
      <c r="F11855" s="465">
        <v>611</v>
      </c>
      <c r="G11855" s="463" t="s">
        <v>3850</v>
      </c>
      <c r="J11855" s="556">
        <f t="shared" si="388"/>
        <v>0</v>
      </c>
    </row>
    <row r="11856" spans="6:10" hidden="1" x14ac:dyDescent="0.25">
      <c r="F11856" s="465">
        <v>620</v>
      </c>
      <c r="G11856" s="463" t="s">
        <v>88</v>
      </c>
      <c r="J11856" s="556">
        <f t="shared" si="388"/>
        <v>0</v>
      </c>
    </row>
    <row r="11857" spans="5:10" hidden="1" x14ac:dyDescent="0.25">
      <c r="E11857" s="489"/>
      <c r="F11857" s="465"/>
      <c r="G11857" s="342" t="s">
        <v>4356</v>
      </c>
      <c r="H11857" s="557"/>
      <c r="I11857" s="583"/>
      <c r="J11857" s="558"/>
    </row>
    <row r="11858" spans="5:10" hidden="1" x14ac:dyDescent="0.25">
      <c r="E11858" s="693"/>
      <c r="F11858" s="284" t="s">
        <v>234</v>
      </c>
      <c r="G11858" s="287" t="s">
        <v>235</v>
      </c>
      <c r="H11858" s="559">
        <f>SUM(H11797:H11856)</f>
        <v>0</v>
      </c>
      <c r="I11858" s="560"/>
      <c r="J11858" s="560">
        <f>SUM(H11858:I11858)</f>
        <v>0</v>
      </c>
    </row>
    <row r="11859" spans="5:10" hidden="1" x14ac:dyDescent="0.25">
      <c r="F11859" s="284" t="s">
        <v>236</v>
      </c>
      <c r="G11859" s="287" t="s">
        <v>237</v>
      </c>
      <c r="J11859" s="560">
        <f t="shared" ref="J11859:J11873" si="389">SUM(H11859:I11859)</f>
        <v>0</v>
      </c>
    </row>
    <row r="11860" spans="5:10" hidden="1" x14ac:dyDescent="0.25">
      <c r="F11860" s="284" t="s">
        <v>238</v>
      </c>
      <c r="G11860" s="287" t="s">
        <v>239</v>
      </c>
      <c r="J11860" s="560">
        <f t="shared" si="389"/>
        <v>0</v>
      </c>
    </row>
    <row r="11861" spans="5:10" hidden="1" x14ac:dyDescent="0.25">
      <c r="F11861" s="284" t="s">
        <v>240</v>
      </c>
      <c r="G11861" s="287" t="s">
        <v>241</v>
      </c>
      <c r="J11861" s="560">
        <f t="shared" si="389"/>
        <v>0</v>
      </c>
    </row>
    <row r="11862" spans="5:10" hidden="1" x14ac:dyDescent="0.25">
      <c r="F11862" s="284" t="s">
        <v>242</v>
      </c>
      <c r="G11862" s="287" t="s">
        <v>243</v>
      </c>
      <c r="J11862" s="560">
        <f t="shared" si="389"/>
        <v>0</v>
      </c>
    </row>
    <row r="11863" spans="5:10" hidden="1" x14ac:dyDescent="0.25">
      <c r="F11863" s="284" t="s">
        <v>244</v>
      </c>
      <c r="G11863" s="287" t="s">
        <v>245</v>
      </c>
      <c r="J11863" s="560">
        <f t="shared" si="389"/>
        <v>0</v>
      </c>
    </row>
    <row r="11864" spans="5:10" hidden="1" x14ac:dyDescent="0.25">
      <c r="F11864" s="284" t="s">
        <v>246</v>
      </c>
      <c r="G11864" s="598" t="s">
        <v>4996</v>
      </c>
      <c r="J11864" s="560">
        <f t="shared" si="389"/>
        <v>0</v>
      </c>
    </row>
    <row r="11865" spans="5:10" hidden="1" x14ac:dyDescent="0.25">
      <c r="F11865" s="284" t="s">
        <v>247</v>
      </c>
      <c r="G11865" s="598" t="s">
        <v>4995</v>
      </c>
      <c r="J11865" s="560">
        <f t="shared" si="389"/>
        <v>0</v>
      </c>
    </row>
    <row r="11866" spans="5:10" hidden="1" x14ac:dyDescent="0.25">
      <c r="F11866" s="284" t="s">
        <v>248</v>
      </c>
      <c r="G11866" s="287" t="s">
        <v>57</v>
      </c>
      <c r="J11866" s="560">
        <f t="shared" si="389"/>
        <v>0</v>
      </c>
    </row>
    <row r="11867" spans="5:10" hidden="1" x14ac:dyDescent="0.25">
      <c r="F11867" s="284" t="s">
        <v>249</v>
      </c>
      <c r="G11867" s="287" t="s">
        <v>250</v>
      </c>
      <c r="J11867" s="560">
        <f t="shared" si="389"/>
        <v>0</v>
      </c>
    </row>
    <row r="11868" spans="5:10" hidden="1" x14ac:dyDescent="0.25">
      <c r="F11868" s="284" t="s">
        <v>251</v>
      </c>
      <c r="G11868" s="287" t="s">
        <v>252</v>
      </c>
      <c r="J11868" s="560">
        <f t="shared" si="389"/>
        <v>0</v>
      </c>
    </row>
    <row r="11869" spans="5:10" ht="30" hidden="1" x14ac:dyDescent="0.25">
      <c r="F11869" s="284" t="s">
        <v>253</v>
      </c>
      <c r="G11869" s="287" t="s">
        <v>254</v>
      </c>
      <c r="J11869" s="560">
        <f t="shared" si="389"/>
        <v>0</v>
      </c>
    </row>
    <row r="11870" spans="5:10" hidden="1" x14ac:dyDescent="0.25">
      <c r="F11870" s="284" t="s">
        <v>255</v>
      </c>
      <c r="G11870" s="287" t="s">
        <v>256</v>
      </c>
      <c r="J11870" s="560">
        <f t="shared" si="389"/>
        <v>0</v>
      </c>
    </row>
    <row r="11871" spans="5:10" ht="30" hidden="1" x14ac:dyDescent="0.25">
      <c r="F11871" s="284" t="s">
        <v>257</v>
      </c>
      <c r="G11871" s="287" t="s">
        <v>258</v>
      </c>
      <c r="J11871" s="560">
        <f t="shared" si="389"/>
        <v>0</v>
      </c>
    </row>
    <row r="11872" spans="5:10" hidden="1" x14ac:dyDescent="0.25">
      <c r="F11872" s="284" t="s">
        <v>259</v>
      </c>
      <c r="G11872" s="287" t="s">
        <v>260</v>
      </c>
      <c r="J11872" s="560">
        <f t="shared" si="389"/>
        <v>0</v>
      </c>
    </row>
    <row r="11873" spans="5:10" hidden="1" x14ac:dyDescent="0.25">
      <c r="F11873" s="284" t="s">
        <v>261</v>
      </c>
      <c r="G11873" s="287" t="s">
        <v>262</v>
      </c>
      <c r="H11873" s="559"/>
      <c r="I11873" s="560"/>
      <c r="J11873" s="560">
        <f t="shared" si="389"/>
        <v>0</v>
      </c>
    </row>
    <row r="11874" spans="5:10" ht="15.75" hidden="1" thickBot="1" x14ac:dyDescent="0.3">
      <c r="G11874" s="268" t="s">
        <v>4357</v>
      </c>
      <c r="H11874" s="561">
        <f>SUM(H11858:H11873)</f>
        <v>0</v>
      </c>
      <c r="I11874" s="562">
        <f>SUM(I11859:I11873)</f>
        <v>0</v>
      </c>
      <c r="J11874" s="562">
        <f>SUM(J11858:J11873)</f>
        <v>0</v>
      </c>
    </row>
    <row r="11875" spans="5:10" hidden="1" collapsed="1" x14ac:dyDescent="0.25">
      <c r="E11875" s="489"/>
      <c r="F11875" s="465"/>
      <c r="G11875" s="270" t="s">
        <v>4932</v>
      </c>
      <c r="H11875" s="563"/>
      <c r="I11875" s="584"/>
      <c r="J11875" s="564"/>
    </row>
    <row r="11876" spans="5:10" hidden="1" x14ac:dyDescent="0.25">
      <c r="E11876" s="693"/>
      <c r="F11876" s="284" t="s">
        <v>234</v>
      </c>
      <c r="G11876" s="287" t="s">
        <v>235</v>
      </c>
      <c r="H11876" s="559">
        <f>SUM(H11797:H11856)</f>
        <v>0</v>
      </c>
      <c r="I11876" s="560"/>
      <c r="J11876" s="560">
        <f>SUM(H11876:I11876)</f>
        <v>0</v>
      </c>
    </row>
    <row r="11877" spans="5:10" hidden="1" x14ac:dyDescent="0.25">
      <c r="F11877" s="284" t="s">
        <v>236</v>
      </c>
      <c r="G11877" s="287" t="s">
        <v>237</v>
      </c>
      <c r="J11877" s="560">
        <f t="shared" ref="J11877:J11891" si="390">SUM(H11877:I11877)</f>
        <v>0</v>
      </c>
    </row>
    <row r="11878" spans="5:10" hidden="1" x14ac:dyDescent="0.25">
      <c r="F11878" s="284" t="s">
        <v>238</v>
      </c>
      <c r="G11878" s="287" t="s">
        <v>239</v>
      </c>
      <c r="J11878" s="560">
        <f t="shared" si="390"/>
        <v>0</v>
      </c>
    </row>
    <row r="11879" spans="5:10" hidden="1" x14ac:dyDescent="0.25">
      <c r="F11879" s="284" t="s">
        <v>240</v>
      </c>
      <c r="G11879" s="287" t="s">
        <v>241</v>
      </c>
      <c r="J11879" s="560">
        <f t="shared" si="390"/>
        <v>0</v>
      </c>
    </row>
    <row r="11880" spans="5:10" hidden="1" x14ac:dyDescent="0.25">
      <c r="F11880" s="284" t="s">
        <v>242</v>
      </c>
      <c r="G11880" s="287" t="s">
        <v>243</v>
      </c>
      <c r="J11880" s="560">
        <f t="shared" si="390"/>
        <v>0</v>
      </c>
    </row>
    <row r="11881" spans="5:10" hidden="1" x14ac:dyDescent="0.25">
      <c r="F11881" s="284" t="s">
        <v>244</v>
      </c>
      <c r="G11881" s="287" t="s">
        <v>245</v>
      </c>
      <c r="J11881" s="560">
        <f t="shared" si="390"/>
        <v>0</v>
      </c>
    </row>
    <row r="11882" spans="5:10" hidden="1" x14ac:dyDescent="0.25">
      <c r="F11882" s="284" t="s">
        <v>246</v>
      </c>
      <c r="G11882" s="598" t="s">
        <v>4996</v>
      </c>
      <c r="J11882" s="560">
        <f t="shared" si="390"/>
        <v>0</v>
      </c>
    </row>
    <row r="11883" spans="5:10" hidden="1" x14ac:dyDescent="0.25">
      <c r="F11883" s="284" t="s">
        <v>247</v>
      </c>
      <c r="G11883" s="598" t="s">
        <v>4995</v>
      </c>
      <c r="J11883" s="560">
        <f t="shared" si="390"/>
        <v>0</v>
      </c>
    </row>
    <row r="11884" spans="5:10" hidden="1" x14ac:dyDescent="0.25">
      <c r="F11884" s="284" t="s">
        <v>248</v>
      </c>
      <c r="G11884" s="287" t="s">
        <v>57</v>
      </c>
      <c r="J11884" s="560">
        <f t="shared" si="390"/>
        <v>0</v>
      </c>
    </row>
    <row r="11885" spans="5:10" hidden="1" x14ac:dyDescent="0.25">
      <c r="F11885" s="284" t="s">
        <v>249</v>
      </c>
      <c r="G11885" s="287" t="s">
        <v>250</v>
      </c>
      <c r="J11885" s="560">
        <f t="shared" si="390"/>
        <v>0</v>
      </c>
    </row>
    <row r="11886" spans="5:10" hidden="1" x14ac:dyDescent="0.25">
      <c r="F11886" s="284" t="s">
        <v>251</v>
      </c>
      <c r="G11886" s="287" t="s">
        <v>252</v>
      </c>
      <c r="J11886" s="560">
        <f t="shared" si="390"/>
        <v>0</v>
      </c>
    </row>
    <row r="11887" spans="5:10" ht="30" hidden="1" x14ac:dyDescent="0.25">
      <c r="F11887" s="284" t="s">
        <v>253</v>
      </c>
      <c r="G11887" s="287" t="s">
        <v>254</v>
      </c>
      <c r="J11887" s="560">
        <f t="shared" si="390"/>
        <v>0</v>
      </c>
    </row>
    <row r="11888" spans="5:10" hidden="1" x14ac:dyDescent="0.25">
      <c r="F11888" s="284" t="s">
        <v>255</v>
      </c>
      <c r="G11888" s="287" t="s">
        <v>256</v>
      </c>
      <c r="J11888" s="560">
        <f t="shared" si="390"/>
        <v>0</v>
      </c>
    </row>
    <row r="11889" spans="5:10" ht="30" hidden="1" x14ac:dyDescent="0.25">
      <c r="F11889" s="284" t="s">
        <v>257</v>
      </c>
      <c r="G11889" s="287" t="s">
        <v>258</v>
      </c>
      <c r="J11889" s="560">
        <f t="shared" si="390"/>
        <v>0</v>
      </c>
    </row>
    <row r="11890" spans="5:10" hidden="1" x14ac:dyDescent="0.25">
      <c r="F11890" s="284" t="s">
        <v>259</v>
      </c>
      <c r="G11890" s="287" t="s">
        <v>260</v>
      </c>
      <c r="J11890" s="560">
        <f t="shared" si="390"/>
        <v>0</v>
      </c>
    </row>
    <row r="11891" spans="5:10" hidden="1" x14ac:dyDescent="0.25">
      <c r="F11891" s="284" t="s">
        <v>261</v>
      </c>
      <c r="G11891" s="287" t="s">
        <v>262</v>
      </c>
      <c r="H11891" s="559"/>
      <c r="I11891" s="560"/>
      <c r="J11891" s="560">
        <f t="shared" si="390"/>
        <v>0</v>
      </c>
    </row>
    <row r="11892" spans="5:10" ht="15.75" hidden="1" thickBot="1" x14ac:dyDescent="0.3">
      <c r="G11892" s="268" t="s">
        <v>4919</v>
      </c>
      <c r="H11892" s="561">
        <f>SUM(H11876:H11891)</f>
        <v>0</v>
      </c>
      <c r="I11892" s="562">
        <f>SUM(I11877:I11891)</f>
        <v>0</v>
      </c>
      <c r="J11892" s="562">
        <f>SUM(J11876:J11891)</f>
        <v>0</v>
      </c>
    </row>
    <row r="11893" spans="5:10" hidden="1" x14ac:dyDescent="0.25"/>
    <row r="11894" spans="5:10" hidden="1" x14ac:dyDescent="0.25">
      <c r="E11894" s="489"/>
      <c r="F11894" s="465"/>
      <c r="G11894" s="285" t="s">
        <v>4270</v>
      </c>
      <c r="H11894" s="567"/>
      <c r="I11894" s="585"/>
      <c r="J11894" s="568"/>
    </row>
    <row r="11895" spans="5:10" hidden="1" x14ac:dyDescent="0.25">
      <c r="E11895" s="693"/>
      <c r="F11895" s="284" t="s">
        <v>234</v>
      </c>
      <c r="G11895" s="287" t="s">
        <v>235</v>
      </c>
      <c r="H11895" s="559">
        <f>SUM(H11876,H11777)</f>
        <v>0</v>
      </c>
      <c r="I11895" s="560"/>
      <c r="J11895" s="560">
        <f>SUM(H11895:I11895)</f>
        <v>0</v>
      </c>
    </row>
    <row r="11896" spans="5:10" hidden="1" x14ac:dyDescent="0.25">
      <c r="F11896" s="284" t="s">
        <v>236</v>
      </c>
      <c r="G11896" s="287" t="s">
        <v>237</v>
      </c>
      <c r="J11896" s="560">
        <f t="shared" ref="J11896:J11910" si="391">SUM(H11896:I11896)</f>
        <v>0</v>
      </c>
    </row>
    <row r="11897" spans="5:10" hidden="1" x14ac:dyDescent="0.25">
      <c r="F11897" s="284" t="s">
        <v>238</v>
      </c>
      <c r="G11897" s="287" t="s">
        <v>239</v>
      </c>
      <c r="J11897" s="560">
        <f t="shared" si="391"/>
        <v>0</v>
      </c>
    </row>
    <row r="11898" spans="5:10" hidden="1" x14ac:dyDescent="0.25">
      <c r="F11898" s="284" t="s">
        <v>240</v>
      </c>
      <c r="G11898" s="287" t="s">
        <v>241</v>
      </c>
      <c r="J11898" s="560">
        <f t="shared" si="391"/>
        <v>0</v>
      </c>
    </row>
    <row r="11899" spans="5:10" hidden="1" x14ac:dyDescent="0.25">
      <c r="F11899" s="284" t="s">
        <v>242</v>
      </c>
      <c r="G11899" s="287" t="s">
        <v>243</v>
      </c>
      <c r="J11899" s="560">
        <f t="shared" si="391"/>
        <v>0</v>
      </c>
    </row>
    <row r="11900" spans="5:10" hidden="1" x14ac:dyDescent="0.25">
      <c r="F11900" s="284" t="s">
        <v>244</v>
      </c>
      <c r="G11900" s="287" t="s">
        <v>245</v>
      </c>
      <c r="J11900" s="560">
        <f t="shared" si="391"/>
        <v>0</v>
      </c>
    </row>
    <row r="11901" spans="5:10" hidden="1" x14ac:dyDescent="0.25">
      <c r="F11901" s="284" t="s">
        <v>246</v>
      </c>
      <c r="G11901" s="598" t="s">
        <v>4996</v>
      </c>
      <c r="J11901" s="560">
        <f t="shared" si="391"/>
        <v>0</v>
      </c>
    </row>
    <row r="11902" spans="5:10" hidden="1" x14ac:dyDescent="0.25">
      <c r="F11902" s="284" t="s">
        <v>247</v>
      </c>
      <c r="G11902" s="598" t="s">
        <v>4995</v>
      </c>
      <c r="J11902" s="560">
        <f t="shared" si="391"/>
        <v>0</v>
      </c>
    </row>
    <row r="11903" spans="5:10" hidden="1" x14ac:dyDescent="0.25">
      <c r="F11903" s="284" t="s">
        <v>248</v>
      </c>
      <c r="G11903" s="287" t="s">
        <v>57</v>
      </c>
      <c r="J11903" s="560">
        <f t="shared" si="391"/>
        <v>0</v>
      </c>
    </row>
    <row r="11904" spans="5:10" hidden="1" x14ac:dyDescent="0.25">
      <c r="F11904" s="284" t="s">
        <v>249</v>
      </c>
      <c r="G11904" s="287" t="s">
        <v>250</v>
      </c>
      <c r="J11904" s="560">
        <f t="shared" si="391"/>
        <v>0</v>
      </c>
    </row>
    <row r="11905" spans="5:10" hidden="1" x14ac:dyDescent="0.25">
      <c r="F11905" s="284" t="s">
        <v>251</v>
      </c>
      <c r="G11905" s="287" t="s">
        <v>252</v>
      </c>
      <c r="J11905" s="560">
        <f t="shared" si="391"/>
        <v>0</v>
      </c>
    </row>
    <row r="11906" spans="5:10" ht="30" hidden="1" x14ac:dyDescent="0.25">
      <c r="F11906" s="284" t="s">
        <v>253</v>
      </c>
      <c r="G11906" s="287" t="s">
        <v>254</v>
      </c>
      <c r="J11906" s="560">
        <f t="shared" si="391"/>
        <v>0</v>
      </c>
    </row>
    <row r="11907" spans="5:10" hidden="1" x14ac:dyDescent="0.25">
      <c r="F11907" s="284" t="s">
        <v>255</v>
      </c>
      <c r="G11907" s="287" t="s">
        <v>256</v>
      </c>
      <c r="J11907" s="560">
        <f t="shared" si="391"/>
        <v>0</v>
      </c>
    </row>
    <row r="11908" spans="5:10" ht="30" hidden="1" x14ac:dyDescent="0.25">
      <c r="F11908" s="284" t="s">
        <v>257</v>
      </c>
      <c r="G11908" s="287" t="s">
        <v>258</v>
      </c>
      <c r="J11908" s="560">
        <f t="shared" si="391"/>
        <v>0</v>
      </c>
    </row>
    <row r="11909" spans="5:10" hidden="1" x14ac:dyDescent="0.25">
      <c r="F11909" s="284" t="s">
        <v>259</v>
      </c>
      <c r="G11909" s="287" t="s">
        <v>260</v>
      </c>
      <c r="J11909" s="560">
        <f t="shared" si="391"/>
        <v>0</v>
      </c>
    </row>
    <row r="11910" spans="5:10" hidden="1" x14ac:dyDescent="0.25">
      <c r="F11910" s="284" t="s">
        <v>261</v>
      </c>
      <c r="G11910" s="287" t="s">
        <v>262</v>
      </c>
      <c r="H11910" s="559"/>
      <c r="I11910" s="560"/>
      <c r="J11910" s="560">
        <f t="shared" si="391"/>
        <v>0</v>
      </c>
    </row>
    <row r="11911" spans="5:10" ht="15.75" hidden="1" thickBot="1" x14ac:dyDescent="0.3">
      <c r="G11911" s="268" t="s">
        <v>4271</v>
      </c>
      <c r="H11911" s="561">
        <f>SUM(H11895:H11910)</f>
        <v>0</v>
      </c>
      <c r="I11911" s="562">
        <f>SUM(I11896:I11910)</f>
        <v>0</v>
      </c>
      <c r="J11911" s="562">
        <f>SUM(J11895:J11910)</f>
        <v>0</v>
      </c>
    </row>
    <row r="11912" spans="5:10" hidden="1" x14ac:dyDescent="0.25"/>
    <row r="11913" spans="5:10" hidden="1" x14ac:dyDescent="0.25">
      <c r="E11913" s="489"/>
      <c r="F11913" s="465"/>
      <c r="G11913" s="285" t="s">
        <v>4956</v>
      </c>
      <c r="H11913" s="567"/>
      <c r="I11913" s="585"/>
      <c r="J11913" s="568"/>
    </row>
    <row r="11914" spans="5:10" hidden="1" x14ac:dyDescent="0.25">
      <c r="E11914" s="693"/>
      <c r="F11914" s="284" t="s">
        <v>234</v>
      </c>
      <c r="G11914" s="287" t="s">
        <v>235</v>
      </c>
      <c r="H11914" s="559">
        <f>SUM(H11895)</f>
        <v>0</v>
      </c>
      <c r="I11914" s="560"/>
      <c r="J11914" s="560">
        <f>SUM(H11914:I11914)</f>
        <v>0</v>
      </c>
    </row>
    <row r="11915" spans="5:10" hidden="1" x14ac:dyDescent="0.25">
      <c r="F11915" s="284" t="s">
        <v>236</v>
      </c>
      <c r="G11915" s="287" t="s">
        <v>237</v>
      </c>
      <c r="J11915" s="560">
        <f t="shared" ref="J11915:J11929" si="392">SUM(H11915:I11915)</f>
        <v>0</v>
      </c>
    </row>
    <row r="11916" spans="5:10" hidden="1" x14ac:dyDescent="0.25">
      <c r="F11916" s="284" t="s">
        <v>238</v>
      </c>
      <c r="G11916" s="287" t="s">
        <v>239</v>
      </c>
      <c r="J11916" s="560">
        <f t="shared" si="392"/>
        <v>0</v>
      </c>
    </row>
    <row r="11917" spans="5:10" hidden="1" x14ac:dyDescent="0.25">
      <c r="F11917" s="284" t="s">
        <v>240</v>
      </c>
      <c r="G11917" s="287" t="s">
        <v>241</v>
      </c>
      <c r="J11917" s="560">
        <f t="shared" si="392"/>
        <v>0</v>
      </c>
    </row>
    <row r="11918" spans="5:10" hidden="1" x14ac:dyDescent="0.25">
      <c r="F11918" s="284" t="s">
        <v>242</v>
      </c>
      <c r="G11918" s="287" t="s">
        <v>243</v>
      </c>
      <c r="J11918" s="560">
        <f t="shared" si="392"/>
        <v>0</v>
      </c>
    </row>
    <row r="11919" spans="5:10" hidden="1" x14ac:dyDescent="0.25">
      <c r="F11919" s="284" t="s">
        <v>244</v>
      </c>
      <c r="G11919" s="287" t="s">
        <v>245</v>
      </c>
      <c r="J11919" s="560">
        <f t="shared" si="392"/>
        <v>0</v>
      </c>
    </row>
    <row r="11920" spans="5:10" hidden="1" x14ac:dyDescent="0.25">
      <c r="F11920" s="284" t="s">
        <v>246</v>
      </c>
      <c r="G11920" s="598" t="s">
        <v>4996</v>
      </c>
      <c r="J11920" s="560">
        <f t="shared" si="392"/>
        <v>0</v>
      </c>
    </row>
    <row r="11921" spans="1:10" hidden="1" x14ac:dyDescent="0.25">
      <c r="F11921" s="284" t="s">
        <v>247</v>
      </c>
      <c r="G11921" s="598" t="s">
        <v>4995</v>
      </c>
      <c r="J11921" s="560">
        <f t="shared" si="392"/>
        <v>0</v>
      </c>
    </row>
    <row r="11922" spans="1:10" hidden="1" x14ac:dyDescent="0.25">
      <c r="F11922" s="284" t="s">
        <v>248</v>
      </c>
      <c r="G11922" s="287" t="s">
        <v>57</v>
      </c>
      <c r="J11922" s="560">
        <f t="shared" si="392"/>
        <v>0</v>
      </c>
    </row>
    <row r="11923" spans="1:10" hidden="1" x14ac:dyDescent="0.25">
      <c r="F11923" s="284" t="s">
        <v>249</v>
      </c>
      <c r="G11923" s="287" t="s">
        <v>250</v>
      </c>
      <c r="J11923" s="560">
        <f t="shared" si="392"/>
        <v>0</v>
      </c>
    </row>
    <row r="11924" spans="1:10" hidden="1" x14ac:dyDescent="0.25">
      <c r="F11924" s="284" t="s">
        <v>251</v>
      </c>
      <c r="G11924" s="287" t="s">
        <v>252</v>
      </c>
      <c r="J11924" s="560">
        <f t="shared" si="392"/>
        <v>0</v>
      </c>
    </row>
    <row r="11925" spans="1:10" ht="30" hidden="1" x14ac:dyDescent="0.25">
      <c r="F11925" s="284" t="s">
        <v>253</v>
      </c>
      <c r="G11925" s="287" t="s">
        <v>254</v>
      </c>
      <c r="J11925" s="560">
        <f t="shared" si="392"/>
        <v>0</v>
      </c>
    </row>
    <row r="11926" spans="1:10" hidden="1" x14ac:dyDescent="0.25">
      <c r="F11926" s="284" t="s">
        <v>255</v>
      </c>
      <c r="G11926" s="287" t="s">
        <v>256</v>
      </c>
      <c r="J11926" s="560">
        <f t="shared" si="392"/>
        <v>0</v>
      </c>
    </row>
    <row r="11927" spans="1:10" ht="30" hidden="1" x14ac:dyDescent="0.25">
      <c r="F11927" s="284" t="s">
        <v>257</v>
      </c>
      <c r="G11927" s="287" t="s">
        <v>258</v>
      </c>
      <c r="J11927" s="560">
        <f t="shared" si="392"/>
        <v>0</v>
      </c>
    </row>
    <row r="11928" spans="1:10" hidden="1" x14ac:dyDescent="0.25">
      <c r="F11928" s="284" t="s">
        <v>259</v>
      </c>
      <c r="G11928" s="287" t="s">
        <v>260</v>
      </c>
      <c r="J11928" s="560">
        <f t="shared" si="392"/>
        <v>0</v>
      </c>
    </row>
    <row r="11929" spans="1:10" hidden="1" x14ac:dyDescent="0.25">
      <c r="F11929" s="284" t="s">
        <v>261</v>
      </c>
      <c r="G11929" s="287" t="s">
        <v>262</v>
      </c>
      <c r="H11929" s="559"/>
      <c r="I11929" s="560"/>
      <c r="J11929" s="560">
        <f t="shared" si="392"/>
        <v>0</v>
      </c>
    </row>
    <row r="11930" spans="1:10" ht="15.75" hidden="1" thickBot="1" x14ac:dyDescent="0.3">
      <c r="G11930" s="268" t="s">
        <v>4957</v>
      </c>
      <c r="H11930" s="561">
        <f>SUM(H11914:H11929)</f>
        <v>0</v>
      </c>
      <c r="I11930" s="562">
        <f>SUM(I11915:I11929)</f>
        <v>0</v>
      </c>
      <c r="J11930" s="562">
        <f>SUM(J11914:J11929)</f>
        <v>0</v>
      </c>
    </row>
    <row r="11931" spans="1:10" hidden="1" x14ac:dyDescent="0.25"/>
    <row r="11932" spans="1:10" hidden="1" x14ac:dyDescent="0.25">
      <c r="B11932" s="439" t="s">
        <v>4283</v>
      </c>
      <c r="C11932" s="438"/>
      <c r="D11932" s="440"/>
      <c r="E11932" s="894"/>
      <c r="F11932" s="441"/>
      <c r="G11932" s="442" t="s">
        <v>4266</v>
      </c>
      <c r="H11932" s="593"/>
      <c r="I11932" s="594"/>
      <c r="J11932" s="579"/>
    </row>
    <row r="11933" spans="1:10" ht="16.5" hidden="1" customHeight="1" x14ac:dyDescent="0.25">
      <c r="A11933" s="438">
        <v>4</v>
      </c>
      <c r="C11933" s="267" t="s">
        <v>3593</v>
      </c>
      <c r="G11933" s="454" t="s">
        <v>4262</v>
      </c>
    </row>
    <row r="11934" spans="1:10" hidden="1" x14ac:dyDescent="0.25">
      <c r="C11934" s="267" t="s">
        <v>4089</v>
      </c>
      <c r="D11934" s="259"/>
      <c r="G11934" s="454" t="s">
        <v>4263</v>
      </c>
    </row>
    <row r="11935" spans="1:10" hidden="1" x14ac:dyDescent="0.25">
      <c r="C11935" s="267"/>
      <c r="D11935" s="331">
        <v>820</v>
      </c>
      <c r="E11935" s="869"/>
      <c r="F11935" s="331"/>
      <c r="G11935" s="332" t="s">
        <v>207</v>
      </c>
    </row>
    <row r="11936" spans="1:10" hidden="1" x14ac:dyDescent="0.25">
      <c r="F11936" s="464">
        <v>411</v>
      </c>
      <c r="G11936" s="455" t="s">
        <v>4131</v>
      </c>
      <c r="J11936" s="556">
        <f>SUM(H11936:I11936)</f>
        <v>0</v>
      </c>
    </row>
    <row r="11937" spans="6:10" hidden="1" x14ac:dyDescent="0.25">
      <c r="F11937" s="464">
        <v>412</v>
      </c>
      <c r="G11937" s="453" t="s">
        <v>3766</v>
      </c>
      <c r="J11937" s="556">
        <f t="shared" ref="J11937:J11995" si="393">SUM(H11937:I11937)</f>
        <v>0</v>
      </c>
    </row>
    <row r="11938" spans="6:10" hidden="1" x14ac:dyDescent="0.25">
      <c r="F11938" s="464">
        <v>413</v>
      </c>
      <c r="G11938" s="455" t="s">
        <v>4132</v>
      </c>
      <c r="J11938" s="556">
        <f t="shared" si="393"/>
        <v>0</v>
      </c>
    </row>
    <row r="11939" spans="6:10" hidden="1" x14ac:dyDescent="0.25">
      <c r="F11939" s="464">
        <v>414</v>
      </c>
      <c r="G11939" s="455" t="s">
        <v>3769</v>
      </c>
      <c r="J11939" s="556">
        <f t="shared" si="393"/>
        <v>0</v>
      </c>
    </row>
    <row r="11940" spans="6:10" hidden="1" x14ac:dyDescent="0.25">
      <c r="F11940" s="464">
        <v>415</v>
      </c>
      <c r="G11940" s="455" t="s">
        <v>4141</v>
      </c>
      <c r="J11940" s="556">
        <f t="shared" si="393"/>
        <v>0</v>
      </c>
    </row>
    <row r="11941" spans="6:10" hidden="1" x14ac:dyDescent="0.25">
      <c r="F11941" s="464">
        <v>416</v>
      </c>
      <c r="G11941" s="455" t="s">
        <v>4142</v>
      </c>
      <c r="J11941" s="556">
        <f t="shared" si="393"/>
        <v>0</v>
      </c>
    </row>
    <row r="11942" spans="6:10" hidden="1" x14ac:dyDescent="0.25">
      <c r="F11942" s="464">
        <v>417</v>
      </c>
      <c r="G11942" s="455" t="s">
        <v>4143</v>
      </c>
      <c r="J11942" s="556">
        <f t="shared" si="393"/>
        <v>0</v>
      </c>
    </row>
    <row r="11943" spans="6:10" hidden="1" x14ac:dyDescent="0.25">
      <c r="F11943" s="464">
        <v>418</v>
      </c>
      <c r="G11943" s="455" t="s">
        <v>3775</v>
      </c>
      <c r="J11943" s="556">
        <f t="shared" si="393"/>
        <v>0</v>
      </c>
    </row>
    <row r="11944" spans="6:10" hidden="1" x14ac:dyDescent="0.25">
      <c r="F11944" s="464">
        <v>421</v>
      </c>
      <c r="G11944" s="455" t="s">
        <v>3779</v>
      </c>
      <c r="J11944" s="556">
        <f t="shared" si="393"/>
        <v>0</v>
      </c>
    </row>
    <row r="11945" spans="6:10" hidden="1" x14ac:dyDescent="0.25">
      <c r="F11945" s="464">
        <v>422</v>
      </c>
      <c r="G11945" s="455" t="s">
        <v>3780</v>
      </c>
      <c r="J11945" s="556">
        <f t="shared" si="393"/>
        <v>0</v>
      </c>
    </row>
    <row r="11946" spans="6:10" hidden="1" x14ac:dyDescent="0.25">
      <c r="F11946" s="464">
        <v>423</v>
      </c>
      <c r="G11946" s="455" t="s">
        <v>3781</v>
      </c>
      <c r="J11946" s="556">
        <f t="shared" si="393"/>
        <v>0</v>
      </c>
    </row>
    <row r="11947" spans="6:10" hidden="1" x14ac:dyDescent="0.25">
      <c r="F11947" s="464">
        <v>424</v>
      </c>
      <c r="G11947" s="455" t="s">
        <v>3783</v>
      </c>
      <c r="J11947" s="556">
        <f t="shared" si="393"/>
        <v>0</v>
      </c>
    </row>
    <row r="11948" spans="6:10" hidden="1" x14ac:dyDescent="0.25">
      <c r="F11948" s="464">
        <v>425</v>
      </c>
      <c r="G11948" s="455" t="s">
        <v>4144</v>
      </c>
      <c r="J11948" s="556">
        <f t="shared" si="393"/>
        <v>0</v>
      </c>
    </row>
    <row r="11949" spans="6:10" hidden="1" x14ac:dyDescent="0.25">
      <c r="F11949" s="464">
        <v>426</v>
      </c>
      <c r="G11949" s="455" t="s">
        <v>3787</v>
      </c>
      <c r="J11949" s="556">
        <f t="shared" si="393"/>
        <v>0</v>
      </c>
    </row>
    <row r="11950" spans="6:10" hidden="1" x14ac:dyDescent="0.25">
      <c r="F11950" s="464">
        <v>431</v>
      </c>
      <c r="G11950" s="455" t="s">
        <v>4145</v>
      </c>
      <c r="J11950" s="556">
        <f t="shared" si="393"/>
        <v>0</v>
      </c>
    </row>
    <row r="11951" spans="6:10" hidden="1" x14ac:dyDescent="0.25">
      <c r="F11951" s="464">
        <v>432</v>
      </c>
      <c r="G11951" s="455" t="s">
        <v>4146</v>
      </c>
      <c r="J11951" s="556">
        <f t="shared" si="393"/>
        <v>0</v>
      </c>
    </row>
    <row r="11952" spans="6:10" hidden="1" x14ac:dyDescent="0.25">
      <c r="F11952" s="464">
        <v>433</v>
      </c>
      <c r="G11952" s="455" t="s">
        <v>4147</v>
      </c>
      <c r="J11952" s="556">
        <f t="shared" si="393"/>
        <v>0</v>
      </c>
    </row>
    <row r="11953" spans="6:10" hidden="1" x14ac:dyDescent="0.25">
      <c r="F11953" s="464">
        <v>434</v>
      </c>
      <c r="G11953" s="455" t="s">
        <v>4148</v>
      </c>
      <c r="J11953" s="556">
        <f t="shared" si="393"/>
        <v>0</v>
      </c>
    </row>
    <row r="11954" spans="6:10" hidden="1" x14ac:dyDescent="0.25">
      <c r="F11954" s="464">
        <v>435</v>
      </c>
      <c r="G11954" s="455" t="s">
        <v>3794</v>
      </c>
      <c r="J11954" s="556">
        <f t="shared" si="393"/>
        <v>0</v>
      </c>
    </row>
    <row r="11955" spans="6:10" hidden="1" x14ac:dyDescent="0.25">
      <c r="F11955" s="464">
        <v>441</v>
      </c>
      <c r="G11955" s="455" t="s">
        <v>4149</v>
      </c>
      <c r="J11955" s="556">
        <f t="shared" si="393"/>
        <v>0</v>
      </c>
    </row>
    <row r="11956" spans="6:10" hidden="1" x14ac:dyDescent="0.25">
      <c r="F11956" s="464">
        <v>442</v>
      </c>
      <c r="G11956" s="455" t="s">
        <v>4150</v>
      </c>
      <c r="J11956" s="556">
        <f t="shared" si="393"/>
        <v>0</v>
      </c>
    </row>
    <row r="11957" spans="6:10" hidden="1" x14ac:dyDescent="0.25">
      <c r="F11957" s="464">
        <v>443</v>
      </c>
      <c r="G11957" s="455" t="s">
        <v>3799</v>
      </c>
      <c r="J11957" s="556">
        <f t="shared" si="393"/>
        <v>0</v>
      </c>
    </row>
    <row r="11958" spans="6:10" hidden="1" x14ac:dyDescent="0.25">
      <c r="F11958" s="464">
        <v>444</v>
      </c>
      <c r="G11958" s="455" t="s">
        <v>3800</v>
      </c>
      <c r="J11958" s="556">
        <f t="shared" si="393"/>
        <v>0</v>
      </c>
    </row>
    <row r="11959" spans="6:10" ht="30" hidden="1" x14ac:dyDescent="0.25">
      <c r="F11959" s="464">
        <v>4511</v>
      </c>
      <c r="G11959" s="263" t="s">
        <v>1690</v>
      </c>
      <c r="J11959" s="556">
        <f t="shared" si="393"/>
        <v>0</v>
      </c>
    </row>
    <row r="11960" spans="6:10" ht="19.5" hidden="1" customHeight="1" x14ac:dyDescent="0.25">
      <c r="F11960" s="464">
        <v>4512</v>
      </c>
      <c r="G11960" s="263" t="s">
        <v>1699</v>
      </c>
      <c r="J11960" s="556">
        <f t="shared" si="393"/>
        <v>0</v>
      </c>
    </row>
    <row r="11961" spans="6:10" hidden="1" x14ac:dyDescent="0.25">
      <c r="F11961" s="464">
        <v>452</v>
      </c>
      <c r="G11961" s="455" t="s">
        <v>4151</v>
      </c>
      <c r="J11961" s="556">
        <f t="shared" si="393"/>
        <v>0</v>
      </c>
    </row>
    <row r="11962" spans="6:10" hidden="1" x14ac:dyDescent="0.25">
      <c r="F11962" s="464">
        <v>453</v>
      </c>
      <c r="G11962" s="455" t="s">
        <v>4152</v>
      </c>
      <c r="J11962" s="556">
        <f t="shared" si="393"/>
        <v>0</v>
      </c>
    </row>
    <row r="11963" spans="6:10" hidden="1" x14ac:dyDescent="0.25">
      <c r="F11963" s="464">
        <v>454</v>
      </c>
      <c r="G11963" s="455" t="s">
        <v>3805</v>
      </c>
      <c r="J11963" s="556">
        <f t="shared" si="393"/>
        <v>0</v>
      </c>
    </row>
    <row r="11964" spans="6:10" hidden="1" x14ac:dyDescent="0.25">
      <c r="F11964" s="464">
        <v>461</v>
      </c>
      <c r="G11964" s="455" t="s">
        <v>4133</v>
      </c>
      <c r="J11964" s="556">
        <f t="shared" si="393"/>
        <v>0</v>
      </c>
    </row>
    <row r="11965" spans="6:10" hidden="1" x14ac:dyDescent="0.25">
      <c r="F11965" s="464">
        <v>462</v>
      </c>
      <c r="G11965" s="455" t="s">
        <v>3808</v>
      </c>
      <c r="J11965" s="556">
        <f t="shared" si="393"/>
        <v>0</v>
      </c>
    </row>
    <row r="11966" spans="6:10" hidden="1" x14ac:dyDescent="0.25">
      <c r="F11966" s="464">
        <v>4631</v>
      </c>
      <c r="G11966" s="455" t="s">
        <v>3809</v>
      </c>
      <c r="J11966" s="556">
        <f t="shared" si="393"/>
        <v>0</v>
      </c>
    </row>
    <row r="11967" spans="6:10" hidden="1" x14ac:dyDescent="0.25">
      <c r="F11967" s="464">
        <v>4632</v>
      </c>
      <c r="G11967" s="455" t="s">
        <v>3810</v>
      </c>
      <c r="J11967" s="556">
        <f t="shared" si="393"/>
        <v>0</v>
      </c>
    </row>
    <row r="11968" spans="6:10" hidden="1" x14ac:dyDescent="0.25">
      <c r="F11968" s="464">
        <v>464</v>
      </c>
      <c r="G11968" s="455" t="s">
        <v>3811</v>
      </c>
      <c r="J11968" s="556">
        <f t="shared" si="393"/>
        <v>0</v>
      </c>
    </row>
    <row r="11969" spans="6:10" hidden="1" x14ac:dyDescent="0.25">
      <c r="F11969" s="464">
        <v>465</v>
      </c>
      <c r="G11969" s="455" t="s">
        <v>4134</v>
      </c>
      <c r="J11969" s="556">
        <f t="shared" si="393"/>
        <v>0</v>
      </c>
    </row>
    <row r="11970" spans="6:10" hidden="1" x14ac:dyDescent="0.25">
      <c r="F11970" s="464">
        <v>472</v>
      </c>
      <c r="G11970" s="455" t="s">
        <v>3815</v>
      </c>
      <c r="J11970" s="556">
        <f t="shared" si="393"/>
        <v>0</v>
      </c>
    </row>
    <row r="11971" spans="6:10" hidden="1" x14ac:dyDescent="0.25">
      <c r="F11971" s="464">
        <v>481</v>
      </c>
      <c r="G11971" s="455" t="s">
        <v>4153</v>
      </c>
      <c r="J11971" s="556">
        <f t="shared" si="393"/>
        <v>0</v>
      </c>
    </row>
    <row r="11972" spans="6:10" hidden="1" x14ac:dyDescent="0.25">
      <c r="F11972" s="464">
        <v>482</v>
      </c>
      <c r="G11972" s="455" t="s">
        <v>4154</v>
      </c>
      <c r="J11972" s="556">
        <f t="shared" si="393"/>
        <v>0</v>
      </c>
    </row>
    <row r="11973" spans="6:10" hidden="1" x14ac:dyDescent="0.25">
      <c r="F11973" s="464">
        <v>483</v>
      </c>
      <c r="G11973" s="457" t="s">
        <v>4155</v>
      </c>
      <c r="J11973" s="556">
        <f t="shared" si="393"/>
        <v>0</v>
      </c>
    </row>
    <row r="11974" spans="6:10" ht="30" hidden="1" x14ac:dyDescent="0.25">
      <c r="F11974" s="464">
        <v>484</v>
      </c>
      <c r="G11974" s="455" t="s">
        <v>4156</v>
      </c>
      <c r="J11974" s="556">
        <f t="shared" si="393"/>
        <v>0</v>
      </c>
    </row>
    <row r="11975" spans="6:10" ht="30" hidden="1" x14ac:dyDescent="0.25">
      <c r="F11975" s="464">
        <v>485</v>
      </c>
      <c r="G11975" s="455" t="s">
        <v>4157</v>
      </c>
      <c r="J11975" s="556">
        <f t="shared" si="393"/>
        <v>0</v>
      </c>
    </row>
    <row r="11976" spans="6:10" ht="30" hidden="1" x14ac:dyDescent="0.25">
      <c r="F11976" s="464">
        <v>489</v>
      </c>
      <c r="G11976" s="455" t="s">
        <v>3823</v>
      </c>
      <c r="J11976" s="556">
        <f t="shared" si="393"/>
        <v>0</v>
      </c>
    </row>
    <row r="11977" spans="6:10" hidden="1" x14ac:dyDescent="0.25">
      <c r="F11977" s="464">
        <v>494</v>
      </c>
      <c r="G11977" s="455" t="s">
        <v>4135</v>
      </c>
      <c r="J11977" s="556">
        <f t="shared" si="393"/>
        <v>0</v>
      </c>
    </row>
    <row r="11978" spans="6:10" ht="30" hidden="1" x14ac:dyDescent="0.25">
      <c r="F11978" s="464">
        <v>495</v>
      </c>
      <c r="G11978" s="455" t="s">
        <v>4136</v>
      </c>
      <c r="J11978" s="556">
        <f t="shared" si="393"/>
        <v>0</v>
      </c>
    </row>
    <row r="11979" spans="6:10" ht="30" hidden="1" x14ac:dyDescent="0.25">
      <c r="F11979" s="464">
        <v>496</v>
      </c>
      <c r="G11979" s="455" t="s">
        <v>4137</v>
      </c>
      <c r="J11979" s="556">
        <f t="shared" si="393"/>
        <v>0</v>
      </c>
    </row>
    <row r="11980" spans="6:10" ht="30" hidden="1" x14ac:dyDescent="0.25">
      <c r="F11980" s="464">
        <v>499</v>
      </c>
      <c r="G11980" s="455" t="s">
        <v>4138</v>
      </c>
      <c r="J11980" s="556">
        <f t="shared" si="393"/>
        <v>0</v>
      </c>
    </row>
    <row r="11981" spans="6:10" hidden="1" x14ac:dyDescent="0.25">
      <c r="F11981" s="464">
        <v>511</v>
      </c>
      <c r="G11981" s="457" t="s">
        <v>4158</v>
      </c>
      <c r="J11981" s="556">
        <f t="shared" si="393"/>
        <v>0</v>
      </c>
    </row>
    <row r="11982" spans="6:10" hidden="1" x14ac:dyDescent="0.25">
      <c r="F11982" s="464">
        <v>512</v>
      </c>
      <c r="G11982" s="457" t="s">
        <v>4159</v>
      </c>
      <c r="J11982" s="556">
        <f t="shared" si="393"/>
        <v>0</v>
      </c>
    </row>
    <row r="11983" spans="6:10" hidden="1" x14ac:dyDescent="0.25">
      <c r="F11983" s="464">
        <v>513</v>
      </c>
      <c r="G11983" s="457" t="s">
        <v>4160</v>
      </c>
      <c r="J11983" s="556">
        <f t="shared" si="393"/>
        <v>0</v>
      </c>
    </row>
    <row r="11984" spans="6:10" hidden="1" x14ac:dyDescent="0.25">
      <c r="F11984" s="464">
        <v>514</v>
      </c>
      <c r="G11984" s="455" t="s">
        <v>4161</v>
      </c>
      <c r="J11984" s="556">
        <f t="shared" si="393"/>
        <v>0</v>
      </c>
    </row>
    <row r="11985" spans="5:10" hidden="1" x14ac:dyDescent="0.25">
      <c r="F11985" s="464">
        <v>515</v>
      </c>
      <c r="G11985" s="455" t="s">
        <v>3834</v>
      </c>
      <c r="J11985" s="556">
        <f t="shared" si="393"/>
        <v>0</v>
      </c>
    </row>
    <row r="11986" spans="5:10" hidden="1" x14ac:dyDescent="0.25">
      <c r="F11986" s="464">
        <v>521</v>
      </c>
      <c r="G11986" s="455" t="s">
        <v>4162</v>
      </c>
      <c r="J11986" s="556">
        <f t="shared" si="393"/>
        <v>0</v>
      </c>
    </row>
    <row r="11987" spans="5:10" hidden="1" x14ac:dyDescent="0.25">
      <c r="F11987" s="464">
        <v>522</v>
      </c>
      <c r="G11987" s="455" t="s">
        <v>4163</v>
      </c>
      <c r="J11987" s="556">
        <f t="shared" si="393"/>
        <v>0</v>
      </c>
    </row>
    <row r="11988" spans="5:10" hidden="1" x14ac:dyDescent="0.25">
      <c r="F11988" s="464">
        <v>523</v>
      </c>
      <c r="G11988" s="455" t="s">
        <v>3839</v>
      </c>
      <c r="J11988" s="556">
        <f t="shared" si="393"/>
        <v>0</v>
      </c>
    </row>
    <row r="11989" spans="5:10" hidden="1" x14ac:dyDescent="0.25">
      <c r="F11989" s="464">
        <v>531</v>
      </c>
      <c r="G11989" s="453" t="s">
        <v>4139</v>
      </c>
      <c r="J11989" s="556">
        <f t="shared" si="393"/>
        <v>0</v>
      </c>
    </row>
    <row r="11990" spans="5:10" hidden="1" x14ac:dyDescent="0.25">
      <c r="F11990" s="464">
        <v>541</v>
      </c>
      <c r="G11990" s="455" t="s">
        <v>4164</v>
      </c>
      <c r="J11990" s="556">
        <f t="shared" si="393"/>
        <v>0</v>
      </c>
    </row>
    <row r="11991" spans="5:10" hidden="1" x14ac:dyDescent="0.25">
      <c r="F11991" s="464">
        <v>542</v>
      </c>
      <c r="G11991" s="455" t="s">
        <v>4165</v>
      </c>
      <c r="J11991" s="556">
        <f t="shared" si="393"/>
        <v>0</v>
      </c>
    </row>
    <row r="11992" spans="5:10" hidden="1" x14ac:dyDescent="0.25">
      <c r="F11992" s="464">
        <v>543</v>
      </c>
      <c r="G11992" s="455" t="s">
        <v>3844</v>
      </c>
      <c r="J11992" s="556">
        <f t="shared" si="393"/>
        <v>0</v>
      </c>
    </row>
    <row r="11993" spans="5:10" ht="30" hidden="1" x14ac:dyDescent="0.25">
      <c r="F11993" s="464">
        <v>551</v>
      </c>
      <c r="G11993" s="455" t="s">
        <v>4140</v>
      </c>
      <c r="J11993" s="556">
        <f t="shared" si="393"/>
        <v>0</v>
      </c>
    </row>
    <row r="11994" spans="5:10" hidden="1" x14ac:dyDescent="0.25">
      <c r="F11994" s="465">
        <v>611</v>
      </c>
      <c r="G11994" s="463" t="s">
        <v>3850</v>
      </c>
      <c r="J11994" s="556">
        <f t="shared" si="393"/>
        <v>0</v>
      </c>
    </row>
    <row r="11995" spans="5:10" hidden="1" x14ac:dyDescent="0.25">
      <c r="F11995" s="465">
        <v>620</v>
      </c>
      <c r="G11995" s="463" t="s">
        <v>88</v>
      </c>
      <c r="J11995" s="556">
        <f t="shared" si="393"/>
        <v>0</v>
      </c>
    </row>
    <row r="11996" spans="5:10" hidden="1" x14ac:dyDescent="0.25">
      <c r="E11996" s="489"/>
      <c r="F11996" s="465"/>
      <c r="G11996" s="343" t="s">
        <v>4356</v>
      </c>
      <c r="H11996" s="557"/>
      <c r="I11996" s="583"/>
      <c r="J11996" s="558"/>
    </row>
    <row r="11997" spans="5:10" hidden="1" x14ac:dyDescent="0.25">
      <c r="E11997" s="693"/>
      <c r="F11997" s="284" t="s">
        <v>234</v>
      </c>
      <c r="G11997" s="287" t="s">
        <v>235</v>
      </c>
      <c r="H11997" s="559">
        <f>SUM(H11936:H11995)</f>
        <v>0</v>
      </c>
      <c r="I11997" s="560"/>
      <c r="J11997" s="560">
        <f t="shared" ref="J11997:J12012" si="394">SUM(H11997:I11997)</f>
        <v>0</v>
      </c>
    </row>
    <row r="11998" spans="5:10" hidden="1" x14ac:dyDescent="0.25">
      <c r="F11998" s="284" t="s">
        <v>236</v>
      </c>
      <c r="G11998" s="287" t="s">
        <v>237</v>
      </c>
      <c r="J11998" s="560">
        <f t="shared" si="394"/>
        <v>0</v>
      </c>
    </row>
    <row r="11999" spans="5:10" hidden="1" x14ac:dyDescent="0.25">
      <c r="F11999" s="284" t="s">
        <v>238</v>
      </c>
      <c r="G11999" s="287" t="s">
        <v>239</v>
      </c>
      <c r="J11999" s="560">
        <f t="shared" si="394"/>
        <v>0</v>
      </c>
    </row>
    <row r="12000" spans="5:10" hidden="1" x14ac:dyDescent="0.25">
      <c r="F12000" s="284" t="s">
        <v>240</v>
      </c>
      <c r="G12000" s="287" t="s">
        <v>241</v>
      </c>
      <c r="J12000" s="560">
        <f t="shared" si="394"/>
        <v>0</v>
      </c>
    </row>
    <row r="12001" spans="5:10" hidden="1" x14ac:dyDescent="0.25">
      <c r="F12001" s="284" t="s">
        <v>242</v>
      </c>
      <c r="G12001" s="287" t="s">
        <v>243</v>
      </c>
      <c r="J12001" s="560">
        <f t="shared" si="394"/>
        <v>0</v>
      </c>
    </row>
    <row r="12002" spans="5:10" hidden="1" x14ac:dyDescent="0.25">
      <c r="F12002" s="284" t="s">
        <v>244</v>
      </c>
      <c r="G12002" s="287" t="s">
        <v>245</v>
      </c>
      <c r="J12002" s="560">
        <f t="shared" si="394"/>
        <v>0</v>
      </c>
    </row>
    <row r="12003" spans="5:10" hidden="1" x14ac:dyDescent="0.25">
      <c r="F12003" s="284" t="s">
        <v>246</v>
      </c>
      <c r="G12003" s="598" t="s">
        <v>4996</v>
      </c>
      <c r="J12003" s="560">
        <f t="shared" si="394"/>
        <v>0</v>
      </c>
    </row>
    <row r="12004" spans="5:10" hidden="1" x14ac:dyDescent="0.25">
      <c r="F12004" s="284" t="s">
        <v>247</v>
      </c>
      <c r="G12004" s="598" t="s">
        <v>4995</v>
      </c>
      <c r="J12004" s="560">
        <f t="shared" si="394"/>
        <v>0</v>
      </c>
    </row>
    <row r="12005" spans="5:10" hidden="1" x14ac:dyDescent="0.25">
      <c r="F12005" s="284" t="s">
        <v>248</v>
      </c>
      <c r="G12005" s="287" t="s">
        <v>57</v>
      </c>
      <c r="J12005" s="560">
        <f t="shared" si="394"/>
        <v>0</v>
      </c>
    </row>
    <row r="12006" spans="5:10" hidden="1" x14ac:dyDescent="0.25">
      <c r="F12006" s="284" t="s">
        <v>249</v>
      </c>
      <c r="G12006" s="287" t="s">
        <v>250</v>
      </c>
      <c r="J12006" s="560">
        <f t="shared" si="394"/>
        <v>0</v>
      </c>
    </row>
    <row r="12007" spans="5:10" hidden="1" x14ac:dyDescent="0.25">
      <c r="F12007" s="284" t="s">
        <v>251</v>
      </c>
      <c r="G12007" s="287" t="s">
        <v>252</v>
      </c>
      <c r="J12007" s="560">
        <f t="shared" si="394"/>
        <v>0</v>
      </c>
    </row>
    <row r="12008" spans="5:10" ht="30" hidden="1" x14ac:dyDescent="0.25">
      <c r="F12008" s="284" t="s">
        <v>253</v>
      </c>
      <c r="G12008" s="287" t="s">
        <v>254</v>
      </c>
      <c r="J12008" s="560">
        <f t="shared" si="394"/>
        <v>0</v>
      </c>
    </row>
    <row r="12009" spans="5:10" hidden="1" x14ac:dyDescent="0.25">
      <c r="F12009" s="284" t="s">
        <v>255</v>
      </c>
      <c r="G12009" s="287" t="s">
        <v>256</v>
      </c>
      <c r="J12009" s="560">
        <f t="shared" si="394"/>
        <v>0</v>
      </c>
    </row>
    <row r="12010" spans="5:10" ht="30" hidden="1" x14ac:dyDescent="0.25">
      <c r="F12010" s="284" t="s">
        <v>257</v>
      </c>
      <c r="G12010" s="287" t="s">
        <v>258</v>
      </c>
      <c r="J12010" s="560">
        <f t="shared" si="394"/>
        <v>0</v>
      </c>
    </row>
    <row r="12011" spans="5:10" hidden="1" x14ac:dyDescent="0.25">
      <c r="F12011" s="284" t="s">
        <v>259</v>
      </c>
      <c r="G12011" s="287" t="s">
        <v>260</v>
      </c>
      <c r="J12011" s="560">
        <f t="shared" si="394"/>
        <v>0</v>
      </c>
    </row>
    <row r="12012" spans="5:10" hidden="1" x14ac:dyDescent="0.25">
      <c r="F12012" s="284" t="s">
        <v>261</v>
      </c>
      <c r="G12012" s="287" t="s">
        <v>262</v>
      </c>
      <c r="H12012" s="559"/>
      <c r="I12012" s="560"/>
      <c r="J12012" s="560">
        <f t="shared" si="394"/>
        <v>0</v>
      </c>
    </row>
    <row r="12013" spans="5:10" ht="15.75" hidden="1" thickBot="1" x14ac:dyDescent="0.3">
      <c r="G12013" s="268" t="s">
        <v>4357</v>
      </c>
      <c r="H12013" s="561">
        <f>SUM(H11997:H12012)</f>
        <v>0</v>
      </c>
      <c r="I12013" s="562">
        <f>SUM(I11998:I12012)</f>
        <v>0</v>
      </c>
      <c r="J12013" s="562">
        <f>SUM(J11997:J12012)</f>
        <v>0</v>
      </c>
    </row>
    <row r="12014" spans="5:10" ht="28.5" hidden="1" collapsed="1" x14ac:dyDescent="0.25">
      <c r="E12014" s="489"/>
      <c r="F12014" s="465"/>
      <c r="G12014" s="270" t="s">
        <v>4358</v>
      </c>
      <c r="H12014" s="563"/>
      <c r="I12014" s="584"/>
      <c r="J12014" s="564"/>
    </row>
    <row r="12015" spans="5:10" hidden="1" x14ac:dyDescent="0.25">
      <c r="E12015" s="693"/>
      <c r="F12015" s="284" t="s">
        <v>234</v>
      </c>
      <c r="G12015" s="287" t="s">
        <v>235</v>
      </c>
      <c r="H12015" s="559">
        <f>SUM(H11936:H11995)</f>
        <v>0</v>
      </c>
      <c r="I12015" s="560"/>
      <c r="J12015" s="560">
        <f>SUM(H12015:I12015)</f>
        <v>0</v>
      </c>
    </row>
    <row r="12016" spans="5:10" hidden="1" x14ac:dyDescent="0.25">
      <c r="F12016" s="284" t="s">
        <v>236</v>
      </c>
      <c r="G12016" s="287" t="s">
        <v>237</v>
      </c>
      <c r="J12016" s="560">
        <f t="shared" ref="J12016:J12030" si="395">SUM(H12016:I12016)</f>
        <v>0</v>
      </c>
    </row>
    <row r="12017" spans="6:10" hidden="1" x14ac:dyDescent="0.25">
      <c r="F12017" s="284" t="s">
        <v>238</v>
      </c>
      <c r="G12017" s="287" t="s">
        <v>239</v>
      </c>
      <c r="J12017" s="560">
        <f t="shared" si="395"/>
        <v>0</v>
      </c>
    </row>
    <row r="12018" spans="6:10" hidden="1" x14ac:dyDescent="0.25">
      <c r="F12018" s="284" t="s">
        <v>240</v>
      </c>
      <c r="G12018" s="287" t="s">
        <v>241</v>
      </c>
      <c r="J12018" s="560">
        <f t="shared" si="395"/>
        <v>0</v>
      </c>
    </row>
    <row r="12019" spans="6:10" hidden="1" x14ac:dyDescent="0.25">
      <c r="F12019" s="284" t="s">
        <v>242</v>
      </c>
      <c r="G12019" s="287" t="s">
        <v>243</v>
      </c>
      <c r="J12019" s="560">
        <f t="shared" si="395"/>
        <v>0</v>
      </c>
    </row>
    <row r="12020" spans="6:10" hidden="1" x14ac:dyDescent="0.25">
      <c r="F12020" s="284" t="s">
        <v>244</v>
      </c>
      <c r="G12020" s="287" t="s">
        <v>245</v>
      </c>
      <c r="J12020" s="560">
        <f t="shared" si="395"/>
        <v>0</v>
      </c>
    </row>
    <row r="12021" spans="6:10" hidden="1" x14ac:dyDescent="0.25">
      <c r="F12021" s="284" t="s">
        <v>246</v>
      </c>
      <c r="G12021" s="598" t="s">
        <v>4996</v>
      </c>
      <c r="J12021" s="560">
        <f t="shared" si="395"/>
        <v>0</v>
      </c>
    </row>
    <row r="12022" spans="6:10" hidden="1" x14ac:dyDescent="0.25">
      <c r="F12022" s="284" t="s">
        <v>247</v>
      </c>
      <c r="G12022" s="598" t="s">
        <v>4995</v>
      </c>
      <c r="J12022" s="560">
        <f t="shared" si="395"/>
        <v>0</v>
      </c>
    </row>
    <row r="12023" spans="6:10" hidden="1" x14ac:dyDescent="0.25">
      <c r="F12023" s="284" t="s">
        <v>248</v>
      </c>
      <c r="G12023" s="287" t="s">
        <v>57</v>
      </c>
      <c r="J12023" s="560">
        <f t="shared" si="395"/>
        <v>0</v>
      </c>
    </row>
    <row r="12024" spans="6:10" hidden="1" x14ac:dyDescent="0.25">
      <c r="F12024" s="284" t="s">
        <v>249</v>
      </c>
      <c r="G12024" s="287" t="s">
        <v>250</v>
      </c>
      <c r="J12024" s="560">
        <f t="shared" si="395"/>
        <v>0</v>
      </c>
    </row>
    <row r="12025" spans="6:10" hidden="1" x14ac:dyDescent="0.25">
      <c r="F12025" s="284" t="s">
        <v>251</v>
      </c>
      <c r="G12025" s="287" t="s">
        <v>252</v>
      </c>
      <c r="J12025" s="560">
        <f t="shared" si="395"/>
        <v>0</v>
      </c>
    </row>
    <row r="12026" spans="6:10" ht="30" hidden="1" x14ac:dyDescent="0.25">
      <c r="F12026" s="284" t="s">
        <v>253</v>
      </c>
      <c r="G12026" s="287" t="s">
        <v>254</v>
      </c>
      <c r="J12026" s="560">
        <f t="shared" si="395"/>
        <v>0</v>
      </c>
    </row>
    <row r="12027" spans="6:10" hidden="1" x14ac:dyDescent="0.25">
      <c r="F12027" s="284" t="s">
        <v>255</v>
      </c>
      <c r="G12027" s="287" t="s">
        <v>256</v>
      </c>
      <c r="J12027" s="560">
        <f t="shared" si="395"/>
        <v>0</v>
      </c>
    </row>
    <row r="12028" spans="6:10" ht="30" hidden="1" x14ac:dyDescent="0.25">
      <c r="F12028" s="284" t="s">
        <v>257</v>
      </c>
      <c r="G12028" s="287" t="s">
        <v>258</v>
      </c>
      <c r="J12028" s="560">
        <f t="shared" si="395"/>
        <v>0</v>
      </c>
    </row>
    <row r="12029" spans="6:10" hidden="1" x14ac:dyDescent="0.25">
      <c r="F12029" s="284" t="s">
        <v>259</v>
      </c>
      <c r="G12029" s="287" t="s">
        <v>260</v>
      </c>
      <c r="J12029" s="560">
        <f t="shared" si="395"/>
        <v>0</v>
      </c>
    </row>
    <row r="12030" spans="6:10" hidden="1" x14ac:dyDescent="0.25">
      <c r="F12030" s="284" t="s">
        <v>261</v>
      </c>
      <c r="G12030" s="287" t="s">
        <v>262</v>
      </c>
      <c r="H12030" s="559"/>
      <c r="I12030" s="560"/>
      <c r="J12030" s="560">
        <f t="shared" si="395"/>
        <v>0</v>
      </c>
    </row>
    <row r="12031" spans="6:10" ht="15.75" hidden="1" collapsed="1" thickBot="1" x14ac:dyDescent="0.3">
      <c r="G12031" s="268" t="s">
        <v>4359</v>
      </c>
      <c r="H12031" s="561">
        <f>SUM(H12015:H12030)</f>
        <v>0</v>
      </c>
      <c r="I12031" s="562">
        <f>SUM(I12016:I12030)</f>
        <v>0</v>
      </c>
      <c r="J12031" s="562">
        <f>SUM(J12015:J12030)</f>
        <v>0</v>
      </c>
    </row>
    <row r="12032" spans="6:10" hidden="1" x14ac:dyDescent="0.25"/>
    <row r="12033" spans="3:10" hidden="1" x14ac:dyDescent="0.25">
      <c r="C12033" s="267" t="s">
        <v>4746</v>
      </c>
      <c r="D12033" s="259"/>
      <c r="G12033" s="456" t="s">
        <v>4196</v>
      </c>
    </row>
    <row r="12034" spans="3:10" hidden="1" x14ac:dyDescent="0.25">
      <c r="C12034" s="267"/>
      <c r="D12034" s="331">
        <v>820</v>
      </c>
      <c r="E12034" s="869"/>
      <c r="F12034" s="331"/>
      <c r="G12034" s="332" t="s">
        <v>207</v>
      </c>
    </row>
    <row r="12035" spans="3:10" hidden="1" x14ac:dyDescent="0.25">
      <c r="F12035" s="464">
        <v>411</v>
      </c>
      <c r="G12035" s="455" t="s">
        <v>4131</v>
      </c>
      <c r="J12035" s="556">
        <f>SUM(H12035:I12035)</f>
        <v>0</v>
      </c>
    </row>
    <row r="12036" spans="3:10" hidden="1" x14ac:dyDescent="0.25">
      <c r="F12036" s="464">
        <v>412</v>
      </c>
      <c r="G12036" s="453" t="s">
        <v>3766</v>
      </c>
      <c r="J12036" s="556">
        <f t="shared" ref="J12036:J12094" si="396">SUM(H12036:I12036)</f>
        <v>0</v>
      </c>
    </row>
    <row r="12037" spans="3:10" hidden="1" x14ac:dyDescent="0.25">
      <c r="F12037" s="464">
        <v>413</v>
      </c>
      <c r="G12037" s="455" t="s">
        <v>4132</v>
      </c>
      <c r="J12037" s="556">
        <f t="shared" si="396"/>
        <v>0</v>
      </c>
    </row>
    <row r="12038" spans="3:10" hidden="1" x14ac:dyDescent="0.25">
      <c r="F12038" s="464">
        <v>414</v>
      </c>
      <c r="G12038" s="455" t="s">
        <v>3769</v>
      </c>
      <c r="J12038" s="556">
        <f t="shared" si="396"/>
        <v>0</v>
      </c>
    </row>
    <row r="12039" spans="3:10" hidden="1" x14ac:dyDescent="0.25">
      <c r="F12039" s="464">
        <v>415</v>
      </c>
      <c r="G12039" s="455" t="s">
        <v>4141</v>
      </c>
      <c r="J12039" s="556">
        <f t="shared" si="396"/>
        <v>0</v>
      </c>
    </row>
    <row r="12040" spans="3:10" hidden="1" x14ac:dyDescent="0.25">
      <c r="F12040" s="464">
        <v>416</v>
      </c>
      <c r="G12040" s="455" t="s">
        <v>4142</v>
      </c>
      <c r="J12040" s="556">
        <f t="shared" si="396"/>
        <v>0</v>
      </c>
    </row>
    <row r="12041" spans="3:10" hidden="1" x14ac:dyDescent="0.25">
      <c r="F12041" s="464">
        <v>417</v>
      </c>
      <c r="G12041" s="455" t="s">
        <v>4143</v>
      </c>
      <c r="J12041" s="556">
        <f t="shared" si="396"/>
        <v>0</v>
      </c>
    </row>
    <row r="12042" spans="3:10" hidden="1" x14ac:dyDescent="0.25">
      <c r="F12042" s="464">
        <v>418</v>
      </c>
      <c r="G12042" s="455" t="s">
        <v>3775</v>
      </c>
      <c r="J12042" s="556">
        <f t="shared" si="396"/>
        <v>0</v>
      </c>
    </row>
    <row r="12043" spans="3:10" hidden="1" x14ac:dyDescent="0.25">
      <c r="F12043" s="464">
        <v>421</v>
      </c>
      <c r="G12043" s="455" t="s">
        <v>3779</v>
      </c>
      <c r="J12043" s="556">
        <f t="shared" si="396"/>
        <v>0</v>
      </c>
    </row>
    <row r="12044" spans="3:10" hidden="1" x14ac:dyDescent="0.25">
      <c r="F12044" s="464">
        <v>422</v>
      </c>
      <c r="G12044" s="455" t="s">
        <v>3780</v>
      </c>
      <c r="J12044" s="556">
        <f t="shared" si="396"/>
        <v>0</v>
      </c>
    </row>
    <row r="12045" spans="3:10" hidden="1" x14ac:dyDescent="0.25">
      <c r="F12045" s="464">
        <v>423</v>
      </c>
      <c r="G12045" s="455" t="s">
        <v>3781</v>
      </c>
      <c r="J12045" s="556">
        <f t="shared" si="396"/>
        <v>0</v>
      </c>
    </row>
    <row r="12046" spans="3:10" hidden="1" x14ac:dyDescent="0.25">
      <c r="F12046" s="464">
        <v>424</v>
      </c>
      <c r="G12046" s="455" t="s">
        <v>3783</v>
      </c>
      <c r="J12046" s="556">
        <f t="shared" si="396"/>
        <v>0</v>
      </c>
    </row>
    <row r="12047" spans="3:10" hidden="1" x14ac:dyDescent="0.25">
      <c r="F12047" s="464">
        <v>425</v>
      </c>
      <c r="G12047" s="455" t="s">
        <v>4144</v>
      </c>
      <c r="J12047" s="556">
        <f t="shared" si="396"/>
        <v>0</v>
      </c>
    </row>
    <row r="12048" spans="3:10" hidden="1" x14ac:dyDescent="0.25">
      <c r="F12048" s="464">
        <v>426</v>
      </c>
      <c r="G12048" s="455" t="s">
        <v>3787</v>
      </c>
      <c r="J12048" s="556">
        <f t="shared" si="396"/>
        <v>0</v>
      </c>
    </row>
    <row r="12049" spans="6:10" hidden="1" x14ac:dyDescent="0.25">
      <c r="F12049" s="464">
        <v>431</v>
      </c>
      <c r="G12049" s="455" t="s">
        <v>4145</v>
      </c>
      <c r="J12049" s="556">
        <f t="shared" si="396"/>
        <v>0</v>
      </c>
    </row>
    <row r="12050" spans="6:10" hidden="1" x14ac:dyDescent="0.25">
      <c r="F12050" s="464">
        <v>432</v>
      </c>
      <c r="G12050" s="455" t="s">
        <v>4146</v>
      </c>
      <c r="J12050" s="556">
        <f t="shared" si="396"/>
        <v>0</v>
      </c>
    </row>
    <row r="12051" spans="6:10" hidden="1" x14ac:dyDescent="0.25">
      <c r="F12051" s="464">
        <v>433</v>
      </c>
      <c r="G12051" s="455" t="s">
        <v>4147</v>
      </c>
      <c r="J12051" s="556">
        <f t="shared" si="396"/>
        <v>0</v>
      </c>
    </row>
    <row r="12052" spans="6:10" hidden="1" x14ac:dyDescent="0.25">
      <c r="F12052" s="464">
        <v>434</v>
      </c>
      <c r="G12052" s="455" t="s">
        <v>4148</v>
      </c>
      <c r="J12052" s="556">
        <f t="shared" si="396"/>
        <v>0</v>
      </c>
    </row>
    <row r="12053" spans="6:10" hidden="1" x14ac:dyDescent="0.25">
      <c r="F12053" s="464">
        <v>435</v>
      </c>
      <c r="G12053" s="455" t="s">
        <v>3794</v>
      </c>
      <c r="J12053" s="556">
        <f t="shared" si="396"/>
        <v>0</v>
      </c>
    </row>
    <row r="12054" spans="6:10" hidden="1" x14ac:dyDescent="0.25">
      <c r="F12054" s="464">
        <v>441</v>
      </c>
      <c r="G12054" s="455" t="s">
        <v>4149</v>
      </c>
      <c r="J12054" s="556">
        <f t="shared" si="396"/>
        <v>0</v>
      </c>
    </row>
    <row r="12055" spans="6:10" hidden="1" x14ac:dyDescent="0.25">
      <c r="F12055" s="464">
        <v>442</v>
      </c>
      <c r="G12055" s="455" t="s">
        <v>4150</v>
      </c>
      <c r="J12055" s="556">
        <f t="shared" si="396"/>
        <v>0</v>
      </c>
    </row>
    <row r="12056" spans="6:10" hidden="1" x14ac:dyDescent="0.25">
      <c r="F12056" s="464">
        <v>443</v>
      </c>
      <c r="G12056" s="455" t="s">
        <v>3799</v>
      </c>
      <c r="J12056" s="556">
        <f t="shared" si="396"/>
        <v>0</v>
      </c>
    </row>
    <row r="12057" spans="6:10" hidden="1" x14ac:dyDescent="0.25">
      <c r="F12057" s="464">
        <v>444</v>
      </c>
      <c r="G12057" s="455" t="s">
        <v>3800</v>
      </c>
      <c r="J12057" s="556">
        <f t="shared" si="396"/>
        <v>0</v>
      </c>
    </row>
    <row r="12058" spans="6:10" ht="30" hidden="1" x14ac:dyDescent="0.25">
      <c r="F12058" s="464">
        <v>4511</v>
      </c>
      <c r="G12058" s="263" t="s">
        <v>1690</v>
      </c>
      <c r="J12058" s="556">
        <f t="shared" si="396"/>
        <v>0</v>
      </c>
    </row>
    <row r="12059" spans="6:10" ht="30" hidden="1" x14ac:dyDescent="0.25">
      <c r="F12059" s="464">
        <v>4512</v>
      </c>
      <c r="G12059" s="263" t="s">
        <v>1699</v>
      </c>
      <c r="J12059" s="556">
        <f t="shared" si="396"/>
        <v>0</v>
      </c>
    </row>
    <row r="12060" spans="6:10" hidden="1" x14ac:dyDescent="0.25">
      <c r="F12060" s="464">
        <v>452</v>
      </c>
      <c r="G12060" s="455" t="s">
        <v>4151</v>
      </c>
      <c r="J12060" s="556">
        <f t="shared" si="396"/>
        <v>0</v>
      </c>
    </row>
    <row r="12061" spans="6:10" hidden="1" x14ac:dyDescent="0.25">
      <c r="F12061" s="464">
        <v>453</v>
      </c>
      <c r="G12061" s="455" t="s">
        <v>4152</v>
      </c>
      <c r="J12061" s="556">
        <f t="shared" si="396"/>
        <v>0</v>
      </c>
    </row>
    <row r="12062" spans="6:10" hidden="1" x14ac:dyDescent="0.25">
      <c r="F12062" s="464">
        <v>454</v>
      </c>
      <c r="G12062" s="455" t="s">
        <v>3805</v>
      </c>
      <c r="J12062" s="556">
        <f t="shared" si="396"/>
        <v>0</v>
      </c>
    </row>
    <row r="12063" spans="6:10" hidden="1" x14ac:dyDescent="0.25">
      <c r="F12063" s="464">
        <v>461</v>
      </c>
      <c r="G12063" s="455" t="s">
        <v>4133</v>
      </c>
      <c r="J12063" s="556">
        <f t="shared" si="396"/>
        <v>0</v>
      </c>
    </row>
    <row r="12064" spans="6:10" hidden="1" x14ac:dyDescent="0.25">
      <c r="F12064" s="464">
        <v>462</v>
      </c>
      <c r="G12064" s="455" t="s">
        <v>3808</v>
      </c>
      <c r="J12064" s="556">
        <f t="shared" si="396"/>
        <v>0</v>
      </c>
    </row>
    <row r="12065" spans="6:10" hidden="1" x14ac:dyDescent="0.25">
      <c r="F12065" s="464">
        <v>4631</v>
      </c>
      <c r="G12065" s="455" t="s">
        <v>3809</v>
      </c>
      <c r="J12065" s="556">
        <f t="shared" si="396"/>
        <v>0</v>
      </c>
    </row>
    <row r="12066" spans="6:10" hidden="1" x14ac:dyDescent="0.25">
      <c r="F12066" s="464">
        <v>4632</v>
      </c>
      <c r="G12066" s="455" t="s">
        <v>3810</v>
      </c>
      <c r="J12066" s="556">
        <f t="shared" si="396"/>
        <v>0</v>
      </c>
    </row>
    <row r="12067" spans="6:10" hidden="1" x14ac:dyDescent="0.25">
      <c r="F12067" s="464">
        <v>464</v>
      </c>
      <c r="G12067" s="455" t="s">
        <v>3811</v>
      </c>
      <c r="J12067" s="556">
        <f t="shared" si="396"/>
        <v>0</v>
      </c>
    </row>
    <row r="12068" spans="6:10" hidden="1" x14ac:dyDescent="0.25">
      <c r="F12068" s="464">
        <v>465</v>
      </c>
      <c r="G12068" s="455" t="s">
        <v>4134</v>
      </c>
      <c r="J12068" s="556">
        <f t="shared" si="396"/>
        <v>0</v>
      </c>
    </row>
    <row r="12069" spans="6:10" hidden="1" x14ac:dyDescent="0.25">
      <c r="F12069" s="464">
        <v>472</v>
      </c>
      <c r="G12069" s="455" t="s">
        <v>3815</v>
      </c>
      <c r="J12069" s="556">
        <f t="shared" si="396"/>
        <v>0</v>
      </c>
    </row>
    <row r="12070" spans="6:10" hidden="1" x14ac:dyDescent="0.25">
      <c r="F12070" s="464">
        <v>481</v>
      </c>
      <c r="G12070" s="455" t="s">
        <v>4153</v>
      </c>
      <c r="J12070" s="556">
        <f t="shared" si="396"/>
        <v>0</v>
      </c>
    </row>
    <row r="12071" spans="6:10" hidden="1" x14ac:dyDescent="0.25">
      <c r="F12071" s="464">
        <v>482</v>
      </c>
      <c r="G12071" s="455" t="s">
        <v>4154</v>
      </c>
      <c r="J12071" s="556">
        <f t="shared" si="396"/>
        <v>0</v>
      </c>
    </row>
    <row r="12072" spans="6:10" hidden="1" x14ac:dyDescent="0.25">
      <c r="F12072" s="464">
        <v>483</v>
      </c>
      <c r="G12072" s="457" t="s">
        <v>4155</v>
      </c>
      <c r="J12072" s="556">
        <f t="shared" si="396"/>
        <v>0</v>
      </c>
    </row>
    <row r="12073" spans="6:10" ht="30" hidden="1" x14ac:dyDescent="0.25">
      <c r="F12073" s="464">
        <v>484</v>
      </c>
      <c r="G12073" s="455" t="s">
        <v>4156</v>
      </c>
      <c r="J12073" s="556">
        <f t="shared" si="396"/>
        <v>0</v>
      </c>
    </row>
    <row r="12074" spans="6:10" ht="30" hidden="1" x14ac:dyDescent="0.25">
      <c r="F12074" s="464">
        <v>485</v>
      </c>
      <c r="G12074" s="455" t="s">
        <v>4157</v>
      </c>
      <c r="J12074" s="556">
        <f t="shared" si="396"/>
        <v>0</v>
      </c>
    </row>
    <row r="12075" spans="6:10" ht="30" hidden="1" x14ac:dyDescent="0.25">
      <c r="F12075" s="464">
        <v>489</v>
      </c>
      <c r="G12075" s="455" t="s">
        <v>3823</v>
      </c>
      <c r="J12075" s="556">
        <f t="shared" si="396"/>
        <v>0</v>
      </c>
    </row>
    <row r="12076" spans="6:10" hidden="1" x14ac:dyDescent="0.25">
      <c r="F12076" s="464">
        <v>494</v>
      </c>
      <c r="G12076" s="455" t="s">
        <v>4135</v>
      </c>
      <c r="J12076" s="556">
        <f t="shared" si="396"/>
        <v>0</v>
      </c>
    </row>
    <row r="12077" spans="6:10" ht="30" hidden="1" x14ac:dyDescent="0.25">
      <c r="F12077" s="464">
        <v>495</v>
      </c>
      <c r="G12077" s="455" t="s">
        <v>4136</v>
      </c>
      <c r="J12077" s="556">
        <f t="shared" si="396"/>
        <v>0</v>
      </c>
    </row>
    <row r="12078" spans="6:10" ht="30" hidden="1" x14ac:dyDescent="0.25">
      <c r="F12078" s="464">
        <v>496</v>
      </c>
      <c r="G12078" s="455" t="s">
        <v>4137</v>
      </c>
      <c r="J12078" s="556">
        <f t="shared" si="396"/>
        <v>0</v>
      </c>
    </row>
    <row r="12079" spans="6:10" ht="30" hidden="1" x14ac:dyDescent="0.25">
      <c r="F12079" s="464">
        <v>499</v>
      </c>
      <c r="G12079" s="455" t="s">
        <v>4138</v>
      </c>
      <c r="J12079" s="556">
        <f t="shared" si="396"/>
        <v>0</v>
      </c>
    </row>
    <row r="12080" spans="6:10" hidden="1" x14ac:dyDescent="0.25">
      <c r="F12080" s="464">
        <v>511</v>
      </c>
      <c r="G12080" s="457" t="s">
        <v>4158</v>
      </c>
      <c r="J12080" s="556">
        <f t="shared" si="396"/>
        <v>0</v>
      </c>
    </row>
    <row r="12081" spans="5:10" hidden="1" x14ac:dyDescent="0.25">
      <c r="F12081" s="464">
        <v>512</v>
      </c>
      <c r="G12081" s="457" t="s">
        <v>4159</v>
      </c>
      <c r="J12081" s="556">
        <f t="shared" si="396"/>
        <v>0</v>
      </c>
    </row>
    <row r="12082" spans="5:10" hidden="1" x14ac:dyDescent="0.25">
      <c r="F12082" s="464">
        <v>513</v>
      </c>
      <c r="G12082" s="457" t="s">
        <v>4160</v>
      </c>
      <c r="J12082" s="556">
        <f t="shared" si="396"/>
        <v>0</v>
      </c>
    </row>
    <row r="12083" spans="5:10" hidden="1" x14ac:dyDescent="0.25">
      <c r="F12083" s="464">
        <v>514</v>
      </c>
      <c r="G12083" s="455" t="s">
        <v>4161</v>
      </c>
      <c r="J12083" s="556">
        <f t="shared" si="396"/>
        <v>0</v>
      </c>
    </row>
    <row r="12084" spans="5:10" hidden="1" x14ac:dyDescent="0.25">
      <c r="F12084" s="464">
        <v>515</v>
      </c>
      <c r="G12084" s="455" t="s">
        <v>3834</v>
      </c>
      <c r="J12084" s="556">
        <f t="shared" si="396"/>
        <v>0</v>
      </c>
    </row>
    <row r="12085" spans="5:10" hidden="1" x14ac:dyDescent="0.25">
      <c r="F12085" s="464">
        <v>521</v>
      </c>
      <c r="G12085" s="455" t="s">
        <v>4162</v>
      </c>
      <c r="J12085" s="556">
        <f t="shared" si="396"/>
        <v>0</v>
      </c>
    </row>
    <row r="12086" spans="5:10" hidden="1" x14ac:dyDescent="0.25">
      <c r="F12086" s="464">
        <v>522</v>
      </c>
      <c r="G12086" s="455" t="s">
        <v>4163</v>
      </c>
      <c r="J12086" s="556">
        <f t="shared" si="396"/>
        <v>0</v>
      </c>
    </row>
    <row r="12087" spans="5:10" hidden="1" x14ac:dyDescent="0.25">
      <c r="F12087" s="464">
        <v>523</v>
      </c>
      <c r="G12087" s="455" t="s">
        <v>3839</v>
      </c>
      <c r="J12087" s="556">
        <f t="shared" si="396"/>
        <v>0</v>
      </c>
    </row>
    <row r="12088" spans="5:10" hidden="1" x14ac:dyDescent="0.25">
      <c r="F12088" s="464">
        <v>531</v>
      </c>
      <c r="G12088" s="453" t="s">
        <v>4139</v>
      </c>
      <c r="J12088" s="556">
        <f t="shared" si="396"/>
        <v>0</v>
      </c>
    </row>
    <row r="12089" spans="5:10" hidden="1" x14ac:dyDescent="0.25">
      <c r="F12089" s="464">
        <v>541</v>
      </c>
      <c r="G12089" s="455" t="s">
        <v>4164</v>
      </c>
      <c r="J12089" s="556">
        <f t="shared" si="396"/>
        <v>0</v>
      </c>
    </row>
    <row r="12090" spans="5:10" hidden="1" x14ac:dyDescent="0.25">
      <c r="F12090" s="464">
        <v>542</v>
      </c>
      <c r="G12090" s="455" t="s">
        <v>4165</v>
      </c>
      <c r="J12090" s="556">
        <f t="shared" si="396"/>
        <v>0</v>
      </c>
    </row>
    <row r="12091" spans="5:10" hidden="1" x14ac:dyDescent="0.25">
      <c r="F12091" s="464">
        <v>543</v>
      </c>
      <c r="G12091" s="455" t="s">
        <v>3844</v>
      </c>
      <c r="J12091" s="556">
        <f t="shared" si="396"/>
        <v>0</v>
      </c>
    </row>
    <row r="12092" spans="5:10" ht="30" hidden="1" x14ac:dyDescent="0.25">
      <c r="F12092" s="464">
        <v>551</v>
      </c>
      <c r="G12092" s="455" t="s">
        <v>4140</v>
      </c>
      <c r="J12092" s="556">
        <f t="shared" si="396"/>
        <v>0</v>
      </c>
    </row>
    <row r="12093" spans="5:10" hidden="1" x14ac:dyDescent="0.25">
      <c r="F12093" s="465">
        <v>611</v>
      </c>
      <c r="G12093" s="463" t="s">
        <v>3850</v>
      </c>
      <c r="J12093" s="556">
        <f t="shared" si="396"/>
        <v>0</v>
      </c>
    </row>
    <row r="12094" spans="5:10" hidden="1" x14ac:dyDescent="0.25">
      <c r="F12094" s="465">
        <v>620</v>
      </c>
      <c r="G12094" s="463" t="s">
        <v>88</v>
      </c>
      <c r="J12094" s="556">
        <f t="shared" si="396"/>
        <v>0</v>
      </c>
    </row>
    <row r="12095" spans="5:10" hidden="1" x14ac:dyDescent="0.25">
      <c r="E12095" s="489"/>
      <c r="F12095" s="465"/>
      <c r="G12095" s="342" t="s">
        <v>4356</v>
      </c>
      <c r="H12095" s="557"/>
      <c r="I12095" s="583"/>
      <c r="J12095" s="558"/>
    </row>
    <row r="12096" spans="5:10" hidden="1" x14ac:dyDescent="0.25">
      <c r="E12096" s="693"/>
      <c r="F12096" s="284" t="s">
        <v>234</v>
      </c>
      <c r="G12096" s="287" t="s">
        <v>235</v>
      </c>
      <c r="H12096" s="559">
        <f>SUM(H12035:H12094)</f>
        <v>0</v>
      </c>
      <c r="I12096" s="560"/>
      <c r="J12096" s="560">
        <f>SUM(H12096:I12096)</f>
        <v>0</v>
      </c>
    </row>
    <row r="12097" spans="6:10" hidden="1" x14ac:dyDescent="0.25">
      <c r="F12097" s="284" t="s">
        <v>236</v>
      </c>
      <c r="G12097" s="287" t="s">
        <v>237</v>
      </c>
      <c r="J12097" s="560">
        <f t="shared" ref="J12097:J12111" si="397">SUM(H12097:I12097)</f>
        <v>0</v>
      </c>
    </row>
    <row r="12098" spans="6:10" hidden="1" x14ac:dyDescent="0.25">
      <c r="F12098" s="284" t="s">
        <v>238</v>
      </c>
      <c r="G12098" s="287" t="s">
        <v>239</v>
      </c>
      <c r="J12098" s="560">
        <f t="shared" si="397"/>
        <v>0</v>
      </c>
    </row>
    <row r="12099" spans="6:10" hidden="1" x14ac:dyDescent="0.25">
      <c r="F12099" s="284" t="s">
        <v>240</v>
      </c>
      <c r="G12099" s="287" t="s">
        <v>241</v>
      </c>
      <c r="J12099" s="560">
        <f t="shared" si="397"/>
        <v>0</v>
      </c>
    </row>
    <row r="12100" spans="6:10" hidden="1" x14ac:dyDescent="0.25">
      <c r="F12100" s="284" t="s">
        <v>242</v>
      </c>
      <c r="G12100" s="287" t="s">
        <v>243</v>
      </c>
      <c r="J12100" s="560">
        <f t="shared" si="397"/>
        <v>0</v>
      </c>
    </row>
    <row r="12101" spans="6:10" hidden="1" x14ac:dyDescent="0.25">
      <c r="F12101" s="284" t="s">
        <v>244</v>
      </c>
      <c r="G12101" s="287" t="s">
        <v>245</v>
      </c>
      <c r="J12101" s="560">
        <f t="shared" si="397"/>
        <v>0</v>
      </c>
    </row>
    <row r="12102" spans="6:10" hidden="1" x14ac:dyDescent="0.25">
      <c r="F12102" s="284" t="s">
        <v>246</v>
      </c>
      <c r="G12102" s="598" t="s">
        <v>4996</v>
      </c>
      <c r="J12102" s="560">
        <f t="shared" si="397"/>
        <v>0</v>
      </c>
    </row>
    <row r="12103" spans="6:10" hidden="1" x14ac:dyDescent="0.25">
      <c r="F12103" s="284" t="s">
        <v>247</v>
      </c>
      <c r="G12103" s="598" t="s">
        <v>4995</v>
      </c>
      <c r="J12103" s="560">
        <f t="shared" si="397"/>
        <v>0</v>
      </c>
    </row>
    <row r="12104" spans="6:10" hidden="1" x14ac:dyDescent="0.25">
      <c r="F12104" s="284" t="s">
        <v>248</v>
      </c>
      <c r="G12104" s="287" t="s">
        <v>57</v>
      </c>
      <c r="J12104" s="560">
        <f t="shared" si="397"/>
        <v>0</v>
      </c>
    </row>
    <row r="12105" spans="6:10" hidden="1" x14ac:dyDescent="0.25">
      <c r="F12105" s="284" t="s">
        <v>249</v>
      </c>
      <c r="G12105" s="287" t="s">
        <v>250</v>
      </c>
      <c r="J12105" s="560">
        <f t="shared" si="397"/>
        <v>0</v>
      </c>
    </row>
    <row r="12106" spans="6:10" hidden="1" x14ac:dyDescent="0.25">
      <c r="F12106" s="284" t="s">
        <v>251</v>
      </c>
      <c r="G12106" s="287" t="s">
        <v>252</v>
      </c>
      <c r="J12106" s="560">
        <f t="shared" si="397"/>
        <v>0</v>
      </c>
    </row>
    <row r="12107" spans="6:10" ht="30" hidden="1" x14ac:dyDescent="0.25">
      <c r="F12107" s="284" t="s">
        <v>253</v>
      </c>
      <c r="G12107" s="287" t="s">
        <v>254</v>
      </c>
      <c r="J12107" s="560">
        <f t="shared" si="397"/>
        <v>0</v>
      </c>
    </row>
    <row r="12108" spans="6:10" hidden="1" x14ac:dyDescent="0.25">
      <c r="F12108" s="284" t="s">
        <v>255</v>
      </c>
      <c r="G12108" s="287" t="s">
        <v>256</v>
      </c>
      <c r="J12108" s="560">
        <f t="shared" si="397"/>
        <v>0</v>
      </c>
    </row>
    <row r="12109" spans="6:10" ht="30" hidden="1" x14ac:dyDescent="0.25">
      <c r="F12109" s="284" t="s">
        <v>257</v>
      </c>
      <c r="G12109" s="287" t="s">
        <v>258</v>
      </c>
      <c r="J12109" s="560">
        <f t="shared" si="397"/>
        <v>0</v>
      </c>
    </row>
    <row r="12110" spans="6:10" hidden="1" x14ac:dyDescent="0.25">
      <c r="F12110" s="284" t="s">
        <v>259</v>
      </c>
      <c r="G12110" s="287" t="s">
        <v>260</v>
      </c>
      <c r="J12110" s="560">
        <f t="shared" si="397"/>
        <v>0</v>
      </c>
    </row>
    <row r="12111" spans="6:10" hidden="1" x14ac:dyDescent="0.25">
      <c r="F12111" s="284" t="s">
        <v>261</v>
      </c>
      <c r="G12111" s="287" t="s">
        <v>262</v>
      </c>
      <c r="H12111" s="559"/>
      <c r="I12111" s="560"/>
      <c r="J12111" s="560">
        <f t="shared" si="397"/>
        <v>0</v>
      </c>
    </row>
    <row r="12112" spans="6:10" ht="15.75" hidden="1" thickBot="1" x14ac:dyDescent="0.3">
      <c r="G12112" s="268" t="s">
        <v>4357</v>
      </c>
      <c r="H12112" s="561">
        <f>SUM(H12096:H12111)</f>
        <v>0</v>
      </c>
      <c r="I12112" s="562">
        <f>SUM(I12097:I12111)</f>
        <v>0</v>
      </c>
      <c r="J12112" s="562">
        <f>SUM(J12096:J12111)</f>
        <v>0</v>
      </c>
    </row>
    <row r="12113" spans="5:10" hidden="1" collapsed="1" x14ac:dyDescent="0.25">
      <c r="E12113" s="489"/>
      <c r="F12113" s="465"/>
      <c r="G12113" s="270" t="s">
        <v>4933</v>
      </c>
      <c r="H12113" s="563"/>
      <c r="I12113" s="584"/>
      <c r="J12113" s="564"/>
    </row>
    <row r="12114" spans="5:10" hidden="1" x14ac:dyDescent="0.25">
      <c r="E12114" s="693"/>
      <c r="F12114" s="284" t="s">
        <v>234</v>
      </c>
      <c r="G12114" s="287" t="s">
        <v>235</v>
      </c>
      <c r="H12114" s="559">
        <f>SUM(H12035:H12094)</f>
        <v>0</v>
      </c>
      <c r="I12114" s="560"/>
      <c r="J12114" s="560">
        <f>SUM(H12114:I12114)</f>
        <v>0</v>
      </c>
    </row>
    <row r="12115" spans="5:10" hidden="1" x14ac:dyDescent="0.25">
      <c r="F12115" s="284" t="s">
        <v>236</v>
      </c>
      <c r="G12115" s="287" t="s">
        <v>237</v>
      </c>
      <c r="J12115" s="560">
        <f t="shared" ref="J12115:J12129" si="398">SUM(H12115:I12115)</f>
        <v>0</v>
      </c>
    </row>
    <row r="12116" spans="5:10" hidden="1" x14ac:dyDescent="0.25">
      <c r="F12116" s="284" t="s">
        <v>238</v>
      </c>
      <c r="G12116" s="287" t="s">
        <v>239</v>
      </c>
      <c r="J12116" s="560">
        <f t="shared" si="398"/>
        <v>0</v>
      </c>
    </row>
    <row r="12117" spans="5:10" hidden="1" x14ac:dyDescent="0.25">
      <c r="F12117" s="284" t="s">
        <v>240</v>
      </c>
      <c r="G12117" s="287" t="s">
        <v>241</v>
      </c>
      <c r="J12117" s="560">
        <f t="shared" si="398"/>
        <v>0</v>
      </c>
    </row>
    <row r="12118" spans="5:10" hidden="1" x14ac:dyDescent="0.25">
      <c r="F12118" s="284" t="s">
        <v>242</v>
      </c>
      <c r="G12118" s="287" t="s">
        <v>243</v>
      </c>
      <c r="J12118" s="560">
        <f t="shared" si="398"/>
        <v>0</v>
      </c>
    </row>
    <row r="12119" spans="5:10" hidden="1" x14ac:dyDescent="0.25">
      <c r="F12119" s="284" t="s">
        <v>244</v>
      </c>
      <c r="G12119" s="287" t="s">
        <v>245</v>
      </c>
      <c r="J12119" s="560">
        <f t="shared" si="398"/>
        <v>0</v>
      </c>
    </row>
    <row r="12120" spans="5:10" hidden="1" x14ac:dyDescent="0.25">
      <c r="F12120" s="284" t="s">
        <v>246</v>
      </c>
      <c r="G12120" s="598" t="s">
        <v>4996</v>
      </c>
      <c r="J12120" s="560">
        <f t="shared" si="398"/>
        <v>0</v>
      </c>
    </row>
    <row r="12121" spans="5:10" hidden="1" x14ac:dyDescent="0.25">
      <c r="F12121" s="284" t="s">
        <v>247</v>
      </c>
      <c r="G12121" s="598" t="s">
        <v>4995</v>
      </c>
      <c r="J12121" s="560">
        <f t="shared" si="398"/>
        <v>0</v>
      </c>
    </row>
    <row r="12122" spans="5:10" hidden="1" x14ac:dyDescent="0.25">
      <c r="F12122" s="284" t="s">
        <v>248</v>
      </c>
      <c r="G12122" s="287" t="s">
        <v>57</v>
      </c>
      <c r="J12122" s="560">
        <f t="shared" si="398"/>
        <v>0</v>
      </c>
    </row>
    <row r="12123" spans="5:10" hidden="1" x14ac:dyDescent="0.25">
      <c r="F12123" s="284" t="s">
        <v>249</v>
      </c>
      <c r="G12123" s="287" t="s">
        <v>250</v>
      </c>
      <c r="J12123" s="560">
        <f t="shared" si="398"/>
        <v>0</v>
      </c>
    </row>
    <row r="12124" spans="5:10" hidden="1" x14ac:dyDescent="0.25">
      <c r="F12124" s="284" t="s">
        <v>251</v>
      </c>
      <c r="G12124" s="287" t="s">
        <v>252</v>
      </c>
      <c r="J12124" s="560">
        <f t="shared" si="398"/>
        <v>0</v>
      </c>
    </row>
    <row r="12125" spans="5:10" ht="30" hidden="1" x14ac:dyDescent="0.25">
      <c r="F12125" s="284" t="s">
        <v>253</v>
      </c>
      <c r="G12125" s="287" t="s">
        <v>254</v>
      </c>
      <c r="J12125" s="560">
        <f t="shared" si="398"/>
        <v>0</v>
      </c>
    </row>
    <row r="12126" spans="5:10" hidden="1" x14ac:dyDescent="0.25">
      <c r="F12126" s="284" t="s">
        <v>255</v>
      </c>
      <c r="G12126" s="287" t="s">
        <v>256</v>
      </c>
      <c r="J12126" s="560">
        <f t="shared" si="398"/>
        <v>0</v>
      </c>
    </row>
    <row r="12127" spans="5:10" ht="30" hidden="1" x14ac:dyDescent="0.25">
      <c r="F12127" s="284" t="s">
        <v>257</v>
      </c>
      <c r="G12127" s="287" t="s">
        <v>258</v>
      </c>
      <c r="J12127" s="560">
        <f t="shared" si="398"/>
        <v>0</v>
      </c>
    </row>
    <row r="12128" spans="5:10" hidden="1" x14ac:dyDescent="0.25">
      <c r="F12128" s="284" t="s">
        <v>259</v>
      </c>
      <c r="G12128" s="287" t="s">
        <v>260</v>
      </c>
      <c r="J12128" s="560">
        <f t="shared" si="398"/>
        <v>0</v>
      </c>
    </row>
    <row r="12129" spans="5:10" hidden="1" x14ac:dyDescent="0.25">
      <c r="F12129" s="284" t="s">
        <v>261</v>
      </c>
      <c r="G12129" s="287" t="s">
        <v>262</v>
      </c>
      <c r="H12129" s="559"/>
      <c r="I12129" s="560"/>
      <c r="J12129" s="560">
        <f t="shared" si="398"/>
        <v>0</v>
      </c>
    </row>
    <row r="12130" spans="5:10" ht="15.75" hidden="1" thickBot="1" x14ac:dyDescent="0.3">
      <c r="G12130" s="268" t="s">
        <v>4922</v>
      </c>
      <c r="H12130" s="561">
        <f>SUM(H12114:H12129)</f>
        <v>0</v>
      </c>
      <c r="I12130" s="562">
        <f>SUM(I12115:I12129)</f>
        <v>0</v>
      </c>
      <c r="J12130" s="562">
        <f>SUM(J12114:J12129)</f>
        <v>0</v>
      </c>
    </row>
    <row r="12131" spans="5:10" hidden="1" x14ac:dyDescent="0.25"/>
    <row r="12132" spans="5:10" hidden="1" x14ac:dyDescent="0.25">
      <c r="E12132" s="489"/>
      <c r="F12132" s="465"/>
      <c r="G12132" s="285" t="s">
        <v>4270</v>
      </c>
      <c r="H12132" s="567"/>
      <c r="I12132" s="585"/>
      <c r="J12132" s="568"/>
    </row>
    <row r="12133" spans="5:10" hidden="1" x14ac:dyDescent="0.25">
      <c r="E12133" s="693"/>
      <c r="F12133" s="284" t="s">
        <v>234</v>
      </c>
      <c r="G12133" s="287" t="s">
        <v>235</v>
      </c>
      <c r="H12133" s="559">
        <f>SUM(H12114,H12015)</f>
        <v>0</v>
      </c>
      <c r="I12133" s="560"/>
      <c r="J12133" s="560">
        <f>SUM(H12133:I12133)</f>
        <v>0</v>
      </c>
    </row>
    <row r="12134" spans="5:10" hidden="1" x14ac:dyDescent="0.25">
      <c r="F12134" s="284" t="s">
        <v>236</v>
      </c>
      <c r="G12134" s="287" t="s">
        <v>237</v>
      </c>
      <c r="J12134" s="560">
        <f t="shared" ref="J12134:J12148" si="399">SUM(H12134:I12134)</f>
        <v>0</v>
      </c>
    </row>
    <row r="12135" spans="5:10" hidden="1" x14ac:dyDescent="0.25">
      <c r="F12135" s="284" t="s">
        <v>238</v>
      </c>
      <c r="G12135" s="287" t="s">
        <v>239</v>
      </c>
      <c r="J12135" s="560">
        <f t="shared" si="399"/>
        <v>0</v>
      </c>
    </row>
    <row r="12136" spans="5:10" hidden="1" x14ac:dyDescent="0.25">
      <c r="F12136" s="284" t="s">
        <v>240</v>
      </c>
      <c r="G12136" s="287" t="s">
        <v>241</v>
      </c>
      <c r="J12136" s="560">
        <f t="shared" si="399"/>
        <v>0</v>
      </c>
    </row>
    <row r="12137" spans="5:10" hidden="1" x14ac:dyDescent="0.25">
      <c r="F12137" s="284" t="s">
        <v>242</v>
      </c>
      <c r="G12137" s="287" t="s">
        <v>243</v>
      </c>
      <c r="J12137" s="560">
        <f t="shared" si="399"/>
        <v>0</v>
      </c>
    </row>
    <row r="12138" spans="5:10" hidden="1" x14ac:dyDescent="0.25">
      <c r="F12138" s="284" t="s">
        <v>244</v>
      </c>
      <c r="G12138" s="287" t="s">
        <v>245</v>
      </c>
      <c r="J12138" s="560">
        <f t="shared" si="399"/>
        <v>0</v>
      </c>
    </row>
    <row r="12139" spans="5:10" hidden="1" x14ac:dyDescent="0.25">
      <c r="F12139" s="284" t="s">
        <v>246</v>
      </c>
      <c r="G12139" s="598" t="s">
        <v>4996</v>
      </c>
      <c r="J12139" s="560">
        <f t="shared" si="399"/>
        <v>0</v>
      </c>
    </row>
    <row r="12140" spans="5:10" hidden="1" x14ac:dyDescent="0.25">
      <c r="F12140" s="284" t="s">
        <v>247</v>
      </c>
      <c r="G12140" s="598" t="s">
        <v>4995</v>
      </c>
      <c r="J12140" s="560">
        <f t="shared" si="399"/>
        <v>0</v>
      </c>
    </row>
    <row r="12141" spans="5:10" hidden="1" x14ac:dyDescent="0.25">
      <c r="F12141" s="284" t="s">
        <v>248</v>
      </c>
      <c r="G12141" s="287" t="s">
        <v>57</v>
      </c>
      <c r="J12141" s="560">
        <f t="shared" si="399"/>
        <v>0</v>
      </c>
    </row>
    <row r="12142" spans="5:10" hidden="1" x14ac:dyDescent="0.25">
      <c r="F12142" s="284" t="s">
        <v>249</v>
      </c>
      <c r="G12142" s="287" t="s">
        <v>250</v>
      </c>
      <c r="J12142" s="560">
        <f t="shared" si="399"/>
        <v>0</v>
      </c>
    </row>
    <row r="12143" spans="5:10" hidden="1" x14ac:dyDescent="0.25">
      <c r="F12143" s="284" t="s">
        <v>251</v>
      </c>
      <c r="G12143" s="287" t="s">
        <v>252</v>
      </c>
      <c r="J12143" s="560">
        <f t="shared" si="399"/>
        <v>0</v>
      </c>
    </row>
    <row r="12144" spans="5:10" ht="30" hidden="1" x14ac:dyDescent="0.25">
      <c r="F12144" s="284" t="s">
        <v>253</v>
      </c>
      <c r="G12144" s="287" t="s">
        <v>254</v>
      </c>
      <c r="J12144" s="560">
        <f t="shared" si="399"/>
        <v>0</v>
      </c>
    </row>
    <row r="12145" spans="5:10" hidden="1" x14ac:dyDescent="0.25">
      <c r="F12145" s="284" t="s">
        <v>255</v>
      </c>
      <c r="G12145" s="287" t="s">
        <v>256</v>
      </c>
      <c r="J12145" s="560">
        <f t="shared" si="399"/>
        <v>0</v>
      </c>
    </row>
    <row r="12146" spans="5:10" ht="30" hidden="1" x14ac:dyDescent="0.25">
      <c r="F12146" s="284" t="s">
        <v>257</v>
      </c>
      <c r="G12146" s="287" t="s">
        <v>258</v>
      </c>
      <c r="J12146" s="560">
        <f t="shared" si="399"/>
        <v>0</v>
      </c>
    </row>
    <row r="12147" spans="5:10" hidden="1" x14ac:dyDescent="0.25">
      <c r="F12147" s="284" t="s">
        <v>259</v>
      </c>
      <c r="G12147" s="287" t="s">
        <v>260</v>
      </c>
      <c r="J12147" s="560">
        <f t="shared" si="399"/>
        <v>0</v>
      </c>
    </row>
    <row r="12148" spans="5:10" hidden="1" x14ac:dyDescent="0.25">
      <c r="F12148" s="284" t="s">
        <v>261</v>
      </c>
      <c r="G12148" s="287" t="s">
        <v>262</v>
      </c>
      <c r="H12148" s="559"/>
      <c r="I12148" s="560"/>
      <c r="J12148" s="560">
        <f t="shared" si="399"/>
        <v>0</v>
      </c>
    </row>
    <row r="12149" spans="5:10" ht="15.75" hidden="1" thickBot="1" x14ac:dyDescent="0.3">
      <c r="G12149" s="268" t="s">
        <v>4271</v>
      </c>
      <c r="H12149" s="561">
        <f>SUM(H12133:H12148)</f>
        <v>0</v>
      </c>
      <c r="I12149" s="562">
        <f>SUM(I12134:I12148)</f>
        <v>0</v>
      </c>
      <c r="J12149" s="562">
        <f>SUM(J12133:J12148)</f>
        <v>0</v>
      </c>
    </row>
    <row r="12150" spans="5:10" hidden="1" x14ac:dyDescent="0.25"/>
    <row r="12151" spans="5:10" hidden="1" x14ac:dyDescent="0.25">
      <c r="E12151" s="489"/>
      <c r="F12151" s="465"/>
      <c r="G12151" s="285" t="s">
        <v>4958</v>
      </c>
      <c r="H12151" s="567"/>
      <c r="I12151" s="585"/>
      <c r="J12151" s="568"/>
    </row>
    <row r="12152" spans="5:10" hidden="1" x14ac:dyDescent="0.25">
      <c r="E12152" s="693"/>
      <c r="F12152" s="284" t="s">
        <v>234</v>
      </c>
      <c r="G12152" s="287" t="s">
        <v>235</v>
      </c>
      <c r="H12152" s="559">
        <f>SUM(H12133)</f>
        <v>0</v>
      </c>
      <c r="I12152" s="560"/>
      <c r="J12152" s="560">
        <f>SUM(H12152:I12152)</f>
        <v>0</v>
      </c>
    </row>
    <row r="12153" spans="5:10" hidden="1" x14ac:dyDescent="0.25">
      <c r="F12153" s="284" t="s">
        <v>236</v>
      </c>
      <c r="G12153" s="287" t="s">
        <v>237</v>
      </c>
      <c r="J12153" s="560">
        <f t="shared" ref="J12153:J12167" si="400">SUM(H12153:I12153)</f>
        <v>0</v>
      </c>
    </row>
    <row r="12154" spans="5:10" hidden="1" x14ac:dyDescent="0.25">
      <c r="F12154" s="284" t="s">
        <v>238</v>
      </c>
      <c r="G12154" s="287" t="s">
        <v>239</v>
      </c>
      <c r="J12154" s="560">
        <f t="shared" si="400"/>
        <v>0</v>
      </c>
    </row>
    <row r="12155" spans="5:10" hidden="1" x14ac:dyDescent="0.25">
      <c r="F12155" s="284" t="s">
        <v>240</v>
      </c>
      <c r="G12155" s="287" t="s">
        <v>241</v>
      </c>
      <c r="J12155" s="560">
        <f t="shared" si="400"/>
        <v>0</v>
      </c>
    </row>
    <row r="12156" spans="5:10" hidden="1" x14ac:dyDescent="0.25">
      <c r="F12156" s="284" t="s">
        <v>242</v>
      </c>
      <c r="G12156" s="287" t="s">
        <v>243</v>
      </c>
      <c r="J12156" s="560">
        <f t="shared" si="400"/>
        <v>0</v>
      </c>
    </row>
    <row r="12157" spans="5:10" hidden="1" x14ac:dyDescent="0.25">
      <c r="F12157" s="284" t="s">
        <v>244</v>
      </c>
      <c r="G12157" s="287" t="s">
        <v>245</v>
      </c>
      <c r="J12157" s="560">
        <f t="shared" si="400"/>
        <v>0</v>
      </c>
    </row>
    <row r="12158" spans="5:10" hidden="1" x14ac:dyDescent="0.25">
      <c r="F12158" s="284" t="s">
        <v>246</v>
      </c>
      <c r="G12158" s="598" t="s">
        <v>4996</v>
      </c>
      <c r="J12158" s="560">
        <f t="shared" si="400"/>
        <v>0</v>
      </c>
    </row>
    <row r="12159" spans="5:10" hidden="1" x14ac:dyDescent="0.25">
      <c r="F12159" s="284" t="s">
        <v>247</v>
      </c>
      <c r="G12159" s="598" t="s">
        <v>4995</v>
      </c>
      <c r="J12159" s="560">
        <f t="shared" si="400"/>
        <v>0</v>
      </c>
    </row>
    <row r="12160" spans="5:10" hidden="1" x14ac:dyDescent="0.25">
      <c r="F12160" s="284" t="s">
        <v>248</v>
      </c>
      <c r="G12160" s="287" t="s">
        <v>57</v>
      </c>
      <c r="J12160" s="560">
        <f t="shared" si="400"/>
        <v>0</v>
      </c>
    </row>
    <row r="12161" spans="1:10" hidden="1" x14ac:dyDescent="0.25">
      <c r="F12161" s="284" t="s">
        <v>249</v>
      </c>
      <c r="G12161" s="287" t="s">
        <v>250</v>
      </c>
      <c r="J12161" s="560">
        <f t="shared" si="400"/>
        <v>0</v>
      </c>
    </row>
    <row r="12162" spans="1:10" hidden="1" x14ac:dyDescent="0.25">
      <c r="F12162" s="284" t="s">
        <v>251</v>
      </c>
      <c r="G12162" s="287" t="s">
        <v>252</v>
      </c>
      <c r="J12162" s="560">
        <f t="shared" si="400"/>
        <v>0</v>
      </c>
    </row>
    <row r="12163" spans="1:10" ht="30" hidden="1" x14ac:dyDescent="0.25">
      <c r="F12163" s="284" t="s">
        <v>253</v>
      </c>
      <c r="G12163" s="287" t="s">
        <v>254</v>
      </c>
      <c r="J12163" s="560">
        <f t="shared" si="400"/>
        <v>0</v>
      </c>
    </row>
    <row r="12164" spans="1:10" hidden="1" x14ac:dyDescent="0.25">
      <c r="F12164" s="284" t="s">
        <v>255</v>
      </c>
      <c r="G12164" s="287" t="s">
        <v>256</v>
      </c>
      <c r="J12164" s="560">
        <f t="shared" si="400"/>
        <v>0</v>
      </c>
    </row>
    <row r="12165" spans="1:10" ht="30" hidden="1" x14ac:dyDescent="0.25">
      <c r="F12165" s="284" t="s">
        <v>257</v>
      </c>
      <c r="G12165" s="287" t="s">
        <v>258</v>
      </c>
      <c r="J12165" s="560">
        <f t="shared" si="400"/>
        <v>0</v>
      </c>
    </row>
    <row r="12166" spans="1:10" hidden="1" x14ac:dyDescent="0.25">
      <c r="F12166" s="284" t="s">
        <v>259</v>
      </c>
      <c r="G12166" s="287" t="s">
        <v>260</v>
      </c>
      <c r="J12166" s="560">
        <f t="shared" si="400"/>
        <v>0</v>
      </c>
    </row>
    <row r="12167" spans="1:10" hidden="1" x14ac:dyDescent="0.25">
      <c r="F12167" s="284" t="s">
        <v>261</v>
      </c>
      <c r="G12167" s="287" t="s">
        <v>262</v>
      </c>
      <c r="H12167" s="559"/>
      <c r="I12167" s="560"/>
      <c r="J12167" s="560">
        <f t="shared" si="400"/>
        <v>0</v>
      </c>
    </row>
    <row r="12168" spans="1:10" ht="15.75" hidden="1" thickBot="1" x14ac:dyDescent="0.3">
      <c r="G12168" s="268" t="s">
        <v>4959</v>
      </c>
      <c r="H12168" s="561">
        <f>SUM(H12152:H12167)</f>
        <v>0</v>
      </c>
      <c r="I12168" s="562">
        <f>SUM(I12153:I12167)</f>
        <v>0</v>
      </c>
      <c r="J12168" s="562">
        <f>SUM(J12152:J12167)</f>
        <v>0</v>
      </c>
    </row>
    <row r="12169" spans="1:10" hidden="1" x14ac:dyDescent="0.25"/>
    <row r="12170" spans="1:10" hidden="1" x14ac:dyDescent="0.25">
      <c r="B12170" s="444" t="s">
        <v>4284</v>
      </c>
      <c r="C12170" s="443" t="s">
        <v>4001</v>
      </c>
      <c r="D12170" s="445"/>
      <c r="E12170" s="894"/>
      <c r="F12170" s="446"/>
      <c r="G12170" s="447" t="s">
        <v>4267</v>
      </c>
      <c r="H12170" s="593"/>
      <c r="I12170" s="594"/>
      <c r="J12170" s="579"/>
    </row>
    <row r="12171" spans="1:10" ht="16.5" hidden="1" customHeight="1" x14ac:dyDescent="0.25">
      <c r="A12171" s="443">
        <v>4</v>
      </c>
      <c r="C12171" s="267" t="s">
        <v>3593</v>
      </c>
      <c r="G12171" s="454" t="s">
        <v>4262</v>
      </c>
    </row>
    <row r="12172" spans="1:10" hidden="1" x14ac:dyDescent="0.25">
      <c r="C12172" s="267" t="s">
        <v>4089</v>
      </c>
      <c r="D12172" s="259"/>
      <c r="G12172" s="454" t="s">
        <v>4263</v>
      </c>
    </row>
    <row r="12173" spans="1:10" hidden="1" x14ac:dyDescent="0.25">
      <c r="C12173" s="267"/>
      <c r="D12173" s="331">
        <v>820</v>
      </c>
      <c r="E12173" s="869"/>
      <c r="F12173" s="331"/>
      <c r="G12173" s="332" t="s">
        <v>207</v>
      </c>
    </row>
    <row r="12174" spans="1:10" hidden="1" x14ac:dyDescent="0.25">
      <c r="F12174" s="464">
        <v>411</v>
      </c>
      <c r="G12174" s="455" t="s">
        <v>4131</v>
      </c>
      <c r="J12174" s="556">
        <f>SUM(H12174:I12174)</f>
        <v>0</v>
      </c>
    </row>
    <row r="12175" spans="1:10" hidden="1" x14ac:dyDescent="0.25">
      <c r="F12175" s="464">
        <v>412</v>
      </c>
      <c r="G12175" s="453" t="s">
        <v>3766</v>
      </c>
      <c r="J12175" s="556">
        <f t="shared" ref="J12175:J12233" si="401">SUM(H12175:I12175)</f>
        <v>0</v>
      </c>
    </row>
    <row r="12176" spans="1:10" hidden="1" x14ac:dyDescent="0.25">
      <c r="F12176" s="464">
        <v>413</v>
      </c>
      <c r="G12176" s="455" t="s">
        <v>4132</v>
      </c>
      <c r="J12176" s="556">
        <f t="shared" si="401"/>
        <v>0</v>
      </c>
    </row>
    <row r="12177" spans="6:10" hidden="1" x14ac:dyDescent="0.25">
      <c r="F12177" s="464">
        <v>414</v>
      </c>
      <c r="G12177" s="455" t="s">
        <v>3769</v>
      </c>
      <c r="J12177" s="556">
        <f t="shared" si="401"/>
        <v>0</v>
      </c>
    </row>
    <row r="12178" spans="6:10" hidden="1" x14ac:dyDescent="0.25">
      <c r="F12178" s="464">
        <v>415</v>
      </c>
      <c r="G12178" s="455" t="s">
        <v>4141</v>
      </c>
      <c r="J12178" s="556">
        <f t="shared" si="401"/>
        <v>0</v>
      </c>
    </row>
    <row r="12179" spans="6:10" hidden="1" x14ac:dyDescent="0.25">
      <c r="F12179" s="464">
        <v>416</v>
      </c>
      <c r="G12179" s="455" t="s">
        <v>4142</v>
      </c>
      <c r="J12179" s="556">
        <f t="shared" si="401"/>
        <v>0</v>
      </c>
    </row>
    <row r="12180" spans="6:10" hidden="1" x14ac:dyDescent="0.25">
      <c r="F12180" s="464">
        <v>417</v>
      </c>
      <c r="G12180" s="455" t="s">
        <v>4143</v>
      </c>
      <c r="J12180" s="556">
        <f t="shared" si="401"/>
        <v>0</v>
      </c>
    </row>
    <row r="12181" spans="6:10" hidden="1" x14ac:dyDescent="0.25">
      <c r="F12181" s="464">
        <v>418</v>
      </c>
      <c r="G12181" s="455" t="s">
        <v>3775</v>
      </c>
      <c r="J12181" s="556">
        <f t="shared" si="401"/>
        <v>0</v>
      </c>
    </row>
    <row r="12182" spans="6:10" hidden="1" x14ac:dyDescent="0.25">
      <c r="F12182" s="464">
        <v>421</v>
      </c>
      <c r="G12182" s="455" t="s">
        <v>3779</v>
      </c>
      <c r="J12182" s="556">
        <f t="shared" si="401"/>
        <v>0</v>
      </c>
    </row>
    <row r="12183" spans="6:10" hidden="1" x14ac:dyDescent="0.25">
      <c r="F12183" s="464">
        <v>422</v>
      </c>
      <c r="G12183" s="455" t="s">
        <v>3780</v>
      </c>
      <c r="J12183" s="556">
        <f t="shared" si="401"/>
        <v>0</v>
      </c>
    </row>
    <row r="12184" spans="6:10" hidden="1" x14ac:dyDescent="0.25">
      <c r="F12184" s="464">
        <v>423</v>
      </c>
      <c r="G12184" s="455" t="s">
        <v>3781</v>
      </c>
      <c r="J12184" s="556">
        <f t="shared" si="401"/>
        <v>0</v>
      </c>
    </row>
    <row r="12185" spans="6:10" hidden="1" x14ac:dyDescent="0.25">
      <c r="F12185" s="464">
        <v>424</v>
      </c>
      <c r="G12185" s="455" t="s">
        <v>3783</v>
      </c>
      <c r="J12185" s="556">
        <f t="shared" si="401"/>
        <v>0</v>
      </c>
    </row>
    <row r="12186" spans="6:10" hidden="1" x14ac:dyDescent="0.25">
      <c r="F12186" s="464">
        <v>425</v>
      </c>
      <c r="G12186" s="455" t="s">
        <v>4144</v>
      </c>
      <c r="J12186" s="556">
        <f t="shared" si="401"/>
        <v>0</v>
      </c>
    </row>
    <row r="12187" spans="6:10" hidden="1" x14ac:dyDescent="0.25">
      <c r="F12187" s="464">
        <v>426</v>
      </c>
      <c r="G12187" s="455" t="s">
        <v>3787</v>
      </c>
      <c r="J12187" s="556">
        <f t="shared" si="401"/>
        <v>0</v>
      </c>
    </row>
    <row r="12188" spans="6:10" hidden="1" x14ac:dyDescent="0.25">
      <c r="F12188" s="464">
        <v>431</v>
      </c>
      <c r="G12188" s="455" t="s">
        <v>4145</v>
      </c>
      <c r="J12188" s="556">
        <f t="shared" si="401"/>
        <v>0</v>
      </c>
    </row>
    <row r="12189" spans="6:10" hidden="1" x14ac:dyDescent="0.25">
      <c r="F12189" s="464">
        <v>432</v>
      </c>
      <c r="G12189" s="455" t="s">
        <v>4146</v>
      </c>
      <c r="J12189" s="556">
        <f t="shared" si="401"/>
        <v>0</v>
      </c>
    </row>
    <row r="12190" spans="6:10" hidden="1" x14ac:dyDescent="0.25">
      <c r="F12190" s="464">
        <v>433</v>
      </c>
      <c r="G12190" s="455" t="s">
        <v>4147</v>
      </c>
      <c r="J12190" s="556">
        <f t="shared" si="401"/>
        <v>0</v>
      </c>
    </row>
    <row r="12191" spans="6:10" hidden="1" x14ac:dyDescent="0.25">
      <c r="F12191" s="464">
        <v>434</v>
      </c>
      <c r="G12191" s="455" t="s">
        <v>4148</v>
      </c>
      <c r="J12191" s="556">
        <f t="shared" si="401"/>
        <v>0</v>
      </c>
    </row>
    <row r="12192" spans="6:10" hidden="1" x14ac:dyDescent="0.25">
      <c r="F12192" s="464">
        <v>435</v>
      </c>
      <c r="G12192" s="455" t="s">
        <v>3794</v>
      </c>
      <c r="J12192" s="556">
        <f t="shared" si="401"/>
        <v>0</v>
      </c>
    </row>
    <row r="12193" spans="6:10" hidden="1" x14ac:dyDescent="0.25">
      <c r="F12193" s="464">
        <v>441</v>
      </c>
      <c r="G12193" s="455" t="s">
        <v>4149</v>
      </c>
      <c r="J12193" s="556">
        <f t="shared" si="401"/>
        <v>0</v>
      </c>
    </row>
    <row r="12194" spans="6:10" hidden="1" x14ac:dyDescent="0.25">
      <c r="F12194" s="464">
        <v>442</v>
      </c>
      <c r="G12194" s="455" t="s">
        <v>4150</v>
      </c>
      <c r="J12194" s="556">
        <f t="shared" si="401"/>
        <v>0</v>
      </c>
    </row>
    <row r="12195" spans="6:10" hidden="1" x14ac:dyDescent="0.25">
      <c r="F12195" s="464">
        <v>443</v>
      </c>
      <c r="G12195" s="455" t="s">
        <v>3799</v>
      </c>
      <c r="J12195" s="556">
        <f t="shared" si="401"/>
        <v>0</v>
      </c>
    </row>
    <row r="12196" spans="6:10" hidden="1" x14ac:dyDescent="0.25">
      <c r="F12196" s="464">
        <v>444</v>
      </c>
      <c r="G12196" s="455" t="s">
        <v>3800</v>
      </c>
      <c r="J12196" s="556">
        <f t="shared" si="401"/>
        <v>0</v>
      </c>
    </row>
    <row r="12197" spans="6:10" ht="30" hidden="1" x14ac:dyDescent="0.25">
      <c r="F12197" s="464">
        <v>4511</v>
      </c>
      <c r="G12197" s="263" t="s">
        <v>1690</v>
      </c>
      <c r="J12197" s="556">
        <f t="shared" si="401"/>
        <v>0</v>
      </c>
    </row>
    <row r="12198" spans="6:10" ht="19.5" hidden="1" customHeight="1" x14ac:dyDescent="0.25">
      <c r="F12198" s="464">
        <v>4512</v>
      </c>
      <c r="G12198" s="263" t="s">
        <v>1699</v>
      </c>
      <c r="J12198" s="556">
        <f t="shared" si="401"/>
        <v>0</v>
      </c>
    </row>
    <row r="12199" spans="6:10" hidden="1" x14ac:dyDescent="0.25">
      <c r="F12199" s="464">
        <v>452</v>
      </c>
      <c r="G12199" s="455" t="s">
        <v>4151</v>
      </c>
      <c r="J12199" s="556">
        <f t="shared" si="401"/>
        <v>0</v>
      </c>
    </row>
    <row r="12200" spans="6:10" hidden="1" x14ac:dyDescent="0.25">
      <c r="F12200" s="464">
        <v>453</v>
      </c>
      <c r="G12200" s="455" t="s">
        <v>4152</v>
      </c>
      <c r="J12200" s="556">
        <f t="shared" si="401"/>
        <v>0</v>
      </c>
    </row>
    <row r="12201" spans="6:10" hidden="1" x14ac:dyDescent="0.25">
      <c r="F12201" s="464">
        <v>454</v>
      </c>
      <c r="G12201" s="455" t="s">
        <v>3805</v>
      </c>
      <c r="J12201" s="556">
        <f t="shared" si="401"/>
        <v>0</v>
      </c>
    </row>
    <row r="12202" spans="6:10" hidden="1" x14ac:dyDescent="0.25">
      <c r="F12202" s="464">
        <v>461</v>
      </c>
      <c r="G12202" s="455" t="s">
        <v>4133</v>
      </c>
      <c r="J12202" s="556">
        <f t="shared" si="401"/>
        <v>0</v>
      </c>
    </row>
    <row r="12203" spans="6:10" hidden="1" x14ac:dyDescent="0.25">
      <c r="F12203" s="464">
        <v>462</v>
      </c>
      <c r="G12203" s="455" t="s">
        <v>3808</v>
      </c>
      <c r="J12203" s="556">
        <f t="shared" si="401"/>
        <v>0</v>
      </c>
    </row>
    <row r="12204" spans="6:10" hidden="1" x14ac:dyDescent="0.25">
      <c r="F12204" s="464">
        <v>4631</v>
      </c>
      <c r="G12204" s="455" t="s">
        <v>3809</v>
      </c>
      <c r="J12204" s="556">
        <f t="shared" si="401"/>
        <v>0</v>
      </c>
    </row>
    <row r="12205" spans="6:10" hidden="1" x14ac:dyDescent="0.25">
      <c r="F12205" s="464">
        <v>4632</v>
      </c>
      <c r="G12205" s="455" t="s">
        <v>3810</v>
      </c>
      <c r="J12205" s="556">
        <f t="shared" si="401"/>
        <v>0</v>
      </c>
    </row>
    <row r="12206" spans="6:10" hidden="1" x14ac:dyDescent="0.25">
      <c r="F12206" s="464">
        <v>464</v>
      </c>
      <c r="G12206" s="455" t="s">
        <v>3811</v>
      </c>
      <c r="J12206" s="556">
        <f t="shared" si="401"/>
        <v>0</v>
      </c>
    </row>
    <row r="12207" spans="6:10" hidden="1" x14ac:dyDescent="0.25">
      <c r="F12207" s="464">
        <v>465</v>
      </c>
      <c r="G12207" s="455" t="s">
        <v>4134</v>
      </c>
      <c r="J12207" s="556">
        <f t="shared" si="401"/>
        <v>0</v>
      </c>
    </row>
    <row r="12208" spans="6:10" hidden="1" x14ac:dyDescent="0.25">
      <c r="F12208" s="464">
        <v>472</v>
      </c>
      <c r="G12208" s="455" t="s">
        <v>3815</v>
      </c>
      <c r="J12208" s="556">
        <f t="shared" si="401"/>
        <v>0</v>
      </c>
    </row>
    <row r="12209" spans="6:10" hidden="1" x14ac:dyDescent="0.25">
      <c r="F12209" s="464">
        <v>481</v>
      </c>
      <c r="G12209" s="455" t="s">
        <v>4153</v>
      </c>
      <c r="J12209" s="556">
        <f t="shared" si="401"/>
        <v>0</v>
      </c>
    </row>
    <row r="12210" spans="6:10" hidden="1" x14ac:dyDescent="0.25">
      <c r="F12210" s="464">
        <v>482</v>
      </c>
      <c r="G12210" s="455" t="s">
        <v>4154</v>
      </c>
      <c r="J12210" s="556">
        <f t="shared" si="401"/>
        <v>0</v>
      </c>
    </row>
    <row r="12211" spans="6:10" hidden="1" x14ac:dyDescent="0.25">
      <c r="F12211" s="464">
        <v>483</v>
      </c>
      <c r="G12211" s="457" t="s">
        <v>4155</v>
      </c>
      <c r="J12211" s="556">
        <f t="shared" si="401"/>
        <v>0</v>
      </c>
    </row>
    <row r="12212" spans="6:10" ht="30" hidden="1" x14ac:dyDescent="0.25">
      <c r="F12212" s="464">
        <v>484</v>
      </c>
      <c r="G12212" s="455" t="s">
        <v>4156</v>
      </c>
      <c r="J12212" s="556">
        <f t="shared" si="401"/>
        <v>0</v>
      </c>
    </row>
    <row r="12213" spans="6:10" ht="30" hidden="1" x14ac:dyDescent="0.25">
      <c r="F12213" s="464">
        <v>485</v>
      </c>
      <c r="G12213" s="455" t="s">
        <v>4157</v>
      </c>
      <c r="J12213" s="556">
        <f t="shared" si="401"/>
        <v>0</v>
      </c>
    </row>
    <row r="12214" spans="6:10" ht="30" hidden="1" x14ac:dyDescent="0.25">
      <c r="F12214" s="464">
        <v>489</v>
      </c>
      <c r="G12214" s="455" t="s">
        <v>3823</v>
      </c>
      <c r="J12214" s="556">
        <f t="shared" si="401"/>
        <v>0</v>
      </c>
    </row>
    <row r="12215" spans="6:10" hidden="1" x14ac:dyDescent="0.25">
      <c r="F12215" s="464">
        <v>494</v>
      </c>
      <c r="G12215" s="455" t="s">
        <v>4135</v>
      </c>
      <c r="J12215" s="556">
        <f t="shared" si="401"/>
        <v>0</v>
      </c>
    </row>
    <row r="12216" spans="6:10" ht="30" hidden="1" x14ac:dyDescent="0.25">
      <c r="F12216" s="464">
        <v>495</v>
      </c>
      <c r="G12216" s="455" t="s">
        <v>4136</v>
      </c>
      <c r="J12216" s="556">
        <f t="shared" si="401"/>
        <v>0</v>
      </c>
    </row>
    <row r="12217" spans="6:10" ht="30" hidden="1" x14ac:dyDescent="0.25">
      <c r="F12217" s="464">
        <v>496</v>
      </c>
      <c r="G12217" s="455" t="s">
        <v>4137</v>
      </c>
      <c r="J12217" s="556">
        <f t="shared" si="401"/>
        <v>0</v>
      </c>
    </row>
    <row r="12218" spans="6:10" ht="30" hidden="1" x14ac:dyDescent="0.25">
      <c r="F12218" s="464">
        <v>499</v>
      </c>
      <c r="G12218" s="455" t="s">
        <v>4138</v>
      </c>
      <c r="J12218" s="556">
        <f t="shared" si="401"/>
        <v>0</v>
      </c>
    </row>
    <row r="12219" spans="6:10" hidden="1" x14ac:dyDescent="0.25">
      <c r="F12219" s="464">
        <v>511</v>
      </c>
      <c r="G12219" s="457" t="s">
        <v>4158</v>
      </c>
      <c r="J12219" s="556">
        <f t="shared" si="401"/>
        <v>0</v>
      </c>
    </row>
    <row r="12220" spans="6:10" hidden="1" x14ac:dyDescent="0.25">
      <c r="F12220" s="464">
        <v>512</v>
      </c>
      <c r="G12220" s="457" t="s">
        <v>4159</v>
      </c>
      <c r="J12220" s="556">
        <f t="shared" si="401"/>
        <v>0</v>
      </c>
    </row>
    <row r="12221" spans="6:10" hidden="1" x14ac:dyDescent="0.25">
      <c r="F12221" s="464">
        <v>513</v>
      </c>
      <c r="G12221" s="457" t="s">
        <v>4160</v>
      </c>
      <c r="J12221" s="556">
        <f t="shared" si="401"/>
        <v>0</v>
      </c>
    </row>
    <row r="12222" spans="6:10" hidden="1" x14ac:dyDescent="0.25">
      <c r="F12222" s="464">
        <v>514</v>
      </c>
      <c r="G12222" s="455" t="s">
        <v>4161</v>
      </c>
      <c r="J12222" s="556">
        <f t="shared" si="401"/>
        <v>0</v>
      </c>
    </row>
    <row r="12223" spans="6:10" hidden="1" x14ac:dyDescent="0.25">
      <c r="F12223" s="464">
        <v>515</v>
      </c>
      <c r="G12223" s="455" t="s">
        <v>3834</v>
      </c>
      <c r="J12223" s="556">
        <f t="shared" si="401"/>
        <v>0</v>
      </c>
    </row>
    <row r="12224" spans="6:10" hidden="1" x14ac:dyDescent="0.25">
      <c r="F12224" s="464">
        <v>521</v>
      </c>
      <c r="G12224" s="455" t="s">
        <v>4162</v>
      </c>
      <c r="J12224" s="556">
        <f t="shared" si="401"/>
        <v>0</v>
      </c>
    </row>
    <row r="12225" spans="5:10" hidden="1" x14ac:dyDescent="0.25">
      <c r="F12225" s="464">
        <v>522</v>
      </c>
      <c r="G12225" s="455" t="s">
        <v>4163</v>
      </c>
      <c r="J12225" s="556">
        <f t="shared" si="401"/>
        <v>0</v>
      </c>
    </row>
    <row r="12226" spans="5:10" hidden="1" x14ac:dyDescent="0.25">
      <c r="F12226" s="464">
        <v>523</v>
      </c>
      <c r="G12226" s="455" t="s">
        <v>3839</v>
      </c>
      <c r="J12226" s="556">
        <f t="shared" si="401"/>
        <v>0</v>
      </c>
    </row>
    <row r="12227" spans="5:10" hidden="1" x14ac:dyDescent="0.25">
      <c r="F12227" s="464">
        <v>531</v>
      </c>
      <c r="G12227" s="453" t="s">
        <v>4139</v>
      </c>
      <c r="J12227" s="556">
        <f t="shared" si="401"/>
        <v>0</v>
      </c>
    </row>
    <row r="12228" spans="5:10" hidden="1" x14ac:dyDescent="0.25">
      <c r="F12228" s="464">
        <v>541</v>
      </c>
      <c r="G12228" s="455" t="s">
        <v>4164</v>
      </c>
      <c r="J12228" s="556">
        <f t="shared" si="401"/>
        <v>0</v>
      </c>
    </row>
    <row r="12229" spans="5:10" hidden="1" x14ac:dyDescent="0.25">
      <c r="F12229" s="464">
        <v>542</v>
      </c>
      <c r="G12229" s="455" t="s">
        <v>4165</v>
      </c>
      <c r="J12229" s="556">
        <f t="shared" si="401"/>
        <v>0</v>
      </c>
    </row>
    <row r="12230" spans="5:10" hidden="1" x14ac:dyDescent="0.25">
      <c r="F12230" s="464">
        <v>543</v>
      </c>
      <c r="G12230" s="455" t="s">
        <v>3844</v>
      </c>
      <c r="J12230" s="556">
        <f t="shared" si="401"/>
        <v>0</v>
      </c>
    </row>
    <row r="12231" spans="5:10" ht="30" hidden="1" x14ac:dyDescent="0.25">
      <c r="F12231" s="464">
        <v>551</v>
      </c>
      <c r="G12231" s="455" t="s">
        <v>4140</v>
      </c>
      <c r="J12231" s="556">
        <f t="shared" si="401"/>
        <v>0</v>
      </c>
    </row>
    <row r="12232" spans="5:10" hidden="1" x14ac:dyDescent="0.25">
      <c r="F12232" s="465">
        <v>611</v>
      </c>
      <c r="G12232" s="463" t="s">
        <v>3850</v>
      </c>
      <c r="J12232" s="556">
        <f t="shared" si="401"/>
        <v>0</v>
      </c>
    </row>
    <row r="12233" spans="5:10" hidden="1" x14ac:dyDescent="0.25">
      <c r="F12233" s="465">
        <v>620</v>
      </c>
      <c r="G12233" s="463" t="s">
        <v>88</v>
      </c>
      <c r="J12233" s="556">
        <f t="shared" si="401"/>
        <v>0</v>
      </c>
    </row>
    <row r="12234" spans="5:10" hidden="1" x14ac:dyDescent="0.25">
      <c r="E12234" s="489"/>
      <c r="F12234" s="465"/>
      <c r="G12234" s="343" t="s">
        <v>4356</v>
      </c>
      <c r="H12234" s="557"/>
      <c r="I12234" s="583"/>
      <c r="J12234" s="558"/>
    </row>
    <row r="12235" spans="5:10" hidden="1" x14ac:dyDescent="0.25">
      <c r="E12235" s="693"/>
      <c r="F12235" s="284" t="s">
        <v>234</v>
      </c>
      <c r="G12235" s="287" t="s">
        <v>235</v>
      </c>
      <c r="H12235" s="559">
        <f>SUM(H12174:H12233)</f>
        <v>0</v>
      </c>
      <c r="I12235" s="560"/>
      <c r="J12235" s="560">
        <f t="shared" ref="J12235:J12250" si="402">SUM(H12235:I12235)</f>
        <v>0</v>
      </c>
    </row>
    <row r="12236" spans="5:10" hidden="1" x14ac:dyDescent="0.25">
      <c r="F12236" s="284" t="s">
        <v>236</v>
      </c>
      <c r="G12236" s="287" t="s">
        <v>237</v>
      </c>
      <c r="J12236" s="560">
        <f t="shared" si="402"/>
        <v>0</v>
      </c>
    </row>
    <row r="12237" spans="5:10" hidden="1" x14ac:dyDescent="0.25">
      <c r="F12237" s="284" t="s">
        <v>238</v>
      </c>
      <c r="G12237" s="287" t="s">
        <v>239</v>
      </c>
      <c r="J12237" s="560">
        <f t="shared" si="402"/>
        <v>0</v>
      </c>
    </row>
    <row r="12238" spans="5:10" hidden="1" x14ac:dyDescent="0.25">
      <c r="F12238" s="284" t="s">
        <v>240</v>
      </c>
      <c r="G12238" s="287" t="s">
        <v>241</v>
      </c>
      <c r="J12238" s="560">
        <f t="shared" si="402"/>
        <v>0</v>
      </c>
    </row>
    <row r="12239" spans="5:10" hidden="1" x14ac:dyDescent="0.25">
      <c r="F12239" s="284" t="s">
        <v>242</v>
      </c>
      <c r="G12239" s="287" t="s">
        <v>243</v>
      </c>
      <c r="J12239" s="560">
        <f t="shared" si="402"/>
        <v>0</v>
      </c>
    </row>
    <row r="12240" spans="5:10" hidden="1" x14ac:dyDescent="0.25">
      <c r="F12240" s="284" t="s">
        <v>244</v>
      </c>
      <c r="G12240" s="287" t="s">
        <v>245</v>
      </c>
      <c r="J12240" s="560">
        <f t="shared" si="402"/>
        <v>0</v>
      </c>
    </row>
    <row r="12241" spans="5:10" hidden="1" x14ac:dyDescent="0.25">
      <c r="F12241" s="284" t="s">
        <v>246</v>
      </c>
      <c r="G12241" s="598" t="s">
        <v>4996</v>
      </c>
      <c r="J12241" s="560">
        <f t="shared" si="402"/>
        <v>0</v>
      </c>
    </row>
    <row r="12242" spans="5:10" hidden="1" x14ac:dyDescent="0.25">
      <c r="F12242" s="284" t="s">
        <v>247</v>
      </c>
      <c r="G12242" s="598" t="s">
        <v>4995</v>
      </c>
      <c r="J12242" s="560">
        <f t="shared" si="402"/>
        <v>0</v>
      </c>
    </row>
    <row r="12243" spans="5:10" hidden="1" x14ac:dyDescent="0.25">
      <c r="F12243" s="284" t="s">
        <v>248</v>
      </c>
      <c r="G12243" s="287" t="s">
        <v>57</v>
      </c>
      <c r="J12243" s="560">
        <f t="shared" si="402"/>
        <v>0</v>
      </c>
    </row>
    <row r="12244" spans="5:10" hidden="1" x14ac:dyDescent="0.25">
      <c r="F12244" s="284" t="s">
        <v>249</v>
      </c>
      <c r="G12244" s="287" t="s">
        <v>250</v>
      </c>
      <c r="J12244" s="560">
        <f t="shared" si="402"/>
        <v>0</v>
      </c>
    </row>
    <row r="12245" spans="5:10" hidden="1" x14ac:dyDescent="0.25">
      <c r="F12245" s="284" t="s">
        <v>251</v>
      </c>
      <c r="G12245" s="287" t="s">
        <v>252</v>
      </c>
      <c r="J12245" s="560">
        <f t="shared" si="402"/>
        <v>0</v>
      </c>
    </row>
    <row r="12246" spans="5:10" ht="30" hidden="1" x14ac:dyDescent="0.25">
      <c r="F12246" s="284" t="s">
        <v>253</v>
      </c>
      <c r="G12246" s="287" t="s">
        <v>254</v>
      </c>
      <c r="J12246" s="560">
        <f t="shared" si="402"/>
        <v>0</v>
      </c>
    </row>
    <row r="12247" spans="5:10" hidden="1" x14ac:dyDescent="0.25">
      <c r="F12247" s="284" t="s">
        <v>255</v>
      </c>
      <c r="G12247" s="287" t="s">
        <v>256</v>
      </c>
      <c r="J12247" s="560">
        <f t="shared" si="402"/>
        <v>0</v>
      </c>
    </row>
    <row r="12248" spans="5:10" ht="30" hidden="1" x14ac:dyDescent="0.25">
      <c r="F12248" s="284" t="s">
        <v>257</v>
      </c>
      <c r="G12248" s="287" t="s">
        <v>258</v>
      </c>
      <c r="J12248" s="560">
        <f t="shared" si="402"/>
        <v>0</v>
      </c>
    </row>
    <row r="12249" spans="5:10" hidden="1" x14ac:dyDescent="0.25">
      <c r="F12249" s="284" t="s">
        <v>259</v>
      </c>
      <c r="G12249" s="287" t="s">
        <v>260</v>
      </c>
      <c r="J12249" s="560">
        <f t="shared" si="402"/>
        <v>0</v>
      </c>
    </row>
    <row r="12250" spans="5:10" hidden="1" x14ac:dyDescent="0.25">
      <c r="F12250" s="284" t="s">
        <v>261</v>
      </c>
      <c r="G12250" s="287" t="s">
        <v>262</v>
      </c>
      <c r="H12250" s="559"/>
      <c r="I12250" s="560"/>
      <c r="J12250" s="560">
        <f t="shared" si="402"/>
        <v>0</v>
      </c>
    </row>
    <row r="12251" spans="5:10" ht="15.75" hidden="1" thickBot="1" x14ac:dyDescent="0.3">
      <c r="G12251" s="268" t="s">
        <v>4357</v>
      </c>
      <c r="H12251" s="561">
        <f>SUM(H12235:H12250)</f>
        <v>0</v>
      </c>
      <c r="I12251" s="562">
        <f>SUM(I12236:I12250)</f>
        <v>0</v>
      </c>
      <c r="J12251" s="562">
        <f>SUM(J12235:J12250)</f>
        <v>0</v>
      </c>
    </row>
    <row r="12252" spans="5:10" ht="28.5" hidden="1" collapsed="1" x14ac:dyDescent="0.25">
      <c r="E12252" s="489"/>
      <c r="F12252" s="465"/>
      <c r="G12252" s="270" t="s">
        <v>4358</v>
      </c>
      <c r="H12252" s="563"/>
      <c r="I12252" s="584"/>
      <c r="J12252" s="564"/>
    </row>
    <row r="12253" spans="5:10" hidden="1" x14ac:dyDescent="0.25">
      <c r="E12253" s="693"/>
      <c r="F12253" s="284" t="s">
        <v>234</v>
      </c>
      <c r="G12253" s="287" t="s">
        <v>235</v>
      </c>
      <c r="H12253" s="559">
        <f>SUM(H12174:H12233)</f>
        <v>0</v>
      </c>
      <c r="I12253" s="560"/>
      <c r="J12253" s="560">
        <f>SUM(H12253:I12253)</f>
        <v>0</v>
      </c>
    </row>
    <row r="12254" spans="5:10" hidden="1" x14ac:dyDescent="0.25">
      <c r="F12254" s="284" t="s">
        <v>236</v>
      </c>
      <c r="G12254" s="287" t="s">
        <v>237</v>
      </c>
      <c r="J12254" s="560">
        <f t="shared" ref="J12254:J12268" si="403">SUM(H12254:I12254)</f>
        <v>0</v>
      </c>
    </row>
    <row r="12255" spans="5:10" hidden="1" x14ac:dyDescent="0.25">
      <c r="F12255" s="284" t="s">
        <v>238</v>
      </c>
      <c r="G12255" s="287" t="s">
        <v>239</v>
      </c>
      <c r="J12255" s="560">
        <f t="shared" si="403"/>
        <v>0</v>
      </c>
    </row>
    <row r="12256" spans="5:10" hidden="1" x14ac:dyDescent="0.25">
      <c r="F12256" s="284" t="s">
        <v>240</v>
      </c>
      <c r="G12256" s="287" t="s">
        <v>241</v>
      </c>
      <c r="J12256" s="560">
        <f t="shared" si="403"/>
        <v>0</v>
      </c>
    </row>
    <row r="12257" spans="3:10" hidden="1" x14ac:dyDescent="0.25">
      <c r="F12257" s="284" t="s">
        <v>242</v>
      </c>
      <c r="G12257" s="287" t="s">
        <v>243</v>
      </c>
      <c r="J12257" s="560">
        <f t="shared" si="403"/>
        <v>0</v>
      </c>
    </row>
    <row r="12258" spans="3:10" hidden="1" x14ac:dyDescent="0.25">
      <c r="F12258" s="284" t="s">
        <v>244</v>
      </c>
      <c r="G12258" s="287" t="s">
        <v>245</v>
      </c>
      <c r="J12258" s="560">
        <f t="shared" si="403"/>
        <v>0</v>
      </c>
    </row>
    <row r="12259" spans="3:10" hidden="1" x14ac:dyDescent="0.25">
      <c r="F12259" s="284" t="s">
        <v>246</v>
      </c>
      <c r="G12259" s="598" t="s">
        <v>4996</v>
      </c>
      <c r="J12259" s="560">
        <f t="shared" si="403"/>
        <v>0</v>
      </c>
    </row>
    <row r="12260" spans="3:10" hidden="1" x14ac:dyDescent="0.25">
      <c r="F12260" s="284" t="s">
        <v>247</v>
      </c>
      <c r="G12260" s="598" t="s">
        <v>4995</v>
      </c>
      <c r="J12260" s="560">
        <f t="shared" si="403"/>
        <v>0</v>
      </c>
    </row>
    <row r="12261" spans="3:10" hidden="1" x14ac:dyDescent="0.25">
      <c r="F12261" s="284" t="s">
        <v>248</v>
      </c>
      <c r="G12261" s="287" t="s">
        <v>57</v>
      </c>
      <c r="J12261" s="560">
        <f t="shared" si="403"/>
        <v>0</v>
      </c>
    </row>
    <row r="12262" spans="3:10" hidden="1" x14ac:dyDescent="0.25">
      <c r="F12262" s="284" t="s">
        <v>249</v>
      </c>
      <c r="G12262" s="287" t="s">
        <v>250</v>
      </c>
      <c r="J12262" s="560">
        <f t="shared" si="403"/>
        <v>0</v>
      </c>
    </row>
    <row r="12263" spans="3:10" hidden="1" x14ac:dyDescent="0.25">
      <c r="F12263" s="284" t="s">
        <v>251</v>
      </c>
      <c r="G12263" s="287" t="s">
        <v>252</v>
      </c>
      <c r="J12263" s="560">
        <f t="shared" si="403"/>
        <v>0</v>
      </c>
    </row>
    <row r="12264" spans="3:10" ht="30" hidden="1" x14ac:dyDescent="0.25">
      <c r="F12264" s="284" t="s">
        <v>253</v>
      </c>
      <c r="G12264" s="287" t="s">
        <v>254</v>
      </c>
      <c r="J12264" s="560">
        <f t="shared" si="403"/>
        <v>0</v>
      </c>
    </row>
    <row r="12265" spans="3:10" hidden="1" x14ac:dyDescent="0.25">
      <c r="F12265" s="284" t="s">
        <v>255</v>
      </c>
      <c r="G12265" s="287" t="s">
        <v>256</v>
      </c>
      <c r="J12265" s="560">
        <f t="shared" si="403"/>
        <v>0</v>
      </c>
    </row>
    <row r="12266" spans="3:10" ht="30" hidden="1" x14ac:dyDescent="0.25">
      <c r="F12266" s="284" t="s">
        <v>257</v>
      </c>
      <c r="G12266" s="287" t="s">
        <v>258</v>
      </c>
      <c r="J12266" s="560">
        <f t="shared" si="403"/>
        <v>0</v>
      </c>
    </row>
    <row r="12267" spans="3:10" hidden="1" x14ac:dyDescent="0.25">
      <c r="F12267" s="284" t="s">
        <v>259</v>
      </c>
      <c r="G12267" s="287" t="s">
        <v>260</v>
      </c>
      <c r="J12267" s="560">
        <f t="shared" si="403"/>
        <v>0</v>
      </c>
    </row>
    <row r="12268" spans="3:10" hidden="1" x14ac:dyDescent="0.25">
      <c r="F12268" s="284" t="s">
        <v>261</v>
      </c>
      <c r="G12268" s="287" t="s">
        <v>262</v>
      </c>
      <c r="H12268" s="559"/>
      <c r="I12268" s="560"/>
      <c r="J12268" s="560">
        <f t="shared" si="403"/>
        <v>0</v>
      </c>
    </row>
    <row r="12269" spans="3:10" ht="15.75" hidden="1" collapsed="1" thickBot="1" x14ac:dyDescent="0.3">
      <c r="G12269" s="268" t="s">
        <v>4359</v>
      </c>
      <c r="H12269" s="561">
        <f>SUM(H12253:H12268)</f>
        <v>0</v>
      </c>
      <c r="I12269" s="562">
        <f>SUM(I12254:I12268)</f>
        <v>0</v>
      </c>
      <c r="J12269" s="562">
        <f>SUM(J12253:J12268)</f>
        <v>0</v>
      </c>
    </row>
    <row r="12270" spans="3:10" hidden="1" x14ac:dyDescent="0.25"/>
    <row r="12271" spans="3:10" hidden="1" x14ac:dyDescent="0.25">
      <c r="C12271" s="267" t="s">
        <v>4747</v>
      </c>
      <c r="D12271" s="259"/>
      <c r="G12271" s="456" t="s">
        <v>4196</v>
      </c>
    </row>
    <row r="12272" spans="3:10" hidden="1" x14ac:dyDescent="0.25">
      <c r="C12272" s="267"/>
      <c r="D12272" s="331">
        <v>820</v>
      </c>
      <c r="E12272" s="869"/>
      <c r="F12272" s="331"/>
      <c r="G12272" s="332" t="s">
        <v>207</v>
      </c>
    </row>
    <row r="12273" spans="6:10" hidden="1" x14ac:dyDescent="0.25">
      <c r="F12273" s="464">
        <v>411</v>
      </c>
      <c r="G12273" s="455" t="s">
        <v>4131</v>
      </c>
      <c r="J12273" s="556">
        <f>SUM(H12273:I12273)</f>
        <v>0</v>
      </c>
    </row>
    <row r="12274" spans="6:10" hidden="1" x14ac:dyDescent="0.25">
      <c r="F12274" s="464">
        <v>412</v>
      </c>
      <c r="G12274" s="453" t="s">
        <v>3766</v>
      </c>
      <c r="J12274" s="556">
        <f t="shared" ref="J12274:J12332" si="404">SUM(H12274:I12274)</f>
        <v>0</v>
      </c>
    </row>
    <row r="12275" spans="6:10" hidden="1" x14ac:dyDescent="0.25">
      <c r="F12275" s="464">
        <v>413</v>
      </c>
      <c r="G12275" s="455" t="s">
        <v>4132</v>
      </c>
      <c r="J12275" s="556">
        <f t="shared" si="404"/>
        <v>0</v>
      </c>
    </row>
    <row r="12276" spans="6:10" hidden="1" x14ac:dyDescent="0.25">
      <c r="F12276" s="464">
        <v>414</v>
      </c>
      <c r="G12276" s="455" t="s">
        <v>3769</v>
      </c>
      <c r="J12276" s="556">
        <f t="shared" si="404"/>
        <v>0</v>
      </c>
    </row>
    <row r="12277" spans="6:10" hidden="1" x14ac:dyDescent="0.25">
      <c r="F12277" s="464">
        <v>415</v>
      </c>
      <c r="G12277" s="455" t="s">
        <v>4141</v>
      </c>
      <c r="J12277" s="556">
        <f t="shared" si="404"/>
        <v>0</v>
      </c>
    </row>
    <row r="12278" spans="6:10" hidden="1" x14ac:dyDescent="0.25">
      <c r="F12278" s="464">
        <v>416</v>
      </c>
      <c r="G12278" s="455" t="s">
        <v>4142</v>
      </c>
      <c r="J12278" s="556">
        <f t="shared" si="404"/>
        <v>0</v>
      </c>
    </row>
    <row r="12279" spans="6:10" hidden="1" x14ac:dyDescent="0.25">
      <c r="F12279" s="464">
        <v>417</v>
      </c>
      <c r="G12279" s="455" t="s">
        <v>4143</v>
      </c>
      <c r="J12279" s="556">
        <f t="shared" si="404"/>
        <v>0</v>
      </c>
    </row>
    <row r="12280" spans="6:10" hidden="1" x14ac:dyDescent="0.25">
      <c r="F12280" s="464">
        <v>418</v>
      </c>
      <c r="G12280" s="455" t="s">
        <v>3775</v>
      </c>
      <c r="J12280" s="556">
        <f t="shared" si="404"/>
        <v>0</v>
      </c>
    </row>
    <row r="12281" spans="6:10" hidden="1" x14ac:dyDescent="0.25">
      <c r="F12281" s="464">
        <v>421</v>
      </c>
      <c r="G12281" s="455" t="s">
        <v>3779</v>
      </c>
      <c r="J12281" s="556">
        <f t="shared" si="404"/>
        <v>0</v>
      </c>
    </row>
    <row r="12282" spans="6:10" hidden="1" x14ac:dyDescent="0.25">
      <c r="F12282" s="464">
        <v>422</v>
      </c>
      <c r="G12282" s="455" t="s">
        <v>3780</v>
      </c>
      <c r="J12282" s="556">
        <f t="shared" si="404"/>
        <v>0</v>
      </c>
    </row>
    <row r="12283" spans="6:10" hidden="1" x14ac:dyDescent="0.25">
      <c r="F12283" s="464">
        <v>423</v>
      </c>
      <c r="G12283" s="455" t="s">
        <v>3781</v>
      </c>
      <c r="J12283" s="556">
        <f t="shared" si="404"/>
        <v>0</v>
      </c>
    </row>
    <row r="12284" spans="6:10" hidden="1" x14ac:dyDescent="0.25">
      <c r="F12284" s="464">
        <v>424</v>
      </c>
      <c r="G12284" s="455" t="s">
        <v>3783</v>
      </c>
      <c r="J12284" s="556">
        <f t="shared" si="404"/>
        <v>0</v>
      </c>
    </row>
    <row r="12285" spans="6:10" hidden="1" x14ac:dyDescent="0.25">
      <c r="F12285" s="464">
        <v>425</v>
      </c>
      <c r="G12285" s="455" t="s">
        <v>4144</v>
      </c>
      <c r="J12285" s="556">
        <f t="shared" si="404"/>
        <v>0</v>
      </c>
    </row>
    <row r="12286" spans="6:10" hidden="1" x14ac:dyDescent="0.25">
      <c r="F12286" s="464">
        <v>426</v>
      </c>
      <c r="G12286" s="455" t="s">
        <v>3787</v>
      </c>
      <c r="J12286" s="556">
        <f t="shared" si="404"/>
        <v>0</v>
      </c>
    </row>
    <row r="12287" spans="6:10" hidden="1" x14ac:dyDescent="0.25">
      <c r="F12287" s="464">
        <v>431</v>
      </c>
      <c r="G12287" s="455" t="s">
        <v>4145</v>
      </c>
      <c r="J12287" s="556">
        <f t="shared" si="404"/>
        <v>0</v>
      </c>
    </row>
    <row r="12288" spans="6:10" hidden="1" x14ac:dyDescent="0.25">
      <c r="F12288" s="464">
        <v>432</v>
      </c>
      <c r="G12288" s="455" t="s">
        <v>4146</v>
      </c>
      <c r="J12288" s="556">
        <f t="shared" si="404"/>
        <v>0</v>
      </c>
    </row>
    <row r="12289" spans="6:10" hidden="1" x14ac:dyDescent="0.25">
      <c r="F12289" s="464">
        <v>433</v>
      </c>
      <c r="G12289" s="455" t="s">
        <v>4147</v>
      </c>
      <c r="J12289" s="556">
        <f t="shared" si="404"/>
        <v>0</v>
      </c>
    </row>
    <row r="12290" spans="6:10" hidden="1" x14ac:dyDescent="0.25">
      <c r="F12290" s="464">
        <v>434</v>
      </c>
      <c r="G12290" s="455" t="s">
        <v>4148</v>
      </c>
      <c r="J12290" s="556">
        <f t="shared" si="404"/>
        <v>0</v>
      </c>
    </row>
    <row r="12291" spans="6:10" hidden="1" x14ac:dyDescent="0.25">
      <c r="F12291" s="464">
        <v>435</v>
      </c>
      <c r="G12291" s="455" t="s">
        <v>3794</v>
      </c>
      <c r="J12291" s="556">
        <f t="shared" si="404"/>
        <v>0</v>
      </c>
    </row>
    <row r="12292" spans="6:10" hidden="1" x14ac:dyDescent="0.25">
      <c r="F12292" s="464">
        <v>441</v>
      </c>
      <c r="G12292" s="455" t="s">
        <v>4149</v>
      </c>
      <c r="J12292" s="556">
        <f t="shared" si="404"/>
        <v>0</v>
      </c>
    </row>
    <row r="12293" spans="6:10" hidden="1" x14ac:dyDescent="0.25">
      <c r="F12293" s="464">
        <v>442</v>
      </c>
      <c r="G12293" s="455" t="s">
        <v>4150</v>
      </c>
      <c r="J12293" s="556">
        <f t="shared" si="404"/>
        <v>0</v>
      </c>
    </row>
    <row r="12294" spans="6:10" hidden="1" x14ac:dyDescent="0.25">
      <c r="F12294" s="464">
        <v>443</v>
      </c>
      <c r="G12294" s="455" t="s">
        <v>3799</v>
      </c>
      <c r="J12294" s="556">
        <f t="shared" si="404"/>
        <v>0</v>
      </c>
    </row>
    <row r="12295" spans="6:10" hidden="1" x14ac:dyDescent="0.25">
      <c r="F12295" s="464">
        <v>444</v>
      </c>
      <c r="G12295" s="455" t="s">
        <v>3800</v>
      </c>
      <c r="J12295" s="556">
        <f t="shared" si="404"/>
        <v>0</v>
      </c>
    </row>
    <row r="12296" spans="6:10" ht="30" hidden="1" x14ac:dyDescent="0.25">
      <c r="F12296" s="464">
        <v>4511</v>
      </c>
      <c r="G12296" s="263" t="s">
        <v>1690</v>
      </c>
      <c r="J12296" s="556">
        <f t="shared" si="404"/>
        <v>0</v>
      </c>
    </row>
    <row r="12297" spans="6:10" ht="30" hidden="1" x14ac:dyDescent="0.25">
      <c r="F12297" s="464">
        <v>4512</v>
      </c>
      <c r="G12297" s="263" t="s">
        <v>1699</v>
      </c>
      <c r="J12297" s="556">
        <f t="shared" si="404"/>
        <v>0</v>
      </c>
    </row>
    <row r="12298" spans="6:10" hidden="1" x14ac:dyDescent="0.25">
      <c r="F12298" s="464">
        <v>452</v>
      </c>
      <c r="G12298" s="455" t="s">
        <v>4151</v>
      </c>
      <c r="J12298" s="556">
        <f t="shared" si="404"/>
        <v>0</v>
      </c>
    </row>
    <row r="12299" spans="6:10" hidden="1" x14ac:dyDescent="0.25">
      <c r="F12299" s="464">
        <v>453</v>
      </c>
      <c r="G12299" s="455" t="s">
        <v>4152</v>
      </c>
      <c r="J12299" s="556">
        <f t="shared" si="404"/>
        <v>0</v>
      </c>
    </row>
    <row r="12300" spans="6:10" hidden="1" x14ac:dyDescent="0.25">
      <c r="F12300" s="464">
        <v>454</v>
      </c>
      <c r="G12300" s="455" t="s">
        <v>3805</v>
      </c>
      <c r="J12300" s="556">
        <f t="shared" si="404"/>
        <v>0</v>
      </c>
    </row>
    <row r="12301" spans="6:10" hidden="1" x14ac:dyDescent="0.25">
      <c r="F12301" s="464">
        <v>461</v>
      </c>
      <c r="G12301" s="455" t="s">
        <v>4133</v>
      </c>
      <c r="J12301" s="556">
        <f t="shared" si="404"/>
        <v>0</v>
      </c>
    </row>
    <row r="12302" spans="6:10" hidden="1" x14ac:dyDescent="0.25">
      <c r="F12302" s="464">
        <v>462</v>
      </c>
      <c r="G12302" s="455" t="s">
        <v>3808</v>
      </c>
      <c r="J12302" s="556">
        <f t="shared" si="404"/>
        <v>0</v>
      </c>
    </row>
    <row r="12303" spans="6:10" hidden="1" x14ac:dyDescent="0.25">
      <c r="F12303" s="464">
        <v>4631</v>
      </c>
      <c r="G12303" s="455" t="s">
        <v>3809</v>
      </c>
      <c r="J12303" s="556">
        <f t="shared" si="404"/>
        <v>0</v>
      </c>
    </row>
    <row r="12304" spans="6:10" hidden="1" x14ac:dyDescent="0.25">
      <c r="F12304" s="464">
        <v>4632</v>
      </c>
      <c r="G12304" s="455" t="s">
        <v>3810</v>
      </c>
      <c r="J12304" s="556">
        <f t="shared" si="404"/>
        <v>0</v>
      </c>
    </row>
    <row r="12305" spans="6:10" hidden="1" x14ac:dyDescent="0.25">
      <c r="F12305" s="464">
        <v>464</v>
      </c>
      <c r="G12305" s="455" t="s">
        <v>3811</v>
      </c>
      <c r="J12305" s="556">
        <f t="shared" si="404"/>
        <v>0</v>
      </c>
    </row>
    <row r="12306" spans="6:10" hidden="1" x14ac:dyDescent="0.25">
      <c r="F12306" s="464">
        <v>465</v>
      </c>
      <c r="G12306" s="455" t="s">
        <v>4134</v>
      </c>
      <c r="J12306" s="556">
        <f t="shared" si="404"/>
        <v>0</v>
      </c>
    </row>
    <row r="12307" spans="6:10" hidden="1" x14ac:dyDescent="0.25">
      <c r="F12307" s="464">
        <v>472</v>
      </c>
      <c r="G12307" s="455" t="s">
        <v>3815</v>
      </c>
      <c r="J12307" s="556">
        <f t="shared" si="404"/>
        <v>0</v>
      </c>
    </row>
    <row r="12308" spans="6:10" hidden="1" x14ac:dyDescent="0.25">
      <c r="F12308" s="464">
        <v>481</v>
      </c>
      <c r="G12308" s="455" t="s">
        <v>4153</v>
      </c>
      <c r="J12308" s="556">
        <f t="shared" si="404"/>
        <v>0</v>
      </c>
    </row>
    <row r="12309" spans="6:10" hidden="1" x14ac:dyDescent="0.25">
      <c r="F12309" s="464">
        <v>482</v>
      </c>
      <c r="G12309" s="455" t="s">
        <v>4154</v>
      </c>
      <c r="J12309" s="556">
        <f t="shared" si="404"/>
        <v>0</v>
      </c>
    </row>
    <row r="12310" spans="6:10" hidden="1" x14ac:dyDescent="0.25">
      <c r="F12310" s="464">
        <v>483</v>
      </c>
      <c r="G12310" s="457" t="s">
        <v>4155</v>
      </c>
      <c r="J12310" s="556">
        <f t="shared" si="404"/>
        <v>0</v>
      </c>
    </row>
    <row r="12311" spans="6:10" ht="30" hidden="1" x14ac:dyDescent="0.25">
      <c r="F12311" s="464">
        <v>484</v>
      </c>
      <c r="G12311" s="455" t="s">
        <v>4156</v>
      </c>
      <c r="J12311" s="556">
        <f t="shared" si="404"/>
        <v>0</v>
      </c>
    </row>
    <row r="12312" spans="6:10" ht="30" hidden="1" x14ac:dyDescent="0.25">
      <c r="F12312" s="464">
        <v>485</v>
      </c>
      <c r="G12312" s="455" t="s">
        <v>4157</v>
      </c>
      <c r="J12312" s="556">
        <f t="shared" si="404"/>
        <v>0</v>
      </c>
    </row>
    <row r="12313" spans="6:10" ht="30" hidden="1" x14ac:dyDescent="0.25">
      <c r="F12313" s="464">
        <v>489</v>
      </c>
      <c r="G12313" s="455" t="s">
        <v>3823</v>
      </c>
      <c r="J12313" s="556">
        <f t="shared" si="404"/>
        <v>0</v>
      </c>
    </row>
    <row r="12314" spans="6:10" hidden="1" x14ac:dyDescent="0.25">
      <c r="F12314" s="464">
        <v>494</v>
      </c>
      <c r="G12314" s="455" t="s">
        <v>4135</v>
      </c>
      <c r="J12314" s="556">
        <f t="shared" si="404"/>
        <v>0</v>
      </c>
    </row>
    <row r="12315" spans="6:10" ht="30" hidden="1" x14ac:dyDescent="0.25">
      <c r="F12315" s="464">
        <v>495</v>
      </c>
      <c r="G12315" s="455" t="s">
        <v>4136</v>
      </c>
      <c r="J12315" s="556">
        <f t="shared" si="404"/>
        <v>0</v>
      </c>
    </row>
    <row r="12316" spans="6:10" ht="30" hidden="1" x14ac:dyDescent="0.25">
      <c r="F12316" s="464">
        <v>496</v>
      </c>
      <c r="G12316" s="455" t="s">
        <v>4137</v>
      </c>
      <c r="J12316" s="556">
        <f t="shared" si="404"/>
        <v>0</v>
      </c>
    </row>
    <row r="12317" spans="6:10" ht="30" hidden="1" x14ac:dyDescent="0.25">
      <c r="F12317" s="464">
        <v>499</v>
      </c>
      <c r="G12317" s="455" t="s">
        <v>4138</v>
      </c>
      <c r="J12317" s="556">
        <f t="shared" si="404"/>
        <v>0</v>
      </c>
    </row>
    <row r="12318" spans="6:10" hidden="1" x14ac:dyDescent="0.25">
      <c r="F12318" s="464">
        <v>511</v>
      </c>
      <c r="G12318" s="457" t="s">
        <v>4158</v>
      </c>
      <c r="J12318" s="556">
        <f t="shared" si="404"/>
        <v>0</v>
      </c>
    </row>
    <row r="12319" spans="6:10" hidden="1" x14ac:dyDescent="0.25">
      <c r="F12319" s="464">
        <v>512</v>
      </c>
      <c r="G12319" s="457" t="s">
        <v>4159</v>
      </c>
      <c r="J12319" s="556">
        <f t="shared" si="404"/>
        <v>0</v>
      </c>
    </row>
    <row r="12320" spans="6:10" hidden="1" x14ac:dyDescent="0.25">
      <c r="F12320" s="464">
        <v>513</v>
      </c>
      <c r="G12320" s="457" t="s">
        <v>4160</v>
      </c>
      <c r="J12320" s="556">
        <f t="shared" si="404"/>
        <v>0</v>
      </c>
    </row>
    <row r="12321" spans="5:10" hidden="1" x14ac:dyDescent="0.25">
      <c r="F12321" s="464">
        <v>514</v>
      </c>
      <c r="G12321" s="455" t="s">
        <v>4161</v>
      </c>
      <c r="J12321" s="556">
        <f t="shared" si="404"/>
        <v>0</v>
      </c>
    </row>
    <row r="12322" spans="5:10" hidden="1" x14ac:dyDescent="0.25">
      <c r="F12322" s="464">
        <v>515</v>
      </c>
      <c r="G12322" s="455" t="s">
        <v>3834</v>
      </c>
      <c r="J12322" s="556">
        <f t="shared" si="404"/>
        <v>0</v>
      </c>
    </row>
    <row r="12323" spans="5:10" hidden="1" x14ac:dyDescent="0.25">
      <c r="F12323" s="464">
        <v>521</v>
      </c>
      <c r="G12323" s="455" t="s">
        <v>4162</v>
      </c>
      <c r="J12323" s="556">
        <f t="shared" si="404"/>
        <v>0</v>
      </c>
    </row>
    <row r="12324" spans="5:10" hidden="1" x14ac:dyDescent="0.25">
      <c r="F12324" s="464">
        <v>522</v>
      </c>
      <c r="G12324" s="455" t="s">
        <v>4163</v>
      </c>
      <c r="J12324" s="556">
        <f t="shared" si="404"/>
        <v>0</v>
      </c>
    </row>
    <row r="12325" spans="5:10" hidden="1" x14ac:dyDescent="0.25">
      <c r="F12325" s="464">
        <v>523</v>
      </c>
      <c r="G12325" s="455" t="s">
        <v>3839</v>
      </c>
      <c r="J12325" s="556">
        <f t="shared" si="404"/>
        <v>0</v>
      </c>
    </row>
    <row r="12326" spans="5:10" hidden="1" x14ac:dyDescent="0.25">
      <c r="F12326" s="464">
        <v>531</v>
      </c>
      <c r="G12326" s="453" t="s">
        <v>4139</v>
      </c>
      <c r="J12326" s="556">
        <f t="shared" si="404"/>
        <v>0</v>
      </c>
    </row>
    <row r="12327" spans="5:10" hidden="1" x14ac:dyDescent="0.25">
      <c r="F12327" s="464">
        <v>541</v>
      </c>
      <c r="G12327" s="455" t="s">
        <v>4164</v>
      </c>
      <c r="J12327" s="556">
        <f t="shared" si="404"/>
        <v>0</v>
      </c>
    </row>
    <row r="12328" spans="5:10" hidden="1" x14ac:dyDescent="0.25">
      <c r="F12328" s="464">
        <v>542</v>
      </c>
      <c r="G12328" s="455" t="s">
        <v>4165</v>
      </c>
      <c r="J12328" s="556">
        <f t="shared" si="404"/>
        <v>0</v>
      </c>
    </row>
    <row r="12329" spans="5:10" hidden="1" x14ac:dyDescent="0.25">
      <c r="F12329" s="464">
        <v>543</v>
      </c>
      <c r="G12329" s="455" t="s">
        <v>3844</v>
      </c>
      <c r="J12329" s="556">
        <f t="shared" si="404"/>
        <v>0</v>
      </c>
    </row>
    <row r="12330" spans="5:10" ht="30" hidden="1" x14ac:dyDescent="0.25">
      <c r="F12330" s="464">
        <v>551</v>
      </c>
      <c r="G12330" s="455" t="s">
        <v>4140</v>
      </c>
      <c r="J12330" s="556">
        <f t="shared" si="404"/>
        <v>0</v>
      </c>
    </row>
    <row r="12331" spans="5:10" hidden="1" x14ac:dyDescent="0.25">
      <c r="F12331" s="465">
        <v>611</v>
      </c>
      <c r="G12331" s="463" t="s">
        <v>3850</v>
      </c>
      <c r="J12331" s="556">
        <f t="shared" si="404"/>
        <v>0</v>
      </c>
    </row>
    <row r="12332" spans="5:10" hidden="1" x14ac:dyDescent="0.25">
      <c r="F12332" s="465">
        <v>620</v>
      </c>
      <c r="G12332" s="463" t="s">
        <v>88</v>
      </c>
      <c r="J12332" s="556">
        <f t="shared" si="404"/>
        <v>0</v>
      </c>
    </row>
    <row r="12333" spans="5:10" hidden="1" x14ac:dyDescent="0.25">
      <c r="E12333" s="489"/>
      <c r="F12333" s="465"/>
      <c r="G12333" s="342" t="s">
        <v>4356</v>
      </c>
      <c r="H12333" s="557"/>
      <c r="I12333" s="583"/>
      <c r="J12333" s="558"/>
    </row>
    <row r="12334" spans="5:10" hidden="1" x14ac:dyDescent="0.25">
      <c r="E12334" s="693"/>
      <c r="F12334" s="284" t="s">
        <v>234</v>
      </c>
      <c r="G12334" s="287" t="s">
        <v>235</v>
      </c>
      <c r="H12334" s="559">
        <f>SUM(H12273:H12332)</f>
        <v>0</v>
      </c>
      <c r="I12334" s="560"/>
      <c r="J12334" s="560">
        <f>SUM(H12334:I12334)</f>
        <v>0</v>
      </c>
    </row>
    <row r="12335" spans="5:10" hidden="1" x14ac:dyDescent="0.25">
      <c r="F12335" s="284" t="s">
        <v>236</v>
      </c>
      <c r="G12335" s="287" t="s">
        <v>237</v>
      </c>
      <c r="J12335" s="560">
        <f t="shared" ref="J12335:J12349" si="405">SUM(H12335:I12335)</f>
        <v>0</v>
      </c>
    </row>
    <row r="12336" spans="5:10" hidden="1" x14ac:dyDescent="0.25">
      <c r="F12336" s="284" t="s">
        <v>238</v>
      </c>
      <c r="G12336" s="287" t="s">
        <v>239</v>
      </c>
      <c r="J12336" s="560">
        <f t="shared" si="405"/>
        <v>0</v>
      </c>
    </row>
    <row r="12337" spans="5:10" hidden="1" x14ac:dyDescent="0.25">
      <c r="F12337" s="284" t="s">
        <v>240</v>
      </c>
      <c r="G12337" s="287" t="s">
        <v>241</v>
      </c>
      <c r="J12337" s="560">
        <f t="shared" si="405"/>
        <v>0</v>
      </c>
    </row>
    <row r="12338" spans="5:10" hidden="1" x14ac:dyDescent="0.25">
      <c r="F12338" s="284" t="s">
        <v>242</v>
      </c>
      <c r="G12338" s="287" t="s">
        <v>243</v>
      </c>
      <c r="J12338" s="560">
        <f t="shared" si="405"/>
        <v>0</v>
      </c>
    </row>
    <row r="12339" spans="5:10" hidden="1" x14ac:dyDescent="0.25">
      <c r="F12339" s="284" t="s">
        <v>244</v>
      </c>
      <c r="G12339" s="287" t="s">
        <v>245</v>
      </c>
      <c r="J12339" s="560">
        <f t="shared" si="405"/>
        <v>0</v>
      </c>
    </row>
    <row r="12340" spans="5:10" hidden="1" x14ac:dyDescent="0.25">
      <c r="F12340" s="284" t="s">
        <v>246</v>
      </c>
      <c r="G12340" s="598" t="s">
        <v>4996</v>
      </c>
      <c r="J12340" s="560">
        <f t="shared" si="405"/>
        <v>0</v>
      </c>
    </row>
    <row r="12341" spans="5:10" hidden="1" x14ac:dyDescent="0.25">
      <c r="F12341" s="284" t="s">
        <v>247</v>
      </c>
      <c r="G12341" s="598" t="s">
        <v>4995</v>
      </c>
      <c r="J12341" s="560">
        <f t="shared" si="405"/>
        <v>0</v>
      </c>
    </row>
    <row r="12342" spans="5:10" hidden="1" x14ac:dyDescent="0.25">
      <c r="F12342" s="284" t="s">
        <v>248</v>
      </c>
      <c r="G12342" s="287" t="s">
        <v>57</v>
      </c>
      <c r="J12342" s="560">
        <f t="shared" si="405"/>
        <v>0</v>
      </c>
    </row>
    <row r="12343" spans="5:10" hidden="1" x14ac:dyDescent="0.25">
      <c r="F12343" s="284" t="s">
        <v>249</v>
      </c>
      <c r="G12343" s="287" t="s">
        <v>250</v>
      </c>
      <c r="J12343" s="560">
        <f t="shared" si="405"/>
        <v>0</v>
      </c>
    </row>
    <row r="12344" spans="5:10" hidden="1" x14ac:dyDescent="0.25">
      <c r="F12344" s="284" t="s">
        <v>251</v>
      </c>
      <c r="G12344" s="287" t="s">
        <v>252</v>
      </c>
      <c r="J12344" s="560">
        <f t="shared" si="405"/>
        <v>0</v>
      </c>
    </row>
    <row r="12345" spans="5:10" ht="30" hidden="1" x14ac:dyDescent="0.25">
      <c r="F12345" s="284" t="s">
        <v>253</v>
      </c>
      <c r="G12345" s="287" t="s">
        <v>254</v>
      </c>
      <c r="J12345" s="560">
        <f t="shared" si="405"/>
        <v>0</v>
      </c>
    </row>
    <row r="12346" spans="5:10" hidden="1" x14ac:dyDescent="0.25">
      <c r="F12346" s="284" t="s">
        <v>255</v>
      </c>
      <c r="G12346" s="287" t="s">
        <v>256</v>
      </c>
      <c r="J12346" s="560">
        <f t="shared" si="405"/>
        <v>0</v>
      </c>
    </row>
    <row r="12347" spans="5:10" ht="30" hidden="1" x14ac:dyDescent="0.25">
      <c r="F12347" s="284" t="s">
        <v>257</v>
      </c>
      <c r="G12347" s="287" t="s">
        <v>258</v>
      </c>
      <c r="J12347" s="560">
        <f t="shared" si="405"/>
        <v>0</v>
      </c>
    </row>
    <row r="12348" spans="5:10" hidden="1" x14ac:dyDescent="0.25">
      <c r="F12348" s="284" t="s">
        <v>259</v>
      </c>
      <c r="G12348" s="287" t="s">
        <v>260</v>
      </c>
      <c r="J12348" s="560">
        <f t="shared" si="405"/>
        <v>0</v>
      </c>
    </row>
    <row r="12349" spans="5:10" hidden="1" x14ac:dyDescent="0.25">
      <c r="F12349" s="284" t="s">
        <v>261</v>
      </c>
      <c r="G12349" s="287" t="s">
        <v>262</v>
      </c>
      <c r="H12349" s="559"/>
      <c r="I12349" s="560"/>
      <c r="J12349" s="560">
        <f t="shared" si="405"/>
        <v>0</v>
      </c>
    </row>
    <row r="12350" spans="5:10" ht="15.75" hidden="1" thickBot="1" x14ac:dyDescent="0.3">
      <c r="G12350" s="268" t="s">
        <v>4357</v>
      </c>
      <c r="H12350" s="561">
        <f>SUM(H12334:H12349)</f>
        <v>0</v>
      </c>
      <c r="I12350" s="562">
        <f>SUM(I12335:I12349)</f>
        <v>0</v>
      </c>
      <c r="J12350" s="562">
        <f>SUM(J12334:J12349)</f>
        <v>0</v>
      </c>
    </row>
    <row r="12351" spans="5:10" hidden="1" collapsed="1" x14ac:dyDescent="0.25">
      <c r="E12351" s="489"/>
      <c r="F12351" s="465"/>
      <c r="G12351" s="270" t="s">
        <v>4934</v>
      </c>
      <c r="H12351" s="563"/>
      <c r="I12351" s="584"/>
      <c r="J12351" s="564"/>
    </row>
    <row r="12352" spans="5:10" hidden="1" x14ac:dyDescent="0.25">
      <c r="E12352" s="693"/>
      <c r="F12352" s="284" t="s">
        <v>234</v>
      </c>
      <c r="G12352" s="287" t="s">
        <v>235</v>
      </c>
      <c r="H12352" s="559">
        <f>SUM(H12273:H12332)</f>
        <v>0</v>
      </c>
      <c r="I12352" s="560"/>
      <c r="J12352" s="560">
        <f>SUM(H12352:I12352)</f>
        <v>0</v>
      </c>
    </row>
    <row r="12353" spans="6:10" hidden="1" x14ac:dyDescent="0.25">
      <c r="F12353" s="284" t="s">
        <v>236</v>
      </c>
      <c r="G12353" s="287" t="s">
        <v>237</v>
      </c>
      <c r="J12353" s="560">
        <f t="shared" ref="J12353:J12367" si="406">SUM(H12353:I12353)</f>
        <v>0</v>
      </c>
    </row>
    <row r="12354" spans="6:10" hidden="1" x14ac:dyDescent="0.25">
      <c r="F12354" s="284" t="s">
        <v>238</v>
      </c>
      <c r="G12354" s="287" t="s">
        <v>239</v>
      </c>
      <c r="J12354" s="560">
        <f t="shared" si="406"/>
        <v>0</v>
      </c>
    </row>
    <row r="12355" spans="6:10" hidden="1" x14ac:dyDescent="0.25">
      <c r="F12355" s="284" t="s">
        <v>240</v>
      </c>
      <c r="G12355" s="287" t="s">
        <v>241</v>
      </c>
      <c r="J12355" s="560">
        <f t="shared" si="406"/>
        <v>0</v>
      </c>
    </row>
    <row r="12356" spans="6:10" hidden="1" x14ac:dyDescent="0.25">
      <c r="F12356" s="284" t="s">
        <v>242</v>
      </c>
      <c r="G12356" s="287" t="s">
        <v>243</v>
      </c>
      <c r="J12356" s="560">
        <f t="shared" si="406"/>
        <v>0</v>
      </c>
    </row>
    <row r="12357" spans="6:10" hidden="1" x14ac:dyDescent="0.25">
      <c r="F12357" s="284" t="s">
        <v>244</v>
      </c>
      <c r="G12357" s="287" t="s">
        <v>245</v>
      </c>
      <c r="J12357" s="560">
        <f t="shared" si="406"/>
        <v>0</v>
      </c>
    </row>
    <row r="12358" spans="6:10" hidden="1" x14ac:dyDescent="0.25">
      <c r="F12358" s="284" t="s">
        <v>246</v>
      </c>
      <c r="G12358" s="598" t="s">
        <v>4996</v>
      </c>
      <c r="J12358" s="560">
        <f t="shared" si="406"/>
        <v>0</v>
      </c>
    </row>
    <row r="12359" spans="6:10" hidden="1" x14ac:dyDescent="0.25">
      <c r="F12359" s="284" t="s">
        <v>247</v>
      </c>
      <c r="G12359" s="598" t="s">
        <v>4995</v>
      </c>
      <c r="J12359" s="560">
        <f t="shared" si="406"/>
        <v>0</v>
      </c>
    </row>
    <row r="12360" spans="6:10" hidden="1" x14ac:dyDescent="0.25">
      <c r="F12360" s="284" t="s">
        <v>248</v>
      </c>
      <c r="G12360" s="287" t="s">
        <v>57</v>
      </c>
      <c r="J12360" s="560">
        <f t="shared" si="406"/>
        <v>0</v>
      </c>
    </row>
    <row r="12361" spans="6:10" hidden="1" x14ac:dyDescent="0.25">
      <c r="F12361" s="284" t="s">
        <v>249</v>
      </c>
      <c r="G12361" s="287" t="s">
        <v>250</v>
      </c>
      <c r="J12361" s="560">
        <f t="shared" si="406"/>
        <v>0</v>
      </c>
    </row>
    <row r="12362" spans="6:10" hidden="1" x14ac:dyDescent="0.25">
      <c r="F12362" s="284" t="s">
        <v>251</v>
      </c>
      <c r="G12362" s="287" t="s">
        <v>252</v>
      </c>
      <c r="J12362" s="560">
        <f t="shared" si="406"/>
        <v>0</v>
      </c>
    </row>
    <row r="12363" spans="6:10" ht="30" hidden="1" x14ac:dyDescent="0.25">
      <c r="F12363" s="284" t="s">
        <v>253</v>
      </c>
      <c r="G12363" s="287" t="s">
        <v>254</v>
      </c>
      <c r="J12363" s="560">
        <f t="shared" si="406"/>
        <v>0</v>
      </c>
    </row>
    <row r="12364" spans="6:10" hidden="1" x14ac:dyDescent="0.25">
      <c r="F12364" s="284" t="s">
        <v>255</v>
      </c>
      <c r="G12364" s="287" t="s">
        <v>256</v>
      </c>
      <c r="J12364" s="560">
        <f t="shared" si="406"/>
        <v>0</v>
      </c>
    </row>
    <row r="12365" spans="6:10" ht="30" hidden="1" x14ac:dyDescent="0.25">
      <c r="F12365" s="284" t="s">
        <v>257</v>
      </c>
      <c r="G12365" s="287" t="s">
        <v>258</v>
      </c>
      <c r="J12365" s="560">
        <f t="shared" si="406"/>
        <v>0</v>
      </c>
    </row>
    <row r="12366" spans="6:10" hidden="1" x14ac:dyDescent="0.25">
      <c r="F12366" s="284" t="s">
        <v>259</v>
      </c>
      <c r="G12366" s="287" t="s">
        <v>260</v>
      </c>
      <c r="J12366" s="560">
        <f t="shared" si="406"/>
        <v>0</v>
      </c>
    </row>
    <row r="12367" spans="6:10" hidden="1" x14ac:dyDescent="0.25">
      <c r="F12367" s="284" t="s">
        <v>261</v>
      </c>
      <c r="G12367" s="287" t="s">
        <v>262</v>
      </c>
      <c r="H12367" s="559"/>
      <c r="I12367" s="560"/>
      <c r="J12367" s="560">
        <f t="shared" si="406"/>
        <v>0</v>
      </c>
    </row>
    <row r="12368" spans="6:10" ht="15.75" hidden="1" thickBot="1" x14ac:dyDescent="0.3">
      <c r="G12368" s="268" t="s">
        <v>4923</v>
      </c>
      <c r="H12368" s="561">
        <f>SUM(H12352:H12367)</f>
        <v>0</v>
      </c>
      <c r="I12368" s="562">
        <f>SUM(I12353:I12367)</f>
        <v>0</v>
      </c>
      <c r="J12368" s="562">
        <f>SUM(J12352:J12367)</f>
        <v>0</v>
      </c>
    </row>
    <row r="12369" spans="3:10" hidden="1" x14ac:dyDescent="0.25"/>
    <row r="12370" spans="3:10" hidden="1" x14ac:dyDescent="0.25">
      <c r="C12370" s="267" t="s">
        <v>4748</v>
      </c>
      <c r="D12370" s="259"/>
      <c r="G12370" s="493" t="s">
        <v>4196</v>
      </c>
    </row>
    <row r="12371" spans="3:10" hidden="1" x14ac:dyDescent="0.25">
      <c r="C12371" s="267"/>
      <c r="D12371" s="331">
        <v>820</v>
      </c>
      <c r="E12371" s="869"/>
      <c r="F12371" s="331"/>
      <c r="G12371" s="332" t="s">
        <v>207</v>
      </c>
    </row>
    <row r="12372" spans="3:10" hidden="1" x14ac:dyDescent="0.25">
      <c r="F12372" s="499">
        <v>411</v>
      </c>
      <c r="G12372" s="492" t="s">
        <v>4131</v>
      </c>
      <c r="J12372" s="556">
        <f>SUM(H12372:I12372)</f>
        <v>0</v>
      </c>
    </row>
    <row r="12373" spans="3:10" hidden="1" x14ac:dyDescent="0.25">
      <c r="F12373" s="499">
        <v>412</v>
      </c>
      <c r="G12373" s="488" t="s">
        <v>3766</v>
      </c>
      <c r="J12373" s="556">
        <f t="shared" ref="J12373:J12431" si="407">SUM(H12373:I12373)</f>
        <v>0</v>
      </c>
    </row>
    <row r="12374" spans="3:10" hidden="1" x14ac:dyDescent="0.25">
      <c r="F12374" s="499">
        <v>413</v>
      </c>
      <c r="G12374" s="492" t="s">
        <v>4132</v>
      </c>
      <c r="J12374" s="556">
        <f t="shared" si="407"/>
        <v>0</v>
      </c>
    </row>
    <row r="12375" spans="3:10" hidden="1" x14ac:dyDescent="0.25">
      <c r="F12375" s="499">
        <v>414</v>
      </c>
      <c r="G12375" s="492" t="s">
        <v>3769</v>
      </c>
      <c r="J12375" s="556">
        <f t="shared" si="407"/>
        <v>0</v>
      </c>
    </row>
    <row r="12376" spans="3:10" hidden="1" x14ac:dyDescent="0.25">
      <c r="F12376" s="499">
        <v>415</v>
      </c>
      <c r="G12376" s="492" t="s">
        <v>4141</v>
      </c>
      <c r="J12376" s="556">
        <f t="shared" si="407"/>
        <v>0</v>
      </c>
    </row>
    <row r="12377" spans="3:10" hidden="1" x14ac:dyDescent="0.25">
      <c r="F12377" s="499">
        <v>416</v>
      </c>
      <c r="G12377" s="492" t="s">
        <v>4142</v>
      </c>
      <c r="J12377" s="556">
        <f t="shared" si="407"/>
        <v>0</v>
      </c>
    </row>
    <row r="12378" spans="3:10" hidden="1" x14ac:dyDescent="0.25">
      <c r="F12378" s="499">
        <v>417</v>
      </c>
      <c r="G12378" s="492" t="s">
        <v>4143</v>
      </c>
      <c r="J12378" s="556">
        <f t="shared" si="407"/>
        <v>0</v>
      </c>
    </row>
    <row r="12379" spans="3:10" hidden="1" x14ac:dyDescent="0.25">
      <c r="F12379" s="499">
        <v>418</v>
      </c>
      <c r="G12379" s="492" t="s">
        <v>3775</v>
      </c>
      <c r="J12379" s="556">
        <f t="shared" si="407"/>
        <v>0</v>
      </c>
    </row>
    <row r="12380" spans="3:10" hidden="1" x14ac:dyDescent="0.25">
      <c r="F12380" s="499">
        <v>421</v>
      </c>
      <c r="G12380" s="492" t="s">
        <v>3779</v>
      </c>
      <c r="J12380" s="556">
        <f t="shared" si="407"/>
        <v>0</v>
      </c>
    </row>
    <row r="12381" spans="3:10" hidden="1" x14ac:dyDescent="0.25">
      <c r="F12381" s="499">
        <v>422</v>
      </c>
      <c r="G12381" s="492" t="s">
        <v>3780</v>
      </c>
      <c r="J12381" s="556">
        <f t="shared" si="407"/>
        <v>0</v>
      </c>
    </row>
    <row r="12382" spans="3:10" hidden="1" x14ac:dyDescent="0.25">
      <c r="F12382" s="499">
        <v>423</v>
      </c>
      <c r="G12382" s="492" t="s">
        <v>3781</v>
      </c>
      <c r="J12382" s="556">
        <f t="shared" si="407"/>
        <v>0</v>
      </c>
    </row>
    <row r="12383" spans="3:10" hidden="1" x14ac:dyDescent="0.25">
      <c r="F12383" s="499">
        <v>424</v>
      </c>
      <c r="G12383" s="492" t="s">
        <v>3783</v>
      </c>
      <c r="J12383" s="556">
        <f t="shared" si="407"/>
        <v>0</v>
      </c>
    </row>
    <row r="12384" spans="3:10" hidden="1" x14ac:dyDescent="0.25">
      <c r="F12384" s="499">
        <v>425</v>
      </c>
      <c r="G12384" s="492" t="s">
        <v>4144</v>
      </c>
      <c r="J12384" s="556">
        <f t="shared" si="407"/>
        <v>0</v>
      </c>
    </row>
    <row r="12385" spans="6:10" hidden="1" x14ac:dyDescent="0.25">
      <c r="F12385" s="499">
        <v>426</v>
      </c>
      <c r="G12385" s="492" t="s">
        <v>3787</v>
      </c>
      <c r="J12385" s="556">
        <f t="shared" si="407"/>
        <v>0</v>
      </c>
    </row>
    <row r="12386" spans="6:10" hidden="1" x14ac:dyDescent="0.25">
      <c r="F12386" s="499">
        <v>431</v>
      </c>
      <c r="G12386" s="492" t="s">
        <v>4145</v>
      </c>
      <c r="J12386" s="556">
        <f t="shared" si="407"/>
        <v>0</v>
      </c>
    </row>
    <row r="12387" spans="6:10" hidden="1" x14ac:dyDescent="0.25">
      <c r="F12387" s="499">
        <v>432</v>
      </c>
      <c r="G12387" s="492" t="s">
        <v>4146</v>
      </c>
      <c r="J12387" s="556">
        <f t="shared" si="407"/>
        <v>0</v>
      </c>
    </row>
    <row r="12388" spans="6:10" hidden="1" x14ac:dyDescent="0.25">
      <c r="F12388" s="499">
        <v>433</v>
      </c>
      <c r="G12388" s="492" t="s">
        <v>4147</v>
      </c>
      <c r="J12388" s="556">
        <f t="shared" si="407"/>
        <v>0</v>
      </c>
    </row>
    <row r="12389" spans="6:10" hidden="1" x14ac:dyDescent="0.25">
      <c r="F12389" s="499">
        <v>434</v>
      </c>
      <c r="G12389" s="492" t="s">
        <v>4148</v>
      </c>
      <c r="J12389" s="556">
        <f t="shared" si="407"/>
        <v>0</v>
      </c>
    </row>
    <row r="12390" spans="6:10" hidden="1" x14ac:dyDescent="0.25">
      <c r="F12390" s="499">
        <v>435</v>
      </c>
      <c r="G12390" s="492" t="s">
        <v>3794</v>
      </c>
      <c r="J12390" s="556">
        <f t="shared" si="407"/>
        <v>0</v>
      </c>
    </row>
    <row r="12391" spans="6:10" hidden="1" x14ac:dyDescent="0.25">
      <c r="F12391" s="499">
        <v>441</v>
      </c>
      <c r="G12391" s="492" t="s">
        <v>4149</v>
      </c>
      <c r="J12391" s="556">
        <f t="shared" si="407"/>
        <v>0</v>
      </c>
    </row>
    <row r="12392" spans="6:10" hidden="1" x14ac:dyDescent="0.25">
      <c r="F12392" s="499">
        <v>442</v>
      </c>
      <c r="G12392" s="492" t="s">
        <v>4150</v>
      </c>
      <c r="J12392" s="556">
        <f t="shared" si="407"/>
        <v>0</v>
      </c>
    </row>
    <row r="12393" spans="6:10" hidden="1" x14ac:dyDescent="0.25">
      <c r="F12393" s="499">
        <v>443</v>
      </c>
      <c r="G12393" s="492" t="s">
        <v>3799</v>
      </c>
      <c r="J12393" s="556">
        <f t="shared" si="407"/>
        <v>0</v>
      </c>
    </row>
    <row r="12394" spans="6:10" hidden="1" x14ac:dyDescent="0.25">
      <c r="F12394" s="499">
        <v>444</v>
      </c>
      <c r="G12394" s="492" t="s">
        <v>3800</v>
      </c>
      <c r="J12394" s="556">
        <f t="shared" si="407"/>
        <v>0</v>
      </c>
    </row>
    <row r="12395" spans="6:10" ht="30" hidden="1" x14ac:dyDescent="0.25">
      <c r="F12395" s="499">
        <v>4511</v>
      </c>
      <c r="G12395" s="263" t="s">
        <v>1690</v>
      </c>
      <c r="J12395" s="556">
        <f t="shared" si="407"/>
        <v>0</v>
      </c>
    </row>
    <row r="12396" spans="6:10" ht="30" hidden="1" x14ac:dyDescent="0.25">
      <c r="F12396" s="499">
        <v>4512</v>
      </c>
      <c r="G12396" s="263" t="s">
        <v>1699</v>
      </c>
      <c r="J12396" s="556">
        <f t="shared" si="407"/>
        <v>0</v>
      </c>
    </row>
    <row r="12397" spans="6:10" hidden="1" x14ac:dyDescent="0.25">
      <c r="F12397" s="499">
        <v>452</v>
      </c>
      <c r="G12397" s="492" t="s">
        <v>4151</v>
      </c>
      <c r="J12397" s="556">
        <f t="shared" si="407"/>
        <v>0</v>
      </c>
    </row>
    <row r="12398" spans="6:10" hidden="1" x14ac:dyDescent="0.25">
      <c r="F12398" s="499">
        <v>453</v>
      </c>
      <c r="G12398" s="492" t="s">
        <v>4152</v>
      </c>
      <c r="J12398" s="556">
        <f t="shared" si="407"/>
        <v>0</v>
      </c>
    </row>
    <row r="12399" spans="6:10" hidden="1" x14ac:dyDescent="0.25">
      <c r="F12399" s="499">
        <v>454</v>
      </c>
      <c r="G12399" s="492" t="s">
        <v>3805</v>
      </c>
      <c r="J12399" s="556">
        <f t="shared" si="407"/>
        <v>0</v>
      </c>
    </row>
    <row r="12400" spans="6:10" hidden="1" x14ac:dyDescent="0.25">
      <c r="F12400" s="499">
        <v>461</v>
      </c>
      <c r="G12400" s="492" t="s">
        <v>4133</v>
      </c>
      <c r="J12400" s="556">
        <f t="shared" si="407"/>
        <v>0</v>
      </c>
    </row>
    <row r="12401" spans="6:10" hidden="1" x14ac:dyDescent="0.25">
      <c r="F12401" s="499">
        <v>462</v>
      </c>
      <c r="G12401" s="492" t="s">
        <v>3808</v>
      </c>
      <c r="J12401" s="556">
        <f t="shared" si="407"/>
        <v>0</v>
      </c>
    </row>
    <row r="12402" spans="6:10" hidden="1" x14ac:dyDescent="0.25">
      <c r="F12402" s="499">
        <v>4631</v>
      </c>
      <c r="G12402" s="492" t="s">
        <v>3809</v>
      </c>
      <c r="J12402" s="556">
        <f t="shared" si="407"/>
        <v>0</v>
      </c>
    </row>
    <row r="12403" spans="6:10" hidden="1" x14ac:dyDescent="0.25">
      <c r="F12403" s="499">
        <v>4632</v>
      </c>
      <c r="G12403" s="492" t="s">
        <v>3810</v>
      </c>
      <c r="J12403" s="556">
        <f t="shared" si="407"/>
        <v>0</v>
      </c>
    </row>
    <row r="12404" spans="6:10" hidden="1" x14ac:dyDescent="0.25">
      <c r="F12404" s="499">
        <v>464</v>
      </c>
      <c r="G12404" s="492" t="s">
        <v>3811</v>
      </c>
      <c r="J12404" s="556">
        <f t="shared" si="407"/>
        <v>0</v>
      </c>
    </row>
    <row r="12405" spans="6:10" hidden="1" x14ac:dyDescent="0.25">
      <c r="F12405" s="499">
        <v>465</v>
      </c>
      <c r="G12405" s="492" t="s">
        <v>4134</v>
      </c>
      <c r="J12405" s="556">
        <f t="shared" si="407"/>
        <v>0</v>
      </c>
    </row>
    <row r="12406" spans="6:10" hidden="1" x14ac:dyDescent="0.25">
      <c r="F12406" s="499">
        <v>472</v>
      </c>
      <c r="G12406" s="492" t="s">
        <v>3815</v>
      </c>
      <c r="J12406" s="556">
        <f t="shared" si="407"/>
        <v>0</v>
      </c>
    </row>
    <row r="12407" spans="6:10" hidden="1" x14ac:dyDescent="0.25">
      <c r="F12407" s="499">
        <v>481</v>
      </c>
      <c r="G12407" s="492" t="s">
        <v>4153</v>
      </c>
      <c r="J12407" s="556">
        <f t="shared" si="407"/>
        <v>0</v>
      </c>
    </row>
    <row r="12408" spans="6:10" hidden="1" x14ac:dyDescent="0.25">
      <c r="F12408" s="499">
        <v>482</v>
      </c>
      <c r="G12408" s="492" t="s">
        <v>4154</v>
      </c>
      <c r="J12408" s="556">
        <f t="shared" si="407"/>
        <v>0</v>
      </c>
    </row>
    <row r="12409" spans="6:10" hidden="1" x14ac:dyDescent="0.25">
      <c r="F12409" s="499">
        <v>483</v>
      </c>
      <c r="G12409" s="496" t="s">
        <v>4155</v>
      </c>
      <c r="J12409" s="556">
        <f t="shared" si="407"/>
        <v>0</v>
      </c>
    </row>
    <row r="12410" spans="6:10" ht="30" hidden="1" x14ac:dyDescent="0.25">
      <c r="F12410" s="499">
        <v>484</v>
      </c>
      <c r="G12410" s="492" t="s">
        <v>4156</v>
      </c>
      <c r="J12410" s="556">
        <f t="shared" si="407"/>
        <v>0</v>
      </c>
    </row>
    <row r="12411" spans="6:10" ht="30" hidden="1" x14ac:dyDescent="0.25">
      <c r="F12411" s="499">
        <v>485</v>
      </c>
      <c r="G12411" s="492" t="s">
        <v>4157</v>
      </c>
      <c r="J12411" s="556">
        <f t="shared" si="407"/>
        <v>0</v>
      </c>
    </row>
    <row r="12412" spans="6:10" ht="30" hidden="1" x14ac:dyDescent="0.25">
      <c r="F12412" s="499">
        <v>489</v>
      </c>
      <c r="G12412" s="492" t="s">
        <v>3823</v>
      </c>
      <c r="J12412" s="556">
        <f t="shared" si="407"/>
        <v>0</v>
      </c>
    </row>
    <row r="12413" spans="6:10" hidden="1" x14ac:dyDescent="0.25">
      <c r="F12413" s="499">
        <v>494</v>
      </c>
      <c r="G12413" s="492" t="s">
        <v>4135</v>
      </c>
      <c r="J12413" s="556">
        <f t="shared" si="407"/>
        <v>0</v>
      </c>
    </row>
    <row r="12414" spans="6:10" ht="30" hidden="1" x14ac:dyDescent="0.25">
      <c r="F12414" s="499">
        <v>495</v>
      </c>
      <c r="G12414" s="492" t="s">
        <v>4136</v>
      </c>
      <c r="J12414" s="556">
        <f t="shared" si="407"/>
        <v>0</v>
      </c>
    </row>
    <row r="12415" spans="6:10" ht="30" hidden="1" x14ac:dyDescent="0.25">
      <c r="F12415" s="499">
        <v>496</v>
      </c>
      <c r="G12415" s="492" t="s">
        <v>4137</v>
      </c>
      <c r="J12415" s="556">
        <f t="shared" si="407"/>
        <v>0</v>
      </c>
    </row>
    <row r="12416" spans="6:10" ht="30" hidden="1" x14ac:dyDescent="0.25">
      <c r="F12416" s="499">
        <v>499</v>
      </c>
      <c r="G12416" s="492" t="s">
        <v>4138</v>
      </c>
      <c r="J12416" s="556">
        <f t="shared" si="407"/>
        <v>0</v>
      </c>
    </row>
    <row r="12417" spans="5:10" hidden="1" x14ac:dyDescent="0.25">
      <c r="F12417" s="499">
        <v>511</v>
      </c>
      <c r="G12417" s="496" t="s">
        <v>4158</v>
      </c>
      <c r="J12417" s="556">
        <f t="shared" si="407"/>
        <v>0</v>
      </c>
    </row>
    <row r="12418" spans="5:10" hidden="1" x14ac:dyDescent="0.25">
      <c r="F12418" s="499">
        <v>512</v>
      </c>
      <c r="G12418" s="496" t="s">
        <v>4159</v>
      </c>
      <c r="J12418" s="556">
        <f t="shared" si="407"/>
        <v>0</v>
      </c>
    </row>
    <row r="12419" spans="5:10" hidden="1" x14ac:dyDescent="0.25">
      <c r="F12419" s="499">
        <v>513</v>
      </c>
      <c r="G12419" s="496" t="s">
        <v>4160</v>
      </c>
      <c r="J12419" s="556">
        <f t="shared" si="407"/>
        <v>0</v>
      </c>
    </row>
    <row r="12420" spans="5:10" hidden="1" x14ac:dyDescent="0.25">
      <c r="F12420" s="499">
        <v>514</v>
      </c>
      <c r="G12420" s="492" t="s">
        <v>4161</v>
      </c>
      <c r="J12420" s="556">
        <f t="shared" si="407"/>
        <v>0</v>
      </c>
    </row>
    <row r="12421" spans="5:10" hidden="1" x14ac:dyDescent="0.25">
      <c r="F12421" s="499">
        <v>515</v>
      </c>
      <c r="G12421" s="492" t="s">
        <v>3834</v>
      </c>
      <c r="J12421" s="556">
        <f t="shared" si="407"/>
        <v>0</v>
      </c>
    </row>
    <row r="12422" spans="5:10" hidden="1" x14ac:dyDescent="0.25">
      <c r="F12422" s="499">
        <v>521</v>
      </c>
      <c r="G12422" s="492" t="s">
        <v>4162</v>
      </c>
      <c r="J12422" s="556">
        <f t="shared" si="407"/>
        <v>0</v>
      </c>
    </row>
    <row r="12423" spans="5:10" hidden="1" x14ac:dyDescent="0.25">
      <c r="F12423" s="499">
        <v>522</v>
      </c>
      <c r="G12423" s="492" t="s">
        <v>4163</v>
      </c>
      <c r="J12423" s="556">
        <f t="shared" si="407"/>
        <v>0</v>
      </c>
    </row>
    <row r="12424" spans="5:10" hidden="1" x14ac:dyDescent="0.25">
      <c r="F12424" s="499">
        <v>523</v>
      </c>
      <c r="G12424" s="492" t="s">
        <v>3839</v>
      </c>
      <c r="J12424" s="556">
        <f t="shared" si="407"/>
        <v>0</v>
      </c>
    </row>
    <row r="12425" spans="5:10" hidden="1" x14ac:dyDescent="0.25">
      <c r="F12425" s="499">
        <v>531</v>
      </c>
      <c r="G12425" s="488" t="s">
        <v>4139</v>
      </c>
      <c r="J12425" s="556">
        <f t="shared" si="407"/>
        <v>0</v>
      </c>
    </row>
    <row r="12426" spans="5:10" hidden="1" x14ac:dyDescent="0.25">
      <c r="F12426" s="499">
        <v>541</v>
      </c>
      <c r="G12426" s="492" t="s">
        <v>4164</v>
      </c>
      <c r="J12426" s="556">
        <f t="shared" si="407"/>
        <v>0</v>
      </c>
    </row>
    <row r="12427" spans="5:10" hidden="1" x14ac:dyDescent="0.25">
      <c r="F12427" s="499">
        <v>542</v>
      </c>
      <c r="G12427" s="492" t="s">
        <v>4165</v>
      </c>
      <c r="J12427" s="556">
        <f t="shared" si="407"/>
        <v>0</v>
      </c>
    </row>
    <row r="12428" spans="5:10" hidden="1" x14ac:dyDescent="0.25">
      <c r="F12428" s="499">
        <v>543</v>
      </c>
      <c r="G12428" s="492" t="s">
        <v>3844</v>
      </c>
      <c r="J12428" s="556">
        <f t="shared" si="407"/>
        <v>0</v>
      </c>
    </row>
    <row r="12429" spans="5:10" ht="30" hidden="1" x14ac:dyDescent="0.25">
      <c r="F12429" s="499">
        <v>551</v>
      </c>
      <c r="G12429" s="492" t="s">
        <v>4140</v>
      </c>
      <c r="J12429" s="556">
        <f t="shared" si="407"/>
        <v>0</v>
      </c>
    </row>
    <row r="12430" spans="5:10" hidden="1" x14ac:dyDescent="0.25">
      <c r="F12430" s="500">
        <v>611</v>
      </c>
      <c r="G12430" s="498" t="s">
        <v>3850</v>
      </c>
      <c r="J12430" s="556">
        <f t="shared" si="407"/>
        <v>0</v>
      </c>
    </row>
    <row r="12431" spans="5:10" hidden="1" x14ac:dyDescent="0.25">
      <c r="F12431" s="500">
        <v>620</v>
      </c>
      <c r="G12431" s="498" t="s">
        <v>88</v>
      </c>
      <c r="J12431" s="556">
        <f t="shared" si="407"/>
        <v>0</v>
      </c>
    </row>
    <row r="12432" spans="5:10" hidden="1" x14ac:dyDescent="0.25">
      <c r="E12432" s="489"/>
      <c r="F12432" s="500"/>
      <c r="G12432" s="342" t="s">
        <v>4356</v>
      </c>
      <c r="H12432" s="557"/>
      <c r="I12432" s="583"/>
      <c r="J12432" s="558"/>
    </row>
    <row r="12433" spans="5:10" hidden="1" x14ac:dyDescent="0.25">
      <c r="E12433" s="693"/>
      <c r="F12433" s="597" t="s">
        <v>234</v>
      </c>
      <c r="G12433" s="598" t="s">
        <v>235</v>
      </c>
      <c r="H12433" s="559">
        <f>SUM(H12372:H12431)</f>
        <v>0</v>
      </c>
      <c r="I12433" s="560"/>
      <c r="J12433" s="560">
        <f>SUM(H12433:I12433)</f>
        <v>0</v>
      </c>
    </row>
    <row r="12434" spans="5:10" hidden="1" x14ac:dyDescent="0.25">
      <c r="F12434" s="597" t="s">
        <v>236</v>
      </c>
      <c r="G12434" s="598" t="s">
        <v>237</v>
      </c>
      <c r="J12434" s="560">
        <f t="shared" ref="J12434:J12448" si="408">SUM(H12434:I12434)</f>
        <v>0</v>
      </c>
    </row>
    <row r="12435" spans="5:10" hidden="1" x14ac:dyDescent="0.25">
      <c r="F12435" s="597" t="s">
        <v>238</v>
      </c>
      <c r="G12435" s="598" t="s">
        <v>239</v>
      </c>
      <c r="J12435" s="560">
        <f t="shared" si="408"/>
        <v>0</v>
      </c>
    </row>
    <row r="12436" spans="5:10" hidden="1" x14ac:dyDescent="0.25">
      <c r="F12436" s="597" t="s">
        <v>240</v>
      </c>
      <c r="G12436" s="598" t="s">
        <v>241</v>
      </c>
      <c r="J12436" s="560">
        <f t="shared" si="408"/>
        <v>0</v>
      </c>
    </row>
    <row r="12437" spans="5:10" hidden="1" x14ac:dyDescent="0.25">
      <c r="F12437" s="597" t="s">
        <v>242</v>
      </c>
      <c r="G12437" s="598" t="s">
        <v>243</v>
      </c>
      <c r="J12437" s="560">
        <f t="shared" si="408"/>
        <v>0</v>
      </c>
    </row>
    <row r="12438" spans="5:10" hidden="1" x14ac:dyDescent="0.25">
      <c r="F12438" s="597" t="s">
        <v>244</v>
      </c>
      <c r="G12438" s="598" t="s">
        <v>245</v>
      </c>
      <c r="J12438" s="560">
        <f t="shared" si="408"/>
        <v>0</v>
      </c>
    </row>
    <row r="12439" spans="5:10" hidden="1" x14ac:dyDescent="0.25">
      <c r="F12439" s="597" t="s">
        <v>246</v>
      </c>
      <c r="G12439" s="598" t="s">
        <v>4996</v>
      </c>
      <c r="J12439" s="560">
        <f t="shared" si="408"/>
        <v>0</v>
      </c>
    </row>
    <row r="12440" spans="5:10" hidden="1" x14ac:dyDescent="0.25">
      <c r="F12440" s="597" t="s">
        <v>247</v>
      </c>
      <c r="G12440" s="598" t="s">
        <v>4995</v>
      </c>
      <c r="J12440" s="560">
        <f t="shared" si="408"/>
        <v>0</v>
      </c>
    </row>
    <row r="12441" spans="5:10" hidden="1" x14ac:dyDescent="0.25">
      <c r="F12441" s="597" t="s">
        <v>248</v>
      </c>
      <c r="G12441" s="598" t="s">
        <v>57</v>
      </c>
      <c r="J12441" s="560">
        <f t="shared" si="408"/>
        <v>0</v>
      </c>
    </row>
    <row r="12442" spans="5:10" hidden="1" x14ac:dyDescent="0.25">
      <c r="F12442" s="597" t="s">
        <v>249</v>
      </c>
      <c r="G12442" s="598" t="s">
        <v>250</v>
      </c>
      <c r="J12442" s="560">
        <f t="shared" si="408"/>
        <v>0</v>
      </c>
    </row>
    <row r="12443" spans="5:10" hidden="1" x14ac:dyDescent="0.25">
      <c r="F12443" s="597" t="s">
        <v>251</v>
      </c>
      <c r="G12443" s="598" t="s">
        <v>252</v>
      </c>
      <c r="J12443" s="560">
        <f t="shared" si="408"/>
        <v>0</v>
      </c>
    </row>
    <row r="12444" spans="5:10" ht="30" hidden="1" x14ac:dyDescent="0.25">
      <c r="F12444" s="597" t="s">
        <v>253</v>
      </c>
      <c r="G12444" s="598" t="s">
        <v>254</v>
      </c>
      <c r="J12444" s="560">
        <f t="shared" si="408"/>
        <v>0</v>
      </c>
    </row>
    <row r="12445" spans="5:10" hidden="1" x14ac:dyDescent="0.25">
      <c r="F12445" s="597" t="s">
        <v>255</v>
      </c>
      <c r="G12445" s="598" t="s">
        <v>256</v>
      </c>
      <c r="J12445" s="560">
        <f t="shared" si="408"/>
        <v>0</v>
      </c>
    </row>
    <row r="12446" spans="5:10" ht="30" hidden="1" x14ac:dyDescent="0.25">
      <c r="F12446" s="597" t="s">
        <v>257</v>
      </c>
      <c r="G12446" s="598" t="s">
        <v>258</v>
      </c>
      <c r="J12446" s="560">
        <f t="shared" si="408"/>
        <v>0</v>
      </c>
    </row>
    <row r="12447" spans="5:10" hidden="1" x14ac:dyDescent="0.25">
      <c r="F12447" s="597" t="s">
        <v>259</v>
      </c>
      <c r="G12447" s="598" t="s">
        <v>260</v>
      </c>
      <c r="J12447" s="560">
        <f t="shared" si="408"/>
        <v>0</v>
      </c>
    </row>
    <row r="12448" spans="5:10" hidden="1" x14ac:dyDescent="0.25">
      <c r="F12448" s="597" t="s">
        <v>261</v>
      </c>
      <c r="G12448" s="598" t="s">
        <v>262</v>
      </c>
      <c r="H12448" s="559"/>
      <c r="I12448" s="560"/>
      <c r="J12448" s="560">
        <f t="shared" si="408"/>
        <v>0</v>
      </c>
    </row>
    <row r="12449" spans="5:10" ht="15.75" hidden="1" thickBot="1" x14ac:dyDescent="0.3">
      <c r="G12449" s="268" t="s">
        <v>4357</v>
      </c>
      <c r="H12449" s="561">
        <f>SUM(H12433:H12448)</f>
        <v>0</v>
      </c>
      <c r="I12449" s="562">
        <f>SUM(I12434:I12448)</f>
        <v>0</v>
      </c>
      <c r="J12449" s="562">
        <f>SUM(J12433:J12448)</f>
        <v>0</v>
      </c>
    </row>
    <row r="12450" spans="5:10" hidden="1" collapsed="1" x14ac:dyDescent="0.25">
      <c r="E12450" s="489"/>
      <c r="F12450" s="500"/>
      <c r="G12450" s="270" t="s">
        <v>4935</v>
      </c>
      <c r="H12450" s="563"/>
      <c r="I12450" s="584"/>
      <c r="J12450" s="564"/>
    </row>
    <row r="12451" spans="5:10" hidden="1" x14ac:dyDescent="0.25">
      <c r="E12451" s="693"/>
      <c r="F12451" s="597" t="s">
        <v>234</v>
      </c>
      <c r="G12451" s="598" t="s">
        <v>235</v>
      </c>
      <c r="H12451" s="559">
        <f>SUM(H12372:H12431)</f>
        <v>0</v>
      </c>
      <c r="I12451" s="560"/>
      <c r="J12451" s="560">
        <f>SUM(H12451:I12451)</f>
        <v>0</v>
      </c>
    </row>
    <row r="12452" spans="5:10" hidden="1" x14ac:dyDescent="0.25">
      <c r="F12452" s="597" t="s">
        <v>236</v>
      </c>
      <c r="G12452" s="598" t="s">
        <v>237</v>
      </c>
      <c r="J12452" s="560">
        <f t="shared" ref="J12452:J12466" si="409">SUM(H12452:I12452)</f>
        <v>0</v>
      </c>
    </row>
    <row r="12453" spans="5:10" hidden="1" x14ac:dyDescent="0.25">
      <c r="F12453" s="597" t="s">
        <v>238</v>
      </c>
      <c r="G12453" s="598" t="s">
        <v>239</v>
      </c>
      <c r="J12453" s="560">
        <f t="shared" si="409"/>
        <v>0</v>
      </c>
    </row>
    <row r="12454" spans="5:10" hidden="1" x14ac:dyDescent="0.25">
      <c r="F12454" s="597" t="s">
        <v>240</v>
      </c>
      <c r="G12454" s="598" t="s">
        <v>241</v>
      </c>
      <c r="J12454" s="560">
        <f t="shared" si="409"/>
        <v>0</v>
      </c>
    </row>
    <row r="12455" spans="5:10" hidden="1" x14ac:dyDescent="0.25">
      <c r="F12455" s="597" t="s">
        <v>242</v>
      </c>
      <c r="G12455" s="598" t="s">
        <v>243</v>
      </c>
      <c r="J12455" s="560">
        <f t="shared" si="409"/>
        <v>0</v>
      </c>
    </row>
    <row r="12456" spans="5:10" hidden="1" x14ac:dyDescent="0.25">
      <c r="F12456" s="597" t="s">
        <v>244</v>
      </c>
      <c r="G12456" s="598" t="s">
        <v>245</v>
      </c>
      <c r="J12456" s="560">
        <f t="shared" si="409"/>
        <v>0</v>
      </c>
    </row>
    <row r="12457" spans="5:10" hidden="1" x14ac:dyDescent="0.25">
      <c r="F12457" s="597" t="s">
        <v>246</v>
      </c>
      <c r="G12457" s="598" t="s">
        <v>4996</v>
      </c>
      <c r="J12457" s="560">
        <f t="shared" si="409"/>
        <v>0</v>
      </c>
    </row>
    <row r="12458" spans="5:10" hidden="1" x14ac:dyDescent="0.25">
      <c r="F12458" s="597" t="s">
        <v>247</v>
      </c>
      <c r="G12458" s="598" t="s">
        <v>4995</v>
      </c>
      <c r="J12458" s="560">
        <f t="shared" si="409"/>
        <v>0</v>
      </c>
    </row>
    <row r="12459" spans="5:10" hidden="1" x14ac:dyDescent="0.25">
      <c r="F12459" s="597" t="s">
        <v>248</v>
      </c>
      <c r="G12459" s="598" t="s">
        <v>57</v>
      </c>
      <c r="J12459" s="560">
        <f t="shared" si="409"/>
        <v>0</v>
      </c>
    </row>
    <row r="12460" spans="5:10" hidden="1" x14ac:dyDescent="0.25">
      <c r="F12460" s="597" t="s">
        <v>249</v>
      </c>
      <c r="G12460" s="598" t="s">
        <v>250</v>
      </c>
      <c r="J12460" s="560">
        <f t="shared" si="409"/>
        <v>0</v>
      </c>
    </row>
    <row r="12461" spans="5:10" hidden="1" x14ac:dyDescent="0.25">
      <c r="F12461" s="597" t="s">
        <v>251</v>
      </c>
      <c r="G12461" s="598" t="s">
        <v>252</v>
      </c>
      <c r="J12461" s="560">
        <f t="shared" si="409"/>
        <v>0</v>
      </c>
    </row>
    <row r="12462" spans="5:10" ht="30" hidden="1" x14ac:dyDescent="0.25">
      <c r="F12462" s="597" t="s">
        <v>253</v>
      </c>
      <c r="G12462" s="598" t="s">
        <v>254</v>
      </c>
      <c r="J12462" s="560">
        <f t="shared" si="409"/>
        <v>0</v>
      </c>
    </row>
    <row r="12463" spans="5:10" hidden="1" x14ac:dyDescent="0.25">
      <c r="F12463" s="597" t="s">
        <v>255</v>
      </c>
      <c r="G12463" s="598" t="s">
        <v>256</v>
      </c>
      <c r="J12463" s="560">
        <f t="shared" si="409"/>
        <v>0</v>
      </c>
    </row>
    <row r="12464" spans="5:10" ht="30" hidden="1" x14ac:dyDescent="0.25">
      <c r="F12464" s="597" t="s">
        <v>257</v>
      </c>
      <c r="G12464" s="598" t="s">
        <v>258</v>
      </c>
      <c r="J12464" s="560">
        <f t="shared" si="409"/>
        <v>0</v>
      </c>
    </row>
    <row r="12465" spans="3:10" hidden="1" x14ac:dyDescent="0.25">
      <c r="F12465" s="597" t="s">
        <v>259</v>
      </c>
      <c r="G12465" s="598" t="s">
        <v>260</v>
      </c>
      <c r="J12465" s="560">
        <f t="shared" si="409"/>
        <v>0</v>
      </c>
    </row>
    <row r="12466" spans="3:10" hidden="1" x14ac:dyDescent="0.25">
      <c r="F12466" s="597" t="s">
        <v>261</v>
      </c>
      <c r="G12466" s="598" t="s">
        <v>262</v>
      </c>
      <c r="H12466" s="559"/>
      <c r="I12466" s="560"/>
      <c r="J12466" s="560">
        <f t="shared" si="409"/>
        <v>0</v>
      </c>
    </row>
    <row r="12467" spans="3:10" ht="15.75" hidden="1" thickBot="1" x14ac:dyDescent="0.3">
      <c r="G12467" s="268" t="s">
        <v>4924</v>
      </c>
      <c r="H12467" s="561">
        <f>SUM(H12451:H12466)</f>
        <v>0</v>
      </c>
      <c r="I12467" s="562">
        <f>SUM(I12452:I12466)</f>
        <v>0</v>
      </c>
      <c r="J12467" s="562">
        <f>SUM(J12451:J12466)</f>
        <v>0</v>
      </c>
    </row>
    <row r="12468" spans="3:10" hidden="1" x14ac:dyDescent="0.25">
      <c r="G12468" s="312"/>
      <c r="H12468" s="565"/>
      <c r="I12468" s="566"/>
      <c r="J12468" s="566"/>
    </row>
    <row r="12469" spans="3:10" hidden="1" x14ac:dyDescent="0.25">
      <c r="C12469" s="267" t="s">
        <v>4749</v>
      </c>
      <c r="D12469" s="259"/>
      <c r="G12469" s="493" t="s">
        <v>4196</v>
      </c>
    </row>
    <row r="12470" spans="3:10" hidden="1" x14ac:dyDescent="0.25">
      <c r="C12470" s="267"/>
      <c r="D12470" s="331">
        <v>820</v>
      </c>
      <c r="E12470" s="869"/>
      <c r="F12470" s="331"/>
      <c r="G12470" s="332" t="s">
        <v>207</v>
      </c>
    </row>
    <row r="12471" spans="3:10" hidden="1" x14ac:dyDescent="0.25">
      <c r="F12471" s="499">
        <v>411</v>
      </c>
      <c r="G12471" s="492" t="s">
        <v>4131</v>
      </c>
      <c r="J12471" s="556">
        <f>SUM(H12471:I12471)</f>
        <v>0</v>
      </c>
    </row>
    <row r="12472" spans="3:10" hidden="1" x14ac:dyDescent="0.25">
      <c r="F12472" s="499">
        <v>412</v>
      </c>
      <c r="G12472" s="488" t="s">
        <v>3766</v>
      </c>
      <c r="J12472" s="556">
        <f t="shared" ref="J12472:J12530" si="410">SUM(H12472:I12472)</f>
        <v>0</v>
      </c>
    </row>
    <row r="12473" spans="3:10" hidden="1" x14ac:dyDescent="0.25">
      <c r="F12473" s="499">
        <v>413</v>
      </c>
      <c r="G12473" s="492" t="s">
        <v>4132</v>
      </c>
      <c r="J12473" s="556">
        <f t="shared" si="410"/>
        <v>0</v>
      </c>
    </row>
    <row r="12474" spans="3:10" hidden="1" x14ac:dyDescent="0.25">
      <c r="F12474" s="499">
        <v>414</v>
      </c>
      <c r="G12474" s="492" t="s">
        <v>3769</v>
      </c>
      <c r="J12474" s="556">
        <f t="shared" si="410"/>
        <v>0</v>
      </c>
    </row>
    <row r="12475" spans="3:10" hidden="1" x14ac:dyDescent="0.25">
      <c r="F12475" s="499">
        <v>415</v>
      </c>
      <c r="G12475" s="492" t="s">
        <v>4141</v>
      </c>
      <c r="J12475" s="556">
        <f t="shared" si="410"/>
        <v>0</v>
      </c>
    </row>
    <row r="12476" spans="3:10" hidden="1" x14ac:dyDescent="0.25">
      <c r="F12476" s="499">
        <v>416</v>
      </c>
      <c r="G12476" s="492" t="s">
        <v>4142</v>
      </c>
      <c r="J12476" s="556">
        <f t="shared" si="410"/>
        <v>0</v>
      </c>
    </row>
    <row r="12477" spans="3:10" hidden="1" x14ac:dyDescent="0.25">
      <c r="F12477" s="499">
        <v>417</v>
      </c>
      <c r="G12477" s="492" t="s">
        <v>4143</v>
      </c>
      <c r="J12477" s="556">
        <f t="shared" si="410"/>
        <v>0</v>
      </c>
    </row>
    <row r="12478" spans="3:10" hidden="1" x14ac:dyDescent="0.25">
      <c r="F12478" s="499">
        <v>418</v>
      </c>
      <c r="G12478" s="492" t="s">
        <v>3775</v>
      </c>
      <c r="J12478" s="556">
        <f t="shared" si="410"/>
        <v>0</v>
      </c>
    </row>
    <row r="12479" spans="3:10" hidden="1" x14ac:dyDescent="0.25">
      <c r="F12479" s="499">
        <v>421</v>
      </c>
      <c r="G12479" s="492" t="s">
        <v>3779</v>
      </c>
      <c r="J12479" s="556">
        <f t="shared" si="410"/>
        <v>0</v>
      </c>
    </row>
    <row r="12480" spans="3:10" hidden="1" x14ac:dyDescent="0.25">
      <c r="F12480" s="499">
        <v>422</v>
      </c>
      <c r="G12480" s="492" t="s">
        <v>3780</v>
      </c>
      <c r="J12480" s="556">
        <f t="shared" si="410"/>
        <v>0</v>
      </c>
    </row>
    <row r="12481" spans="6:10" hidden="1" x14ac:dyDescent="0.25">
      <c r="F12481" s="499">
        <v>423</v>
      </c>
      <c r="G12481" s="492" t="s">
        <v>3781</v>
      </c>
      <c r="J12481" s="556">
        <f t="shared" si="410"/>
        <v>0</v>
      </c>
    </row>
    <row r="12482" spans="6:10" hidden="1" x14ac:dyDescent="0.25">
      <c r="F12482" s="499">
        <v>424</v>
      </c>
      <c r="G12482" s="492" t="s">
        <v>3783</v>
      </c>
      <c r="J12482" s="556">
        <f t="shared" si="410"/>
        <v>0</v>
      </c>
    </row>
    <row r="12483" spans="6:10" hidden="1" x14ac:dyDescent="0.25">
      <c r="F12483" s="499">
        <v>425</v>
      </c>
      <c r="G12483" s="492" t="s">
        <v>4144</v>
      </c>
      <c r="J12483" s="556">
        <f t="shared" si="410"/>
        <v>0</v>
      </c>
    </row>
    <row r="12484" spans="6:10" hidden="1" x14ac:dyDescent="0.25">
      <c r="F12484" s="499">
        <v>426</v>
      </c>
      <c r="G12484" s="492" t="s">
        <v>3787</v>
      </c>
      <c r="J12484" s="556">
        <f t="shared" si="410"/>
        <v>0</v>
      </c>
    </row>
    <row r="12485" spans="6:10" hidden="1" x14ac:dyDescent="0.25">
      <c r="F12485" s="499">
        <v>431</v>
      </c>
      <c r="G12485" s="492" t="s">
        <v>4145</v>
      </c>
      <c r="J12485" s="556">
        <f t="shared" si="410"/>
        <v>0</v>
      </c>
    </row>
    <row r="12486" spans="6:10" hidden="1" x14ac:dyDescent="0.25">
      <c r="F12486" s="499">
        <v>432</v>
      </c>
      <c r="G12486" s="492" t="s">
        <v>4146</v>
      </c>
      <c r="J12486" s="556">
        <f t="shared" si="410"/>
        <v>0</v>
      </c>
    </row>
    <row r="12487" spans="6:10" hidden="1" x14ac:dyDescent="0.25">
      <c r="F12487" s="499">
        <v>433</v>
      </c>
      <c r="G12487" s="492" t="s">
        <v>4147</v>
      </c>
      <c r="J12487" s="556">
        <f t="shared" si="410"/>
        <v>0</v>
      </c>
    </row>
    <row r="12488" spans="6:10" hidden="1" x14ac:dyDescent="0.25">
      <c r="F12488" s="499">
        <v>434</v>
      </c>
      <c r="G12488" s="492" t="s">
        <v>4148</v>
      </c>
      <c r="J12488" s="556">
        <f t="shared" si="410"/>
        <v>0</v>
      </c>
    </row>
    <row r="12489" spans="6:10" hidden="1" x14ac:dyDescent="0.25">
      <c r="F12489" s="499">
        <v>435</v>
      </c>
      <c r="G12489" s="492" t="s">
        <v>3794</v>
      </c>
      <c r="J12489" s="556">
        <f t="shared" si="410"/>
        <v>0</v>
      </c>
    </row>
    <row r="12490" spans="6:10" hidden="1" x14ac:dyDescent="0.25">
      <c r="F12490" s="499">
        <v>441</v>
      </c>
      <c r="G12490" s="492" t="s">
        <v>4149</v>
      </c>
      <c r="J12490" s="556">
        <f t="shared" si="410"/>
        <v>0</v>
      </c>
    </row>
    <row r="12491" spans="6:10" hidden="1" x14ac:dyDescent="0.25">
      <c r="F12491" s="499">
        <v>442</v>
      </c>
      <c r="G12491" s="492" t="s">
        <v>4150</v>
      </c>
      <c r="J12491" s="556">
        <f t="shared" si="410"/>
        <v>0</v>
      </c>
    </row>
    <row r="12492" spans="6:10" hidden="1" x14ac:dyDescent="0.25">
      <c r="F12492" s="499">
        <v>443</v>
      </c>
      <c r="G12492" s="492" t="s">
        <v>3799</v>
      </c>
      <c r="J12492" s="556">
        <f t="shared" si="410"/>
        <v>0</v>
      </c>
    </row>
    <row r="12493" spans="6:10" hidden="1" x14ac:dyDescent="0.25">
      <c r="F12493" s="499">
        <v>444</v>
      </c>
      <c r="G12493" s="492" t="s">
        <v>3800</v>
      </c>
      <c r="J12493" s="556">
        <f t="shared" si="410"/>
        <v>0</v>
      </c>
    </row>
    <row r="12494" spans="6:10" ht="30" hidden="1" x14ac:dyDescent="0.25">
      <c r="F12494" s="499">
        <v>4511</v>
      </c>
      <c r="G12494" s="263" t="s">
        <v>1690</v>
      </c>
      <c r="J12494" s="556">
        <f t="shared" si="410"/>
        <v>0</v>
      </c>
    </row>
    <row r="12495" spans="6:10" ht="30" hidden="1" x14ac:dyDescent="0.25">
      <c r="F12495" s="499">
        <v>4512</v>
      </c>
      <c r="G12495" s="263" t="s">
        <v>1699</v>
      </c>
      <c r="J12495" s="556">
        <f t="shared" si="410"/>
        <v>0</v>
      </c>
    </row>
    <row r="12496" spans="6:10" hidden="1" x14ac:dyDescent="0.25">
      <c r="F12496" s="499">
        <v>452</v>
      </c>
      <c r="G12496" s="492" t="s">
        <v>4151</v>
      </c>
      <c r="J12496" s="556">
        <f t="shared" si="410"/>
        <v>0</v>
      </c>
    </row>
    <row r="12497" spans="6:10" hidden="1" x14ac:dyDescent="0.25">
      <c r="F12497" s="499">
        <v>453</v>
      </c>
      <c r="G12497" s="492" t="s">
        <v>4152</v>
      </c>
      <c r="J12497" s="556">
        <f t="shared" si="410"/>
        <v>0</v>
      </c>
    </row>
    <row r="12498" spans="6:10" hidden="1" x14ac:dyDescent="0.25">
      <c r="F12498" s="499">
        <v>454</v>
      </c>
      <c r="G12498" s="492" t="s">
        <v>3805</v>
      </c>
      <c r="J12498" s="556">
        <f t="shared" si="410"/>
        <v>0</v>
      </c>
    </row>
    <row r="12499" spans="6:10" hidden="1" x14ac:dyDescent="0.25">
      <c r="F12499" s="499">
        <v>461</v>
      </c>
      <c r="G12499" s="492" t="s">
        <v>4133</v>
      </c>
      <c r="J12499" s="556">
        <f t="shared" si="410"/>
        <v>0</v>
      </c>
    </row>
    <row r="12500" spans="6:10" hidden="1" x14ac:dyDescent="0.25">
      <c r="F12500" s="499">
        <v>462</v>
      </c>
      <c r="G12500" s="492" t="s">
        <v>3808</v>
      </c>
      <c r="J12500" s="556">
        <f t="shared" si="410"/>
        <v>0</v>
      </c>
    </row>
    <row r="12501" spans="6:10" hidden="1" x14ac:dyDescent="0.25">
      <c r="F12501" s="499">
        <v>4631</v>
      </c>
      <c r="G12501" s="492" t="s">
        <v>3809</v>
      </c>
      <c r="J12501" s="556">
        <f t="shared" si="410"/>
        <v>0</v>
      </c>
    </row>
    <row r="12502" spans="6:10" hidden="1" x14ac:dyDescent="0.25">
      <c r="F12502" s="499">
        <v>4632</v>
      </c>
      <c r="G12502" s="492" t="s">
        <v>3810</v>
      </c>
      <c r="J12502" s="556">
        <f t="shared" si="410"/>
        <v>0</v>
      </c>
    </row>
    <row r="12503" spans="6:10" hidden="1" x14ac:dyDescent="0.25">
      <c r="F12503" s="499">
        <v>464</v>
      </c>
      <c r="G12503" s="492" t="s">
        <v>3811</v>
      </c>
      <c r="J12503" s="556">
        <f t="shared" si="410"/>
        <v>0</v>
      </c>
    </row>
    <row r="12504" spans="6:10" hidden="1" x14ac:dyDescent="0.25">
      <c r="F12504" s="499">
        <v>465</v>
      </c>
      <c r="G12504" s="492" t="s">
        <v>4134</v>
      </c>
      <c r="J12504" s="556">
        <f t="shared" si="410"/>
        <v>0</v>
      </c>
    </row>
    <row r="12505" spans="6:10" hidden="1" x14ac:dyDescent="0.25">
      <c r="F12505" s="499">
        <v>472</v>
      </c>
      <c r="G12505" s="492" t="s">
        <v>3815</v>
      </c>
      <c r="J12505" s="556">
        <f t="shared" si="410"/>
        <v>0</v>
      </c>
    </row>
    <row r="12506" spans="6:10" hidden="1" x14ac:dyDescent="0.25">
      <c r="F12506" s="499">
        <v>481</v>
      </c>
      <c r="G12506" s="492" t="s">
        <v>4153</v>
      </c>
      <c r="J12506" s="556">
        <f t="shared" si="410"/>
        <v>0</v>
      </c>
    </row>
    <row r="12507" spans="6:10" hidden="1" x14ac:dyDescent="0.25">
      <c r="F12507" s="499">
        <v>482</v>
      </c>
      <c r="G12507" s="492" t="s">
        <v>4154</v>
      </c>
      <c r="J12507" s="556">
        <f t="shared" si="410"/>
        <v>0</v>
      </c>
    </row>
    <row r="12508" spans="6:10" hidden="1" x14ac:dyDescent="0.25">
      <c r="F12508" s="499">
        <v>483</v>
      </c>
      <c r="G12508" s="496" t="s">
        <v>4155</v>
      </c>
      <c r="J12508" s="556">
        <f t="shared" si="410"/>
        <v>0</v>
      </c>
    </row>
    <row r="12509" spans="6:10" ht="30" hidden="1" x14ac:dyDescent="0.25">
      <c r="F12509" s="499">
        <v>484</v>
      </c>
      <c r="G12509" s="492" t="s">
        <v>4156</v>
      </c>
      <c r="J12509" s="556">
        <f t="shared" si="410"/>
        <v>0</v>
      </c>
    </row>
    <row r="12510" spans="6:10" ht="30" hidden="1" x14ac:dyDescent="0.25">
      <c r="F12510" s="499">
        <v>485</v>
      </c>
      <c r="G12510" s="492" t="s">
        <v>4157</v>
      </c>
      <c r="J12510" s="556">
        <f t="shared" si="410"/>
        <v>0</v>
      </c>
    </row>
    <row r="12511" spans="6:10" ht="30" hidden="1" x14ac:dyDescent="0.25">
      <c r="F12511" s="499">
        <v>489</v>
      </c>
      <c r="G12511" s="492" t="s">
        <v>3823</v>
      </c>
      <c r="J12511" s="556">
        <f t="shared" si="410"/>
        <v>0</v>
      </c>
    </row>
    <row r="12512" spans="6:10" hidden="1" x14ac:dyDescent="0.25">
      <c r="F12512" s="499">
        <v>494</v>
      </c>
      <c r="G12512" s="492" t="s">
        <v>4135</v>
      </c>
      <c r="J12512" s="556">
        <f t="shared" si="410"/>
        <v>0</v>
      </c>
    </row>
    <row r="12513" spans="6:10" ht="30" hidden="1" x14ac:dyDescent="0.25">
      <c r="F12513" s="499">
        <v>495</v>
      </c>
      <c r="G12513" s="492" t="s">
        <v>4136</v>
      </c>
      <c r="J12513" s="556">
        <f t="shared" si="410"/>
        <v>0</v>
      </c>
    </row>
    <row r="12514" spans="6:10" ht="30" hidden="1" x14ac:dyDescent="0.25">
      <c r="F12514" s="499">
        <v>496</v>
      </c>
      <c r="G12514" s="492" t="s">
        <v>4137</v>
      </c>
      <c r="J12514" s="556">
        <f t="shared" si="410"/>
        <v>0</v>
      </c>
    </row>
    <row r="12515" spans="6:10" ht="30" hidden="1" x14ac:dyDescent="0.25">
      <c r="F12515" s="499">
        <v>499</v>
      </c>
      <c r="G12515" s="492" t="s">
        <v>4138</v>
      </c>
      <c r="J12515" s="556">
        <f t="shared" si="410"/>
        <v>0</v>
      </c>
    </row>
    <row r="12516" spans="6:10" hidden="1" x14ac:dyDescent="0.25">
      <c r="F12516" s="499">
        <v>511</v>
      </c>
      <c r="G12516" s="496" t="s">
        <v>4158</v>
      </c>
      <c r="J12516" s="556">
        <f t="shared" si="410"/>
        <v>0</v>
      </c>
    </row>
    <row r="12517" spans="6:10" hidden="1" x14ac:dyDescent="0.25">
      <c r="F12517" s="499">
        <v>512</v>
      </c>
      <c r="G12517" s="496" t="s">
        <v>4159</v>
      </c>
      <c r="J12517" s="556">
        <f t="shared" si="410"/>
        <v>0</v>
      </c>
    </row>
    <row r="12518" spans="6:10" hidden="1" x14ac:dyDescent="0.25">
      <c r="F12518" s="499">
        <v>513</v>
      </c>
      <c r="G12518" s="496" t="s">
        <v>4160</v>
      </c>
      <c r="J12518" s="556">
        <f t="shared" si="410"/>
        <v>0</v>
      </c>
    </row>
    <row r="12519" spans="6:10" hidden="1" x14ac:dyDescent="0.25">
      <c r="F12519" s="499">
        <v>514</v>
      </c>
      <c r="G12519" s="492" t="s">
        <v>4161</v>
      </c>
      <c r="J12519" s="556">
        <f t="shared" si="410"/>
        <v>0</v>
      </c>
    </row>
    <row r="12520" spans="6:10" hidden="1" x14ac:dyDescent="0.25">
      <c r="F12520" s="499">
        <v>515</v>
      </c>
      <c r="G12520" s="492" t="s">
        <v>3834</v>
      </c>
      <c r="J12520" s="556">
        <f t="shared" si="410"/>
        <v>0</v>
      </c>
    </row>
    <row r="12521" spans="6:10" hidden="1" x14ac:dyDescent="0.25">
      <c r="F12521" s="499">
        <v>521</v>
      </c>
      <c r="G12521" s="492" t="s">
        <v>4162</v>
      </c>
      <c r="J12521" s="556">
        <f t="shared" si="410"/>
        <v>0</v>
      </c>
    </row>
    <row r="12522" spans="6:10" hidden="1" x14ac:dyDescent="0.25">
      <c r="F12522" s="499">
        <v>522</v>
      </c>
      <c r="G12522" s="492" t="s">
        <v>4163</v>
      </c>
      <c r="J12522" s="556">
        <f t="shared" si="410"/>
        <v>0</v>
      </c>
    </row>
    <row r="12523" spans="6:10" hidden="1" x14ac:dyDescent="0.25">
      <c r="F12523" s="499">
        <v>523</v>
      </c>
      <c r="G12523" s="492" t="s">
        <v>3839</v>
      </c>
      <c r="J12523" s="556">
        <f t="shared" si="410"/>
        <v>0</v>
      </c>
    </row>
    <row r="12524" spans="6:10" hidden="1" x14ac:dyDescent="0.25">
      <c r="F12524" s="499">
        <v>531</v>
      </c>
      <c r="G12524" s="488" t="s">
        <v>4139</v>
      </c>
      <c r="J12524" s="556">
        <f t="shared" si="410"/>
        <v>0</v>
      </c>
    </row>
    <row r="12525" spans="6:10" hidden="1" x14ac:dyDescent="0.25">
      <c r="F12525" s="499">
        <v>541</v>
      </c>
      <c r="G12525" s="492" t="s">
        <v>4164</v>
      </c>
      <c r="J12525" s="556">
        <f t="shared" si="410"/>
        <v>0</v>
      </c>
    </row>
    <row r="12526" spans="6:10" hidden="1" x14ac:dyDescent="0.25">
      <c r="F12526" s="499">
        <v>542</v>
      </c>
      <c r="G12526" s="492" t="s">
        <v>4165</v>
      </c>
      <c r="J12526" s="556">
        <f t="shared" si="410"/>
        <v>0</v>
      </c>
    </row>
    <row r="12527" spans="6:10" hidden="1" x14ac:dyDescent="0.25">
      <c r="F12527" s="499">
        <v>543</v>
      </c>
      <c r="G12527" s="492" t="s">
        <v>3844</v>
      </c>
      <c r="J12527" s="556">
        <f t="shared" si="410"/>
        <v>0</v>
      </c>
    </row>
    <row r="12528" spans="6:10" ht="30" hidden="1" x14ac:dyDescent="0.25">
      <c r="F12528" s="499">
        <v>551</v>
      </c>
      <c r="G12528" s="492" t="s">
        <v>4140</v>
      </c>
      <c r="J12528" s="556">
        <f t="shared" si="410"/>
        <v>0</v>
      </c>
    </row>
    <row r="12529" spans="5:10" hidden="1" x14ac:dyDescent="0.25">
      <c r="F12529" s="500">
        <v>611</v>
      </c>
      <c r="G12529" s="498" t="s">
        <v>3850</v>
      </c>
      <c r="J12529" s="556">
        <f t="shared" si="410"/>
        <v>0</v>
      </c>
    </row>
    <row r="12530" spans="5:10" hidden="1" x14ac:dyDescent="0.25">
      <c r="F12530" s="500">
        <v>620</v>
      </c>
      <c r="G12530" s="498" t="s">
        <v>88</v>
      </c>
      <c r="J12530" s="556">
        <f t="shared" si="410"/>
        <v>0</v>
      </c>
    </row>
    <row r="12531" spans="5:10" hidden="1" x14ac:dyDescent="0.25">
      <c r="E12531" s="489"/>
      <c r="F12531" s="500"/>
      <c r="G12531" s="342" t="s">
        <v>4356</v>
      </c>
      <c r="H12531" s="557"/>
      <c r="I12531" s="583"/>
      <c r="J12531" s="558"/>
    </row>
    <row r="12532" spans="5:10" hidden="1" x14ac:dyDescent="0.25">
      <c r="E12532" s="693"/>
      <c r="F12532" s="597" t="s">
        <v>234</v>
      </c>
      <c r="G12532" s="598" t="s">
        <v>235</v>
      </c>
      <c r="H12532" s="559">
        <f>SUM(H12471:H12530)</f>
        <v>0</v>
      </c>
      <c r="I12532" s="560"/>
      <c r="J12532" s="560">
        <f>SUM(H12532:I12532)</f>
        <v>0</v>
      </c>
    </row>
    <row r="12533" spans="5:10" hidden="1" x14ac:dyDescent="0.25">
      <c r="F12533" s="597" t="s">
        <v>236</v>
      </c>
      <c r="G12533" s="598" t="s">
        <v>237</v>
      </c>
      <c r="J12533" s="560">
        <f t="shared" ref="J12533:J12547" si="411">SUM(H12533:I12533)</f>
        <v>0</v>
      </c>
    </row>
    <row r="12534" spans="5:10" hidden="1" x14ac:dyDescent="0.25">
      <c r="F12534" s="597" t="s">
        <v>238</v>
      </c>
      <c r="G12534" s="598" t="s">
        <v>239</v>
      </c>
      <c r="J12534" s="560">
        <f t="shared" si="411"/>
        <v>0</v>
      </c>
    </row>
    <row r="12535" spans="5:10" hidden="1" x14ac:dyDescent="0.25">
      <c r="F12535" s="597" t="s">
        <v>240</v>
      </c>
      <c r="G12535" s="598" t="s">
        <v>241</v>
      </c>
      <c r="J12535" s="560">
        <f t="shared" si="411"/>
        <v>0</v>
      </c>
    </row>
    <row r="12536" spans="5:10" hidden="1" x14ac:dyDescent="0.25">
      <c r="F12536" s="597" t="s">
        <v>242</v>
      </c>
      <c r="G12536" s="598" t="s">
        <v>243</v>
      </c>
      <c r="J12536" s="560">
        <f t="shared" si="411"/>
        <v>0</v>
      </c>
    </row>
    <row r="12537" spans="5:10" hidden="1" x14ac:dyDescent="0.25">
      <c r="F12537" s="597" t="s">
        <v>244</v>
      </c>
      <c r="G12537" s="598" t="s">
        <v>245</v>
      </c>
      <c r="J12537" s="560">
        <f t="shared" si="411"/>
        <v>0</v>
      </c>
    </row>
    <row r="12538" spans="5:10" hidden="1" x14ac:dyDescent="0.25">
      <c r="F12538" s="597" t="s">
        <v>246</v>
      </c>
      <c r="G12538" s="598" t="s">
        <v>4996</v>
      </c>
      <c r="J12538" s="560">
        <f t="shared" si="411"/>
        <v>0</v>
      </c>
    </row>
    <row r="12539" spans="5:10" hidden="1" x14ac:dyDescent="0.25">
      <c r="F12539" s="597" t="s">
        <v>247</v>
      </c>
      <c r="G12539" s="598" t="s">
        <v>4995</v>
      </c>
      <c r="J12539" s="560">
        <f t="shared" si="411"/>
        <v>0</v>
      </c>
    </row>
    <row r="12540" spans="5:10" hidden="1" x14ac:dyDescent="0.25">
      <c r="F12540" s="597" t="s">
        <v>248</v>
      </c>
      <c r="G12540" s="598" t="s">
        <v>57</v>
      </c>
      <c r="J12540" s="560">
        <f t="shared" si="411"/>
        <v>0</v>
      </c>
    </row>
    <row r="12541" spans="5:10" hidden="1" x14ac:dyDescent="0.25">
      <c r="F12541" s="597" t="s">
        <v>249</v>
      </c>
      <c r="G12541" s="598" t="s">
        <v>250</v>
      </c>
      <c r="J12541" s="560">
        <f t="shared" si="411"/>
        <v>0</v>
      </c>
    </row>
    <row r="12542" spans="5:10" hidden="1" x14ac:dyDescent="0.25">
      <c r="F12542" s="597" t="s">
        <v>251</v>
      </c>
      <c r="G12542" s="598" t="s">
        <v>252</v>
      </c>
      <c r="J12542" s="560">
        <f t="shared" si="411"/>
        <v>0</v>
      </c>
    </row>
    <row r="12543" spans="5:10" ht="30" hidden="1" x14ac:dyDescent="0.25">
      <c r="F12543" s="597" t="s">
        <v>253</v>
      </c>
      <c r="G12543" s="598" t="s">
        <v>254</v>
      </c>
      <c r="J12543" s="560">
        <f t="shared" si="411"/>
        <v>0</v>
      </c>
    </row>
    <row r="12544" spans="5:10" hidden="1" x14ac:dyDescent="0.25">
      <c r="F12544" s="597" t="s">
        <v>255</v>
      </c>
      <c r="G12544" s="598" t="s">
        <v>256</v>
      </c>
      <c r="J12544" s="560">
        <f t="shared" si="411"/>
        <v>0</v>
      </c>
    </row>
    <row r="12545" spans="5:10" ht="30" hidden="1" x14ac:dyDescent="0.25">
      <c r="F12545" s="597" t="s">
        <v>257</v>
      </c>
      <c r="G12545" s="598" t="s">
        <v>258</v>
      </c>
      <c r="J12545" s="560">
        <f t="shared" si="411"/>
        <v>0</v>
      </c>
    </row>
    <row r="12546" spans="5:10" hidden="1" x14ac:dyDescent="0.25">
      <c r="F12546" s="597" t="s">
        <v>259</v>
      </c>
      <c r="G12546" s="598" t="s">
        <v>260</v>
      </c>
      <c r="J12546" s="560">
        <f t="shared" si="411"/>
        <v>0</v>
      </c>
    </row>
    <row r="12547" spans="5:10" hidden="1" x14ac:dyDescent="0.25">
      <c r="F12547" s="597" t="s">
        <v>261</v>
      </c>
      <c r="G12547" s="598" t="s">
        <v>262</v>
      </c>
      <c r="H12547" s="559"/>
      <c r="I12547" s="560"/>
      <c r="J12547" s="560">
        <f t="shared" si="411"/>
        <v>0</v>
      </c>
    </row>
    <row r="12548" spans="5:10" ht="15.75" hidden="1" thickBot="1" x14ac:dyDescent="0.3">
      <c r="G12548" s="268" t="s">
        <v>4357</v>
      </c>
      <c r="H12548" s="561">
        <f>SUM(H12532:H12547)</f>
        <v>0</v>
      </c>
      <c r="I12548" s="562">
        <f>SUM(I12533:I12547)</f>
        <v>0</v>
      </c>
      <c r="J12548" s="562">
        <f>SUM(J12532:J12547)</f>
        <v>0</v>
      </c>
    </row>
    <row r="12549" spans="5:10" hidden="1" collapsed="1" x14ac:dyDescent="0.25">
      <c r="E12549" s="489"/>
      <c r="F12549" s="500"/>
      <c r="G12549" s="270" t="s">
        <v>4977</v>
      </c>
      <c r="H12549" s="563"/>
      <c r="I12549" s="584"/>
      <c r="J12549" s="564"/>
    </row>
    <row r="12550" spans="5:10" hidden="1" x14ac:dyDescent="0.25">
      <c r="E12550" s="693"/>
      <c r="F12550" s="597" t="s">
        <v>234</v>
      </c>
      <c r="G12550" s="598" t="s">
        <v>235</v>
      </c>
      <c r="H12550" s="559">
        <f>SUM(H12471:H12530)</f>
        <v>0</v>
      </c>
      <c r="I12550" s="560"/>
      <c r="J12550" s="560">
        <f>SUM(H12550:I12550)</f>
        <v>0</v>
      </c>
    </row>
    <row r="12551" spans="5:10" hidden="1" x14ac:dyDescent="0.25">
      <c r="F12551" s="597" t="s">
        <v>236</v>
      </c>
      <c r="G12551" s="598" t="s">
        <v>237</v>
      </c>
      <c r="J12551" s="560">
        <f t="shared" ref="J12551:J12565" si="412">SUM(H12551:I12551)</f>
        <v>0</v>
      </c>
    </row>
    <row r="12552" spans="5:10" hidden="1" x14ac:dyDescent="0.25">
      <c r="F12552" s="597" t="s">
        <v>238</v>
      </c>
      <c r="G12552" s="598" t="s">
        <v>239</v>
      </c>
      <c r="J12552" s="560">
        <f t="shared" si="412"/>
        <v>0</v>
      </c>
    </row>
    <row r="12553" spans="5:10" hidden="1" x14ac:dyDescent="0.25">
      <c r="F12553" s="597" t="s">
        <v>240</v>
      </c>
      <c r="G12553" s="598" t="s">
        <v>241</v>
      </c>
      <c r="J12553" s="560">
        <f t="shared" si="412"/>
        <v>0</v>
      </c>
    </row>
    <row r="12554" spans="5:10" hidden="1" x14ac:dyDescent="0.25">
      <c r="F12554" s="597" t="s">
        <v>242</v>
      </c>
      <c r="G12554" s="598" t="s">
        <v>243</v>
      </c>
      <c r="J12554" s="560">
        <f t="shared" si="412"/>
        <v>0</v>
      </c>
    </row>
    <row r="12555" spans="5:10" hidden="1" x14ac:dyDescent="0.25">
      <c r="F12555" s="597" t="s">
        <v>244</v>
      </c>
      <c r="G12555" s="598" t="s">
        <v>245</v>
      </c>
      <c r="J12555" s="560">
        <f t="shared" si="412"/>
        <v>0</v>
      </c>
    </row>
    <row r="12556" spans="5:10" hidden="1" x14ac:dyDescent="0.25">
      <c r="F12556" s="597" t="s">
        <v>246</v>
      </c>
      <c r="G12556" s="598" t="s">
        <v>4996</v>
      </c>
      <c r="J12556" s="560">
        <f t="shared" si="412"/>
        <v>0</v>
      </c>
    </row>
    <row r="12557" spans="5:10" hidden="1" x14ac:dyDescent="0.25">
      <c r="F12557" s="597" t="s">
        <v>247</v>
      </c>
      <c r="G12557" s="598" t="s">
        <v>4995</v>
      </c>
      <c r="J12557" s="560">
        <f t="shared" si="412"/>
        <v>0</v>
      </c>
    </row>
    <row r="12558" spans="5:10" hidden="1" x14ac:dyDescent="0.25">
      <c r="F12558" s="597" t="s">
        <v>248</v>
      </c>
      <c r="G12558" s="598" t="s">
        <v>57</v>
      </c>
      <c r="J12558" s="560">
        <f t="shared" si="412"/>
        <v>0</v>
      </c>
    </row>
    <row r="12559" spans="5:10" hidden="1" x14ac:dyDescent="0.25">
      <c r="F12559" s="597" t="s">
        <v>249</v>
      </c>
      <c r="G12559" s="598" t="s">
        <v>250</v>
      </c>
      <c r="J12559" s="560">
        <f t="shared" si="412"/>
        <v>0</v>
      </c>
    </row>
    <row r="12560" spans="5:10" hidden="1" x14ac:dyDescent="0.25">
      <c r="F12560" s="597" t="s">
        <v>251</v>
      </c>
      <c r="G12560" s="598" t="s">
        <v>252</v>
      </c>
      <c r="J12560" s="560">
        <f t="shared" si="412"/>
        <v>0</v>
      </c>
    </row>
    <row r="12561" spans="3:10" ht="30" hidden="1" x14ac:dyDescent="0.25">
      <c r="F12561" s="597" t="s">
        <v>253</v>
      </c>
      <c r="G12561" s="598" t="s">
        <v>254</v>
      </c>
      <c r="J12561" s="560">
        <f t="shared" si="412"/>
        <v>0</v>
      </c>
    </row>
    <row r="12562" spans="3:10" hidden="1" x14ac:dyDescent="0.25">
      <c r="F12562" s="597" t="s">
        <v>255</v>
      </c>
      <c r="G12562" s="598" t="s">
        <v>256</v>
      </c>
      <c r="J12562" s="560">
        <f t="shared" si="412"/>
        <v>0</v>
      </c>
    </row>
    <row r="12563" spans="3:10" ht="30" hidden="1" x14ac:dyDescent="0.25">
      <c r="F12563" s="597" t="s">
        <v>257</v>
      </c>
      <c r="G12563" s="598" t="s">
        <v>258</v>
      </c>
      <c r="J12563" s="560">
        <f t="shared" si="412"/>
        <v>0</v>
      </c>
    </row>
    <row r="12564" spans="3:10" hidden="1" x14ac:dyDescent="0.25">
      <c r="F12564" s="597" t="s">
        <v>259</v>
      </c>
      <c r="G12564" s="598" t="s">
        <v>260</v>
      </c>
      <c r="J12564" s="560">
        <f t="shared" si="412"/>
        <v>0</v>
      </c>
    </row>
    <row r="12565" spans="3:10" hidden="1" x14ac:dyDescent="0.25">
      <c r="F12565" s="597" t="s">
        <v>261</v>
      </c>
      <c r="G12565" s="598" t="s">
        <v>262</v>
      </c>
      <c r="H12565" s="559"/>
      <c r="I12565" s="560"/>
      <c r="J12565" s="560">
        <f t="shared" si="412"/>
        <v>0</v>
      </c>
    </row>
    <row r="12566" spans="3:10" ht="15.75" hidden="1" thickBot="1" x14ac:dyDescent="0.3">
      <c r="G12566" s="268" t="s">
        <v>4925</v>
      </c>
      <c r="H12566" s="561">
        <f>SUM(H12550:H12565)</f>
        <v>0</v>
      </c>
      <c r="I12566" s="562">
        <f>SUM(I12551:I12565)</f>
        <v>0</v>
      </c>
      <c r="J12566" s="562">
        <f>SUM(J12550:J12565)</f>
        <v>0</v>
      </c>
    </row>
    <row r="12567" spans="3:10" hidden="1" x14ac:dyDescent="0.25">
      <c r="G12567" s="312"/>
      <c r="H12567" s="565"/>
      <c r="I12567" s="566"/>
      <c r="J12567" s="566"/>
    </row>
    <row r="12568" spans="3:10" hidden="1" x14ac:dyDescent="0.25">
      <c r="C12568" s="267" t="s">
        <v>4750</v>
      </c>
      <c r="D12568" s="259"/>
      <c r="G12568" s="493" t="s">
        <v>4196</v>
      </c>
    </row>
    <row r="12569" spans="3:10" hidden="1" x14ac:dyDescent="0.25">
      <c r="C12569" s="267"/>
      <c r="D12569" s="331">
        <v>820</v>
      </c>
      <c r="E12569" s="869"/>
      <c r="F12569" s="331"/>
      <c r="G12569" s="332" t="s">
        <v>207</v>
      </c>
    </row>
    <row r="12570" spans="3:10" hidden="1" x14ac:dyDescent="0.25">
      <c r="F12570" s="499">
        <v>411</v>
      </c>
      <c r="G12570" s="492" t="s">
        <v>4131</v>
      </c>
      <c r="J12570" s="556">
        <f>SUM(H12570:I12570)</f>
        <v>0</v>
      </c>
    </row>
    <row r="12571" spans="3:10" hidden="1" x14ac:dyDescent="0.25">
      <c r="F12571" s="499">
        <v>412</v>
      </c>
      <c r="G12571" s="488" t="s">
        <v>3766</v>
      </c>
      <c r="J12571" s="556">
        <f t="shared" ref="J12571:J12629" si="413">SUM(H12571:I12571)</f>
        <v>0</v>
      </c>
    </row>
    <row r="12572" spans="3:10" hidden="1" x14ac:dyDescent="0.25">
      <c r="F12572" s="499">
        <v>413</v>
      </c>
      <c r="G12572" s="492" t="s">
        <v>4132</v>
      </c>
      <c r="J12572" s="556">
        <f t="shared" si="413"/>
        <v>0</v>
      </c>
    </row>
    <row r="12573" spans="3:10" hidden="1" x14ac:dyDescent="0.25">
      <c r="F12573" s="499">
        <v>414</v>
      </c>
      <c r="G12573" s="492" t="s">
        <v>3769</v>
      </c>
      <c r="J12573" s="556">
        <f t="shared" si="413"/>
        <v>0</v>
      </c>
    </row>
    <row r="12574" spans="3:10" hidden="1" x14ac:dyDescent="0.25">
      <c r="F12574" s="499">
        <v>415</v>
      </c>
      <c r="G12574" s="492" t="s">
        <v>4141</v>
      </c>
      <c r="J12574" s="556">
        <f t="shared" si="413"/>
        <v>0</v>
      </c>
    </row>
    <row r="12575" spans="3:10" hidden="1" x14ac:dyDescent="0.25">
      <c r="F12575" s="499">
        <v>416</v>
      </c>
      <c r="G12575" s="492" t="s">
        <v>4142</v>
      </c>
      <c r="J12575" s="556">
        <f t="shared" si="413"/>
        <v>0</v>
      </c>
    </row>
    <row r="12576" spans="3:10" hidden="1" x14ac:dyDescent="0.25">
      <c r="F12576" s="499">
        <v>417</v>
      </c>
      <c r="G12576" s="492" t="s">
        <v>4143</v>
      </c>
      <c r="J12576" s="556">
        <f t="shared" si="413"/>
        <v>0</v>
      </c>
    </row>
    <row r="12577" spans="6:10" hidden="1" x14ac:dyDescent="0.25">
      <c r="F12577" s="499">
        <v>418</v>
      </c>
      <c r="G12577" s="492" t="s">
        <v>3775</v>
      </c>
      <c r="J12577" s="556">
        <f t="shared" si="413"/>
        <v>0</v>
      </c>
    </row>
    <row r="12578" spans="6:10" hidden="1" x14ac:dyDescent="0.25">
      <c r="F12578" s="499">
        <v>421</v>
      </c>
      <c r="G12578" s="492" t="s">
        <v>3779</v>
      </c>
      <c r="J12578" s="556">
        <f t="shared" si="413"/>
        <v>0</v>
      </c>
    </row>
    <row r="12579" spans="6:10" hidden="1" x14ac:dyDescent="0.25">
      <c r="F12579" s="499">
        <v>422</v>
      </c>
      <c r="G12579" s="492" t="s">
        <v>3780</v>
      </c>
      <c r="J12579" s="556">
        <f t="shared" si="413"/>
        <v>0</v>
      </c>
    </row>
    <row r="12580" spans="6:10" hidden="1" x14ac:dyDescent="0.25">
      <c r="F12580" s="499">
        <v>423</v>
      </c>
      <c r="G12580" s="492" t="s">
        <v>3781</v>
      </c>
      <c r="J12580" s="556">
        <f t="shared" si="413"/>
        <v>0</v>
      </c>
    </row>
    <row r="12581" spans="6:10" hidden="1" x14ac:dyDescent="0.25">
      <c r="F12581" s="499">
        <v>424</v>
      </c>
      <c r="G12581" s="492" t="s">
        <v>3783</v>
      </c>
      <c r="J12581" s="556">
        <f t="shared" si="413"/>
        <v>0</v>
      </c>
    </row>
    <row r="12582" spans="6:10" hidden="1" x14ac:dyDescent="0.25">
      <c r="F12582" s="499">
        <v>425</v>
      </c>
      <c r="G12582" s="492" t="s">
        <v>4144</v>
      </c>
      <c r="J12582" s="556">
        <f t="shared" si="413"/>
        <v>0</v>
      </c>
    </row>
    <row r="12583" spans="6:10" hidden="1" x14ac:dyDescent="0.25">
      <c r="F12583" s="499">
        <v>426</v>
      </c>
      <c r="G12583" s="492" t="s">
        <v>3787</v>
      </c>
      <c r="J12583" s="556">
        <f t="shared" si="413"/>
        <v>0</v>
      </c>
    </row>
    <row r="12584" spans="6:10" hidden="1" x14ac:dyDescent="0.25">
      <c r="F12584" s="499">
        <v>431</v>
      </c>
      <c r="G12584" s="492" t="s">
        <v>4145</v>
      </c>
      <c r="J12584" s="556">
        <f t="shared" si="413"/>
        <v>0</v>
      </c>
    </row>
    <row r="12585" spans="6:10" hidden="1" x14ac:dyDescent="0.25">
      <c r="F12585" s="499">
        <v>432</v>
      </c>
      <c r="G12585" s="492" t="s">
        <v>4146</v>
      </c>
      <c r="J12585" s="556">
        <f t="shared" si="413"/>
        <v>0</v>
      </c>
    </row>
    <row r="12586" spans="6:10" hidden="1" x14ac:dyDescent="0.25">
      <c r="F12586" s="499">
        <v>433</v>
      </c>
      <c r="G12586" s="492" t="s">
        <v>4147</v>
      </c>
      <c r="J12586" s="556">
        <f t="shared" si="413"/>
        <v>0</v>
      </c>
    </row>
    <row r="12587" spans="6:10" hidden="1" x14ac:dyDescent="0.25">
      <c r="F12587" s="499">
        <v>434</v>
      </c>
      <c r="G12587" s="492" t="s">
        <v>4148</v>
      </c>
      <c r="J12587" s="556">
        <f t="shared" si="413"/>
        <v>0</v>
      </c>
    </row>
    <row r="12588" spans="6:10" hidden="1" x14ac:dyDescent="0.25">
      <c r="F12588" s="499">
        <v>435</v>
      </c>
      <c r="G12588" s="492" t="s">
        <v>3794</v>
      </c>
      <c r="J12588" s="556">
        <f t="shared" si="413"/>
        <v>0</v>
      </c>
    </row>
    <row r="12589" spans="6:10" hidden="1" x14ac:dyDescent="0.25">
      <c r="F12589" s="499">
        <v>441</v>
      </c>
      <c r="G12589" s="492" t="s">
        <v>4149</v>
      </c>
      <c r="J12589" s="556">
        <f t="shared" si="413"/>
        <v>0</v>
      </c>
    </row>
    <row r="12590" spans="6:10" hidden="1" x14ac:dyDescent="0.25">
      <c r="F12590" s="499">
        <v>442</v>
      </c>
      <c r="G12590" s="492" t="s">
        <v>4150</v>
      </c>
      <c r="J12590" s="556">
        <f t="shared" si="413"/>
        <v>0</v>
      </c>
    </row>
    <row r="12591" spans="6:10" hidden="1" x14ac:dyDescent="0.25">
      <c r="F12591" s="499">
        <v>443</v>
      </c>
      <c r="G12591" s="492" t="s">
        <v>3799</v>
      </c>
      <c r="J12591" s="556">
        <f t="shared" si="413"/>
        <v>0</v>
      </c>
    </row>
    <row r="12592" spans="6:10" hidden="1" x14ac:dyDescent="0.25">
      <c r="F12592" s="499">
        <v>444</v>
      </c>
      <c r="G12592" s="492" t="s">
        <v>3800</v>
      </c>
      <c r="J12592" s="556">
        <f t="shared" si="413"/>
        <v>0</v>
      </c>
    </row>
    <row r="12593" spans="6:10" ht="30" hidden="1" x14ac:dyDescent="0.25">
      <c r="F12593" s="499">
        <v>4511</v>
      </c>
      <c r="G12593" s="263" t="s">
        <v>1690</v>
      </c>
      <c r="J12593" s="556">
        <f t="shared" si="413"/>
        <v>0</v>
      </c>
    </row>
    <row r="12594" spans="6:10" ht="30" hidden="1" x14ac:dyDescent="0.25">
      <c r="F12594" s="499">
        <v>4512</v>
      </c>
      <c r="G12594" s="263" t="s">
        <v>1699</v>
      </c>
      <c r="J12594" s="556">
        <f t="shared" si="413"/>
        <v>0</v>
      </c>
    </row>
    <row r="12595" spans="6:10" hidden="1" x14ac:dyDescent="0.25">
      <c r="F12595" s="499">
        <v>452</v>
      </c>
      <c r="G12595" s="492" t="s">
        <v>4151</v>
      </c>
      <c r="J12595" s="556">
        <f t="shared" si="413"/>
        <v>0</v>
      </c>
    </row>
    <row r="12596" spans="6:10" hidden="1" x14ac:dyDescent="0.25">
      <c r="F12596" s="499">
        <v>453</v>
      </c>
      <c r="G12596" s="492" t="s">
        <v>4152</v>
      </c>
      <c r="J12596" s="556">
        <f t="shared" si="413"/>
        <v>0</v>
      </c>
    </row>
    <row r="12597" spans="6:10" hidden="1" x14ac:dyDescent="0.25">
      <c r="F12597" s="499">
        <v>454</v>
      </c>
      <c r="G12597" s="492" t="s">
        <v>3805</v>
      </c>
      <c r="J12597" s="556">
        <f t="shared" si="413"/>
        <v>0</v>
      </c>
    </row>
    <row r="12598" spans="6:10" hidden="1" x14ac:dyDescent="0.25">
      <c r="F12598" s="499">
        <v>461</v>
      </c>
      <c r="G12598" s="492" t="s">
        <v>4133</v>
      </c>
      <c r="J12598" s="556">
        <f t="shared" si="413"/>
        <v>0</v>
      </c>
    </row>
    <row r="12599" spans="6:10" hidden="1" x14ac:dyDescent="0.25">
      <c r="F12599" s="499">
        <v>462</v>
      </c>
      <c r="G12599" s="492" t="s">
        <v>3808</v>
      </c>
      <c r="J12599" s="556">
        <f t="shared" si="413"/>
        <v>0</v>
      </c>
    </row>
    <row r="12600" spans="6:10" hidden="1" x14ac:dyDescent="0.25">
      <c r="F12600" s="499">
        <v>4631</v>
      </c>
      <c r="G12600" s="492" t="s">
        <v>3809</v>
      </c>
      <c r="J12600" s="556">
        <f t="shared" si="413"/>
        <v>0</v>
      </c>
    </row>
    <row r="12601" spans="6:10" hidden="1" x14ac:dyDescent="0.25">
      <c r="F12601" s="499">
        <v>4632</v>
      </c>
      <c r="G12601" s="492" t="s">
        <v>3810</v>
      </c>
      <c r="J12601" s="556">
        <f t="shared" si="413"/>
        <v>0</v>
      </c>
    </row>
    <row r="12602" spans="6:10" hidden="1" x14ac:dyDescent="0.25">
      <c r="F12602" s="499">
        <v>464</v>
      </c>
      <c r="G12602" s="492" t="s">
        <v>3811</v>
      </c>
      <c r="J12602" s="556">
        <f t="shared" si="413"/>
        <v>0</v>
      </c>
    </row>
    <row r="12603" spans="6:10" hidden="1" x14ac:dyDescent="0.25">
      <c r="F12603" s="499">
        <v>465</v>
      </c>
      <c r="G12603" s="492" t="s">
        <v>4134</v>
      </c>
      <c r="J12603" s="556">
        <f t="shared" si="413"/>
        <v>0</v>
      </c>
    </row>
    <row r="12604" spans="6:10" hidden="1" x14ac:dyDescent="0.25">
      <c r="F12604" s="499">
        <v>472</v>
      </c>
      <c r="G12604" s="492" t="s">
        <v>3815</v>
      </c>
      <c r="J12604" s="556">
        <f t="shared" si="413"/>
        <v>0</v>
      </c>
    </row>
    <row r="12605" spans="6:10" hidden="1" x14ac:dyDescent="0.25">
      <c r="F12605" s="499">
        <v>481</v>
      </c>
      <c r="G12605" s="492" t="s">
        <v>4153</v>
      </c>
      <c r="J12605" s="556">
        <f t="shared" si="413"/>
        <v>0</v>
      </c>
    </row>
    <row r="12606" spans="6:10" hidden="1" x14ac:dyDescent="0.25">
      <c r="F12606" s="499">
        <v>482</v>
      </c>
      <c r="G12606" s="492" t="s">
        <v>4154</v>
      </c>
      <c r="J12606" s="556">
        <f t="shared" si="413"/>
        <v>0</v>
      </c>
    </row>
    <row r="12607" spans="6:10" hidden="1" x14ac:dyDescent="0.25">
      <c r="F12607" s="499">
        <v>483</v>
      </c>
      <c r="G12607" s="496" t="s">
        <v>4155</v>
      </c>
      <c r="J12607" s="556">
        <f t="shared" si="413"/>
        <v>0</v>
      </c>
    </row>
    <row r="12608" spans="6:10" ht="30" hidden="1" x14ac:dyDescent="0.25">
      <c r="F12608" s="499">
        <v>484</v>
      </c>
      <c r="G12608" s="492" t="s">
        <v>4156</v>
      </c>
      <c r="J12608" s="556">
        <f t="shared" si="413"/>
        <v>0</v>
      </c>
    </row>
    <row r="12609" spans="6:10" ht="30" hidden="1" x14ac:dyDescent="0.25">
      <c r="F12609" s="499">
        <v>485</v>
      </c>
      <c r="G12609" s="492" t="s">
        <v>4157</v>
      </c>
      <c r="J12609" s="556">
        <f t="shared" si="413"/>
        <v>0</v>
      </c>
    </row>
    <row r="12610" spans="6:10" ht="30" hidden="1" x14ac:dyDescent="0.25">
      <c r="F12610" s="499">
        <v>489</v>
      </c>
      <c r="G12610" s="492" t="s">
        <v>3823</v>
      </c>
      <c r="J12610" s="556">
        <f t="shared" si="413"/>
        <v>0</v>
      </c>
    </row>
    <row r="12611" spans="6:10" hidden="1" x14ac:dyDescent="0.25">
      <c r="F12611" s="499">
        <v>494</v>
      </c>
      <c r="G12611" s="492" t="s">
        <v>4135</v>
      </c>
      <c r="J12611" s="556">
        <f t="shared" si="413"/>
        <v>0</v>
      </c>
    </row>
    <row r="12612" spans="6:10" ht="30" hidden="1" x14ac:dyDescent="0.25">
      <c r="F12612" s="499">
        <v>495</v>
      </c>
      <c r="G12612" s="492" t="s">
        <v>4136</v>
      </c>
      <c r="J12612" s="556">
        <f t="shared" si="413"/>
        <v>0</v>
      </c>
    </row>
    <row r="12613" spans="6:10" ht="30" hidden="1" x14ac:dyDescent="0.25">
      <c r="F12613" s="499">
        <v>496</v>
      </c>
      <c r="G12613" s="492" t="s">
        <v>4137</v>
      </c>
      <c r="J12613" s="556">
        <f t="shared" si="413"/>
        <v>0</v>
      </c>
    </row>
    <row r="12614" spans="6:10" ht="30" hidden="1" x14ac:dyDescent="0.25">
      <c r="F12614" s="499">
        <v>499</v>
      </c>
      <c r="G12614" s="492" t="s">
        <v>4138</v>
      </c>
      <c r="J12614" s="556">
        <f t="shared" si="413"/>
        <v>0</v>
      </c>
    </row>
    <row r="12615" spans="6:10" hidden="1" x14ac:dyDescent="0.25">
      <c r="F12615" s="499">
        <v>511</v>
      </c>
      <c r="G12615" s="496" t="s">
        <v>4158</v>
      </c>
      <c r="J12615" s="556">
        <f t="shared" si="413"/>
        <v>0</v>
      </c>
    </row>
    <row r="12616" spans="6:10" hidden="1" x14ac:dyDescent="0.25">
      <c r="F12616" s="499">
        <v>512</v>
      </c>
      <c r="G12616" s="496" t="s">
        <v>4159</v>
      </c>
      <c r="J12616" s="556">
        <f t="shared" si="413"/>
        <v>0</v>
      </c>
    </row>
    <row r="12617" spans="6:10" hidden="1" x14ac:dyDescent="0.25">
      <c r="F12617" s="499">
        <v>513</v>
      </c>
      <c r="G12617" s="496" t="s">
        <v>4160</v>
      </c>
      <c r="J12617" s="556">
        <f t="shared" si="413"/>
        <v>0</v>
      </c>
    </row>
    <row r="12618" spans="6:10" hidden="1" x14ac:dyDescent="0.25">
      <c r="F12618" s="499">
        <v>514</v>
      </c>
      <c r="G12618" s="492" t="s">
        <v>4161</v>
      </c>
      <c r="J12618" s="556">
        <f t="shared" si="413"/>
        <v>0</v>
      </c>
    </row>
    <row r="12619" spans="6:10" hidden="1" x14ac:dyDescent="0.25">
      <c r="F12619" s="499">
        <v>515</v>
      </c>
      <c r="G12619" s="492" t="s">
        <v>3834</v>
      </c>
      <c r="J12619" s="556">
        <f t="shared" si="413"/>
        <v>0</v>
      </c>
    </row>
    <row r="12620" spans="6:10" hidden="1" x14ac:dyDescent="0.25">
      <c r="F12620" s="499">
        <v>521</v>
      </c>
      <c r="G12620" s="492" t="s">
        <v>4162</v>
      </c>
      <c r="J12620" s="556">
        <f t="shared" si="413"/>
        <v>0</v>
      </c>
    </row>
    <row r="12621" spans="6:10" hidden="1" x14ac:dyDescent="0.25">
      <c r="F12621" s="499">
        <v>522</v>
      </c>
      <c r="G12621" s="492" t="s">
        <v>4163</v>
      </c>
      <c r="J12621" s="556">
        <f t="shared" si="413"/>
        <v>0</v>
      </c>
    </row>
    <row r="12622" spans="6:10" hidden="1" x14ac:dyDescent="0.25">
      <c r="F12622" s="499">
        <v>523</v>
      </c>
      <c r="G12622" s="492" t="s">
        <v>3839</v>
      </c>
      <c r="J12622" s="556">
        <f t="shared" si="413"/>
        <v>0</v>
      </c>
    </row>
    <row r="12623" spans="6:10" hidden="1" x14ac:dyDescent="0.25">
      <c r="F12623" s="499">
        <v>531</v>
      </c>
      <c r="G12623" s="488" t="s">
        <v>4139</v>
      </c>
      <c r="J12623" s="556">
        <f t="shared" si="413"/>
        <v>0</v>
      </c>
    </row>
    <row r="12624" spans="6:10" hidden="1" x14ac:dyDescent="0.25">
      <c r="F12624" s="499">
        <v>541</v>
      </c>
      <c r="G12624" s="492" t="s">
        <v>4164</v>
      </c>
      <c r="J12624" s="556">
        <f t="shared" si="413"/>
        <v>0</v>
      </c>
    </row>
    <row r="12625" spans="5:10" hidden="1" x14ac:dyDescent="0.25">
      <c r="F12625" s="499">
        <v>542</v>
      </c>
      <c r="G12625" s="492" t="s">
        <v>4165</v>
      </c>
      <c r="J12625" s="556">
        <f t="shared" si="413"/>
        <v>0</v>
      </c>
    </row>
    <row r="12626" spans="5:10" hidden="1" x14ac:dyDescent="0.25">
      <c r="F12626" s="499">
        <v>543</v>
      </c>
      <c r="G12626" s="492" t="s">
        <v>3844</v>
      </c>
      <c r="J12626" s="556">
        <f t="shared" si="413"/>
        <v>0</v>
      </c>
    </row>
    <row r="12627" spans="5:10" ht="30" hidden="1" x14ac:dyDescent="0.25">
      <c r="F12627" s="499">
        <v>551</v>
      </c>
      <c r="G12627" s="492" t="s">
        <v>4140</v>
      </c>
      <c r="J12627" s="556">
        <f t="shared" si="413"/>
        <v>0</v>
      </c>
    </row>
    <row r="12628" spans="5:10" hidden="1" x14ac:dyDescent="0.25">
      <c r="F12628" s="500">
        <v>611</v>
      </c>
      <c r="G12628" s="498" t="s">
        <v>3850</v>
      </c>
      <c r="J12628" s="556">
        <f t="shared" si="413"/>
        <v>0</v>
      </c>
    </row>
    <row r="12629" spans="5:10" hidden="1" x14ac:dyDescent="0.25">
      <c r="F12629" s="500">
        <v>620</v>
      </c>
      <c r="G12629" s="498" t="s">
        <v>88</v>
      </c>
      <c r="J12629" s="556">
        <f t="shared" si="413"/>
        <v>0</v>
      </c>
    </row>
    <row r="12630" spans="5:10" hidden="1" x14ac:dyDescent="0.25">
      <c r="E12630" s="489"/>
      <c r="F12630" s="500"/>
      <c r="G12630" s="342" t="s">
        <v>4356</v>
      </c>
      <c r="H12630" s="557"/>
      <c r="I12630" s="583"/>
      <c r="J12630" s="558"/>
    </row>
    <row r="12631" spans="5:10" hidden="1" x14ac:dyDescent="0.25">
      <c r="E12631" s="693"/>
      <c r="F12631" s="597" t="s">
        <v>234</v>
      </c>
      <c r="G12631" s="598" t="s">
        <v>235</v>
      </c>
      <c r="H12631" s="559">
        <f>SUM(H12570:H12629)</f>
        <v>0</v>
      </c>
      <c r="I12631" s="560"/>
      <c r="J12631" s="560">
        <f>SUM(H12631:I12631)</f>
        <v>0</v>
      </c>
    </row>
    <row r="12632" spans="5:10" hidden="1" x14ac:dyDescent="0.25">
      <c r="F12632" s="597" t="s">
        <v>236</v>
      </c>
      <c r="G12632" s="598" t="s">
        <v>237</v>
      </c>
      <c r="J12632" s="560">
        <f t="shared" ref="J12632:J12646" si="414">SUM(H12632:I12632)</f>
        <v>0</v>
      </c>
    </row>
    <row r="12633" spans="5:10" hidden="1" x14ac:dyDescent="0.25">
      <c r="F12633" s="597" t="s">
        <v>238</v>
      </c>
      <c r="G12633" s="598" t="s">
        <v>239</v>
      </c>
      <c r="J12633" s="560">
        <f t="shared" si="414"/>
        <v>0</v>
      </c>
    </row>
    <row r="12634" spans="5:10" hidden="1" x14ac:dyDescent="0.25">
      <c r="F12634" s="597" t="s">
        <v>240</v>
      </c>
      <c r="G12634" s="598" t="s">
        <v>241</v>
      </c>
      <c r="J12634" s="560">
        <f t="shared" si="414"/>
        <v>0</v>
      </c>
    </row>
    <row r="12635" spans="5:10" hidden="1" x14ac:dyDescent="0.25">
      <c r="F12635" s="597" t="s">
        <v>242</v>
      </c>
      <c r="G12635" s="598" t="s">
        <v>243</v>
      </c>
      <c r="J12635" s="560">
        <f t="shared" si="414"/>
        <v>0</v>
      </c>
    </row>
    <row r="12636" spans="5:10" hidden="1" x14ac:dyDescent="0.25">
      <c r="F12636" s="597" t="s">
        <v>244</v>
      </c>
      <c r="G12636" s="598" t="s">
        <v>245</v>
      </c>
      <c r="J12636" s="560">
        <f t="shared" si="414"/>
        <v>0</v>
      </c>
    </row>
    <row r="12637" spans="5:10" hidden="1" x14ac:dyDescent="0.25">
      <c r="F12637" s="597" t="s">
        <v>246</v>
      </c>
      <c r="G12637" s="598" t="s">
        <v>4996</v>
      </c>
      <c r="J12637" s="560">
        <f t="shared" si="414"/>
        <v>0</v>
      </c>
    </row>
    <row r="12638" spans="5:10" hidden="1" x14ac:dyDescent="0.25">
      <c r="F12638" s="597" t="s">
        <v>247</v>
      </c>
      <c r="G12638" s="598" t="s">
        <v>4995</v>
      </c>
      <c r="J12638" s="560">
        <f t="shared" si="414"/>
        <v>0</v>
      </c>
    </row>
    <row r="12639" spans="5:10" hidden="1" x14ac:dyDescent="0.25">
      <c r="F12639" s="597" t="s">
        <v>248</v>
      </c>
      <c r="G12639" s="598" t="s">
        <v>57</v>
      </c>
      <c r="J12639" s="560">
        <f t="shared" si="414"/>
        <v>0</v>
      </c>
    </row>
    <row r="12640" spans="5:10" hidden="1" x14ac:dyDescent="0.25">
      <c r="F12640" s="597" t="s">
        <v>249</v>
      </c>
      <c r="G12640" s="598" t="s">
        <v>250</v>
      </c>
      <c r="J12640" s="560">
        <f t="shared" si="414"/>
        <v>0</v>
      </c>
    </row>
    <row r="12641" spans="5:10" hidden="1" x14ac:dyDescent="0.25">
      <c r="F12641" s="597" t="s">
        <v>251</v>
      </c>
      <c r="G12641" s="598" t="s">
        <v>252</v>
      </c>
      <c r="J12641" s="560">
        <f t="shared" si="414"/>
        <v>0</v>
      </c>
    </row>
    <row r="12642" spans="5:10" ht="30" hidden="1" x14ac:dyDescent="0.25">
      <c r="F12642" s="597" t="s">
        <v>253</v>
      </c>
      <c r="G12642" s="598" t="s">
        <v>254</v>
      </c>
      <c r="J12642" s="560">
        <f t="shared" si="414"/>
        <v>0</v>
      </c>
    </row>
    <row r="12643" spans="5:10" hidden="1" x14ac:dyDescent="0.25">
      <c r="F12643" s="597" t="s">
        <v>255</v>
      </c>
      <c r="G12643" s="598" t="s">
        <v>256</v>
      </c>
      <c r="J12643" s="560">
        <f t="shared" si="414"/>
        <v>0</v>
      </c>
    </row>
    <row r="12644" spans="5:10" ht="30" hidden="1" x14ac:dyDescent="0.25">
      <c r="F12644" s="597" t="s">
        <v>257</v>
      </c>
      <c r="G12644" s="598" t="s">
        <v>258</v>
      </c>
      <c r="J12644" s="560">
        <f t="shared" si="414"/>
        <v>0</v>
      </c>
    </row>
    <row r="12645" spans="5:10" hidden="1" x14ac:dyDescent="0.25">
      <c r="F12645" s="597" t="s">
        <v>259</v>
      </c>
      <c r="G12645" s="598" t="s">
        <v>260</v>
      </c>
      <c r="J12645" s="560">
        <f t="shared" si="414"/>
        <v>0</v>
      </c>
    </row>
    <row r="12646" spans="5:10" hidden="1" x14ac:dyDescent="0.25">
      <c r="F12646" s="597" t="s">
        <v>261</v>
      </c>
      <c r="G12646" s="598" t="s">
        <v>262</v>
      </c>
      <c r="H12646" s="559"/>
      <c r="I12646" s="560"/>
      <c r="J12646" s="560">
        <f t="shared" si="414"/>
        <v>0</v>
      </c>
    </row>
    <row r="12647" spans="5:10" ht="15.75" hidden="1" thickBot="1" x14ac:dyDescent="0.3">
      <c r="G12647" s="268" t="s">
        <v>4357</v>
      </c>
      <c r="H12647" s="561">
        <f>SUM(H12631:H12646)</f>
        <v>0</v>
      </c>
      <c r="I12647" s="562">
        <f>SUM(I12632:I12646)</f>
        <v>0</v>
      </c>
      <c r="J12647" s="562">
        <f>SUM(J12631:J12646)</f>
        <v>0</v>
      </c>
    </row>
    <row r="12648" spans="5:10" hidden="1" collapsed="1" x14ac:dyDescent="0.25">
      <c r="E12648" s="489"/>
      <c r="F12648" s="500"/>
      <c r="G12648" s="270" t="s">
        <v>4978</v>
      </c>
      <c r="H12648" s="563"/>
      <c r="I12648" s="584"/>
      <c r="J12648" s="564"/>
    </row>
    <row r="12649" spans="5:10" hidden="1" x14ac:dyDescent="0.25">
      <c r="E12649" s="693"/>
      <c r="F12649" s="597" t="s">
        <v>234</v>
      </c>
      <c r="G12649" s="598" t="s">
        <v>235</v>
      </c>
      <c r="H12649" s="559">
        <f>SUM(H12570:H12629)</f>
        <v>0</v>
      </c>
      <c r="I12649" s="560"/>
      <c r="J12649" s="560">
        <f>SUM(H12649:I12649)</f>
        <v>0</v>
      </c>
    </row>
    <row r="12650" spans="5:10" hidden="1" x14ac:dyDescent="0.25">
      <c r="F12650" s="597" t="s">
        <v>236</v>
      </c>
      <c r="G12650" s="598" t="s">
        <v>237</v>
      </c>
      <c r="J12650" s="560">
        <f t="shared" ref="J12650:J12664" si="415">SUM(H12650:I12650)</f>
        <v>0</v>
      </c>
    </row>
    <row r="12651" spans="5:10" hidden="1" x14ac:dyDescent="0.25">
      <c r="F12651" s="597" t="s">
        <v>238</v>
      </c>
      <c r="G12651" s="598" t="s">
        <v>239</v>
      </c>
      <c r="J12651" s="560">
        <f t="shared" si="415"/>
        <v>0</v>
      </c>
    </row>
    <row r="12652" spans="5:10" hidden="1" x14ac:dyDescent="0.25">
      <c r="F12652" s="597" t="s">
        <v>240</v>
      </c>
      <c r="G12652" s="598" t="s">
        <v>241</v>
      </c>
      <c r="J12652" s="560">
        <f t="shared" si="415"/>
        <v>0</v>
      </c>
    </row>
    <row r="12653" spans="5:10" hidden="1" x14ac:dyDescent="0.25">
      <c r="F12653" s="597" t="s">
        <v>242</v>
      </c>
      <c r="G12653" s="598" t="s">
        <v>243</v>
      </c>
      <c r="J12653" s="560">
        <f t="shared" si="415"/>
        <v>0</v>
      </c>
    </row>
    <row r="12654" spans="5:10" hidden="1" x14ac:dyDescent="0.25">
      <c r="F12654" s="597" t="s">
        <v>244</v>
      </c>
      <c r="G12654" s="598" t="s">
        <v>245</v>
      </c>
      <c r="J12654" s="560">
        <f t="shared" si="415"/>
        <v>0</v>
      </c>
    </row>
    <row r="12655" spans="5:10" hidden="1" x14ac:dyDescent="0.25">
      <c r="F12655" s="597" t="s">
        <v>246</v>
      </c>
      <c r="G12655" s="598" t="s">
        <v>4996</v>
      </c>
      <c r="J12655" s="560">
        <f t="shared" si="415"/>
        <v>0</v>
      </c>
    </row>
    <row r="12656" spans="5:10" hidden="1" x14ac:dyDescent="0.25">
      <c r="F12656" s="597" t="s">
        <v>247</v>
      </c>
      <c r="G12656" s="598" t="s">
        <v>4995</v>
      </c>
      <c r="J12656" s="560">
        <f t="shared" si="415"/>
        <v>0</v>
      </c>
    </row>
    <row r="12657" spans="3:10" hidden="1" x14ac:dyDescent="0.25">
      <c r="F12657" s="597" t="s">
        <v>248</v>
      </c>
      <c r="G12657" s="598" t="s">
        <v>57</v>
      </c>
      <c r="J12657" s="560">
        <f t="shared" si="415"/>
        <v>0</v>
      </c>
    </row>
    <row r="12658" spans="3:10" hidden="1" x14ac:dyDescent="0.25">
      <c r="F12658" s="597" t="s">
        <v>249</v>
      </c>
      <c r="G12658" s="598" t="s">
        <v>250</v>
      </c>
      <c r="J12658" s="560">
        <f t="shared" si="415"/>
        <v>0</v>
      </c>
    </row>
    <row r="12659" spans="3:10" hidden="1" x14ac:dyDescent="0.25">
      <c r="F12659" s="597" t="s">
        <v>251</v>
      </c>
      <c r="G12659" s="598" t="s">
        <v>252</v>
      </c>
      <c r="J12659" s="560">
        <f t="shared" si="415"/>
        <v>0</v>
      </c>
    </row>
    <row r="12660" spans="3:10" ht="30" hidden="1" x14ac:dyDescent="0.25">
      <c r="F12660" s="597" t="s">
        <v>253</v>
      </c>
      <c r="G12660" s="598" t="s">
        <v>254</v>
      </c>
      <c r="J12660" s="560">
        <f t="shared" si="415"/>
        <v>0</v>
      </c>
    </row>
    <row r="12661" spans="3:10" hidden="1" x14ac:dyDescent="0.25">
      <c r="F12661" s="597" t="s">
        <v>255</v>
      </c>
      <c r="G12661" s="598" t="s">
        <v>256</v>
      </c>
      <c r="J12661" s="560">
        <f t="shared" si="415"/>
        <v>0</v>
      </c>
    </row>
    <row r="12662" spans="3:10" ht="30" hidden="1" x14ac:dyDescent="0.25">
      <c r="F12662" s="597" t="s">
        <v>257</v>
      </c>
      <c r="G12662" s="598" t="s">
        <v>258</v>
      </c>
      <c r="J12662" s="560">
        <f t="shared" si="415"/>
        <v>0</v>
      </c>
    </row>
    <row r="12663" spans="3:10" hidden="1" x14ac:dyDescent="0.25">
      <c r="F12663" s="597" t="s">
        <v>259</v>
      </c>
      <c r="G12663" s="598" t="s">
        <v>260</v>
      </c>
      <c r="J12663" s="560">
        <f t="shared" si="415"/>
        <v>0</v>
      </c>
    </row>
    <row r="12664" spans="3:10" hidden="1" x14ac:dyDescent="0.25">
      <c r="F12664" s="597" t="s">
        <v>261</v>
      </c>
      <c r="G12664" s="598" t="s">
        <v>262</v>
      </c>
      <c r="H12664" s="559"/>
      <c r="I12664" s="560"/>
      <c r="J12664" s="560">
        <f t="shared" si="415"/>
        <v>0</v>
      </c>
    </row>
    <row r="12665" spans="3:10" ht="15.75" hidden="1" thickBot="1" x14ac:dyDescent="0.3">
      <c r="G12665" s="268" t="s">
        <v>4979</v>
      </c>
      <c r="H12665" s="561">
        <f>SUM(H12649:H12664)</f>
        <v>0</v>
      </c>
      <c r="I12665" s="562">
        <f>SUM(I12650:I12664)</f>
        <v>0</v>
      </c>
      <c r="J12665" s="562">
        <f>SUM(J12649:J12664)</f>
        <v>0</v>
      </c>
    </row>
    <row r="12666" spans="3:10" hidden="1" x14ac:dyDescent="0.25">
      <c r="G12666" s="312"/>
      <c r="H12666" s="565"/>
      <c r="I12666" s="566"/>
      <c r="J12666" s="566"/>
    </row>
    <row r="12667" spans="3:10" hidden="1" x14ac:dyDescent="0.25">
      <c r="C12667" s="267" t="s">
        <v>4751</v>
      </c>
      <c r="D12667" s="259"/>
      <c r="G12667" s="493" t="s">
        <v>4196</v>
      </c>
    </row>
    <row r="12668" spans="3:10" hidden="1" x14ac:dyDescent="0.25">
      <c r="C12668" s="267"/>
      <c r="D12668" s="331">
        <v>820</v>
      </c>
      <c r="E12668" s="869"/>
      <c r="F12668" s="331"/>
      <c r="G12668" s="332" t="s">
        <v>207</v>
      </c>
    </row>
    <row r="12669" spans="3:10" hidden="1" x14ac:dyDescent="0.25">
      <c r="F12669" s="499">
        <v>411</v>
      </c>
      <c r="G12669" s="492" t="s">
        <v>4131</v>
      </c>
      <c r="J12669" s="556">
        <f>SUM(H12669:I12669)</f>
        <v>0</v>
      </c>
    </row>
    <row r="12670" spans="3:10" hidden="1" x14ac:dyDescent="0.25">
      <c r="F12670" s="499">
        <v>412</v>
      </c>
      <c r="G12670" s="488" t="s">
        <v>3766</v>
      </c>
      <c r="J12670" s="556">
        <f t="shared" ref="J12670:J12728" si="416">SUM(H12670:I12670)</f>
        <v>0</v>
      </c>
    </row>
    <row r="12671" spans="3:10" hidden="1" x14ac:dyDescent="0.25">
      <c r="F12671" s="499">
        <v>413</v>
      </c>
      <c r="G12671" s="492" t="s">
        <v>4132</v>
      </c>
      <c r="J12671" s="556">
        <f t="shared" si="416"/>
        <v>0</v>
      </c>
    </row>
    <row r="12672" spans="3:10" hidden="1" x14ac:dyDescent="0.25">
      <c r="F12672" s="499">
        <v>414</v>
      </c>
      <c r="G12672" s="492" t="s">
        <v>3769</v>
      </c>
      <c r="J12672" s="556">
        <f t="shared" si="416"/>
        <v>0</v>
      </c>
    </row>
    <row r="12673" spans="6:10" hidden="1" x14ac:dyDescent="0.25">
      <c r="F12673" s="499">
        <v>415</v>
      </c>
      <c r="G12673" s="492" t="s">
        <v>4141</v>
      </c>
      <c r="J12673" s="556">
        <f t="shared" si="416"/>
        <v>0</v>
      </c>
    </row>
    <row r="12674" spans="6:10" hidden="1" x14ac:dyDescent="0.25">
      <c r="F12674" s="499">
        <v>416</v>
      </c>
      <c r="G12674" s="492" t="s">
        <v>4142</v>
      </c>
      <c r="J12674" s="556">
        <f t="shared" si="416"/>
        <v>0</v>
      </c>
    </row>
    <row r="12675" spans="6:10" hidden="1" x14ac:dyDescent="0.25">
      <c r="F12675" s="499">
        <v>417</v>
      </c>
      <c r="G12675" s="492" t="s">
        <v>4143</v>
      </c>
      <c r="J12675" s="556">
        <f t="shared" si="416"/>
        <v>0</v>
      </c>
    </row>
    <row r="12676" spans="6:10" hidden="1" x14ac:dyDescent="0.25">
      <c r="F12676" s="499">
        <v>418</v>
      </c>
      <c r="G12676" s="492" t="s">
        <v>3775</v>
      </c>
      <c r="J12676" s="556">
        <f t="shared" si="416"/>
        <v>0</v>
      </c>
    </row>
    <row r="12677" spans="6:10" hidden="1" x14ac:dyDescent="0.25">
      <c r="F12677" s="499">
        <v>421</v>
      </c>
      <c r="G12677" s="492" t="s">
        <v>3779</v>
      </c>
      <c r="J12677" s="556">
        <f t="shared" si="416"/>
        <v>0</v>
      </c>
    </row>
    <row r="12678" spans="6:10" hidden="1" x14ac:dyDescent="0.25">
      <c r="F12678" s="499">
        <v>422</v>
      </c>
      <c r="G12678" s="492" t="s">
        <v>3780</v>
      </c>
      <c r="J12678" s="556">
        <f t="shared" si="416"/>
        <v>0</v>
      </c>
    </row>
    <row r="12679" spans="6:10" hidden="1" x14ac:dyDescent="0.25">
      <c r="F12679" s="499">
        <v>423</v>
      </c>
      <c r="G12679" s="492" t="s">
        <v>3781</v>
      </c>
      <c r="J12679" s="556">
        <f t="shared" si="416"/>
        <v>0</v>
      </c>
    </row>
    <row r="12680" spans="6:10" hidden="1" x14ac:dyDescent="0.25">
      <c r="F12680" s="499">
        <v>424</v>
      </c>
      <c r="G12680" s="492" t="s">
        <v>3783</v>
      </c>
      <c r="J12680" s="556">
        <f t="shared" si="416"/>
        <v>0</v>
      </c>
    </row>
    <row r="12681" spans="6:10" hidden="1" x14ac:dyDescent="0.25">
      <c r="F12681" s="499">
        <v>425</v>
      </c>
      <c r="G12681" s="492" t="s">
        <v>4144</v>
      </c>
      <c r="J12681" s="556">
        <f t="shared" si="416"/>
        <v>0</v>
      </c>
    </row>
    <row r="12682" spans="6:10" hidden="1" x14ac:dyDescent="0.25">
      <c r="F12682" s="499">
        <v>426</v>
      </c>
      <c r="G12682" s="492" t="s">
        <v>3787</v>
      </c>
      <c r="J12682" s="556">
        <f t="shared" si="416"/>
        <v>0</v>
      </c>
    </row>
    <row r="12683" spans="6:10" hidden="1" x14ac:dyDescent="0.25">
      <c r="F12683" s="499">
        <v>431</v>
      </c>
      <c r="G12683" s="492" t="s">
        <v>4145</v>
      </c>
      <c r="J12683" s="556">
        <f t="shared" si="416"/>
        <v>0</v>
      </c>
    </row>
    <row r="12684" spans="6:10" hidden="1" x14ac:dyDescent="0.25">
      <c r="F12684" s="499">
        <v>432</v>
      </c>
      <c r="G12684" s="492" t="s">
        <v>4146</v>
      </c>
      <c r="J12684" s="556">
        <f t="shared" si="416"/>
        <v>0</v>
      </c>
    </row>
    <row r="12685" spans="6:10" hidden="1" x14ac:dyDescent="0.25">
      <c r="F12685" s="499">
        <v>433</v>
      </c>
      <c r="G12685" s="492" t="s">
        <v>4147</v>
      </c>
      <c r="J12685" s="556">
        <f t="shared" si="416"/>
        <v>0</v>
      </c>
    </row>
    <row r="12686" spans="6:10" hidden="1" x14ac:dyDescent="0.25">
      <c r="F12686" s="499">
        <v>434</v>
      </c>
      <c r="G12686" s="492" t="s">
        <v>4148</v>
      </c>
      <c r="J12686" s="556">
        <f t="shared" si="416"/>
        <v>0</v>
      </c>
    </row>
    <row r="12687" spans="6:10" hidden="1" x14ac:dyDescent="0.25">
      <c r="F12687" s="499">
        <v>435</v>
      </c>
      <c r="G12687" s="492" t="s">
        <v>3794</v>
      </c>
      <c r="J12687" s="556">
        <f t="shared" si="416"/>
        <v>0</v>
      </c>
    </row>
    <row r="12688" spans="6:10" hidden="1" x14ac:dyDescent="0.25">
      <c r="F12688" s="499">
        <v>441</v>
      </c>
      <c r="G12688" s="492" t="s">
        <v>4149</v>
      </c>
      <c r="J12688" s="556">
        <f t="shared" si="416"/>
        <v>0</v>
      </c>
    </row>
    <row r="12689" spans="6:10" hidden="1" x14ac:dyDescent="0.25">
      <c r="F12689" s="499">
        <v>442</v>
      </c>
      <c r="G12689" s="492" t="s">
        <v>4150</v>
      </c>
      <c r="J12689" s="556">
        <f t="shared" si="416"/>
        <v>0</v>
      </c>
    </row>
    <row r="12690" spans="6:10" hidden="1" x14ac:dyDescent="0.25">
      <c r="F12690" s="499">
        <v>443</v>
      </c>
      <c r="G12690" s="492" t="s">
        <v>3799</v>
      </c>
      <c r="J12690" s="556">
        <f t="shared" si="416"/>
        <v>0</v>
      </c>
    </row>
    <row r="12691" spans="6:10" hidden="1" x14ac:dyDescent="0.25">
      <c r="F12691" s="499">
        <v>444</v>
      </c>
      <c r="G12691" s="492" t="s">
        <v>3800</v>
      </c>
      <c r="J12691" s="556">
        <f t="shared" si="416"/>
        <v>0</v>
      </c>
    </row>
    <row r="12692" spans="6:10" ht="30" hidden="1" x14ac:dyDescent="0.25">
      <c r="F12692" s="499">
        <v>4511</v>
      </c>
      <c r="G12692" s="263" t="s">
        <v>1690</v>
      </c>
      <c r="J12692" s="556">
        <f t="shared" si="416"/>
        <v>0</v>
      </c>
    </row>
    <row r="12693" spans="6:10" ht="30" hidden="1" x14ac:dyDescent="0.25">
      <c r="F12693" s="499">
        <v>4512</v>
      </c>
      <c r="G12693" s="263" t="s">
        <v>1699</v>
      </c>
      <c r="J12693" s="556">
        <f t="shared" si="416"/>
        <v>0</v>
      </c>
    </row>
    <row r="12694" spans="6:10" hidden="1" x14ac:dyDescent="0.25">
      <c r="F12694" s="499">
        <v>452</v>
      </c>
      <c r="G12694" s="492" t="s">
        <v>4151</v>
      </c>
      <c r="J12694" s="556">
        <f t="shared" si="416"/>
        <v>0</v>
      </c>
    </row>
    <row r="12695" spans="6:10" hidden="1" x14ac:dyDescent="0.25">
      <c r="F12695" s="499">
        <v>453</v>
      </c>
      <c r="G12695" s="492" t="s">
        <v>4152</v>
      </c>
      <c r="J12695" s="556">
        <f t="shared" si="416"/>
        <v>0</v>
      </c>
    </row>
    <row r="12696" spans="6:10" hidden="1" x14ac:dyDescent="0.25">
      <c r="F12696" s="499">
        <v>454</v>
      </c>
      <c r="G12696" s="492" t="s">
        <v>3805</v>
      </c>
      <c r="J12696" s="556">
        <f t="shared" si="416"/>
        <v>0</v>
      </c>
    </row>
    <row r="12697" spans="6:10" hidden="1" x14ac:dyDescent="0.25">
      <c r="F12697" s="499">
        <v>461</v>
      </c>
      <c r="G12697" s="492" t="s">
        <v>4133</v>
      </c>
      <c r="J12697" s="556">
        <f t="shared" si="416"/>
        <v>0</v>
      </c>
    </row>
    <row r="12698" spans="6:10" hidden="1" x14ac:dyDescent="0.25">
      <c r="F12698" s="499">
        <v>462</v>
      </c>
      <c r="G12698" s="492" t="s">
        <v>3808</v>
      </c>
      <c r="J12698" s="556">
        <f t="shared" si="416"/>
        <v>0</v>
      </c>
    </row>
    <row r="12699" spans="6:10" hidden="1" x14ac:dyDescent="0.25">
      <c r="F12699" s="499">
        <v>4631</v>
      </c>
      <c r="G12699" s="492" t="s">
        <v>3809</v>
      </c>
      <c r="J12699" s="556">
        <f t="shared" si="416"/>
        <v>0</v>
      </c>
    </row>
    <row r="12700" spans="6:10" hidden="1" x14ac:dyDescent="0.25">
      <c r="F12700" s="499">
        <v>4632</v>
      </c>
      <c r="G12700" s="492" t="s">
        <v>3810</v>
      </c>
      <c r="J12700" s="556">
        <f t="shared" si="416"/>
        <v>0</v>
      </c>
    </row>
    <row r="12701" spans="6:10" hidden="1" x14ac:dyDescent="0.25">
      <c r="F12701" s="499">
        <v>464</v>
      </c>
      <c r="G12701" s="492" t="s">
        <v>3811</v>
      </c>
      <c r="J12701" s="556">
        <f t="shared" si="416"/>
        <v>0</v>
      </c>
    </row>
    <row r="12702" spans="6:10" hidden="1" x14ac:dyDescent="0.25">
      <c r="F12702" s="499">
        <v>465</v>
      </c>
      <c r="G12702" s="492" t="s">
        <v>4134</v>
      </c>
      <c r="J12702" s="556">
        <f t="shared" si="416"/>
        <v>0</v>
      </c>
    </row>
    <row r="12703" spans="6:10" hidden="1" x14ac:dyDescent="0.25">
      <c r="F12703" s="499">
        <v>472</v>
      </c>
      <c r="G12703" s="492" t="s">
        <v>3815</v>
      </c>
      <c r="J12703" s="556">
        <f t="shared" si="416"/>
        <v>0</v>
      </c>
    </row>
    <row r="12704" spans="6:10" hidden="1" x14ac:dyDescent="0.25">
      <c r="F12704" s="499">
        <v>481</v>
      </c>
      <c r="G12704" s="492" t="s">
        <v>4153</v>
      </c>
      <c r="J12704" s="556">
        <f t="shared" si="416"/>
        <v>0</v>
      </c>
    </row>
    <row r="12705" spans="6:10" hidden="1" x14ac:dyDescent="0.25">
      <c r="F12705" s="499">
        <v>482</v>
      </c>
      <c r="G12705" s="492" t="s">
        <v>4154</v>
      </c>
      <c r="J12705" s="556">
        <f t="shared" si="416"/>
        <v>0</v>
      </c>
    </row>
    <row r="12706" spans="6:10" hidden="1" x14ac:dyDescent="0.25">
      <c r="F12706" s="499">
        <v>483</v>
      </c>
      <c r="G12706" s="496" t="s">
        <v>4155</v>
      </c>
      <c r="J12706" s="556">
        <f t="shared" si="416"/>
        <v>0</v>
      </c>
    </row>
    <row r="12707" spans="6:10" ht="30" hidden="1" x14ac:dyDescent="0.25">
      <c r="F12707" s="499">
        <v>484</v>
      </c>
      <c r="G12707" s="492" t="s">
        <v>4156</v>
      </c>
      <c r="J12707" s="556">
        <f t="shared" si="416"/>
        <v>0</v>
      </c>
    </row>
    <row r="12708" spans="6:10" ht="30" hidden="1" x14ac:dyDescent="0.25">
      <c r="F12708" s="499">
        <v>485</v>
      </c>
      <c r="G12708" s="492" t="s">
        <v>4157</v>
      </c>
      <c r="J12708" s="556">
        <f t="shared" si="416"/>
        <v>0</v>
      </c>
    </row>
    <row r="12709" spans="6:10" ht="30" hidden="1" x14ac:dyDescent="0.25">
      <c r="F12709" s="499">
        <v>489</v>
      </c>
      <c r="G12709" s="492" t="s">
        <v>3823</v>
      </c>
      <c r="J12709" s="556">
        <f t="shared" si="416"/>
        <v>0</v>
      </c>
    </row>
    <row r="12710" spans="6:10" hidden="1" x14ac:dyDescent="0.25">
      <c r="F12710" s="499">
        <v>494</v>
      </c>
      <c r="G12710" s="492" t="s">
        <v>4135</v>
      </c>
      <c r="J12710" s="556">
        <f t="shared" si="416"/>
        <v>0</v>
      </c>
    </row>
    <row r="12711" spans="6:10" ht="30" hidden="1" x14ac:dyDescent="0.25">
      <c r="F12711" s="499">
        <v>495</v>
      </c>
      <c r="G12711" s="492" t="s">
        <v>4136</v>
      </c>
      <c r="J12711" s="556">
        <f t="shared" si="416"/>
        <v>0</v>
      </c>
    </row>
    <row r="12712" spans="6:10" ht="30" hidden="1" x14ac:dyDescent="0.25">
      <c r="F12712" s="499">
        <v>496</v>
      </c>
      <c r="G12712" s="492" t="s">
        <v>4137</v>
      </c>
      <c r="J12712" s="556">
        <f t="shared" si="416"/>
        <v>0</v>
      </c>
    </row>
    <row r="12713" spans="6:10" ht="30" hidden="1" x14ac:dyDescent="0.25">
      <c r="F12713" s="499">
        <v>499</v>
      </c>
      <c r="G12713" s="492" t="s">
        <v>4138</v>
      </c>
      <c r="J12713" s="556">
        <f t="shared" si="416"/>
        <v>0</v>
      </c>
    </row>
    <row r="12714" spans="6:10" hidden="1" x14ac:dyDescent="0.25">
      <c r="F12714" s="499">
        <v>511</v>
      </c>
      <c r="G12714" s="496" t="s">
        <v>4158</v>
      </c>
      <c r="J12714" s="556">
        <f t="shared" si="416"/>
        <v>0</v>
      </c>
    </row>
    <row r="12715" spans="6:10" hidden="1" x14ac:dyDescent="0.25">
      <c r="F12715" s="499">
        <v>512</v>
      </c>
      <c r="G12715" s="496" t="s">
        <v>4159</v>
      </c>
      <c r="J12715" s="556">
        <f t="shared" si="416"/>
        <v>0</v>
      </c>
    </row>
    <row r="12716" spans="6:10" hidden="1" x14ac:dyDescent="0.25">
      <c r="F12716" s="499">
        <v>513</v>
      </c>
      <c r="G12716" s="496" t="s">
        <v>4160</v>
      </c>
      <c r="J12716" s="556">
        <f t="shared" si="416"/>
        <v>0</v>
      </c>
    </row>
    <row r="12717" spans="6:10" hidden="1" x14ac:dyDescent="0.25">
      <c r="F12717" s="499">
        <v>514</v>
      </c>
      <c r="G12717" s="492" t="s">
        <v>4161</v>
      </c>
      <c r="J12717" s="556">
        <f t="shared" si="416"/>
        <v>0</v>
      </c>
    </row>
    <row r="12718" spans="6:10" hidden="1" x14ac:dyDescent="0.25">
      <c r="F12718" s="499">
        <v>515</v>
      </c>
      <c r="G12718" s="492" t="s">
        <v>3834</v>
      </c>
      <c r="J12718" s="556">
        <f t="shared" si="416"/>
        <v>0</v>
      </c>
    </row>
    <row r="12719" spans="6:10" hidden="1" x14ac:dyDescent="0.25">
      <c r="F12719" s="499">
        <v>521</v>
      </c>
      <c r="G12719" s="492" t="s">
        <v>4162</v>
      </c>
      <c r="J12719" s="556">
        <f t="shared" si="416"/>
        <v>0</v>
      </c>
    </row>
    <row r="12720" spans="6:10" hidden="1" x14ac:dyDescent="0.25">
      <c r="F12720" s="499">
        <v>522</v>
      </c>
      <c r="G12720" s="492" t="s">
        <v>4163</v>
      </c>
      <c r="J12720" s="556">
        <f t="shared" si="416"/>
        <v>0</v>
      </c>
    </row>
    <row r="12721" spans="5:10" hidden="1" x14ac:dyDescent="0.25">
      <c r="F12721" s="499">
        <v>523</v>
      </c>
      <c r="G12721" s="492" t="s">
        <v>3839</v>
      </c>
      <c r="J12721" s="556">
        <f t="shared" si="416"/>
        <v>0</v>
      </c>
    </row>
    <row r="12722" spans="5:10" hidden="1" x14ac:dyDescent="0.25">
      <c r="F12722" s="499">
        <v>531</v>
      </c>
      <c r="G12722" s="488" t="s">
        <v>4139</v>
      </c>
      <c r="J12722" s="556">
        <f t="shared" si="416"/>
        <v>0</v>
      </c>
    </row>
    <row r="12723" spans="5:10" hidden="1" x14ac:dyDescent="0.25">
      <c r="F12723" s="499">
        <v>541</v>
      </c>
      <c r="G12723" s="492" t="s">
        <v>4164</v>
      </c>
      <c r="J12723" s="556">
        <f t="shared" si="416"/>
        <v>0</v>
      </c>
    </row>
    <row r="12724" spans="5:10" hidden="1" x14ac:dyDescent="0.25">
      <c r="F12724" s="499">
        <v>542</v>
      </c>
      <c r="G12724" s="492" t="s">
        <v>4165</v>
      </c>
      <c r="J12724" s="556">
        <f t="shared" si="416"/>
        <v>0</v>
      </c>
    </row>
    <row r="12725" spans="5:10" hidden="1" x14ac:dyDescent="0.25">
      <c r="F12725" s="499">
        <v>543</v>
      </c>
      <c r="G12725" s="492" t="s">
        <v>3844</v>
      </c>
      <c r="J12725" s="556">
        <f t="shared" si="416"/>
        <v>0</v>
      </c>
    </row>
    <row r="12726" spans="5:10" ht="30" hidden="1" x14ac:dyDescent="0.25">
      <c r="F12726" s="499">
        <v>551</v>
      </c>
      <c r="G12726" s="492" t="s">
        <v>4140</v>
      </c>
      <c r="J12726" s="556">
        <f t="shared" si="416"/>
        <v>0</v>
      </c>
    </row>
    <row r="12727" spans="5:10" hidden="1" x14ac:dyDescent="0.25">
      <c r="F12727" s="500">
        <v>611</v>
      </c>
      <c r="G12727" s="498" t="s">
        <v>3850</v>
      </c>
      <c r="J12727" s="556">
        <f t="shared" si="416"/>
        <v>0</v>
      </c>
    </row>
    <row r="12728" spans="5:10" hidden="1" x14ac:dyDescent="0.25">
      <c r="F12728" s="500">
        <v>620</v>
      </c>
      <c r="G12728" s="498" t="s">
        <v>88</v>
      </c>
      <c r="J12728" s="556">
        <f t="shared" si="416"/>
        <v>0</v>
      </c>
    </row>
    <row r="12729" spans="5:10" hidden="1" x14ac:dyDescent="0.25">
      <c r="E12729" s="489"/>
      <c r="F12729" s="500"/>
      <c r="G12729" s="342" t="s">
        <v>4356</v>
      </c>
      <c r="H12729" s="557"/>
      <c r="I12729" s="583"/>
      <c r="J12729" s="558"/>
    </row>
    <row r="12730" spans="5:10" hidden="1" x14ac:dyDescent="0.25">
      <c r="E12730" s="693"/>
      <c r="F12730" s="597" t="s">
        <v>234</v>
      </c>
      <c r="G12730" s="598" t="s">
        <v>235</v>
      </c>
      <c r="H12730" s="559">
        <f>SUM(H12669:H12728)</f>
        <v>0</v>
      </c>
      <c r="I12730" s="560"/>
      <c r="J12730" s="560">
        <f>SUM(H12730:I12730)</f>
        <v>0</v>
      </c>
    </row>
    <row r="12731" spans="5:10" hidden="1" x14ac:dyDescent="0.25">
      <c r="F12731" s="597" t="s">
        <v>236</v>
      </c>
      <c r="G12731" s="598" t="s">
        <v>237</v>
      </c>
      <c r="J12731" s="560">
        <f t="shared" ref="J12731:J12745" si="417">SUM(H12731:I12731)</f>
        <v>0</v>
      </c>
    </row>
    <row r="12732" spans="5:10" hidden="1" x14ac:dyDescent="0.25">
      <c r="F12732" s="597" t="s">
        <v>238</v>
      </c>
      <c r="G12732" s="598" t="s">
        <v>239</v>
      </c>
      <c r="J12732" s="560">
        <f t="shared" si="417"/>
        <v>0</v>
      </c>
    </row>
    <row r="12733" spans="5:10" hidden="1" x14ac:dyDescent="0.25">
      <c r="F12733" s="597" t="s">
        <v>240</v>
      </c>
      <c r="G12733" s="598" t="s">
        <v>241</v>
      </c>
      <c r="J12733" s="560">
        <f t="shared" si="417"/>
        <v>0</v>
      </c>
    </row>
    <row r="12734" spans="5:10" hidden="1" x14ac:dyDescent="0.25">
      <c r="F12734" s="597" t="s">
        <v>242</v>
      </c>
      <c r="G12734" s="598" t="s">
        <v>243</v>
      </c>
      <c r="J12734" s="560">
        <f t="shared" si="417"/>
        <v>0</v>
      </c>
    </row>
    <row r="12735" spans="5:10" hidden="1" x14ac:dyDescent="0.25">
      <c r="F12735" s="597" t="s">
        <v>244</v>
      </c>
      <c r="G12735" s="598" t="s">
        <v>245</v>
      </c>
      <c r="J12735" s="560">
        <f t="shared" si="417"/>
        <v>0</v>
      </c>
    </row>
    <row r="12736" spans="5:10" hidden="1" x14ac:dyDescent="0.25">
      <c r="F12736" s="597" t="s">
        <v>246</v>
      </c>
      <c r="G12736" s="598" t="s">
        <v>4996</v>
      </c>
      <c r="J12736" s="560">
        <f t="shared" si="417"/>
        <v>0</v>
      </c>
    </row>
    <row r="12737" spans="5:10" hidden="1" x14ac:dyDescent="0.25">
      <c r="F12737" s="597" t="s">
        <v>247</v>
      </c>
      <c r="G12737" s="598" t="s">
        <v>4995</v>
      </c>
      <c r="J12737" s="560">
        <f t="shared" si="417"/>
        <v>0</v>
      </c>
    </row>
    <row r="12738" spans="5:10" hidden="1" x14ac:dyDescent="0.25">
      <c r="F12738" s="597" t="s">
        <v>248</v>
      </c>
      <c r="G12738" s="598" t="s">
        <v>57</v>
      </c>
      <c r="J12738" s="560">
        <f t="shared" si="417"/>
        <v>0</v>
      </c>
    </row>
    <row r="12739" spans="5:10" hidden="1" x14ac:dyDescent="0.25">
      <c r="F12739" s="597" t="s">
        <v>249</v>
      </c>
      <c r="G12739" s="598" t="s">
        <v>250</v>
      </c>
      <c r="J12739" s="560">
        <f t="shared" si="417"/>
        <v>0</v>
      </c>
    </row>
    <row r="12740" spans="5:10" hidden="1" x14ac:dyDescent="0.25">
      <c r="F12740" s="597" t="s">
        <v>251</v>
      </c>
      <c r="G12740" s="598" t="s">
        <v>252</v>
      </c>
      <c r="J12740" s="560">
        <f t="shared" si="417"/>
        <v>0</v>
      </c>
    </row>
    <row r="12741" spans="5:10" ht="30" hidden="1" x14ac:dyDescent="0.25">
      <c r="F12741" s="597" t="s">
        <v>253</v>
      </c>
      <c r="G12741" s="598" t="s">
        <v>254</v>
      </c>
      <c r="J12741" s="560">
        <f t="shared" si="417"/>
        <v>0</v>
      </c>
    </row>
    <row r="12742" spans="5:10" hidden="1" x14ac:dyDescent="0.25">
      <c r="F12742" s="597" t="s">
        <v>255</v>
      </c>
      <c r="G12742" s="598" t="s">
        <v>256</v>
      </c>
      <c r="J12742" s="560">
        <f t="shared" si="417"/>
        <v>0</v>
      </c>
    </row>
    <row r="12743" spans="5:10" ht="30" hidden="1" x14ac:dyDescent="0.25">
      <c r="F12743" s="597" t="s">
        <v>257</v>
      </c>
      <c r="G12743" s="598" t="s">
        <v>258</v>
      </c>
      <c r="J12743" s="560">
        <f t="shared" si="417"/>
        <v>0</v>
      </c>
    </row>
    <row r="12744" spans="5:10" hidden="1" x14ac:dyDescent="0.25">
      <c r="F12744" s="597" t="s">
        <v>259</v>
      </c>
      <c r="G12744" s="598" t="s">
        <v>260</v>
      </c>
      <c r="J12744" s="560">
        <f t="shared" si="417"/>
        <v>0</v>
      </c>
    </row>
    <row r="12745" spans="5:10" hidden="1" x14ac:dyDescent="0.25">
      <c r="F12745" s="597" t="s">
        <v>261</v>
      </c>
      <c r="G12745" s="598" t="s">
        <v>262</v>
      </c>
      <c r="H12745" s="559"/>
      <c r="I12745" s="560"/>
      <c r="J12745" s="560">
        <f t="shared" si="417"/>
        <v>0</v>
      </c>
    </row>
    <row r="12746" spans="5:10" ht="15.75" hidden="1" thickBot="1" x14ac:dyDescent="0.3">
      <c r="G12746" s="268" t="s">
        <v>4357</v>
      </c>
      <c r="H12746" s="561">
        <f>SUM(H12730:H12745)</f>
        <v>0</v>
      </c>
      <c r="I12746" s="562">
        <f>SUM(I12731:I12745)</f>
        <v>0</v>
      </c>
      <c r="J12746" s="562">
        <f>SUM(J12730:J12745)</f>
        <v>0</v>
      </c>
    </row>
    <row r="12747" spans="5:10" hidden="1" collapsed="1" x14ac:dyDescent="0.25">
      <c r="E12747" s="489"/>
      <c r="F12747" s="500"/>
      <c r="G12747" s="270" t="s">
        <v>4980</v>
      </c>
      <c r="H12747" s="563"/>
      <c r="I12747" s="584"/>
      <c r="J12747" s="564"/>
    </row>
    <row r="12748" spans="5:10" hidden="1" x14ac:dyDescent="0.25">
      <c r="E12748" s="693"/>
      <c r="F12748" s="597" t="s">
        <v>234</v>
      </c>
      <c r="G12748" s="598" t="s">
        <v>235</v>
      </c>
      <c r="H12748" s="559">
        <f>SUM(H12669:H12728)</f>
        <v>0</v>
      </c>
      <c r="I12748" s="560"/>
      <c r="J12748" s="560">
        <f>SUM(H12748:I12748)</f>
        <v>0</v>
      </c>
    </row>
    <row r="12749" spans="5:10" hidden="1" x14ac:dyDescent="0.25">
      <c r="F12749" s="597" t="s">
        <v>236</v>
      </c>
      <c r="G12749" s="598" t="s">
        <v>237</v>
      </c>
      <c r="J12749" s="560">
        <f t="shared" ref="J12749:J12763" si="418">SUM(H12749:I12749)</f>
        <v>0</v>
      </c>
    </row>
    <row r="12750" spans="5:10" hidden="1" x14ac:dyDescent="0.25">
      <c r="F12750" s="597" t="s">
        <v>238</v>
      </c>
      <c r="G12750" s="598" t="s">
        <v>239</v>
      </c>
      <c r="J12750" s="560">
        <f t="shared" si="418"/>
        <v>0</v>
      </c>
    </row>
    <row r="12751" spans="5:10" hidden="1" x14ac:dyDescent="0.25">
      <c r="F12751" s="597" t="s">
        <v>240</v>
      </c>
      <c r="G12751" s="598" t="s">
        <v>241</v>
      </c>
      <c r="J12751" s="560">
        <f t="shared" si="418"/>
        <v>0</v>
      </c>
    </row>
    <row r="12752" spans="5:10" hidden="1" x14ac:dyDescent="0.25">
      <c r="F12752" s="597" t="s">
        <v>242</v>
      </c>
      <c r="G12752" s="598" t="s">
        <v>243</v>
      </c>
      <c r="J12752" s="560">
        <f t="shared" si="418"/>
        <v>0</v>
      </c>
    </row>
    <row r="12753" spans="3:10" hidden="1" x14ac:dyDescent="0.25">
      <c r="F12753" s="597" t="s">
        <v>244</v>
      </c>
      <c r="G12753" s="598" t="s">
        <v>245</v>
      </c>
      <c r="J12753" s="560">
        <f t="shared" si="418"/>
        <v>0</v>
      </c>
    </row>
    <row r="12754" spans="3:10" hidden="1" x14ac:dyDescent="0.25">
      <c r="F12754" s="597" t="s">
        <v>246</v>
      </c>
      <c r="G12754" s="598" t="s">
        <v>4996</v>
      </c>
      <c r="J12754" s="560">
        <f t="shared" si="418"/>
        <v>0</v>
      </c>
    </row>
    <row r="12755" spans="3:10" hidden="1" x14ac:dyDescent="0.25">
      <c r="F12755" s="597" t="s">
        <v>247</v>
      </c>
      <c r="G12755" s="598" t="s">
        <v>4995</v>
      </c>
      <c r="J12755" s="560">
        <f t="shared" si="418"/>
        <v>0</v>
      </c>
    </row>
    <row r="12756" spans="3:10" hidden="1" x14ac:dyDescent="0.25">
      <c r="F12756" s="597" t="s">
        <v>248</v>
      </c>
      <c r="G12756" s="598" t="s">
        <v>57</v>
      </c>
      <c r="J12756" s="560">
        <f t="shared" si="418"/>
        <v>0</v>
      </c>
    </row>
    <row r="12757" spans="3:10" hidden="1" x14ac:dyDescent="0.25">
      <c r="F12757" s="597" t="s">
        <v>249</v>
      </c>
      <c r="G12757" s="598" t="s">
        <v>250</v>
      </c>
      <c r="J12757" s="560">
        <f t="shared" si="418"/>
        <v>0</v>
      </c>
    </row>
    <row r="12758" spans="3:10" hidden="1" x14ac:dyDescent="0.25">
      <c r="F12758" s="597" t="s">
        <v>251</v>
      </c>
      <c r="G12758" s="598" t="s">
        <v>252</v>
      </c>
      <c r="J12758" s="560">
        <f t="shared" si="418"/>
        <v>0</v>
      </c>
    </row>
    <row r="12759" spans="3:10" ht="30" hidden="1" x14ac:dyDescent="0.25">
      <c r="F12759" s="597" t="s">
        <v>253</v>
      </c>
      <c r="G12759" s="598" t="s">
        <v>254</v>
      </c>
      <c r="J12759" s="560">
        <f t="shared" si="418"/>
        <v>0</v>
      </c>
    </row>
    <row r="12760" spans="3:10" hidden="1" x14ac:dyDescent="0.25">
      <c r="F12760" s="597" t="s">
        <v>255</v>
      </c>
      <c r="G12760" s="598" t="s">
        <v>256</v>
      </c>
      <c r="J12760" s="560">
        <f t="shared" si="418"/>
        <v>0</v>
      </c>
    </row>
    <row r="12761" spans="3:10" ht="30" hidden="1" x14ac:dyDescent="0.25">
      <c r="F12761" s="597" t="s">
        <v>257</v>
      </c>
      <c r="G12761" s="598" t="s">
        <v>258</v>
      </c>
      <c r="J12761" s="560">
        <f t="shared" si="418"/>
        <v>0</v>
      </c>
    </row>
    <row r="12762" spans="3:10" hidden="1" x14ac:dyDescent="0.25">
      <c r="F12762" s="597" t="s">
        <v>259</v>
      </c>
      <c r="G12762" s="598" t="s">
        <v>260</v>
      </c>
      <c r="J12762" s="560">
        <f t="shared" si="418"/>
        <v>0</v>
      </c>
    </row>
    <row r="12763" spans="3:10" hidden="1" x14ac:dyDescent="0.25">
      <c r="F12763" s="597" t="s">
        <v>261</v>
      </c>
      <c r="G12763" s="598" t="s">
        <v>262</v>
      </c>
      <c r="H12763" s="559"/>
      <c r="I12763" s="560"/>
      <c r="J12763" s="560">
        <f t="shared" si="418"/>
        <v>0</v>
      </c>
    </row>
    <row r="12764" spans="3:10" ht="15.75" hidden="1" thickBot="1" x14ac:dyDescent="0.3">
      <c r="G12764" s="268" t="s">
        <v>4981</v>
      </c>
      <c r="H12764" s="561">
        <f>SUM(H12748:H12763)</f>
        <v>0</v>
      </c>
      <c r="I12764" s="562">
        <f>SUM(I12749:I12763)</f>
        <v>0</v>
      </c>
      <c r="J12764" s="562">
        <f>SUM(J12748:J12763)</f>
        <v>0</v>
      </c>
    </row>
    <row r="12765" spans="3:10" hidden="1" x14ac:dyDescent="0.25">
      <c r="G12765" s="312"/>
      <c r="H12765" s="565"/>
      <c r="I12765" s="566"/>
      <c r="J12765" s="566"/>
    </row>
    <row r="12766" spans="3:10" hidden="1" x14ac:dyDescent="0.25">
      <c r="C12766" s="267" t="s">
        <v>4752</v>
      </c>
      <c r="D12766" s="259"/>
      <c r="G12766" s="493" t="s">
        <v>4196</v>
      </c>
    </row>
    <row r="12767" spans="3:10" hidden="1" x14ac:dyDescent="0.25">
      <c r="C12767" s="267"/>
      <c r="D12767" s="331">
        <v>820</v>
      </c>
      <c r="E12767" s="869"/>
      <c r="F12767" s="331"/>
      <c r="G12767" s="332" t="s">
        <v>207</v>
      </c>
    </row>
    <row r="12768" spans="3:10" hidden="1" x14ac:dyDescent="0.25">
      <c r="F12768" s="499">
        <v>411</v>
      </c>
      <c r="G12768" s="492" t="s">
        <v>4131</v>
      </c>
      <c r="J12768" s="556">
        <f>SUM(H12768:I12768)</f>
        <v>0</v>
      </c>
    </row>
    <row r="12769" spans="6:10" hidden="1" x14ac:dyDescent="0.25">
      <c r="F12769" s="499">
        <v>412</v>
      </c>
      <c r="G12769" s="488" t="s">
        <v>3766</v>
      </c>
      <c r="J12769" s="556">
        <f t="shared" ref="J12769:J12827" si="419">SUM(H12769:I12769)</f>
        <v>0</v>
      </c>
    </row>
    <row r="12770" spans="6:10" hidden="1" x14ac:dyDescent="0.25">
      <c r="F12770" s="499">
        <v>413</v>
      </c>
      <c r="G12770" s="492" t="s">
        <v>4132</v>
      </c>
      <c r="J12770" s="556">
        <f t="shared" si="419"/>
        <v>0</v>
      </c>
    </row>
    <row r="12771" spans="6:10" hidden="1" x14ac:dyDescent="0.25">
      <c r="F12771" s="499">
        <v>414</v>
      </c>
      <c r="G12771" s="492" t="s">
        <v>3769</v>
      </c>
      <c r="J12771" s="556">
        <f t="shared" si="419"/>
        <v>0</v>
      </c>
    </row>
    <row r="12772" spans="6:10" hidden="1" x14ac:dyDescent="0.25">
      <c r="F12772" s="499">
        <v>415</v>
      </c>
      <c r="G12772" s="492" t="s">
        <v>4141</v>
      </c>
      <c r="J12772" s="556">
        <f t="shared" si="419"/>
        <v>0</v>
      </c>
    </row>
    <row r="12773" spans="6:10" hidden="1" x14ac:dyDescent="0.25">
      <c r="F12773" s="499">
        <v>416</v>
      </c>
      <c r="G12773" s="492" t="s">
        <v>4142</v>
      </c>
      <c r="J12773" s="556">
        <f t="shared" si="419"/>
        <v>0</v>
      </c>
    </row>
    <row r="12774" spans="6:10" hidden="1" x14ac:dyDescent="0.25">
      <c r="F12774" s="499">
        <v>417</v>
      </c>
      <c r="G12774" s="492" t="s">
        <v>4143</v>
      </c>
      <c r="J12774" s="556">
        <f t="shared" si="419"/>
        <v>0</v>
      </c>
    </row>
    <row r="12775" spans="6:10" hidden="1" x14ac:dyDescent="0.25">
      <c r="F12775" s="499">
        <v>418</v>
      </c>
      <c r="G12775" s="492" t="s">
        <v>3775</v>
      </c>
      <c r="J12775" s="556">
        <f t="shared" si="419"/>
        <v>0</v>
      </c>
    </row>
    <row r="12776" spans="6:10" hidden="1" x14ac:dyDescent="0.25">
      <c r="F12776" s="499">
        <v>421</v>
      </c>
      <c r="G12776" s="492" t="s">
        <v>3779</v>
      </c>
      <c r="J12776" s="556">
        <f t="shared" si="419"/>
        <v>0</v>
      </c>
    </row>
    <row r="12777" spans="6:10" hidden="1" x14ac:dyDescent="0.25">
      <c r="F12777" s="499">
        <v>422</v>
      </c>
      <c r="G12777" s="492" t="s">
        <v>3780</v>
      </c>
      <c r="J12777" s="556">
        <f t="shared" si="419"/>
        <v>0</v>
      </c>
    </row>
    <row r="12778" spans="6:10" hidden="1" x14ac:dyDescent="0.25">
      <c r="F12778" s="499">
        <v>423</v>
      </c>
      <c r="G12778" s="492" t="s">
        <v>3781</v>
      </c>
      <c r="J12778" s="556">
        <f t="shared" si="419"/>
        <v>0</v>
      </c>
    </row>
    <row r="12779" spans="6:10" hidden="1" x14ac:dyDescent="0.25">
      <c r="F12779" s="499">
        <v>424</v>
      </c>
      <c r="G12779" s="492" t="s">
        <v>3783</v>
      </c>
      <c r="J12779" s="556">
        <f t="shared" si="419"/>
        <v>0</v>
      </c>
    </row>
    <row r="12780" spans="6:10" hidden="1" x14ac:dyDescent="0.25">
      <c r="F12780" s="499">
        <v>425</v>
      </c>
      <c r="G12780" s="492" t="s">
        <v>4144</v>
      </c>
      <c r="J12780" s="556">
        <f t="shared" si="419"/>
        <v>0</v>
      </c>
    </row>
    <row r="12781" spans="6:10" hidden="1" x14ac:dyDescent="0.25">
      <c r="F12781" s="499">
        <v>426</v>
      </c>
      <c r="G12781" s="492" t="s">
        <v>3787</v>
      </c>
      <c r="J12781" s="556">
        <f t="shared" si="419"/>
        <v>0</v>
      </c>
    </row>
    <row r="12782" spans="6:10" hidden="1" x14ac:dyDescent="0.25">
      <c r="F12782" s="499">
        <v>431</v>
      </c>
      <c r="G12782" s="492" t="s">
        <v>4145</v>
      </c>
      <c r="J12782" s="556">
        <f t="shared" si="419"/>
        <v>0</v>
      </c>
    </row>
    <row r="12783" spans="6:10" hidden="1" x14ac:dyDescent="0.25">
      <c r="F12783" s="499">
        <v>432</v>
      </c>
      <c r="G12783" s="492" t="s">
        <v>4146</v>
      </c>
      <c r="J12783" s="556">
        <f t="shared" si="419"/>
        <v>0</v>
      </c>
    </row>
    <row r="12784" spans="6:10" hidden="1" x14ac:dyDescent="0.25">
      <c r="F12784" s="499">
        <v>433</v>
      </c>
      <c r="G12784" s="492" t="s">
        <v>4147</v>
      </c>
      <c r="J12784" s="556">
        <f t="shared" si="419"/>
        <v>0</v>
      </c>
    </row>
    <row r="12785" spans="6:10" hidden="1" x14ac:dyDescent="0.25">
      <c r="F12785" s="499">
        <v>434</v>
      </c>
      <c r="G12785" s="492" t="s">
        <v>4148</v>
      </c>
      <c r="J12785" s="556">
        <f t="shared" si="419"/>
        <v>0</v>
      </c>
    </row>
    <row r="12786" spans="6:10" hidden="1" x14ac:dyDescent="0.25">
      <c r="F12786" s="499">
        <v>435</v>
      </c>
      <c r="G12786" s="492" t="s">
        <v>3794</v>
      </c>
      <c r="J12786" s="556">
        <f t="shared" si="419"/>
        <v>0</v>
      </c>
    </row>
    <row r="12787" spans="6:10" hidden="1" x14ac:dyDescent="0.25">
      <c r="F12787" s="499">
        <v>441</v>
      </c>
      <c r="G12787" s="492" t="s">
        <v>4149</v>
      </c>
      <c r="J12787" s="556">
        <f t="shared" si="419"/>
        <v>0</v>
      </c>
    </row>
    <row r="12788" spans="6:10" hidden="1" x14ac:dyDescent="0.25">
      <c r="F12788" s="499">
        <v>442</v>
      </c>
      <c r="G12788" s="492" t="s">
        <v>4150</v>
      </c>
      <c r="J12788" s="556">
        <f t="shared" si="419"/>
        <v>0</v>
      </c>
    </row>
    <row r="12789" spans="6:10" hidden="1" x14ac:dyDescent="0.25">
      <c r="F12789" s="499">
        <v>443</v>
      </c>
      <c r="G12789" s="492" t="s">
        <v>3799</v>
      </c>
      <c r="J12789" s="556">
        <f t="shared" si="419"/>
        <v>0</v>
      </c>
    </row>
    <row r="12790" spans="6:10" hidden="1" x14ac:dyDescent="0.25">
      <c r="F12790" s="499">
        <v>444</v>
      </c>
      <c r="G12790" s="492" t="s">
        <v>3800</v>
      </c>
      <c r="J12790" s="556">
        <f t="shared" si="419"/>
        <v>0</v>
      </c>
    </row>
    <row r="12791" spans="6:10" ht="30" hidden="1" x14ac:dyDescent="0.25">
      <c r="F12791" s="499">
        <v>4511</v>
      </c>
      <c r="G12791" s="263" t="s">
        <v>1690</v>
      </c>
      <c r="J12791" s="556">
        <f t="shared" si="419"/>
        <v>0</v>
      </c>
    </row>
    <row r="12792" spans="6:10" ht="30" hidden="1" x14ac:dyDescent="0.25">
      <c r="F12792" s="499">
        <v>4512</v>
      </c>
      <c r="G12792" s="263" t="s">
        <v>1699</v>
      </c>
      <c r="J12792" s="556">
        <f t="shared" si="419"/>
        <v>0</v>
      </c>
    </row>
    <row r="12793" spans="6:10" hidden="1" x14ac:dyDescent="0.25">
      <c r="F12793" s="499">
        <v>452</v>
      </c>
      <c r="G12793" s="492" t="s">
        <v>4151</v>
      </c>
      <c r="J12793" s="556">
        <f t="shared" si="419"/>
        <v>0</v>
      </c>
    </row>
    <row r="12794" spans="6:10" hidden="1" x14ac:dyDescent="0.25">
      <c r="F12794" s="499">
        <v>453</v>
      </c>
      <c r="G12794" s="492" t="s">
        <v>4152</v>
      </c>
      <c r="J12794" s="556">
        <f t="shared" si="419"/>
        <v>0</v>
      </c>
    </row>
    <row r="12795" spans="6:10" hidden="1" x14ac:dyDescent="0.25">
      <c r="F12795" s="499">
        <v>454</v>
      </c>
      <c r="G12795" s="492" t="s">
        <v>3805</v>
      </c>
      <c r="J12795" s="556">
        <f t="shared" si="419"/>
        <v>0</v>
      </c>
    </row>
    <row r="12796" spans="6:10" hidden="1" x14ac:dyDescent="0.25">
      <c r="F12796" s="499">
        <v>461</v>
      </c>
      <c r="G12796" s="492" t="s">
        <v>4133</v>
      </c>
      <c r="J12796" s="556">
        <f t="shared" si="419"/>
        <v>0</v>
      </c>
    </row>
    <row r="12797" spans="6:10" hidden="1" x14ac:dyDescent="0.25">
      <c r="F12797" s="499">
        <v>462</v>
      </c>
      <c r="G12797" s="492" t="s">
        <v>3808</v>
      </c>
      <c r="J12797" s="556">
        <f t="shared" si="419"/>
        <v>0</v>
      </c>
    </row>
    <row r="12798" spans="6:10" hidden="1" x14ac:dyDescent="0.25">
      <c r="F12798" s="499">
        <v>4631</v>
      </c>
      <c r="G12798" s="492" t="s">
        <v>3809</v>
      </c>
      <c r="J12798" s="556">
        <f t="shared" si="419"/>
        <v>0</v>
      </c>
    </row>
    <row r="12799" spans="6:10" hidden="1" x14ac:dyDescent="0.25">
      <c r="F12799" s="499">
        <v>4632</v>
      </c>
      <c r="G12799" s="492" t="s">
        <v>3810</v>
      </c>
      <c r="J12799" s="556">
        <f t="shared" si="419"/>
        <v>0</v>
      </c>
    </row>
    <row r="12800" spans="6:10" hidden="1" x14ac:dyDescent="0.25">
      <c r="F12800" s="499">
        <v>464</v>
      </c>
      <c r="G12800" s="492" t="s">
        <v>3811</v>
      </c>
      <c r="J12800" s="556">
        <f t="shared" si="419"/>
        <v>0</v>
      </c>
    </row>
    <row r="12801" spans="6:10" hidden="1" x14ac:dyDescent="0.25">
      <c r="F12801" s="499">
        <v>465</v>
      </c>
      <c r="G12801" s="492" t="s">
        <v>4134</v>
      </c>
      <c r="J12801" s="556">
        <f t="shared" si="419"/>
        <v>0</v>
      </c>
    </row>
    <row r="12802" spans="6:10" hidden="1" x14ac:dyDescent="0.25">
      <c r="F12802" s="499">
        <v>472</v>
      </c>
      <c r="G12802" s="492" t="s">
        <v>3815</v>
      </c>
      <c r="J12802" s="556">
        <f t="shared" si="419"/>
        <v>0</v>
      </c>
    </row>
    <row r="12803" spans="6:10" hidden="1" x14ac:dyDescent="0.25">
      <c r="F12803" s="499">
        <v>481</v>
      </c>
      <c r="G12803" s="492" t="s">
        <v>4153</v>
      </c>
      <c r="J12803" s="556">
        <f t="shared" si="419"/>
        <v>0</v>
      </c>
    </row>
    <row r="12804" spans="6:10" hidden="1" x14ac:dyDescent="0.25">
      <c r="F12804" s="499">
        <v>482</v>
      </c>
      <c r="G12804" s="492" t="s">
        <v>4154</v>
      </c>
      <c r="J12804" s="556">
        <f t="shared" si="419"/>
        <v>0</v>
      </c>
    </row>
    <row r="12805" spans="6:10" hidden="1" x14ac:dyDescent="0.25">
      <c r="F12805" s="499">
        <v>483</v>
      </c>
      <c r="G12805" s="496" t="s">
        <v>4155</v>
      </c>
      <c r="J12805" s="556">
        <f t="shared" si="419"/>
        <v>0</v>
      </c>
    </row>
    <row r="12806" spans="6:10" ht="30" hidden="1" x14ac:dyDescent="0.25">
      <c r="F12806" s="499">
        <v>484</v>
      </c>
      <c r="G12806" s="492" t="s">
        <v>4156</v>
      </c>
      <c r="J12806" s="556">
        <f t="shared" si="419"/>
        <v>0</v>
      </c>
    </row>
    <row r="12807" spans="6:10" ht="30" hidden="1" x14ac:dyDescent="0.25">
      <c r="F12807" s="499">
        <v>485</v>
      </c>
      <c r="G12807" s="492" t="s">
        <v>4157</v>
      </c>
      <c r="J12807" s="556">
        <f t="shared" si="419"/>
        <v>0</v>
      </c>
    </row>
    <row r="12808" spans="6:10" ht="30" hidden="1" x14ac:dyDescent="0.25">
      <c r="F12808" s="499">
        <v>489</v>
      </c>
      <c r="G12808" s="492" t="s">
        <v>3823</v>
      </c>
      <c r="J12808" s="556">
        <f t="shared" si="419"/>
        <v>0</v>
      </c>
    </row>
    <row r="12809" spans="6:10" hidden="1" x14ac:dyDescent="0.25">
      <c r="F12809" s="499">
        <v>494</v>
      </c>
      <c r="G12809" s="492" t="s">
        <v>4135</v>
      </c>
      <c r="J12809" s="556">
        <f t="shared" si="419"/>
        <v>0</v>
      </c>
    </row>
    <row r="12810" spans="6:10" ht="30" hidden="1" x14ac:dyDescent="0.25">
      <c r="F12810" s="499">
        <v>495</v>
      </c>
      <c r="G12810" s="492" t="s">
        <v>4136</v>
      </c>
      <c r="J12810" s="556">
        <f t="shared" si="419"/>
        <v>0</v>
      </c>
    </row>
    <row r="12811" spans="6:10" ht="30" hidden="1" x14ac:dyDescent="0.25">
      <c r="F12811" s="499">
        <v>496</v>
      </c>
      <c r="G12811" s="492" t="s">
        <v>4137</v>
      </c>
      <c r="J12811" s="556">
        <f t="shared" si="419"/>
        <v>0</v>
      </c>
    </row>
    <row r="12812" spans="6:10" ht="30" hidden="1" x14ac:dyDescent="0.25">
      <c r="F12812" s="499">
        <v>499</v>
      </c>
      <c r="G12812" s="492" t="s">
        <v>4138</v>
      </c>
      <c r="J12812" s="556">
        <f t="shared" si="419"/>
        <v>0</v>
      </c>
    </row>
    <row r="12813" spans="6:10" hidden="1" x14ac:dyDescent="0.25">
      <c r="F12813" s="499">
        <v>511</v>
      </c>
      <c r="G12813" s="496" t="s">
        <v>4158</v>
      </c>
      <c r="J12813" s="556">
        <f t="shared" si="419"/>
        <v>0</v>
      </c>
    </row>
    <row r="12814" spans="6:10" hidden="1" x14ac:dyDescent="0.25">
      <c r="F12814" s="499">
        <v>512</v>
      </c>
      <c r="G12814" s="496" t="s">
        <v>4159</v>
      </c>
      <c r="J12814" s="556">
        <f t="shared" si="419"/>
        <v>0</v>
      </c>
    </row>
    <row r="12815" spans="6:10" hidden="1" x14ac:dyDescent="0.25">
      <c r="F12815" s="499">
        <v>513</v>
      </c>
      <c r="G12815" s="496" t="s">
        <v>4160</v>
      </c>
      <c r="J12815" s="556">
        <f t="shared" si="419"/>
        <v>0</v>
      </c>
    </row>
    <row r="12816" spans="6:10" hidden="1" x14ac:dyDescent="0.25">
      <c r="F12816" s="499">
        <v>514</v>
      </c>
      <c r="G12816" s="492" t="s">
        <v>4161</v>
      </c>
      <c r="J12816" s="556">
        <f t="shared" si="419"/>
        <v>0</v>
      </c>
    </row>
    <row r="12817" spans="5:10" hidden="1" x14ac:dyDescent="0.25">
      <c r="F12817" s="499">
        <v>515</v>
      </c>
      <c r="G12817" s="492" t="s">
        <v>3834</v>
      </c>
      <c r="J12817" s="556">
        <f t="shared" si="419"/>
        <v>0</v>
      </c>
    </row>
    <row r="12818" spans="5:10" hidden="1" x14ac:dyDescent="0.25">
      <c r="F12818" s="499">
        <v>521</v>
      </c>
      <c r="G12818" s="492" t="s">
        <v>4162</v>
      </c>
      <c r="J12818" s="556">
        <f t="shared" si="419"/>
        <v>0</v>
      </c>
    </row>
    <row r="12819" spans="5:10" hidden="1" x14ac:dyDescent="0.25">
      <c r="F12819" s="499">
        <v>522</v>
      </c>
      <c r="G12819" s="492" t="s">
        <v>4163</v>
      </c>
      <c r="J12819" s="556">
        <f t="shared" si="419"/>
        <v>0</v>
      </c>
    </row>
    <row r="12820" spans="5:10" hidden="1" x14ac:dyDescent="0.25">
      <c r="F12820" s="499">
        <v>523</v>
      </c>
      <c r="G12820" s="492" t="s">
        <v>3839</v>
      </c>
      <c r="J12820" s="556">
        <f t="shared" si="419"/>
        <v>0</v>
      </c>
    </row>
    <row r="12821" spans="5:10" hidden="1" x14ac:dyDescent="0.25">
      <c r="F12821" s="499">
        <v>531</v>
      </c>
      <c r="G12821" s="488" t="s">
        <v>4139</v>
      </c>
      <c r="J12821" s="556">
        <f t="shared" si="419"/>
        <v>0</v>
      </c>
    </row>
    <row r="12822" spans="5:10" hidden="1" x14ac:dyDescent="0.25">
      <c r="F12822" s="499">
        <v>541</v>
      </c>
      <c r="G12822" s="492" t="s">
        <v>4164</v>
      </c>
      <c r="J12822" s="556">
        <f t="shared" si="419"/>
        <v>0</v>
      </c>
    </row>
    <row r="12823" spans="5:10" hidden="1" x14ac:dyDescent="0.25">
      <c r="F12823" s="499">
        <v>542</v>
      </c>
      <c r="G12823" s="492" t="s">
        <v>4165</v>
      </c>
      <c r="J12823" s="556">
        <f t="shared" si="419"/>
        <v>0</v>
      </c>
    </row>
    <row r="12824" spans="5:10" hidden="1" x14ac:dyDescent="0.25">
      <c r="F12824" s="499">
        <v>543</v>
      </c>
      <c r="G12824" s="492" t="s">
        <v>3844</v>
      </c>
      <c r="J12824" s="556">
        <f t="shared" si="419"/>
        <v>0</v>
      </c>
    </row>
    <row r="12825" spans="5:10" ht="30" hidden="1" x14ac:dyDescent="0.25">
      <c r="F12825" s="499">
        <v>551</v>
      </c>
      <c r="G12825" s="492" t="s">
        <v>4140</v>
      </c>
      <c r="J12825" s="556">
        <f t="shared" si="419"/>
        <v>0</v>
      </c>
    </row>
    <row r="12826" spans="5:10" hidden="1" x14ac:dyDescent="0.25">
      <c r="F12826" s="500">
        <v>611</v>
      </c>
      <c r="G12826" s="498" t="s">
        <v>3850</v>
      </c>
      <c r="J12826" s="556">
        <f t="shared" si="419"/>
        <v>0</v>
      </c>
    </row>
    <row r="12827" spans="5:10" hidden="1" x14ac:dyDescent="0.25">
      <c r="F12827" s="500">
        <v>620</v>
      </c>
      <c r="G12827" s="498" t="s">
        <v>88</v>
      </c>
      <c r="J12827" s="556">
        <f t="shared" si="419"/>
        <v>0</v>
      </c>
    </row>
    <row r="12828" spans="5:10" hidden="1" x14ac:dyDescent="0.25">
      <c r="E12828" s="489"/>
      <c r="F12828" s="500"/>
      <c r="G12828" s="342" t="s">
        <v>4356</v>
      </c>
      <c r="H12828" s="557"/>
      <c r="I12828" s="583"/>
      <c r="J12828" s="558"/>
    </row>
    <row r="12829" spans="5:10" hidden="1" x14ac:dyDescent="0.25">
      <c r="E12829" s="693"/>
      <c r="F12829" s="597" t="s">
        <v>234</v>
      </c>
      <c r="G12829" s="598" t="s">
        <v>235</v>
      </c>
      <c r="H12829" s="559">
        <f>SUM(H12768:H12827)</f>
        <v>0</v>
      </c>
      <c r="I12829" s="560"/>
      <c r="J12829" s="560">
        <f>SUM(H12829:I12829)</f>
        <v>0</v>
      </c>
    </row>
    <row r="12830" spans="5:10" hidden="1" x14ac:dyDescent="0.25">
      <c r="F12830" s="597" t="s">
        <v>236</v>
      </c>
      <c r="G12830" s="598" t="s">
        <v>237</v>
      </c>
      <c r="J12830" s="560">
        <f t="shared" ref="J12830:J12844" si="420">SUM(H12830:I12830)</f>
        <v>0</v>
      </c>
    </row>
    <row r="12831" spans="5:10" hidden="1" x14ac:dyDescent="0.25">
      <c r="F12831" s="597" t="s">
        <v>238</v>
      </c>
      <c r="G12831" s="598" t="s">
        <v>239</v>
      </c>
      <c r="J12831" s="560">
        <f t="shared" si="420"/>
        <v>0</v>
      </c>
    </row>
    <row r="12832" spans="5:10" hidden="1" x14ac:dyDescent="0.25">
      <c r="F12832" s="597" t="s">
        <v>240</v>
      </c>
      <c r="G12832" s="598" t="s">
        <v>241</v>
      </c>
      <c r="J12832" s="560">
        <f t="shared" si="420"/>
        <v>0</v>
      </c>
    </row>
    <row r="12833" spans="5:10" hidden="1" x14ac:dyDescent="0.25">
      <c r="F12833" s="597" t="s">
        <v>242</v>
      </c>
      <c r="G12833" s="598" t="s">
        <v>243</v>
      </c>
      <c r="J12833" s="560">
        <f t="shared" si="420"/>
        <v>0</v>
      </c>
    </row>
    <row r="12834" spans="5:10" hidden="1" x14ac:dyDescent="0.25">
      <c r="F12834" s="597" t="s">
        <v>244</v>
      </c>
      <c r="G12834" s="598" t="s">
        <v>245</v>
      </c>
      <c r="J12834" s="560">
        <f t="shared" si="420"/>
        <v>0</v>
      </c>
    </row>
    <row r="12835" spans="5:10" hidden="1" x14ac:dyDescent="0.25">
      <c r="F12835" s="597" t="s">
        <v>246</v>
      </c>
      <c r="G12835" s="598" t="s">
        <v>4996</v>
      </c>
      <c r="J12835" s="560">
        <f t="shared" si="420"/>
        <v>0</v>
      </c>
    </row>
    <row r="12836" spans="5:10" hidden="1" x14ac:dyDescent="0.25">
      <c r="F12836" s="597" t="s">
        <v>247</v>
      </c>
      <c r="G12836" s="598" t="s">
        <v>4995</v>
      </c>
      <c r="J12836" s="560">
        <f t="shared" si="420"/>
        <v>0</v>
      </c>
    </row>
    <row r="12837" spans="5:10" hidden="1" x14ac:dyDescent="0.25">
      <c r="F12837" s="597" t="s">
        <v>248</v>
      </c>
      <c r="G12837" s="598" t="s">
        <v>57</v>
      </c>
      <c r="J12837" s="560">
        <f t="shared" si="420"/>
        <v>0</v>
      </c>
    </row>
    <row r="12838" spans="5:10" hidden="1" x14ac:dyDescent="0.25">
      <c r="F12838" s="597" t="s">
        <v>249</v>
      </c>
      <c r="G12838" s="598" t="s">
        <v>250</v>
      </c>
      <c r="J12838" s="560">
        <f t="shared" si="420"/>
        <v>0</v>
      </c>
    </row>
    <row r="12839" spans="5:10" hidden="1" x14ac:dyDescent="0.25">
      <c r="F12839" s="597" t="s">
        <v>251</v>
      </c>
      <c r="G12839" s="598" t="s">
        <v>252</v>
      </c>
      <c r="J12839" s="560">
        <f t="shared" si="420"/>
        <v>0</v>
      </c>
    </row>
    <row r="12840" spans="5:10" ht="30" hidden="1" x14ac:dyDescent="0.25">
      <c r="F12840" s="597" t="s">
        <v>253</v>
      </c>
      <c r="G12840" s="598" t="s">
        <v>254</v>
      </c>
      <c r="J12840" s="560">
        <f t="shared" si="420"/>
        <v>0</v>
      </c>
    </row>
    <row r="12841" spans="5:10" hidden="1" x14ac:dyDescent="0.25">
      <c r="F12841" s="597" t="s">
        <v>255</v>
      </c>
      <c r="G12841" s="598" t="s">
        <v>256</v>
      </c>
      <c r="J12841" s="560">
        <f t="shared" si="420"/>
        <v>0</v>
      </c>
    </row>
    <row r="12842" spans="5:10" ht="30" hidden="1" x14ac:dyDescent="0.25">
      <c r="F12842" s="597" t="s">
        <v>257</v>
      </c>
      <c r="G12842" s="598" t="s">
        <v>258</v>
      </c>
      <c r="J12842" s="560">
        <f t="shared" si="420"/>
        <v>0</v>
      </c>
    </row>
    <row r="12843" spans="5:10" hidden="1" x14ac:dyDescent="0.25">
      <c r="F12843" s="597" t="s">
        <v>259</v>
      </c>
      <c r="G12843" s="598" t="s">
        <v>260</v>
      </c>
      <c r="J12843" s="560">
        <f t="shared" si="420"/>
        <v>0</v>
      </c>
    </row>
    <row r="12844" spans="5:10" hidden="1" x14ac:dyDescent="0.25">
      <c r="F12844" s="597" t="s">
        <v>261</v>
      </c>
      <c r="G12844" s="598" t="s">
        <v>262</v>
      </c>
      <c r="H12844" s="559"/>
      <c r="I12844" s="560"/>
      <c r="J12844" s="560">
        <f t="shared" si="420"/>
        <v>0</v>
      </c>
    </row>
    <row r="12845" spans="5:10" ht="15.75" hidden="1" thickBot="1" x14ac:dyDescent="0.3">
      <c r="G12845" s="268" t="s">
        <v>4357</v>
      </c>
      <c r="H12845" s="561">
        <f>SUM(H12829:H12844)</f>
        <v>0</v>
      </c>
      <c r="I12845" s="562">
        <f>SUM(I12830:I12844)</f>
        <v>0</v>
      </c>
      <c r="J12845" s="562">
        <f>SUM(J12829:J12844)</f>
        <v>0</v>
      </c>
    </row>
    <row r="12846" spans="5:10" hidden="1" collapsed="1" x14ac:dyDescent="0.25">
      <c r="E12846" s="489"/>
      <c r="F12846" s="500"/>
      <c r="G12846" s="270" t="s">
        <v>4982</v>
      </c>
      <c r="H12846" s="563"/>
      <c r="I12846" s="584"/>
      <c r="J12846" s="564"/>
    </row>
    <row r="12847" spans="5:10" hidden="1" x14ac:dyDescent="0.25">
      <c r="E12847" s="693"/>
      <c r="F12847" s="597" t="s">
        <v>234</v>
      </c>
      <c r="G12847" s="598" t="s">
        <v>235</v>
      </c>
      <c r="H12847" s="559">
        <f>SUM(H12768:H12827)</f>
        <v>0</v>
      </c>
      <c r="I12847" s="560"/>
      <c r="J12847" s="560">
        <f>SUM(H12847:I12847)</f>
        <v>0</v>
      </c>
    </row>
    <row r="12848" spans="5:10" hidden="1" x14ac:dyDescent="0.25">
      <c r="F12848" s="597" t="s">
        <v>236</v>
      </c>
      <c r="G12848" s="598" t="s">
        <v>237</v>
      </c>
      <c r="J12848" s="560">
        <f t="shared" ref="J12848:J12862" si="421">SUM(H12848:I12848)</f>
        <v>0</v>
      </c>
    </row>
    <row r="12849" spans="6:10" hidden="1" x14ac:dyDescent="0.25">
      <c r="F12849" s="597" t="s">
        <v>238</v>
      </c>
      <c r="G12849" s="598" t="s">
        <v>239</v>
      </c>
      <c r="J12849" s="560">
        <f t="shared" si="421"/>
        <v>0</v>
      </c>
    </row>
    <row r="12850" spans="6:10" hidden="1" x14ac:dyDescent="0.25">
      <c r="F12850" s="597" t="s">
        <v>240</v>
      </c>
      <c r="G12850" s="598" t="s">
        <v>241</v>
      </c>
      <c r="J12850" s="560">
        <f t="shared" si="421"/>
        <v>0</v>
      </c>
    </row>
    <row r="12851" spans="6:10" hidden="1" x14ac:dyDescent="0.25">
      <c r="F12851" s="597" t="s">
        <v>242</v>
      </c>
      <c r="G12851" s="598" t="s">
        <v>243</v>
      </c>
      <c r="J12851" s="560">
        <f t="shared" si="421"/>
        <v>0</v>
      </c>
    </row>
    <row r="12852" spans="6:10" hidden="1" x14ac:dyDescent="0.25">
      <c r="F12852" s="597" t="s">
        <v>244</v>
      </c>
      <c r="G12852" s="598" t="s">
        <v>245</v>
      </c>
      <c r="J12852" s="560">
        <f t="shared" si="421"/>
        <v>0</v>
      </c>
    </row>
    <row r="12853" spans="6:10" hidden="1" x14ac:dyDescent="0.25">
      <c r="F12853" s="597" t="s">
        <v>246</v>
      </c>
      <c r="G12853" s="598" t="s">
        <v>4996</v>
      </c>
      <c r="J12853" s="560">
        <f t="shared" si="421"/>
        <v>0</v>
      </c>
    </row>
    <row r="12854" spans="6:10" hidden="1" x14ac:dyDescent="0.25">
      <c r="F12854" s="597" t="s">
        <v>247</v>
      </c>
      <c r="G12854" s="598" t="s">
        <v>4995</v>
      </c>
      <c r="J12854" s="560">
        <f t="shared" si="421"/>
        <v>0</v>
      </c>
    </row>
    <row r="12855" spans="6:10" hidden="1" x14ac:dyDescent="0.25">
      <c r="F12855" s="597" t="s">
        <v>248</v>
      </c>
      <c r="G12855" s="598" t="s">
        <v>57</v>
      </c>
      <c r="J12855" s="560">
        <f t="shared" si="421"/>
        <v>0</v>
      </c>
    </row>
    <row r="12856" spans="6:10" hidden="1" x14ac:dyDescent="0.25">
      <c r="F12856" s="597" t="s">
        <v>249</v>
      </c>
      <c r="G12856" s="598" t="s">
        <v>250</v>
      </c>
      <c r="J12856" s="560">
        <f t="shared" si="421"/>
        <v>0</v>
      </c>
    </row>
    <row r="12857" spans="6:10" hidden="1" x14ac:dyDescent="0.25">
      <c r="F12857" s="597" t="s">
        <v>251</v>
      </c>
      <c r="G12857" s="598" t="s">
        <v>252</v>
      </c>
      <c r="J12857" s="560">
        <f t="shared" si="421"/>
        <v>0</v>
      </c>
    </row>
    <row r="12858" spans="6:10" ht="30" hidden="1" x14ac:dyDescent="0.25">
      <c r="F12858" s="597" t="s">
        <v>253</v>
      </c>
      <c r="G12858" s="598" t="s">
        <v>254</v>
      </c>
      <c r="J12858" s="560">
        <f t="shared" si="421"/>
        <v>0</v>
      </c>
    </row>
    <row r="12859" spans="6:10" hidden="1" x14ac:dyDescent="0.25">
      <c r="F12859" s="597" t="s">
        <v>255</v>
      </c>
      <c r="G12859" s="598" t="s">
        <v>256</v>
      </c>
      <c r="J12859" s="560">
        <f t="shared" si="421"/>
        <v>0</v>
      </c>
    </row>
    <row r="12860" spans="6:10" ht="30" hidden="1" x14ac:dyDescent="0.25">
      <c r="F12860" s="597" t="s">
        <v>257</v>
      </c>
      <c r="G12860" s="598" t="s">
        <v>258</v>
      </c>
      <c r="J12860" s="560">
        <f t="shared" si="421"/>
        <v>0</v>
      </c>
    </row>
    <row r="12861" spans="6:10" hidden="1" x14ac:dyDescent="0.25">
      <c r="F12861" s="597" t="s">
        <v>259</v>
      </c>
      <c r="G12861" s="598" t="s">
        <v>260</v>
      </c>
      <c r="J12861" s="560">
        <f t="shared" si="421"/>
        <v>0</v>
      </c>
    </row>
    <row r="12862" spans="6:10" hidden="1" x14ac:dyDescent="0.25">
      <c r="F12862" s="597" t="s">
        <v>261</v>
      </c>
      <c r="G12862" s="598" t="s">
        <v>262</v>
      </c>
      <c r="H12862" s="559"/>
      <c r="I12862" s="560"/>
      <c r="J12862" s="560">
        <f t="shared" si="421"/>
        <v>0</v>
      </c>
    </row>
    <row r="12863" spans="6:10" ht="15.75" hidden="1" thickBot="1" x14ac:dyDescent="0.3">
      <c r="G12863" s="268" t="s">
        <v>4983</v>
      </c>
      <c r="H12863" s="561">
        <f>SUM(H12847:H12862)</f>
        <v>0</v>
      </c>
      <c r="I12863" s="562">
        <f>SUM(I12848:I12862)</f>
        <v>0</v>
      </c>
      <c r="J12863" s="562">
        <f>SUM(J12847:J12862)</f>
        <v>0</v>
      </c>
    </row>
    <row r="12864" spans="6:10" hidden="1" x14ac:dyDescent="0.25">
      <c r="G12864" s="312"/>
      <c r="H12864" s="565"/>
      <c r="I12864" s="566"/>
      <c r="J12864" s="566"/>
    </row>
    <row r="12865" spans="3:10" hidden="1" x14ac:dyDescent="0.25">
      <c r="C12865" s="267" t="s">
        <v>4753</v>
      </c>
      <c r="D12865" s="259"/>
      <c r="G12865" s="493" t="s">
        <v>4196</v>
      </c>
    </row>
    <row r="12866" spans="3:10" hidden="1" x14ac:dyDescent="0.25">
      <c r="C12866" s="267"/>
      <c r="D12866" s="331">
        <v>820</v>
      </c>
      <c r="E12866" s="869"/>
      <c r="F12866" s="331"/>
      <c r="G12866" s="332" t="s">
        <v>207</v>
      </c>
    </row>
    <row r="12867" spans="3:10" hidden="1" x14ac:dyDescent="0.25">
      <c r="F12867" s="499">
        <v>411</v>
      </c>
      <c r="G12867" s="492" t="s">
        <v>4131</v>
      </c>
      <c r="J12867" s="556">
        <f>SUM(H12867:I12867)</f>
        <v>0</v>
      </c>
    </row>
    <row r="12868" spans="3:10" hidden="1" x14ac:dyDescent="0.25">
      <c r="F12868" s="499">
        <v>412</v>
      </c>
      <c r="G12868" s="488" t="s">
        <v>3766</v>
      </c>
      <c r="J12868" s="556">
        <f t="shared" ref="J12868:J12926" si="422">SUM(H12868:I12868)</f>
        <v>0</v>
      </c>
    </row>
    <row r="12869" spans="3:10" hidden="1" x14ac:dyDescent="0.25">
      <c r="F12869" s="499">
        <v>413</v>
      </c>
      <c r="G12869" s="492" t="s">
        <v>4132</v>
      </c>
      <c r="J12869" s="556">
        <f t="shared" si="422"/>
        <v>0</v>
      </c>
    </row>
    <row r="12870" spans="3:10" hidden="1" x14ac:dyDescent="0.25">
      <c r="F12870" s="499">
        <v>414</v>
      </c>
      <c r="G12870" s="492" t="s">
        <v>3769</v>
      </c>
      <c r="J12870" s="556">
        <f t="shared" si="422"/>
        <v>0</v>
      </c>
    </row>
    <row r="12871" spans="3:10" hidden="1" x14ac:dyDescent="0.25">
      <c r="F12871" s="499">
        <v>415</v>
      </c>
      <c r="G12871" s="492" t="s">
        <v>4141</v>
      </c>
      <c r="J12871" s="556">
        <f t="shared" si="422"/>
        <v>0</v>
      </c>
    </row>
    <row r="12872" spans="3:10" hidden="1" x14ac:dyDescent="0.25">
      <c r="F12872" s="499">
        <v>416</v>
      </c>
      <c r="G12872" s="492" t="s">
        <v>4142</v>
      </c>
      <c r="J12872" s="556">
        <f t="shared" si="422"/>
        <v>0</v>
      </c>
    </row>
    <row r="12873" spans="3:10" hidden="1" x14ac:dyDescent="0.25">
      <c r="F12873" s="499">
        <v>417</v>
      </c>
      <c r="G12873" s="492" t="s">
        <v>4143</v>
      </c>
      <c r="J12873" s="556">
        <f t="shared" si="422"/>
        <v>0</v>
      </c>
    </row>
    <row r="12874" spans="3:10" hidden="1" x14ac:dyDescent="0.25">
      <c r="F12874" s="499">
        <v>418</v>
      </c>
      <c r="G12874" s="492" t="s">
        <v>3775</v>
      </c>
      <c r="J12874" s="556">
        <f t="shared" si="422"/>
        <v>0</v>
      </c>
    </row>
    <row r="12875" spans="3:10" hidden="1" x14ac:dyDescent="0.25">
      <c r="F12875" s="499">
        <v>421</v>
      </c>
      <c r="G12875" s="492" t="s">
        <v>3779</v>
      </c>
      <c r="J12875" s="556">
        <f t="shared" si="422"/>
        <v>0</v>
      </c>
    </row>
    <row r="12876" spans="3:10" hidden="1" x14ac:dyDescent="0.25">
      <c r="F12876" s="499">
        <v>422</v>
      </c>
      <c r="G12876" s="492" t="s">
        <v>3780</v>
      </c>
      <c r="J12876" s="556">
        <f t="shared" si="422"/>
        <v>0</v>
      </c>
    </row>
    <row r="12877" spans="3:10" hidden="1" x14ac:dyDescent="0.25">
      <c r="F12877" s="499">
        <v>423</v>
      </c>
      <c r="G12877" s="492" t="s">
        <v>3781</v>
      </c>
      <c r="J12877" s="556">
        <f t="shared" si="422"/>
        <v>0</v>
      </c>
    </row>
    <row r="12878" spans="3:10" hidden="1" x14ac:dyDescent="0.25">
      <c r="F12878" s="499">
        <v>424</v>
      </c>
      <c r="G12878" s="492" t="s">
        <v>3783</v>
      </c>
      <c r="J12878" s="556">
        <f t="shared" si="422"/>
        <v>0</v>
      </c>
    </row>
    <row r="12879" spans="3:10" hidden="1" x14ac:dyDescent="0.25">
      <c r="F12879" s="499">
        <v>425</v>
      </c>
      <c r="G12879" s="492" t="s">
        <v>4144</v>
      </c>
      <c r="J12879" s="556">
        <f t="shared" si="422"/>
        <v>0</v>
      </c>
    </row>
    <row r="12880" spans="3:10" hidden="1" x14ac:dyDescent="0.25">
      <c r="F12880" s="499">
        <v>426</v>
      </c>
      <c r="G12880" s="492" t="s">
        <v>3787</v>
      </c>
      <c r="J12880" s="556">
        <f t="shared" si="422"/>
        <v>0</v>
      </c>
    </row>
    <row r="12881" spans="6:10" hidden="1" x14ac:dyDescent="0.25">
      <c r="F12881" s="499">
        <v>431</v>
      </c>
      <c r="G12881" s="492" t="s">
        <v>4145</v>
      </c>
      <c r="J12881" s="556">
        <f t="shared" si="422"/>
        <v>0</v>
      </c>
    </row>
    <row r="12882" spans="6:10" hidden="1" x14ac:dyDescent="0.25">
      <c r="F12882" s="499">
        <v>432</v>
      </c>
      <c r="G12882" s="492" t="s">
        <v>4146</v>
      </c>
      <c r="J12882" s="556">
        <f t="shared" si="422"/>
        <v>0</v>
      </c>
    </row>
    <row r="12883" spans="6:10" hidden="1" x14ac:dyDescent="0.25">
      <c r="F12883" s="499">
        <v>433</v>
      </c>
      <c r="G12883" s="492" t="s">
        <v>4147</v>
      </c>
      <c r="J12883" s="556">
        <f t="shared" si="422"/>
        <v>0</v>
      </c>
    </row>
    <row r="12884" spans="6:10" hidden="1" x14ac:dyDescent="0.25">
      <c r="F12884" s="499">
        <v>434</v>
      </c>
      <c r="G12884" s="492" t="s">
        <v>4148</v>
      </c>
      <c r="J12884" s="556">
        <f t="shared" si="422"/>
        <v>0</v>
      </c>
    </row>
    <row r="12885" spans="6:10" hidden="1" x14ac:dyDescent="0.25">
      <c r="F12885" s="499">
        <v>435</v>
      </c>
      <c r="G12885" s="492" t="s">
        <v>3794</v>
      </c>
      <c r="J12885" s="556">
        <f t="shared" si="422"/>
        <v>0</v>
      </c>
    </row>
    <row r="12886" spans="6:10" hidden="1" x14ac:dyDescent="0.25">
      <c r="F12886" s="499">
        <v>441</v>
      </c>
      <c r="G12886" s="492" t="s">
        <v>4149</v>
      </c>
      <c r="J12886" s="556">
        <f t="shared" si="422"/>
        <v>0</v>
      </c>
    </row>
    <row r="12887" spans="6:10" hidden="1" x14ac:dyDescent="0.25">
      <c r="F12887" s="499">
        <v>442</v>
      </c>
      <c r="G12887" s="492" t="s">
        <v>4150</v>
      </c>
      <c r="J12887" s="556">
        <f t="shared" si="422"/>
        <v>0</v>
      </c>
    </row>
    <row r="12888" spans="6:10" hidden="1" x14ac:dyDescent="0.25">
      <c r="F12888" s="499">
        <v>443</v>
      </c>
      <c r="G12888" s="492" t="s">
        <v>3799</v>
      </c>
      <c r="J12888" s="556">
        <f t="shared" si="422"/>
        <v>0</v>
      </c>
    </row>
    <row r="12889" spans="6:10" hidden="1" x14ac:dyDescent="0.25">
      <c r="F12889" s="499">
        <v>444</v>
      </c>
      <c r="G12889" s="492" t="s">
        <v>3800</v>
      </c>
      <c r="J12889" s="556">
        <f t="shared" si="422"/>
        <v>0</v>
      </c>
    </row>
    <row r="12890" spans="6:10" ht="30" hidden="1" x14ac:dyDescent="0.25">
      <c r="F12890" s="499">
        <v>4511</v>
      </c>
      <c r="G12890" s="263" t="s">
        <v>1690</v>
      </c>
      <c r="J12890" s="556">
        <f t="shared" si="422"/>
        <v>0</v>
      </c>
    </row>
    <row r="12891" spans="6:10" ht="30" hidden="1" x14ac:dyDescent="0.25">
      <c r="F12891" s="499">
        <v>4512</v>
      </c>
      <c r="G12891" s="263" t="s">
        <v>1699</v>
      </c>
      <c r="J12891" s="556">
        <f t="shared" si="422"/>
        <v>0</v>
      </c>
    </row>
    <row r="12892" spans="6:10" hidden="1" x14ac:dyDescent="0.25">
      <c r="F12892" s="499">
        <v>452</v>
      </c>
      <c r="G12892" s="492" t="s">
        <v>4151</v>
      </c>
      <c r="J12892" s="556">
        <f t="shared" si="422"/>
        <v>0</v>
      </c>
    </row>
    <row r="12893" spans="6:10" hidden="1" x14ac:dyDescent="0.25">
      <c r="F12893" s="499">
        <v>453</v>
      </c>
      <c r="G12893" s="492" t="s">
        <v>4152</v>
      </c>
      <c r="J12893" s="556">
        <f t="shared" si="422"/>
        <v>0</v>
      </c>
    </row>
    <row r="12894" spans="6:10" hidden="1" x14ac:dyDescent="0.25">
      <c r="F12894" s="499">
        <v>454</v>
      </c>
      <c r="G12894" s="492" t="s">
        <v>3805</v>
      </c>
      <c r="J12894" s="556">
        <f t="shared" si="422"/>
        <v>0</v>
      </c>
    </row>
    <row r="12895" spans="6:10" hidden="1" x14ac:dyDescent="0.25">
      <c r="F12895" s="499">
        <v>461</v>
      </c>
      <c r="G12895" s="492" t="s">
        <v>4133</v>
      </c>
      <c r="J12895" s="556">
        <f t="shared" si="422"/>
        <v>0</v>
      </c>
    </row>
    <row r="12896" spans="6:10" hidden="1" x14ac:dyDescent="0.25">
      <c r="F12896" s="499">
        <v>462</v>
      </c>
      <c r="G12896" s="492" t="s">
        <v>3808</v>
      </c>
      <c r="J12896" s="556">
        <f t="shared" si="422"/>
        <v>0</v>
      </c>
    </row>
    <row r="12897" spans="6:10" hidden="1" x14ac:dyDescent="0.25">
      <c r="F12897" s="499">
        <v>4631</v>
      </c>
      <c r="G12897" s="492" t="s">
        <v>3809</v>
      </c>
      <c r="J12897" s="556">
        <f t="shared" si="422"/>
        <v>0</v>
      </c>
    </row>
    <row r="12898" spans="6:10" hidden="1" x14ac:dyDescent="0.25">
      <c r="F12898" s="499">
        <v>4632</v>
      </c>
      <c r="G12898" s="492" t="s">
        <v>3810</v>
      </c>
      <c r="J12898" s="556">
        <f t="shared" si="422"/>
        <v>0</v>
      </c>
    </row>
    <row r="12899" spans="6:10" hidden="1" x14ac:dyDescent="0.25">
      <c r="F12899" s="499">
        <v>464</v>
      </c>
      <c r="G12899" s="492" t="s">
        <v>3811</v>
      </c>
      <c r="J12899" s="556">
        <f t="shared" si="422"/>
        <v>0</v>
      </c>
    </row>
    <row r="12900" spans="6:10" hidden="1" x14ac:dyDescent="0.25">
      <c r="F12900" s="499">
        <v>465</v>
      </c>
      <c r="G12900" s="492" t="s">
        <v>4134</v>
      </c>
      <c r="J12900" s="556">
        <f t="shared" si="422"/>
        <v>0</v>
      </c>
    </row>
    <row r="12901" spans="6:10" hidden="1" x14ac:dyDescent="0.25">
      <c r="F12901" s="499">
        <v>472</v>
      </c>
      <c r="G12901" s="492" t="s">
        <v>3815</v>
      </c>
      <c r="J12901" s="556">
        <f t="shared" si="422"/>
        <v>0</v>
      </c>
    </row>
    <row r="12902" spans="6:10" hidden="1" x14ac:dyDescent="0.25">
      <c r="F12902" s="499">
        <v>481</v>
      </c>
      <c r="G12902" s="492" t="s">
        <v>4153</v>
      </c>
      <c r="J12902" s="556">
        <f t="shared" si="422"/>
        <v>0</v>
      </c>
    </row>
    <row r="12903" spans="6:10" hidden="1" x14ac:dyDescent="0.25">
      <c r="F12903" s="499">
        <v>482</v>
      </c>
      <c r="G12903" s="492" t="s">
        <v>4154</v>
      </c>
      <c r="J12903" s="556">
        <f t="shared" si="422"/>
        <v>0</v>
      </c>
    </row>
    <row r="12904" spans="6:10" hidden="1" x14ac:dyDescent="0.25">
      <c r="F12904" s="499">
        <v>483</v>
      </c>
      <c r="G12904" s="496" t="s">
        <v>4155</v>
      </c>
      <c r="J12904" s="556">
        <f t="shared" si="422"/>
        <v>0</v>
      </c>
    </row>
    <row r="12905" spans="6:10" ht="30" hidden="1" x14ac:dyDescent="0.25">
      <c r="F12905" s="499">
        <v>484</v>
      </c>
      <c r="G12905" s="492" t="s">
        <v>4156</v>
      </c>
      <c r="J12905" s="556">
        <f t="shared" si="422"/>
        <v>0</v>
      </c>
    </row>
    <row r="12906" spans="6:10" ht="30" hidden="1" x14ac:dyDescent="0.25">
      <c r="F12906" s="499">
        <v>485</v>
      </c>
      <c r="G12906" s="492" t="s">
        <v>4157</v>
      </c>
      <c r="J12906" s="556">
        <f t="shared" si="422"/>
        <v>0</v>
      </c>
    </row>
    <row r="12907" spans="6:10" ht="30" hidden="1" x14ac:dyDescent="0.25">
      <c r="F12907" s="499">
        <v>489</v>
      </c>
      <c r="G12907" s="492" t="s">
        <v>3823</v>
      </c>
      <c r="J12907" s="556">
        <f t="shared" si="422"/>
        <v>0</v>
      </c>
    </row>
    <row r="12908" spans="6:10" hidden="1" x14ac:dyDescent="0.25">
      <c r="F12908" s="499">
        <v>494</v>
      </c>
      <c r="G12908" s="492" t="s">
        <v>4135</v>
      </c>
      <c r="J12908" s="556">
        <f t="shared" si="422"/>
        <v>0</v>
      </c>
    </row>
    <row r="12909" spans="6:10" ht="30" hidden="1" x14ac:dyDescent="0.25">
      <c r="F12909" s="499">
        <v>495</v>
      </c>
      <c r="G12909" s="492" t="s">
        <v>4136</v>
      </c>
      <c r="J12909" s="556">
        <f t="shared" si="422"/>
        <v>0</v>
      </c>
    </row>
    <row r="12910" spans="6:10" ht="30" hidden="1" x14ac:dyDescent="0.25">
      <c r="F12910" s="499">
        <v>496</v>
      </c>
      <c r="G12910" s="492" t="s">
        <v>4137</v>
      </c>
      <c r="J12910" s="556">
        <f t="shared" si="422"/>
        <v>0</v>
      </c>
    </row>
    <row r="12911" spans="6:10" ht="30" hidden="1" x14ac:dyDescent="0.25">
      <c r="F12911" s="499">
        <v>499</v>
      </c>
      <c r="G12911" s="492" t="s">
        <v>4138</v>
      </c>
      <c r="J12911" s="556">
        <f t="shared" si="422"/>
        <v>0</v>
      </c>
    </row>
    <row r="12912" spans="6:10" hidden="1" x14ac:dyDescent="0.25">
      <c r="F12912" s="499">
        <v>511</v>
      </c>
      <c r="G12912" s="496" t="s">
        <v>4158</v>
      </c>
      <c r="J12912" s="556">
        <f t="shared" si="422"/>
        <v>0</v>
      </c>
    </row>
    <row r="12913" spans="5:10" hidden="1" x14ac:dyDescent="0.25">
      <c r="F12913" s="499">
        <v>512</v>
      </c>
      <c r="G12913" s="496" t="s">
        <v>4159</v>
      </c>
      <c r="J12913" s="556">
        <f t="shared" si="422"/>
        <v>0</v>
      </c>
    </row>
    <row r="12914" spans="5:10" hidden="1" x14ac:dyDescent="0.25">
      <c r="F12914" s="499">
        <v>513</v>
      </c>
      <c r="G12914" s="496" t="s">
        <v>4160</v>
      </c>
      <c r="J12914" s="556">
        <f t="shared" si="422"/>
        <v>0</v>
      </c>
    </row>
    <row r="12915" spans="5:10" hidden="1" x14ac:dyDescent="0.25">
      <c r="F12915" s="499">
        <v>514</v>
      </c>
      <c r="G12915" s="492" t="s">
        <v>4161</v>
      </c>
      <c r="J12915" s="556">
        <f t="shared" si="422"/>
        <v>0</v>
      </c>
    </row>
    <row r="12916" spans="5:10" hidden="1" x14ac:dyDescent="0.25">
      <c r="F12916" s="499">
        <v>515</v>
      </c>
      <c r="G12916" s="492" t="s">
        <v>3834</v>
      </c>
      <c r="J12916" s="556">
        <f t="shared" si="422"/>
        <v>0</v>
      </c>
    </row>
    <row r="12917" spans="5:10" hidden="1" x14ac:dyDescent="0.25">
      <c r="F12917" s="499">
        <v>521</v>
      </c>
      <c r="G12917" s="492" t="s">
        <v>4162</v>
      </c>
      <c r="J12917" s="556">
        <f t="shared" si="422"/>
        <v>0</v>
      </c>
    </row>
    <row r="12918" spans="5:10" hidden="1" x14ac:dyDescent="0.25">
      <c r="F12918" s="499">
        <v>522</v>
      </c>
      <c r="G12918" s="492" t="s">
        <v>4163</v>
      </c>
      <c r="J12918" s="556">
        <f t="shared" si="422"/>
        <v>0</v>
      </c>
    </row>
    <row r="12919" spans="5:10" hidden="1" x14ac:dyDescent="0.25">
      <c r="F12919" s="499">
        <v>523</v>
      </c>
      <c r="G12919" s="492" t="s">
        <v>3839</v>
      </c>
      <c r="J12919" s="556">
        <f t="shared" si="422"/>
        <v>0</v>
      </c>
    </row>
    <row r="12920" spans="5:10" hidden="1" x14ac:dyDescent="0.25">
      <c r="F12920" s="499">
        <v>531</v>
      </c>
      <c r="G12920" s="488" t="s">
        <v>4139</v>
      </c>
      <c r="J12920" s="556">
        <f t="shared" si="422"/>
        <v>0</v>
      </c>
    </row>
    <row r="12921" spans="5:10" hidden="1" x14ac:dyDescent="0.25">
      <c r="F12921" s="499">
        <v>541</v>
      </c>
      <c r="G12921" s="492" t="s">
        <v>4164</v>
      </c>
      <c r="J12921" s="556">
        <f t="shared" si="422"/>
        <v>0</v>
      </c>
    </row>
    <row r="12922" spans="5:10" hidden="1" x14ac:dyDescent="0.25">
      <c r="F12922" s="499">
        <v>542</v>
      </c>
      <c r="G12922" s="492" t="s">
        <v>4165</v>
      </c>
      <c r="J12922" s="556">
        <f t="shared" si="422"/>
        <v>0</v>
      </c>
    </row>
    <row r="12923" spans="5:10" hidden="1" x14ac:dyDescent="0.25">
      <c r="F12923" s="499">
        <v>543</v>
      </c>
      <c r="G12923" s="492" t="s">
        <v>3844</v>
      </c>
      <c r="J12923" s="556">
        <f t="shared" si="422"/>
        <v>0</v>
      </c>
    </row>
    <row r="12924" spans="5:10" ht="30" hidden="1" x14ac:dyDescent="0.25">
      <c r="F12924" s="499">
        <v>551</v>
      </c>
      <c r="G12924" s="492" t="s">
        <v>4140</v>
      </c>
      <c r="J12924" s="556">
        <f t="shared" si="422"/>
        <v>0</v>
      </c>
    </row>
    <row r="12925" spans="5:10" hidden="1" x14ac:dyDescent="0.25">
      <c r="F12925" s="500">
        <v>611</v>
      </c>
      <c r="G12925" s="498" t="s">
        <v>3850</v>
      </c>
      <c r="J12925" s="556">
        <f t="shared" si="422"/>
        <v>0</v>
      </c>
    </row>
    <row r="12926" spans="5:10" hidden="1" x14ac:dyDescent="0.25">
      <c r="F12926" s="500">
        <v>620</v>
      </c>
      <c r="G12926" s="498" t="s">
        <v>88</v>
      </c>
      <c r="J12926" s="556">
        <f t="shared" si="422"/>
        <v>0</v>
      </c>
    </row>
    <row r="12927" spans="5:10" hidden="1" x14ac:dyDescent="0.25">
      <c r="E12927" s="489"/>
      <c r="F12927" s="500"/>
      <c r="G12927" s="342" t="s">
        <v>4356</v>
      </c>
      <c r="H12927" s="557"/>
      <c r="I12927" s="583"/>
      <c r="J12927" s="558"/>
    </row>
    <row r="12928" spans="5:10" hidden="1" x14ac:dyDescent="0.25">
      <c r="E12928" s="693"/>
      <c r="F12928" s="597" t="s">
        <v>234</v>
      </c>
      <c r="G12928" s="598" t="s">
        <v>235</v>
      </c>
      <c r="H12928" s="559">
        <f>SUM(H12867:H12926)</f>
        <v>0</v>
      </c>
      <c r="I12928" s="560"/>
      <c r="J12928" s="560">
        <f>SUM(H12928:I12928)</f>
        <v>0</v>
      </c>
    </row>
    <row r="12929" spans="6:10" hidden="1" x14ac:dyDescent="0.25">
      <c r="F12929" s="597" t="s">
        <v>236</v>
      </c>
      <c r="G12929" s="598" t="s">
        <v>237</v>
      </c>
      <c r="J12929" s="560">
        <f t="shared" ref="J12929:J12943" si="423">SUM(H12929:I12929)</f>
        <v>0</v>
      </c>
    </row>
    <row r="12930" spans="6:10" hidden="1" x14ac:dyDescent="0.25">
      <c r="F12930" s="597" t="s">
        <v>238</v>
      </c>
      <c r="G12930" s="598" t="s">
        <v>239</v>
      </c>
      <c r="J12930" s="560">
        <f t="shared" si="423"/>
        <v>0</v>
      </c>
    </row>
    <row r="12931" spans="6:10" hidden="1" x14ac:dyDescent="0.25">
      <c r="F12931" s="597" t="s">
        <v>240</v>
      </c>
      <c r="G12931" s="598" t="s">
        <v>241</v>
      </c>
      <c r="J12931" s="560">
        <f t="shared" si="423"/>
        <v>0</v>
      </c>
    </row>
    <row r="12932" spans="6:10" hidden="1" x14ac:dyDescent="0.25">
      <c r="F12932" s="597" t="s">
        <v>242</v>
      </c>
      <c r="G12932" s="598" t="s">
        <v>243</v>
      </c>
      <c r="J12932" s="560">
        <f t="shared" si="423"/>
        <v>0</v>
      </c>
    </row>
    <row r="12933" spans="6:10" hidden="1" x14ac:dyDescent="0.25">
      <c r="F12933" s="597" t="s">
        <v>244</v>
      </c>
      <c r="G12933" s="598" t="s">
        <v>245</v>
      </c>
      <c r="J12933" s="560">
        <f t="shared" si="423"/>
        <v>0</v>
      </c>
    </row>
    <row r="12934" spans="6:10" hidden="1" x14ac:dyDescent="0.25">
      <c r="F12934" s="597" t="s">
        <v>246</v>
      </c>
      <c r="G12934" s="598" t="s">
        <v>4996</v>
      </c>
      <c r="J12934" s="560">
        <f t="shared" si="423"/>
        <v>0</v>
      </c>
    </row>
    <row r="12935" spans="6:10" hidden="1" x14ac:dyDescent="0.25">
      <c r="F12935" s="597" t="s">
        <v>247</v>
      </c>
      <c r="G12935" s="598" t="s">
        <v>4995</v>
      </c>
      <c r="J12935" s="560">
        <f t="shared" si="423"/>
        <v>0</v>
      </c>
    </row>
    <row r="12936" spans="6:10" hidden="1" x14ac:dyDescent="0.25">
      <c r="F12936" s="597" t="s">
        <v>248</v>
      </c>
      <c r="G12936" s="598" t="s">
        <v>57</v>
      </c>
      <c r="J12936" s="560">
        <f t="shared" si="423"/>
        <v>0</v>
      </c>
    </row>
    <row r="12937" spans="6:10" hidden="1" x14ac:dyDescent="0.25">
      <c r="F12937" s="597" t="s">
        <v>249</v>
      </c>
      <c r="G12937" s="598" t="s">
        <v>250</v>
      </c>
      <c r="J12937" s="560">
        <f t="shared" si="423"/>
        <v>0</v>
      </c>
    </row>
    <row r="12938" spans="6:10" hidden="1" x14ac:dyDescent="0.25">
      <c r="F12938" s="597" t="s">
        <v>251</v>
      </c>
      <c r="G12938" s="598" t="s">
        <v>252</v>
      </c>
      <c r="J12938" s="560">
        <f t="shared" si="423"/>
        <v>0</v>
      </c>
    </row>
    <row r="12939" spans="6:10" ht="30" hidden="1" x14ac:dyDescent="0.25">
      <c r="F12939" s="597" t="s">
        <v>253</v>
      </c>
      <c r="G12939" s="598" t="s">
        <v>254</v>
      </c>
      <c r="J12939" s="560">
        <f t="shared" si="423"/>
        <v>0</v>
      </c>
    </row>
    <row r="12940" spans="6:10" hidden="1" x14ac:dyDescent="0.25">
      <c r="F12940" s="597" t="s">
        <v>255</v>
      </c>
      <c r="G12940" s="598" t="s">
        <v>256</v>
      </c>
      <c r="J12940" s="560">
        <f t="shared" si="423"/>
        <v>0</v>
      </c>
    </row>
    <row r="12941" spans="6:10" ht="30" hidden="1" x14ac:dyDescent="0.25">
      <c r="F12941" s="597" t="s">
        <v>257</v>
      </c>
      <c r="G12941" s="598" t="s">
        <v>258</v>
      </c>
      <c r="J12941" s="560">
        <f t="shared" si="423"/>
        <v>0</v>
      </c>
    </row>
    <row r="12942" spans="6:10" hidden="1" x14ac:dyDescent="0.25">
      <c r="F12942" s="597" t="s">
        <v>259</v>
      </c>
      <c r="G12942" s="598" t="s">
        <v>260</v>
      </c>
      <c r="J12942" s="560">
        <f t="shared" si="423"/>
        <v>0</v>
      </c>
    </row>
    <row r="12943" spans="6:10" hidden="1" x14ac:dyDescent="0.25">
      <c r="F12943" s="597" t="s">
        <v>261</v>
      </c>
      <c r="G12943" s="598" t="s">
        <v>262</v>
      </c>
      <c r="H12943" s="559"/>
      <c r="I12943" s="560"/>
      <c r="J12943" s="560">
        <f t="shared" si="423"/>
        <v>0</v>
      </c>
    </row>
    <row r="12944" spans="6:10" ht="15.75" hidden="1" thickBot="1" x14ac:dyDescent="0.3">
      <c r="G12944" s="268" t="s">
        <v>4357</v>
      </c>
      <c r="H12944" s="561">
        <f>SUM(H12928:H12943)</f>
        <v>0</v>
      </c>
      <c r="I12944" s="562">
        <f>SUM(I12929:I12943)</f>
        <v>0</v>
      </c>
      <c r="J12944" s="562">
        <f>SUM(J12928:J12943)</f>
        <v>0</v>
      </c>
    </row>
    <row r="12945" spans="5:10" hidden="1" collapsed="1" x14ac:dyDescent="0.25">
      <c r="E12945" s="489"/>
      <c r="F12945" s="500"/>
      <c r="G12945" s="270" t="s">
        <v>4984</v>
      </c>
      <c r="H12945" s="563"/>
      <c r="I12945" s="584"/>
      <c r="J12945" s="564"/>
    </row>
    <row r="12946" spans="5:10" hidden="1" x14ac:dyDescent="0.25">
      <c r="E12946" s="693"/>
      <c r="F12946" s="597" t="s">
        <v>234</v>
      </c>
      <c r="G12946" s="598" t="s">
        <v>235</v>
      </c>
      <c r="H12946" s="559">
        <f>SUM(H12867:H12926)</f>
        <v>0</v>
      </c>
      <c r="I12946" s="560"/>
      <c r="J12946" s="560">
        <f>SUM(H12946:I12946)</f>
        <v>0</v>
      </c>
    </row>
    <row r="12947" spans="5:10" hidden="1" x14ac:dyDescent="0.25">
      <c r="F12947" s="597" t="s">
        <v>236</v>
      </c>
      <c r="G12947" s="598" t="s">
        <v>237</v>
      </c>
      <c r="J12947" s="560">
        <f t="shared" ref="J12947:J12961" si="424">SUM(H12947:I12947)</f>
        <v>0</v>
      </c>
    </row>
    <row r="12948" spans="5:10" hidden="1" x14ac:dyDescent="0.25">
      <c r="F12948" s="597" t="s">
        <v>238</v>
      </c>
      <c r="G12948" s="598" t="s">
        <v>239</v>
      </c>
      <c r="J12948" s="560">
        <f t="shared" si="424"/>
        <v>0</v>
      </c>
    </row>
    <row r="12949" spans="5:10" hidden="1" x14ac:dyDescent="0.25">
      <c r="F12949" s="597" t="s">
        <v>240</v>
      </c>
      <c r="G12949" s="598" t="s">
        <v>241</v>
      </c>
      <c r="J12949" s="560">
        <f t="shared" si="424"/>
        <v>0</v>
      </c>
    </row>
    <row r="12950" spans="5:10" hidden="1" x14ac:dyDescent="0.25">
      <c r="F12950" s="597" t="s">
        <v>242</v>
      </c>
      <c r="G12950" s="598" t="s">
        <v>243</v>
      </c>
      <c r="J12950" s="560">
        <f t="shared" si="424"/>
        <v>0</v>
      </c>
    </row>
    <row r="12951" spans="5:10" hidden="1" x14ac:dyDescent="0.25">
      <c r="F12951" s="597" t="s">
        <v>244</v>
      </c>
      <c r="G12951" s="598" t="s">
        <v>245</v>
      </c>
      <c r="J12951" s="560">
        <f t="shared" si="424"/>
        <v>0</v>
      </c>
    </row>
    <row r="12952" spans="5:10" hidden="1" x14ac:dyDescent="0.25">
      <c r="F12952" s="597" t="s">
        <v>246</v>
      </c>
      <c r="G12952" s="598" t="s">
        <v>4996</v>
      </c>
      <c r="J12952" s="560">
        <f t="shared" si="424"/>
        <v>0</v>
      </c>
    </row>
    <row r="12953" spans="5:10" hidden="1" x14ac:dyDescent="0.25">
      <c r="F12953" s="597" t="s">
        <v>247</v>
      </c>
      <c r="G12953" s="598" t="s">
        <v>4995</v>
      </c>
      <c r="J12953" s="560">
        <f t="shared" si="424"/>
        <v>0</v>
      </c>
    </row>
    <row r="12954" spans="5:10" hidden="1" x14ac:dyDescent="0.25">
      <c r="F12954" s="597" t="s">
        <v>248</v>
      </c>
      <c r="G12954" s="598" t="s">
        <v>57</v>
      </c>
      <c r="J12954" s="560">
        <f t="shared" si="424"/>
        <v>0</v>
      </c>
    </row>
    <row r="12955" spans="5:10" hidden="1" x14ac:dyDescent="0.25">
      <c r="F12955" s="597" t="s">
        <v>249</v>
      </c>
      <c r="G12955" s="598" t="s">
        <v>250</v>
      </c>
      <c r="J12955" s="560">
        <f t="shared" si="424"/>
        <v>0</v>
      </c>
    </row>
    <row r="12956" spans="5:10" hidden="1" x14ac:dyDescent="0.25">
      <c r="F12956" s="597" t="s">
        <v>251</v>
      </c>
      <c r="G12956" s="598" t="s">
        <v>252</v>
      </c>
      <c r="J12956" s="560">
        <f t="shared" si="424"/>
        <v>0</v>
      </c>
    </row>
    <row r="12957" spans="5:10" ht="30" hidden="1" x14ac:dyDescent="0.25">
      <c r="F12957" s="597" t="s">
        <v>253</v>
      </c>
      <c r="G12957" s="598" t="s">
        <v>254</v>
      </c>
      <c r="J12957" s="560">
        <f t="shared" si="424"/>
        <v>0</v>
      </c>
    </row>
    <row r="12958" spans="5:10" hidden="1" x14ac:dyDescent="0.25">
      <c r="F12958" s="597" t="s">
        <v>255</v>
      </c>
      <c r="G12958" s="598" t="s">
        <v>256</v>
      </c>
      <c r="J12958" s="560">
        <f t="shared" si="424"/>
        <v>0</v>
      </c>
    </row>
    <row r="12959" spans="5:10" ht="30" hidden="1" x14ac:dyDescent="0.25">
      <c r="F12959" s="597" t="s">
        <v>257</v>
      </c>
      <c r="G12959" s="598" t="s">
        <v>258</v>
      </c>
      <c r="J12959" s="560">
        <f t="shared" si="424"/>
        <v>0</v>
      </c>
    </row>
    <row r="12960" spans="5:10" hidden="1" x14ac:dyDescent="0.25">
      <c r="F12960" s="597" t="s">
        <v>259</v>
      </c>
      <c r="G12960" s="598" t="s">
        <v>260</v>
      </c>
      <c r="J12960" s="560">
        <f t="shared" si="424"/>
        <v>0</v>
      </c>
    </row>
    <row r="12961" spans="3:10" hidden="1" x14ac:dyDescent="0.25">
      <c r="F12961" s="597" t="s">
        <v>261</v>
      </c>
      <c r="G12961" s="598" t="s">
        <v>262</v>
      </c>
      <c r="H12961" s="559"/>
      <c r="I12961" s="560"/>
      <c r="J12961" s="560">
        <f t="shared" si="424"/>
        <v>0</v>
      </c>
    </row>
    <row r="12962" spans="3:10" ht="15.75" hidden="1" thickBot="1" x14ac:dyDescent="0.3">
      <c r="G12962" s="268" t="s">
        <v>4985</v>
      </c>
      <c r="H12962" s="561">
        <f>SUM(H12946:H12961)</f>
        <v>0</v>
      </c>
      <c r="I12962" s="562">
        <f>SUM(I12947:I12961)</f>
        <v>0</v>
      </c>
      <c r="J12962" s="562">
        <f>SUM(J12946:J12961)</f>
        <v>0</v>
      </c>
    </row>
    <row r="12963" spans="3:10" hidden="1" x14ac:dyDescent="0.25">
      <c r="G12963" s="312"/>
      <c r="H12963" s="565"/>
      <c r="I12963" s="566"/>
      <c r="J12963" s="566"/>
    </row>
    <row r="12964" spans="3:10" hidden="1" x14ac:dyDescent="0.25">
      <c r="C12964" s="267" t="s">
        <v>4754</v>
      </c>
      <c r="D12964" s="259"/>
      <c r="G12964" s="493" t="s">
        <v>4196</v>
      </c>
    </row>
    <row r="12965" spans="3:10" hidden="1" x14ac:dyDescent="0.25">
      <c r="C12965" s="267"/>
      <c r="D12965" s="331">
        <v>820</v>
      </c>
      <c r="E12965" s="869"/>
      <c r="F12965" s="331"/>
      <c r="G12965" s="332" t="s">
        <v>207</v>
      </c>
    </row>
    <row r="12966" spans="3:10" hidden="1" x14ac:dyDescent="0.25">
      <c r="F12966" s="499">
        <v>411</v>
      </c>
      <c r="G12966" s="492" t="s">
        <v>4131</v>
      </c>
      <c r="J12966" s="556">
        <f>SUM(H12966:I12966)</f>
        <v>0</v>
      </c>
    </row>
    <row r="12967" spans="3:10" hidden="1" x14ac:dyDescent="0.25">
      <c r="F12967" s="499">
        <v>412</v>
      </c>
      <c r="G12967" s="488" t="s">
        <v>3766</v>
      </c>
      <c r="J12967" s="556">
        <f t="shared" ref="J12967:J13025" si="425">SUM(H12967:I12967)</f>
        <v>0</v>
      </c>
    </row>
    <row r="12968" spans="3:10" hidden="1" x14ac:dyDescent="0.25">
      <c r="F12968" s="499">
        <v>413</v>
      </c>
      <c r="G12968" s="492" t="s">
        <v>4132</v>
      </c>
      <c r="J12968" s="556">
        <f t="shared" si="425"/>
        <v>0</v>
      </c>
    </row>
    <row r="12969" spans="3:10" hidden="1" x14ac:dyDescent="0.25">
      <c r="F12969" s="499">
        <v>414</v>
      </c>
      <c r="G12969" s="492" t="s">
        <v>3769</v>
      </c>
      <c r="J12969" s="556">
        <f t="shared" si="425"/>
        <v>0</v>
      </c>
    </row>
    <row r="12970" spans="3:10" hidden="1" x14ac:dyDescent="0.25">
      <c r="F12970" s="499">
        <v>415</v>
      </c>
      <c r="G12970" s="492" t="s">
        <v>4141</v>
      </c>
      <c r="J12970" s="556">
        <f t="shared" si="425"/>
        <v>0</v>
      </c>
    </row>
    <row r="12971" spans="3:10" hidden="1" x14ac:dyDescent="0.25">
      <c r="F12971" s="499">
        <v>416</v>
      </c>
      <c r="G12971" s="492" t="s">
        <v>4142</v>
      </c>
      <c r="J12971" s="556">
        <f t="shared" si="425"/>
        <v>0</v>
      </c>
    </row>
    <row r="12972" spans="3:10" hidden="1" x14ac:dyDescent="0.25">
      <c r="F12972" s="499">
        <v>417</v>
      </c>
      <c r="G12972" s="492" t="s">
        <v>4143</v>
      </c>
      <c r="J12972" s="556">
        <f t="shared" si="425"/>
        <v>0</v>
      </c>
    </row>
    <row r="12973" spans="3:10" hidden="1" x14ac:dyDescent="0.25">
      <c r="F12973" s="499">
        <v>418</v>
      </c>
      <c r="G12973" s="492" t="s">
        <v>3775</v>
      </c>
      <c r="J12973" s="556">
        <f t="shared" si="425"/>
        <v>0</v>
      </c>
    </row>
    <row r="12974" spans="3:10" hidden="1" x14ac:dyDescent="0.25">
      <c r="F12974" s="499">
        <v>421</v>
      </c>
      <c r="G12974" s="492" t="s">
        <v>3779</v>
      </c>
      <c r="J12974" s="556">
        <f t="shared" si="425"/>
        <v>0</v>
      </c>
    </row>
    <row r="12975" spans="3:10" hidden="1" x14ac:dyDescent="0.25">
      <c r="F12975" s="499">
        <v>422</v>
      </c>
      <c r="G12975" s="492" t="s">
        <v>3780</v>
      </c>
      <c r="J12975" s="556">
        <f t="shared" si="425"/>
        <v>0</v>
      </c>
    </row>
    <row r="12976" spans="3:10" hidden="1" x14ac:dyDescent="0.25">
      <c r="F12976" s="499">
        <v>423</v>
      </c>
      <c r="G12976" s="492" t="s">
        <v>3781</v>
      </c>
      <c r="J12976" s="556">
        <f t="shared" si="425"/>
        <v>0</v>
      </c>
    </row>
    <row r="12977" spans="6:10" hidden="1" x14ac:dyDescent="0.25">
      <c r="F12977" s="499">
        <v>424</v>
      </c>
      <c r="G12977" s="492" t="s">
        <v>3783</v>
      </c>
      <c r="J12977" s="556">
        <f t="shared" si="425"/>
        <v>0</v>
      </c>
    </row>
    <row r="12978" spans="6:10" hidden="1" x14ac:dyDescent="0.25">
      <c r="F12978" s="499">
        <v>425</v>
      </c>
      <c r="G12978" s="492" t="s">
        <v>4144</v>
      </c>
      <c r="J12978" s="556">
        <f t="shared" si="425"/>
        <v>0</v>
      </c>
    </row>
    <row r="12979" spans="6:10" hidden="1" x14ac:dyDescent="0.25">
      <c r="F12979" s="499">
        <v>426</v>
      </c>
      <c r="G12979" s="492" t="s">
        <v>3787</v>
      </c>
      <c r="J12979" s="556">
        <f t="shared" si="425"/>
        <v>0</v>
      </c>
    </row>
    <row r="12980" spans="6:10" hidden="1" x14ac:dyDescent="0.25">
      <c r="F12980" s="499">
        <v>431</v>
      </c>
      <c r="G12980" s="492" t="s">
        <v>4145</v>
      </c>
      <c r="J12980" s="556">
        <f t="shared" si="425"/>
        <v>0</v>
      </c>
    </row>
    <row r="12981" spans="6:10" hidden="1" x14ac:dyDescent="0.25">
      <c r="F12981" s="499">
        <v>432</v>
      </c>
      <c r="G12981" s="492" t="s">
        <v>4146</v>
      </c>
      <c r="J12981" s="556">
        <f t="shared" si="425"/>
        <v>0</v>
      </c>
    </row>
    <row r="12982" spans="6:10" hidden="1" x14ac:dyDescent="0.25">
      <c r="F12982" s="499">
        <v>433</v>
      </c>
      <c r="G12982" s="492" t="s">
        <v>4147</v>
      </c>
      <c r="J12982" s="556">
        <f t="shared" si="425"/>
        <v>0</v>
      </c>
    </row>
    <row r="12983" spans="6:10" hidden="1" x14ac:dyDescent="0.25">
      <c r="F12983" s="499">
        <v>434</v>
      </c>
      <c r="G12983" s="492" t="s">
        <v>4148</v>
      </c>
      <c r="J12983" s="556">
        <f t="shared" si="425"/>
        <v>0</v>
      </c>
    </row>
    <row r="12984" spans="6:10" hidden="1" x14ac:dyDescent="0.25">
      <c r="F12984" s="499">
        <v>435</v>
      </c>
      <c r="G12984" s="492" t="s">
        <v>3794</v>
      </c>
      <c r="J12984" s="556">
        <f t="shared" si="425"/>
        <v>0</v>
      </c>
    </row>
    <row r="12985" spans="6:10" hidden="1" x14ac:dyDescent="0.25">
      <c r="F12985" s="499">
        <v>441</v>
      </c>
      <c r="G12985" s="492" t="s">
        <v>4149</v>
      </c>
      <c r="J12985" s="556">
        <f t="shared" si="425"/>
        <v>0</v>
      </c>
    </row>
    <row r="12986" spans="6:10" hidden="1" x14ac:dyDescent="0.25">
      <c r="F12986" s="499">
        <v>442</v>
      </c>
      <c r="G12986" s="492" t="s">
        <v>4150</v>
      </c>
      <c r="J12986" s="556">
        <f t="shared" si="425"/>
        <v>0</v>
      </c>
    </row>
    <row r="12987" spans="6:10" hidden="1" x14ac:dyDescent="0.25">
      <c r="F12987" s="499">
        <v>443</v>
      </c>
      <c r="G12987" s="492" t="s">
        <v>3799</v>
      </c>
      <c r="J12987" s="556">
        <f t="shared" si="425"/>
        <v>0</v>
      </c>
    </row>
    <row r="12988" spans="6:10" hidden="1" x14ac:dyDescent="0.25">
      <c r="F12988" s="499">
        <v>444</v>
      </c>
      <c r="G12988" s="492" t="s">
        <v>3800</v>
      </c>
      <c r="J12988" s="556">
        <f t="shared" si="425"/>
        <v>0</v>
      </c>
    </row>
    <row r="12989" spans="6:10" ht="30" hidden="1" x14ac:dyDescent="0.25">
      <c r="F12989" s="499">
        <v>4511</v>
      </c>
      <c r="G12989" s="263" t="s">
        <v>1690</v>
      </c>
      <c r="J12989" s="556">
        <f t="shared" si="425"/>
        <v>0</v>
      </c>
    </row>
    <row r="12990" spans="6:10" ht="30" hidden="1" x14ac:dyDescent="0.25">
      <c r="F12990" s="499">
        <v>4512</v>
      </c>
      <c r="G12990" s="263" t="s">
        <v>1699</v>
      </c>
      <c r="J12990" s="556">
        <f t="shared" si="425"/>
        <v>0</v>
      </c>
    </row>
    <row r="12991" spans="6:10" hidden="1" x14ac:dyDescent="0.25">
      <c r="F12991" s="499">
        <v>452</v>
      </c>
      <c r="G12991" s="492" t="s">
        <v>4151</v>
      </c>
      <c r="J12991" s="556">
        <f t="shared" si="425"/>
        <v>0</v>
      </c>
    </row>
    <row r="12992" spans="6:10" hidden="1" x14ac:dyDescent="0.25">
      <c r="F12992" s="499">
        <v>453</v>
      </c>
      <c r="G12992" s="492" t="s">
        <v>4152</v>
      </c>
      <c r="J12992" s="556">
        <f t="shared" si="425"/>
        <v>0</v>
      </c>
    </row>
    <row r="12993" spans="6:10" hidden="1" x14ac:dyDescent="0.25">
      <c r="F12993" s="499">
        <v>454</v>
      </c>
      <c r="G12993" s="492" t="s">
        <v>3805</v>
      </c>
      <c r="J12993" s="556">
        <f t="shared" si="425"/>
        <v>0</v>
      </c>
    </row>
    <row r="12994" spans="6:10" hidden="1" x14ac:dyDescent="0.25">
      <c r="F12994" s="499">
        <v>461</v>
      </c>
      <c r="G12994" s="492" t="s">
        <v>4133</v>
      </c>
      <c r="J12994" s="556">
        <f t="shared" si="425"/>
        <v>0</v>
      </c>
    </row>
    <row r="12995" spans="6:10" hidden="1" x14ac:dyDescent="0.25">
      <c r="F12995" s="499">
        <v>462</v>
      </c>
      <c r="G12995" s="492" t="s">
        <v>3808</v>
      </c>
      <c r="J12995" s="556">
        <f t="shared" si="425"/>
        <v>0</v>
      </c>
    </row>
    <row r="12996" spans="6:10" hidden="1" x14ac:dyDescent="0.25">
      <c r="F12996" s="499">
        <v>4631</v>
      </c>
      <c r="G12996" s="492" t="s">
        <v>3809</v>
      </c>
      <c r="J12996" s="556">
        <f t="shared" si="425"/>
        <v>0</v>
      </c>
    </row>
    <row r="12997" spans="6:10" hidden="1" x14ac:dyDescent="0.25">
      <c r="F12997" s="499">
        <v>4632</v>
      </c>
      <c r="G12997" s="492" t="s">
        <v>3810</v>
      </c>
      <c r="J12997" s="556">
        <f t="shared" si="425"/>
        <v>0</v>
      </c>
    </row>
    <row r="12998" spans="6:10" hidden="1" x14ac:dyDescent="0.25">
      <c r="F12998" s="499">
        <v>464</v>
      </c>
      <c r="G12998" s="492" t="s">
        <v>3811</v>
      </c>
      <c r="J12998" s="556">
        <f t="shared" si="425"/>
        <v>0</v>
      </c>
    </row>
    <row r="12999" spans="6:10" hidden="1" x14ac:dyDescent="0.25">
      <c r="F12999" s="499">
        <v>465</v>
      </c>
      <c r="G12999" s="492" t="s">
        <v>4134</v>
      </c>
      <c r="J12999" s="556">
        <f t="shared" si="425"/>
        <v>0</v>
      </c>
    </row>
    <row r="13000" spans="6:10" hidden="1" x14ac:dyDescent="0.25">
      <c r="F13000" s="499">
        <v>472</v>
      </c>
      <c r="G13000" s="492" t="s">
        <v>3815</v>
      </c>
      <c r="J13000" s="556">
        <f t="shared" si="425"/>
        <v>0</v>
      </c>
    </row>
    <row r="13001" spans="6:10" hidden="1" x14ac:dyDescent="0.25">
      <c r="F13001" s="499">
        <v>481</v>
      </c>
      <c r="G13001" s="492" t="s">
        <v>4153</v>
      </c>
      <c r="J13001" s="556">
        <f t="shared" si="425"/>
        <v>0</v>
      </c>
    </row>
    <row r="13002" spans="6:10" hidden="1" x14ac:dyDescent="0.25">
      <c r="F13002" s="499">
        <v>482</v>
      </c>
      <c r="G13002" s="492" t="s">
        <v>4154</v>
      </c>
      <c r="J13002" s="556">
        <f t="shared" si="425"/>
        <v>0</v>
      </c>
    </row>
    <row r="13003" spans="6:10" hidden="1" x14ac:dyDescent="0.25">
      <c r="F13003" s="499">
        <v>483</v>
      </c>
      <c r="G13003" s="496" t="s">
        <v>4155</v>
      </c>
      <c r="J13003" s="556">
        <f t="shared" si="425"/>
        <v>0</v>
      </c>
    </row>
    <row r="13004" spans="6:10" ht="30" hidden="1" x14ac:dyDescent="0.25">
      <c r="F13004" s="499">
        <v>484</v>
      </c>
      <c r="G13004" s="492" t="s">
        <v>4156</v>
      </c>
      <c r="J13004" s="556">
        <f t="shared" si="425"/>
        <v>0</v>
      </c>
    </row>
    <row r="13005" spans="6:10" ht="30" hidden="1" x14ac:dyDescent="0.25">
      <c r="F13005" s="499">
        <v>485</v>
      </c>
      <c r="G13005" s="492" t="s">
        <v>4157</v>
      </c>
      <c r="J13005" s="556">
        <f t="shared" si="425"/>
        <v>0</v>
      </c>
    </row>
    <row r="13006" spans="6:10" ht="30" hidden="1" x14ac:dyDescent="0.25">
      <c r="F13006" s="499">
        <v>489</v>
      </c>
      <c r="G13006" s="492" t="s">
        <v>3823</v>
      </c>
      <c r="J13006" s="556">
        <f t="shared" si="425"/>
        <v>0</v>
      </c>
    </row>
    <row r="13007" spans="6:10" hidden="1" x14ac:dyDescent="0.25">
      <c r="F13007" s="499">
        <v>494</v>
      </c>
      <c r="G13007" s="492" t="s">
        <v>4135</v>
      </c>
      <c r="J13007" s="556">
        <f t="shared" si="425"/>
        <v>0</v>
      </c>
    </row>
    <row r="13008" spans="6:10" ht="30" hidden="1" x14ac:dyDescent="0.25">
      <c r="F13008" s="499">
        <v>495</v>
      </c>
      <c r="G13008" s="492" t="s">
        <v>4136</v>
      </c>
      <c r="J13008" s="556">
        <f t="shared" si="425"/>
        <v>0</v>
      </c>
    </row>
    <row r="13009" spans="6:10" ht="30" hidden="1" x14ac:dyDescent="0.25">
      <c r="F13009" s="499">
        <v>496</v>
      </c>
      <c r="G13009" s="492" t="s">
        <v>4137</v>
      </c>
      <c r="J13009" s="556">
        <f t="shared" si="425"/>
        <v>0</v>
      </c>
    </row>
    <row r="13010" spans="6:10" ht="30" hidden="1" x14ac:dyDescent="0.25">
      <c r="F13010" s="499">
        <v>499</v>
      </c>
      <c r="G13010" s="492" t="s">
        <v>4138</v>
      </c>
      <c r="J13010" s="556">
        <f t="shared" si="425"/>
        <v>0</v>
      </c>
    </row>
    <row r="13011" spans="6:10" hidden="1" x14ac:dyDescent="0.25">
      <c r="F13011" s="499">
        <v>511</v>
      </c>
      <c r="G13011" s="496" t="s">
        <v>4158</v>
      </c>
      <c r="J13011" s="556">
        <f t="shared" si="425"/>
        <v>0</v>
      </c>
    </row>
    <row r="13012" spans="6:10" hidden="1" x14ac:dyDescent="0.25">
      <c r="F13012" s="499">
        <v>512</v>
      </c>
      <c r="G13012" s="496" t="s">
        <v>4159</v>
      </c>
      <c r="J13012" s="556">
        <f t="shared" si="425"/>
        <v>0</v>
      </c>
    </row>
    <row r="13013" spans="6:10" hidden="1" x14ac:dyDescent="0.25">
      <c r="F13013" s="499">
        <v>513</v>
      </c>
      <c r="G13013" s="496" t="s">
        <v>4160</v>
      </c>
      <c r="J13013" s="556">
        <f t="shared" si="425"/>
        <v>0</v>
      </c>
    </row>
    <row r="13014" spans="6:10" hidden="1" x14ac:dyDescent="0.25">
      <c r="F13014" s="499">
        <v>514</v>
      </c>
      <c r="G13014" s="492" t="s">
        <v>4161</v>
      </c>
      <c r="J13014" s="556">
        <f t="shared" si="425"/>
        <v>0</v>
      </c>
    </row>
    <row r="13015" spans="6:10" hidden="1" x14ac:dyDescent="0.25">
      <c r="F13015" s="499">
        <v>515</v>
      </c>
      <c r="G13015" s="492" t="s">
        <v>3834</v>
      </c>
      <c r="J13015" s="556">
        <f t="shared" si="425"/>
        <v>0</v>
      </c>
    </row>
    <row r="13016" spans="6:10" hidden="1" x14ac:dyDescent="0.25">
      <c r="F13016" s="499">
        <v>521</v>
      </c>
      <c r="G13016" s="492" t="s">
        <v>4162</v>
      </c>
      <c r="J13016" s="556">
        <f t="shared" si="425"/>
        <v>0</v>
      </c>
    </row>
    <row r="13017" spans="6:10" hidden="1" x14ac:dyDescent="0.25">
      <c r="F13017" s="499">
        <v>522</v>
      </c>
      <c r="G13017" s="492" t="s">
        <v>4163</v>
      </c>
      <c r="J13017" s="556">
        <f t="shared" si="425"/>
        <v>0</v>
      </c>
    </row>
    <row r="13018" spans="6:10" hidden="1" x14ac:dyDescent="0.25">
      <c r="F13018" s="499">
        <v>523</v>
      </c>
      <c r="G13018" s="492" t="s">
        <v>3839</v>
      </c>
      <c r="J13018" s="556">
        <f t="shared" si="425"/>
        <v>0</v>
      </c>
    </row>
    <row r="13019" spans="6:10" hidden="1" x14ac:dyDescent="0.25">
      <c r="F13019" s="499">
        <v>531</v>
      </c>
      <c r="G13019" s="488" t="s">
        <v>4139</v>
      </c>
      <c r="J13019" s="556">
        <f t="shared" si="425"/>
        <v>0</v>
      </c>
    </row>
    <row r="13020" spans="6:10" hidden="1" x14ac:dyDescent="0.25">
      <c r="F13020" s="499">
        <v>541</v>
      </c>
      <c r="G13020" s="492" t="s">
        <v>4164</v>
      </c>
      <c r="J13020" s="556">
        <f t="shared" si="425"/>
        <v>0</v>
      </c>
    </row>
    <row r="13021" spans="6:10" hidden="1" x14ac:dyDescent="0.25">
      <c r="F13021" s="499">
        <v>542</v>
      </c>
      <c r="G13021" s="492" t="s">
        <v>4165</v>
      </c>
      <c r="J13021" s="556">
        <f t="shared" si="425"/>
        <v>0</v>
      </c>
    </row>
    <row r="13022" spans="6:10" hidden="1" x14ac:dyDescent="0.25">
      <c r="F13022" s="499">
        <v>543</v>
      </c>
      <c r="G13022" s="492" t="s">
        <v>3844</v>
      </c>
      <c r="J13022" s="556">
        <f t="shared" si="425"/>
        <v>0</v>
      </c>
    </row>
    <row r="13023" spans="6:10" ht="30" hidden="1" x14ac:dyDescent="0.25">
      <c r="F13023" s="499">
        <v>551</v>
      </c>
      <c r="G13023" s="492" t="s">
        <v>4140</v>
      </c>
      <c r="J13023" s="556">
        <f t="shared" si="425"/>
        <v>0</v>
      </c>
    </row>
    <row r="13024" spans="6:10" hidden="1" x14ac:dyDescent="0.25">
      <c r="F13024" s="500">
        <v>611</v>
      </c>
      <c r="G13024" s="498" t="s">
        <v>3850</v>
      </c>
      <c r="J13024" s="556">
        <f t="shared" si="425"/>
        <v>0</v>
      </c>
    </row>
    <row r="13025" spans="5:10" hidden="1" x14ac:dyDescent="0.25">
      <c r="F13025" s="500">
        <v>620</v>
      </c>
      <c r="G13025" s="498" t="s">
        <v>88</v>
      </c>
      <c r="J13025" s="556">
        <f t="shared" si="425"/>
        <v>0</v>
      </c>
    </row>
    <row r="13026" spans="5:10" hidden="1" x14ac:dyDescent="0.25">
      <c r="E13026" s="489"/>
      <c r="F13026" s="500"/>
      <c r="G13026" s="342" t="s">
        <v>4356</v>
      </c>
      <c r="H13026" s="557"/>
      <c r="I13026" s="583"/>
      <c r="J13026" s="558"/>
    </row>
    <row r="13027" spans="5:10" hidden="1" x14ac:dyDescent="0.25">
      <c r="E13027" s="693"/>
      <c r="F13027" s="597" t="s">
        <v>234</v>
      </c>
      <c r="G13027" s="598" t="s">
        <v>235</v>
      </c>
      <c r="H13027" s="559">
        <f>SUM(H12966:H13025)</f>
        <v>0</v>
      </c>
      <c r="I13027" s="560"/>
      <c r="J13027" s="560">
        <f>SUM(H13027:I13027)</f>
        <v>0</v>
      </c>
    </row>
    <row r="13028" spans="5:10" hidden="1" x14ac:dyDescent="0.25">
      <c r="F13028" s="597" t="s">
        <v>236</v>
      </c>
      <c r="G13028" s="598" t="s">
        <v>237</v>
      </c>
      <c r="J13028" s="560">
        <f t="shared" ref="J13028:J13042" si="426">SUM(H13028:I13028)</f>
        <v>0</v>
      </c>
    </row>
    <row r="13029" spans="5:10" hidden="1" x14ac:dyDescent="0.25">
      <c r="F13029" s="597" t="s">
        <v>238</v>
      </c>
      <c r="G13029" s="598" t="s">
        <v>239</v>
      </c>
      <c r="J13029" s="560">
        <f t="shared" si="426"/>
        <v>0</v>
      </c>
    </row>
    <row r="13030" spans="5:10" hidden="1" x14ac:dyDescent="0.25">
      <c r="F13030" s="597" t="s">
        <v>240</v>
      </c>
      <c r="G13030" s="598" t="s">
        <v>241</v>
      </c>
      <c r="J13030" s="560">
        <f t="shared" si="426"/>
        <v>0</v>
      </c>
    </row>
    <row r="13031" spans="5:10" hidden="1" x14ac:dyDescent="0.25">
      <c r="F13031" s="597" t="s">
        <v>242</v>
      </c>
      <c r="G13031" s="598" t="s">
        <v>243</v>
      </c>
      <c r="J13031" s="560">
        <f t="shared" si="426"/>
        <v>0</v>
      </c>
    </row>
    <row r="13032" spans="5:10" hidden="1" x14ac:dyDescent="0.25">
      <c r="F13032" s="597" t="s">
        <v>244</v>
      </c>
      <c r="G13032" s="598" t="s">
        <v>245</v>
      </c>
      <c r="J13032" s="560">
        <f t="shared" si="426"/>
        <v>0</v>
      </c>
    </row>
    <row r="13033" spans="5:10" hidden="1" x14ac:dyDescent="0.25">
      <c r="F13033" s="597" t="s">
        <v>246</v>
      </c>
      <c r="G13033" s="598" t="s">
        <v>4996</v>
      </c>
      <c r="J13033" s="560">
        <f t="shared" si="426"/>
        <v>0</v>
      </c>
    </row>
    <row r="13034" spans="5:10" hidden="1" x14ac:dyDescent="0.25">
      <c r="F13034" s="597" t="s">
        <v>247</v>
      </c>
      <c r="G13034" s="598" t="s">
        <v>4995</v>
      </c>
      <c r="J13034" s="560">
        <f t="shared" si="426"/>
        <v>0</v>
      </c>
    </row>
    <row r="13035" spans="5:10" hidden="1" x14ac:dyDescent="0.25">
      <c r="F13035" s="597" t="s">
        <v>248</v>
      </c>
      <c r="G13035" s="598" t="s">
        <v>57</v>
      </c>
      <c r="J13035" s="560">
        <f t="shared" si="426"/>
        <v>0</v>
      </c>
    </row>
    <row r="13036" spans="5:10" hidden="1" x14ac:dyDescent="0.25">
      <c r="F13036" s="597" t="s">
        <v>249</v>
      </c>
      <c r="G13036" s="598" t="s">
        <v>250</v>
      </c>
      <c r="J13036" s="560">
        <f t="shared" si="426"/>
        <v>0</v>
      </c>
    </row>
    <row r="13037" spans="5:10" hidden="1" x14ac:dyDescent="0.25">
      <c r="F13037" s="597" t="s">
        <v>251</v>
      </c>
      <c r="G13037" s="598" t="s">
        <v>252</v>
      </c>
      <c r="J13037" s="560">
        <f t="shared" si="426"/>
        <v>0</v>
      </c>
    </row>
    <row r="13038" spans="5:10" ht="30" hidden="1" x14ac:dyDescent="0.25">
      <c r="F13038" s="597" t="s">
        <v>253</v>
      </c>
      <c r="G13038" s="598" t="s">
        <v>254</v>
      </c>
      <c r="J13038" s="560">
        <f t="shared" si="426"/>
        <v>0</v>
      </c>
    </row>
    <row r="13039" spans="5:10" hidden="1" x14ac:dyDescent="0.25">
      <c r="F13039" s="597" t="s">
        <v>255</v>
      </c>
      <c r="G13039" s="598" t="s">
        <v>256</v>
      </c>
      <c r="J13039" s="560">
        <f t="shared" si="426"/>
        <v>0</v>
      </c>
    </row>
    <row r="13040" spans="5:10" ht="30" hidden="1" x14ac:dyDescent="0.25">
      <c r="F13040" s="597" t="s">
        <v>257</v>
      </c>
      <c r="G13040" s="598" t="s">
        <v>258</v>
      </c>
      <c r="J13040" s="560">
        <f t="shared" si="426"/>
        <v>0</v>
      </c>
    </row>
    <row r="13041" spans="5:10" hidden="1" x14ac:dyDescent="0.25">
      <c r="F13041" s="597" t="s">
        <v>259</v>
      </c>
      <c r="G13041" s="598" t="s">
        <v>260</v>
      </c>
      <c r="J13041" s="560">
        <f t="shared" si="426"/>
        <v>0</v>
      </c>
    </row>
    <row r="13042" spans="5:10" hidden="1" x14ac:dyDescent="0.25">
      <c r="F13042" s="597" t="s">
        <v>261</v>
      </c>
      <c r="G13042" s="598" t="s">
        <v>262</v>
      </c>
      <c r="H13042" s="559"/>
      <c r="I13042" s="560"/>
      <c r="J13042" s="560">
        <f t="shared" si="426"/>
        <v>0</v>
      </c>
    </row>
    <row r="13043" spans="5:10" ht="15.75" hidden="1" thickBot="1" x14ac:dyDescent="0.3">
      <c r="G13043" s="268" t="s">
        <v>4357</v>
      </c>
      <c r="H13043" s="561">
        <f>SUM(H13027:H13042)</f>
        <v>0</v>
      </c>
      <c r="I13043" s="562">
        <f>SUM(I13028:I13042)</f>
        <v>0</v>
      </c>
      <c r="J13043" s="562">
        <f>SUM(J13027:J13042)</f>
        <v>0</v>
      </c>
    </row>
    <row r="13044" spans="5:10" hidden="1" collapsed="1" x14ac:dyDescent="0.25">
      <c r="E13044" s="489"/>
      <c r="F13044" s="500"/>
      <c r="G13044" s="270" t="s">
        <v>4986</v>
      </c>
      <c r="H13044" s="563"/>
      <c r="I13044" s="584"/>
      <c r="J13044" s="564"/>
    </row>
    <row r="13045" spans="5:10" hidden="1" x14ac:dyDescent="0.25">
      <c r="E13045" s="693"/>
      <c r="F13045" s="597" t="s">
        <v>234</v>
      </c>
      <c r="G13045" s="598" t="s">
        <v>235</v>
      </c>
      <c r="H13045" s="559">
        <f>SUM(H12966:H13025)</f>
        <v>0</v>
      </c>
      <c r="I13045" s="560"/>
      <c r="J13045" s="560">
        <f>SUM(H13045:I13045)</f>
        <v>0</v>
      </c>
    </row>
    <row r="13046" spans="5:10" hidden="1" x14ac:dyDescent="0.25">
      <c r="F13046" s="597" t="s">
        <v>236</v>
      </c>
      <c r="G13046" s="598" t="s">
        <v>237</v>
      </c>
      <c r="J13046" s="560">
        <f t="shared" ref="J13046:J13060" si="427">SUM(H13046:I13046)</f>
        <v>0</v>
      </c>
    </row>
    <row r="13047" spans="5:10" hidden="1" x14ac:dyDescent="0.25">
      <c r="F13047" s="597" t="s">
        <v>238</v>
      </c>
      <c r="G13047" s="598" t="s">
        <v>239</v>
      </c>
      <c r="J13047" s="560">
        <f t="shared" si="427"/>
        <v>0</v>
      </c>
    </row>
    <row r="13048" spans="5:10" hidden="1" x14ac:dyDescent="0.25">
      <c r="F13048" s="597" t="s">
        <v>240</v>
      </c>
      <c r="G13048" s="598" t="s">
        <v>241</v>
      </c>
      <c r="J13048" s="560">
        <f t="shared" si="427"/>
        <v>0</v>
      </c>
    </row>
    <row r="13049" spans="5:10" hidden="1" x14ac:dyDescent="0.25">
      <c r="F13049" s="597" t="s">
        <v>242</v>
      </c>
      <c r="G13049" s="598" t="s">
        <v>243</v>
      </c>
      <c r="J13049" s="560">
        <f t="shared" si="427"/>
        <v>0</v>
      </c>
    </row>
    <row r="13050" spans="5:10" hidden="1" x14ac:dyDescent="0.25">
      <c r="F13050" s="597" t="s">
        <v>244</v>
      </c>
      <c r="G13050" s="598" t="s">
        <v>245</v>
      </c>
      <c r="J13050" s="560">
        <f t="shared" si="427"/>
        <v>0</v>
      </c>
    </row>
    <row r="13051" spans="5:10" hidden="1" x14ac:dyDescent="0.25">
      <c r="F13051" s="597" t="s">
        <v>246</v>
      </c>
      <c r="G13051" s="598" t="s">
        <v>4996</v>
      </c>
      <c r="J13051" s="560">
        <f t="shared" si="427"/>
        <v>0</v>
      </c>
    </row>
    <row r="13052" spans="5:10" hidden="1" x14ac:dyDescent="0.25">
      <c r="F13052" s="597" t="s">
        <v>247</v>
      </c>
      <c r="G13052" s="598" t="s">
        <v>4995</v>
      </c>
      <c r="J13052" s="560">
        <f t="shared" si="427"/>
        <v>0</v>
      </c>
    </row>
    <row r="13053" spans="5:10" hidden="1" x14ac:dyDescent="0.25">
      <c r="F13053" s="597" t="s">
        <v>248</v>
      </c>
      <c r="G13053" s="598" t="s">
        <v>57</v>
      </c>
      <c r="J13053" s="560">
        <f t="shared" si="427"/>
        <v>0</v>
      </c>
    </row>
    <row r="13054" spans="5:10" hidden="1" x14ac:dyDescent="0.25">
      <c r="F13054" s="597" t="s">
        <v>249</v>
      </c>
      <c r="G13054" s="598" t="s">
        <v>250</v>
      </c>
      <c r="J13054" s="560">
        <f t="shared" si="427"/>
        <v>0</v>
      </c>
    </row>
    <row r="13055" spans="5:10" hidden="1" x14ac:dyDescent="0.25">
      <c r="F13055" s="597" t="s">
        <v>251</v>
      </c>
      <c r="G13055" s="598" t="s">
        <v>252</v>
      </c>
      <c r="J13055" s="560">
        <f t="shared" si="427"/>
        <v>0</v>
      </c>
    </row>
    <row r="13056" spans="5:10" ht="30" hidden="1" x14ac:dyDescent="0.25">
      <c r="F13056" s="597" t="s">
        <v>253</v>
      </c>
      <c r="G13056" s="598" t="s">
        <v>254</v>
      </c>
      <c r="J13056" s="560">
        <f t="shared" si="427"/>
        <v>0</v>
      </c>
    </row>
    <row r="13057" spans="5:10" hidden="1" x14ac:dyDescent="0.25">
      <c r="F13057" s="597" t="s">
        <v>255</v>
      </c>
      <c r="G13057" s="598" t="s">
        <v>256</v>
      </c>
      <c r="J13057" s="560">
        <f t="shared" si="427"/>
        <v>0</v>
      </c>
    </row>
    <row r="13058" spans="5:10" ht="30" hidden="1" x14ac:dyDescent="0.25">
      <c r="F13058" s="597" t="s">
        <v>257</v>
      </c>
      <c r="G13058" s="598" t="s">
        <v>258</v>
      </c>
      <c r="J13058" s="560">
        <f t="shared" si="427"/>
        <v>0</v>
      </c>
    </row>
    <row r="13059" spans="5:10" hidden="1" x14ac:dyDescent="0.25">
      <c r="F13059" s="597" t="s">
        <v>259</v>
      </c>
      <c r="G13059" s="598" t="s">
        <v>260</v>
      </c>
      <c r="J13059" s="560">
        <f t="shared" si="427"/>
        <v>0</v>
      </c>
    </row>
    <row r="13060" spans="5:10" hidden="1" x14ac:dyDescent="0.25">
      <c r="F13060" s="597" t="s">
        <v>261</v>
      </c>
      <c r="G13060" s="598" t="s">
        <v>262</v>
      </c>
      <c r="H13060" s="559"/>
      <c r="I13060" s="560"/>
      <c r="J13060" s="560">
        <f t="shared" si="427"/>
        <v>0</v>
      </c>
    </row>
    <row r="13061" spans="5:10" ht="15.75" hidden="1" thickBot="1" x14ac:dyDescent="0.3">
      <c r="G13061" s="268" t="s">
        <v>4987</v>
      </c>
      <c r="H13061" s="561">
        <f>SUM(H13045:H13060)</f>
        <v>0</v>
      </c>
      <c r="I13061" s="562">
        <f>SUM(I13046:I13060)</f>
        <v>0</v>
      </c>
      <c r="J13061" s="562">
        <f>SUM(J13045:J13060)</f>
        <v>0</v>
      </c>
    </row>
    <row r="13062" spans="5:10" hidden="1" x14ac:dyDescent="0.25">
      <c r="G13062" s="312"/>
      <c r="H13062" s="565"/>
      <c r="I13062" s="566"/>
      <c r="J13062" s="566"/>
    </row>
    <row r="13063" spans="5:10" hidden="1" x14ac:dyDescent="0.25">
      <c r="G13063" s="312"/>
      <c r="H13063" s="565"/>
      <c r="I13063" s="566"/>
      <c r="J13063" s="566"/>
    </row>
    <row r="13064" spans="5:10" hidden="1" x14ac:dyDescent="0.25">
      <c r="E13064" s="489"/>
      <c r="F13064" s="465"/>
      <c r="G13064" s="285" t="s">
        <v>4270</v>
      </c>
      <c r="H13064" s="567"/>
      <c r="I13064" s="585"/>
      <c r="J13064" s="568"/>
    </row>
    <row r="13065" spans="5:10" hidden="1" x14ac:dyDescent="0.25">
      <c r="E13065" s="693"/>
      <c r="F13065" s="284" t="s">
        <v>234</v>
      </c>
      <c r="G13065" s="287" t="s">
        <v>235</v>
      </c>
      <c r="H13065" s="559">
        <f>SUM(H12352,H12253,H12433,H12550,H12649,H12748,H12847,H12946,H13045)</f>
        <v>0</v>
      </c>
      <c r="I13065" s="560"/>
      <c r="J13065" s="560">
        <f>SUM(H13065:I13065)</f>
        <v>0</v>
      </c>
    </row>
    <row r="13066" spans="5:10" hidden="1" x14ac:dyDescent="0.25">
      <c r="F13066" s="284" t="s">
        <v>236</v>
      </c>
      <c r="G13066" s="287" t="s">
        <v>237</v>
      </c>
      <c r="J13066" s="560">
        <f t="shared" ref="J13066:J13080" si="428">SUM(H13066:I13066)</f>
        <v>0</v>
      </c>
    </row>
    <row r="13067" spans="5:10" hidden="1" x14ac:dyDescent="0.25">
      <c r="F13067" s="284" t="s">
        <v>238</v>
      </c>
      <c r="G13067" s="287" t="s">
        <v>239</v>
      </c>
      <c r="J13067" s="560">
        <f t="shared" si="428"/>
        <v>0</v>
      </c>
    </row>
    <row r="13068" spans="5:10" hidden="1" x14ac:dyDescent="0.25">
      <c r="F13068" s="284" t="s">
        <v>240</v>
      </c>
      <c r="G13068" s="287" t="s">
        <v>241</v>
      </c>
      <c r="J13068" s="560">
        <f t="shared" si="428"/>
        <v>0</v>
      </c>
    </row>
    <row r="13069" spans="5:10" hidden="1" x14ac:dyDescent="0.25">
      <c r="F13069" s="284" t="s">
        <v>242</v>
      </c>
      <c r="G13069" s="287" t="s">
        <v>243</v>
      </c>
      <c r="J13069" s="560">
        <f t="shared" si="428"/>
        <v>0</v>
      </c>
    </row>
    <row r="13070" spans="5:10" hidden="1" x14ac:dyDescent="0.25">
      <c r="F13070" s="284" t="s">
        <v>244</v>
      </c>
      <c r="G13070" s="287" t="s">
        <v>245</v>
      </c>
      <c r="J13070" s="560">
        <f t="shared" si="428"/>
        <v>0</v>
      </c>
    </row>
    <row r="13071" spans="5:10" hidden="1" x14ac:dyDescent="0.25">
      <c r="F13071" s="284" t="s">
        <v>246</v>
      </c>
      <c r="G13071" s="598" t="s">
        <v>4996</v>
      </c>
      <c r="J13071" s="560">
        <f t="shared" si="428"/>
        <v>0</v>
      </c>
    </row>
    <row r="13072" spans="5:10" hidden="1" x14ac:dyDescent="0.25">
      <c r="F13072" s="284" t="s">
        <v>247</v>
      </c>
      <c r="G13072" s="598" t="s">
        <v>4995</v>
      </c>
      <c r="J13072" s="560">
        <f t="shared" si="428"/>
        <v>0</v>
      </c>
    </row>
    <row r="13073" spans="5:10" hidden="1" x14ac:dyDescent="0.25">
      <c r="F13073" s="284" t="s">
        <v>248</v>
      </c>
      <c r="G13073" s="287" t="s">
        <v>57</v>
      </c>
      <c r="J13073" s="560">
        <f t="shared" si="428"/>
        <v>0</v>
      </c>
    </row>
    <row r="13074" spans="5:10" hidden="1" x14ac:dyDescent="0.25">
      <c r="F13074" s="284" t="s">
        <v>249</v>
      </c>
      <c r="G13074" s="287" t="s">
        <v>250</v>
      </c>
      <c r="J13074" s="560">
        <f t="shared" si="428"/>
        <v>0</v>
      </c>
    </row>
    <row r="13075" spans="5:10" hidden="1" x14ac:dyDescent="0.25">
      <c r="F13075" s="284" t="s">
        <v>251</v>
      </c>
      <c r="G13075" s="287" t="s">
        <v>252</v>
      </c>
      <c r="J13075" s="560">
        <f t="shared" si="428"/>
        <v>0</v>
      </c>
    </row>
    <row r="13076" spans="5:10" ht="30" hidden="1" x14ac:dyDescent="0.25">
      <c r="F13076" s="284" t="s">
        <v>253</v>
      </c>
      <c r="G13076" s="287" t="s">
        <v>254</v>
      </c>
      <c r="J13076" s="560">
        <f t="shared" si="428"/>
        <v>0</v>
      </c>
    </row>
    <row r="13077" spans="5:10" hidden="1" x14ac:dyDescent="0.25">
      <c r="F13077" s="284" t="s">
        <v>255</v>
      </c>
      <c r="G13077" s="287" t="s">
        <v>256</v>
      </c>
      <c r="J13077" s="560">
        <f t="shared" si="428"/>
        <v>0</v>
      </c>
    </row>
    <row r="13078" spans="5:10" ht="30" hidden="1" x14ac:dyDescent="0.25">
      <c r="F13078" s="284" t="s">
        <v>257</v>
      </c>
      <c r="G13078" s="287" t="s">
        <v>258</v>
      </c>
      <c r="J13078" s="560">
        <f t="shared" si="428"/>
        <v>0</v>
      </c>
    </row>
    <row r="13079" spans="5:10" hidden="1" x14ac:dyDescent="0.25">
      <c r="F13079" s="284" t="s">
        <v>259</v>
      </c>
      <c r="G13079" s="287" t="s">
        <v>260</v>
      </c>
      <c r="J13079" s="560">
        <f t="shared" si="428"/>
        <v>0</v>
      </c>
    </row>
    <row r="13080" spans="5:10" hidden="1" x14ac:dyDescent="0.25">
      <c r="F13080" s="284" t="s">
        <v>261</v>
      </c>
      <c r="G13080" s="287" t="s">
        <v>262</v>
      </c>
      <c r="H13080" s="559"/>
      <c r="I13080" s="560"/>
      <c r="J13080" s="560">
        <f t="shared" si="428"/>
        <v>0</v>
      </c>
    </row>
    <row r="13081" spans="5:10" ht="15.75" hidden="1" thickBot="1" x14ac:dyDescent="0.3">
      <c r="G13081" s="268" t="s">
        <v>4271</v>
      </c>
      <c r="H13081" s="561">
        <f>SUM(H13065:H13080)</f>
        <v>0</v>
      </c>
      <c r="I13081" s="562">
        <f>SUM(I13066:I13080)</f>
        <v>0</v>
      </c>
      <c r="J13081" s="562">
        <f>SUM(J13065:J13080)</f>
        <v>0</v>
      </c>
    </row>
    <row r="13082" spans="5:10" hidden="1" x14ac:dyDescent="0.25"/>
    <row r="13083" spans="5:10" hidden="1" x14ac:dyDescent="0.25">
      <c r="E13083" s="489"/>
      <c r="F13083" s="465"/>
      <c r="G13083" s="285" t="s">
        <v>4960</v>
      </c>
      <c r="H13083" s="567"/>
      <c r="I13083" s="585"/>
      <c r="J13083" s="568"/>
    </row>
    <row r="13084" spans="5:10" hidden="1" x14ac:dyDescent="0.25">
      <c r="E13084" s="693"/>
      <c r="F13084" s="284" t="s">
        <v>234</v>
      </c>
      <c r="G13084" s="287" t="s">
        <v>235</v>
      </c>
      <c r="H13084" s="559">
        <f>SUM(H13065)</f>
        <v>0</v>
      </c>
      <c r="I13084" s="560"/>
      <c r="J13084" s="560">
        <f>SUM(H13084:I13084)</f>
        <v>0</v>
      </c>
    </row>
    <row r="13085" spans="5:10" hidden="1" x14ac:dyDescent="0.25">
      <c r="F13085" s="284" t="s">
        <v>236</v>
      </c>
      <c r="G13085" s="287" t="s">
        <v>237</v>
      </c>
      <c r="J13085" s="560">
        <f t="shared" ref="J13085:J13099" si="429">SUM(H13085:I13085)</f>
        <v>0</v>
      </c>
    </row>
    <row r="13086" spans="5:10" hidden="1" x14ac:dyDescent="0.25">
      <c r="F13086" s="284" t="s">
        <v>238</v>
      </c>
      <c r="G13086" s="287" t="s">
        <v>239</v>
      </c>
      <c r="J13086" s="560">
        <f t="shared" si="429"/>
        <v>0</v>
      </c>
    </row>
    <row r="13087" spans="5:10" hidden="1" x14ac:dyDescent="0.25">
      <c r="F13087" s="284" t="s">
        <v>240</v>
      </c>
      <c r="G13087" s="287" t="s">
        <v>241</v>
      </c>
      <c r="J13087" s="560">
        <f t="shared" si="429"/>
        <v>0</v>
      </c>
    </row>
    <row r="13088" spans="5:10" hidden="1" x14ac:dyDescent="0.25">
      <c r="F13088" s="284" t="s">
        <v>242</v>
      </c>
      <c r="G13088" s="287" t="s">
        <v>243</v>
      </c>
      <c r="J13088" s="560">
        <f t="shared" si="429"/>
        <v>0</v>
      </c>
    </row>
    <row r="13089" spans="1:10" hidden="1" x14ac:dyDescent="0.25">
      <c r="F13089" s="284" t="s">
        <v>244</v>
      </c>
      <c r="G13089" s="287" t="s">
        <v>245</v>
      </c>
      <c r="J13089" s="560">
        <f t="shared" si="429"/>
        <v>0</v>
      </c>
    </row>
    <row r="13090" spans="1:10" hidden="1" x14ac:dyDescent="0.25">
      <c r="F13090" s="284" t="s">
        <v>246</v>
      </c>
      <c r="G13090" s="598" t="s">
        <v>4996</v>
      </c>
      <c r="J13090" s="560">
        <f t="shared" si="429"/>
        <v>0</v>
      </c>
    </row>
    <row r="13091" spans="1:10" hidden="1" x14ac:dyDescent="0.25">
      <c r="F13091" s="284" t="s">
        <v>247</v>
      </c>
      <c r="G13091" s="598" t="s">
        <v>4995</v>
      </c>
      <c r="J13091" s="560">
        <f t="shared" si="429"/>
        <v>0</v>
      </c>
    </row>
    <row r="13092" spans="1:10" hidden="1" x14ac:dyDescent="0.25">
      <c r="F13092" s="284" t="s">
        <v>248</v>
      </c>
      <c r="G13092" s="287" t="s">
        <v>57</v>
      </c>
      <c r="J13092" s="560">
        <f t="shared" si="429"/>
        <v>0</v>
      </c>
    </row>
    <row r="13093" spans="1:10" hidden="1" x14ac:dyDescent="0.25">
      <c r="F13093" s="284" t="s">
        <v>249</v>
      </c>
      <c r="G13093" s="287" t="s">
        <v>250</v>
      </c>
      <c r="J13093" s="560">
        <f t="shared" si="429"/>
        <v>0</v>
      </c>
    </row>
    <row r="13094" spans="1:10" hidden="1" x14ac:dyDescent="0.25">
      <c r="F13094" s="284" t="s">
        <v>251</v>
      </c>
      <c r="G13094" s="287" t="s">
        <v>252</v>
      </c>
      <c r="J13094" s="560">
        <f t="shared" si="429"/>
        <v>0</v>
      </c>
    </row>
    <row r="13095" spans="1:10" ht="30" hidden="1" x14ac:dyDescent="0.25">
      <c r="F13095" s="284" t="s">
        <v>253</v>
      </c>
      <c r="G13095" s="287" t="s">
        <v>254</v>
      </c>
      <c r="J13095" s="560">
        <f t="shared" si="429"/>
        <v>0</v>
      </c>
    </row>
    <row r="13096" spans="1:10" hidden="1" x14ac:dyDescent="0.25">
      <c r="F13096" s="284" t="s">
        <v>255</v>
      </c>
      <c r="G13096" s="287" t="s">
        <v>256</v>
      </c>
      <c r="J13096" s="560">
        <f t="shared" si="429"/>
        <v>0</v>
      </c>
    </row>
    <row r="13097" spans="1:10" ht="30" hidden="1" x14ac:dyDescent="0.25">
      <c r="F13097" s="284" t="s">
        <v>257</v>
      </c>
      <c r="G13097" s="287" t="s">
        <v>258</v>
      </c>
      <c r="J13097" s="560">
        <f t="shared" si="429"/>
        <v>0</v>
      </c>
    </row>
    <row r="13098" spans="1:10" hidden="1" x14ac:dyDescent="0.25">
      <c r="F13098" s="284" t="s">
        <v>259</v>
      </c>
      <c r="G13098" s="287" t="s">
        <v>260</v>
      </c>
      <c r="J13098" s="560">
        <f t="shared" si="429"/>
        <v>0</v>
      </c>
    </row>
    <row r="13099" spans="1:10" hidden="1" x14ac:dyDescent="0.25">
      <c r="F13099" s="284" t="s">
        <v>261</v>
      </c>
      <c r="G13099" s="287" t="s">
        <v>262</v>
      </c>
      <c r="H13099" s="559"/>
      <c r="I13099" s="560"/>
      <c r="J13099" s="560">
        <f t="shared" si="429"/>
        <v>0</v>
      </c>
    </row>
    <row r="13100" spans="1:10" ht="15.75" hidden="1" thickBot="1" x14ac:dyDescent="0.3">
      <c r="G13100" s="268" t="s">
        <v>4961</v>
      </c>
      <c r="H13100" s="561">
        <f>SUM(H13084:H13099)</f>
        <v>0</v>
      </c>
      <c r="I13100" s="562">
        <f>SUM(I13085:I13099)</f>
        <v>0</v>
      </c>
      <c r="J13100" s="562">
        <f>SUM(J13084:J13099)</f>
        <v>0</v>
      </c>
    </row>
    <row r="13101" spans="1:10" hidden="1" x14ac:dyDescent="0.25"/>
    <row r="13102" spans="1:10" hidden="1" x14ac:dyDescent="0.25">
      <c r="B13102" s="449" t="s">
        <v>4285</v>
      </c>
      <c r="C13102" s="448"/>
      <c r="D13102" s="450"/>
      <c r="E13102" s="894"/>
      <c r="F13102" s="451"/>
      <c r="G13102" s="452" t="s">
        <v>4268</v>
      </c>
      <c r="H13102" s="593"/>
      <c r="I13102" s="594"/>
      <c r="J13102" s="579"/>
    </row>
    <row r="13103" spans="1:10" ht="16.5" hidden="1" customHeight="1" x14ac:dyDescent="0.25">
      <c r="A13103" s="448">
        <v>4</v>
      </c>
      <c r="C13103" s="267" t="s">
        <v>3593</v>
      </c>
      <c r="G13103" s="454" t="s">
        <v>4262</v>
      </c>
    </row>
    <row r="13104" spans="1:10" hidden="1" x14ac:dyDescent="0.25">
      <c r="C13104" s="267" t="s">
        <v>4089</v>
      </c>
      <c r="D13104" s="259"/>
      <c r="G13104" s="454" t="s">
        <v>4263</v>
      </c>
    </row>
    <row r="13105" spans="3:10" hidden="1" x14ac:dyDescent="0.25">
      <c r="C13105" s="267"/>
      <c r="D13105" s="331">
        <v>820</v>
      </c>
      <c r="E13105" s="869"/>
      <c r="F13105" s="331"/>
      <c r="G13105" s="332" t="s">
        <v>207</v>
      </c>
    </row>
    <row r="13106" spans="3:10" hidden="1" x14ac:dyDescent="0.25">
      <c r="F13106" s="464">
        <v>411</v>
      </c>
      <c r="G13106" s="455" t="s">
        <v>4131</v>
      </c>
      <c r="J13106" s="556">
        <f>SUM(H13106:I13106)</f>
        <v>0</v>
      </c>
    </row>
    <row r="13107" spans="3:10" hidden="1" x14ac:dyDescent="0.25">
      <c r="F13107" s="464">
        <v>412</v>
      </c>
      <c r="G13107" s="453" t="s">
        <v>3766</v>
      </c>
      <c r="J13107" s="556">
        <f t="shared" ref="J13107:J13165" si="430">SUM(H13107:I13107)</f>
        <v>0</v>
      </c>
    </row>
    <row r="13108" spans="3:10" hidden="1" x14ac:dyDescent="0.25">
      <c r="F13108" s="464">
        <v>413</v>
      </c>
      <c r="G13108" s="455" t="s">
        <v>4132</v>
      </c>
      <c r="J13108" s="556">
        <f t="shared" si="430"/>
        <v>0</v>
      </c>
    </row>
    <row r="13109" spans="3:10" hidden="1" x14ac:dyDescent="0.25">
      <c r="F13109" s="464">
        <v>414</v>
      </c>
      <c r="G13109" s="455" t="s">
        <v>3769</v>
      </c>
      <c r="J13109" s="556">
        <f t="shared" si="430"/>
        <v>0</v>
      </c>
    </row>
    <row r="13110" spans="3:10" hidden="1" x14ac:dyDescent="0.25">
      <c r="F13110" s="464">
        <v>415</v>
      </c>
      <c r="G13110" s="455" t="s">
        <v>4141</v>
      </c>
      <c r="J13110" s="556">
        <f t="shared" si="430"/>
        <v>0</v>
      </c>
    </row>
    <row r="13111" spans="3:10" hidden="1" x14ac:dyDescent="0.25">
      <c r="F13111" s="464">
        <v>416</v>
      </c>
      <c r="G13111" s="455" t="s">
        <v>4142</v>
      </c>
      <c r="J13111" s="556">
        <f t="shared" si="430"/>
        <v>0</v>
      </c>
    </row>
    <row r="13112" spans="3:10" hidden="1" x14ac:dyDescent="0.25">
      <c r="F13112" s="464">
        <v>417</v>
      </c>
      <c r="G13112" s="455" t="s">
        <v>4143</v>
      </c>
      <c r="J13112" s="556">
        <f t="shared" si="430"/>
        <v>0</v>
      </c>
    </row>
    <row r="13113" spans="3:10" hidden="1" x14ac:dyDescent="0.25">
      <c r="F13113" s="464">
        <v>418</v>
      </c>
      <c r="G13113" s="455" t="s">
        <v>3775</v>
      </c>
      <c r="J13113" s="556">
        <f t="shared" si="430"/>
        <v>0</v>
      </c>
    </row>
    <row r="13114" spans="3:10" hidden="1" x14ac:dyDescent="0.25">
      <c r="F13114" s="464">
        <v>421</v>
      </c>
      <c r="G13114" s="455" t="s">
        <v>3779</v>
      </c>
      <c r="J13114" s="556">
        <f t="shared" si="430"/>
        <v>0</v>
      </c>
    </row>
    <row r="13115" spans="3:10" hidden="1" x14ac:dyDescent="0.25">
      <c r="F13115" s="464">
        <v>422</v>
      </c>
      <c r="G13115" s="455" t="s">
        <v>3780</v>
      </c>
      <c r="J13115" s="556">
        <f t="shared" si="430"/>
        <v>0</v>
      </c>
    </row>
    <row r="13116" spans="3:10" hidden="1" x14ac:dyDescent="0.25">
      <c r="F13116" s="464">
        <v>423</v>
      </c>
      <c r="G13116" s="455" t="s">
        <v>3781</v>
      </c>
      <c r="J13116" s="556">
        <f t="shared" si="430"/>
        <v>0</v>
      </c>
    </row>
    <row r="13117" spans="3:10" hidden="1" x14ac:dyDescent="0.25">
      <c r="F13117" s="464">
        <v>424</v>
      </c>
      <c r="G13117" s="455" t="s">
        <v>3783</v>
      </c>
      <c r="J13117" s="556">
        <f t="shared" si="430"/>
        <v>0</v>
      </c>
    </row>
    <row r="13118" spans="3:10" hidden="1" x14ac:dyDescent="0.25">
      <c r="F13118" s="464">
        <v>425</v>
      </c>
      <c r="G13118" s="455" t="s">
        <v>4144</v>
      </c>
      <c r="J13118" s="556">
        <f t="shared" si="430"/>
        <v>0</v>
      </c>
    </row>
    <row r="13119" spans="3:10" hidden="1" x14ac:dyDescent="0.25">
      <c r="F13119" s="464">
        <v>426</v>
      </c>
      <c r="G13119" s="455" t="s">
        <v>3787</v>
      </c>
      <c r="J13119" s="556">
        <f t="shared" si="430"/>
        <v>0</v>
      </c>
    </row>
    <row r="13120" spans="3:10" hidden="1" x14ac:dyDescent="0.25">
      <c r="F13120" s="464">
        <v>431</v>
      </c>
      <c r="G13120" s="455" t="s">
        <v>4145</v>
      </c>
      <c r="J13120" s="556">
        <f t="shared" si="430"/>
        <v>0</v>
      </c>
    </row>
    <row r="13121" spans="6:10" hidden="1" x14ac:dyDescent="0.25">
      <c r="F13121" s="464">
        <v>432</v>
      </c>
      <c r="G13121" s="455" t="s">
        <v>4146</v>
      </c>
      <c r="J13121" s="556">
        <f t="shared" si="430"/>
        <v>0</v>
      </c>
    </row>
    <row r="13122" spans="6:10" hidden="1" x14ac:dyDescent="0.25">
      <c r="F13122" s="464">
        <v>433</v>
      </c>
      <c r="G13122" s="455" t="s">
        <v>4147</v>
      </c>
      <c r="J13122" s="556">
        <f t="shared" si="430"/>
        <v>0</v>
      </c>
    </row>
    <row r="13123" spans="6:10" hidden="1" x14ac:dyDescent="0.25">
      <c r="F13123" s="464">
        <v>434</v>
      </c>
      <c r="G13123" s="455" t="s">
        <v>4148</v>
      </c>
      <c r="J13123" s="556">
        <f t="shared" si="430"/>
        <v>0</v>
      </c>
    </row>
    <row r="13124" spans="6:10" hidden="1" x14ac:dyDescent="0.25">
      <c r="F13124" s="464">
        <v>435</v>
      </c>
      <c r="G13124" s="455" t="s">
        <v>3794</v>
      </c>
      <c r="J13124" s="556">
        <f t="shared" si="430"/>
        <v>0</v>
      </c>
    </row>
    <row r="13125" spans="6:10" hidden="1" x14ac:dyDescent="0.25">
      <c r="F13125" s="464">
        <v>441</v>
      </c>
      <c r="G13125" s="455" t="s">
        <v>4149</v>
      </c>
      <c r="J13125" s="556">
        <f t="shared" si="430"/>
        <v>0</v>
      </c>
    </row>
    <row r="13126" spans="6:10" hidden="1" x14ac:dyDescent="0.25">
      <c r="F13126" s="464">
        <v>442</v>
      </c>
      <c r="G13126" s="455" t="s">
        <v>4150</v>
      </c>
      <c r="J13126" s="556">
        <f t="shared" si="430"/>
        <v>0</v>
      </c>
    </row>
    <row r="13127" spans="6:10" hidden="1" x14ac:dyDescent="0.25">
      <c r="F13127" s="464">
        <v>443</v>
      </c>
      <c r="G13127" s="455" t="s">
        <v>3799</v>
      </c>
      <c r="J13127" s="556">
        <f t="shared" si="430"/>
        <v>0</v>
      </c>
    </row>
    <row r="13128" spans="6:10" hidden="1" x14ac:dyDescent="0.25">
      <c r="F13128" s="464">
        <v>444</v>
      </c>
      <c r="G13128" s="455" t="s">
        <v>3800</v>
      </c>
      <c r="J13128" s="556">
        <f t="shared" si="430"/>
        <v>0</v>
      </c>
    </row>
    <row r="13129" spans="6:10" ht="30" hidden="1" x14ac:dyDescent="0.25">
      <c r="F13129" s="464">
        <v>4511</v>
      </c>
      <c r="G13129" s="263" t="s">
        <v>1690</v>
      </c>
      <c r="J13129" s="556">
        <f t="shared" si="430"/>
        <v>0</v>
      </c>
    </row>
    <row r="13130" spans="6:10" ht="19.5" hidden="1" customHeight="1" x14ac:dyDescent="0.25">
      <c r="F13130" s="464">
        <v>4512</v>
      </c>
      <c r="G13130" s="263" t="s">
        <v>1699</v>
      </c>
      <c r="J13130" s="556">
        <f t="shared" si="430"/>
        <v>0</v>
      </c>
    </row>
    <row r="13131" spans="6:10" hidden="1" x14ac:dyDescent="0.25">
      <c r="F13131" s="464">
        <v>452</v>
      </c>
      <c r="G13131" s="455" t="s">
        <v>4151</v>
      </c>
      <c r="J13131" s="556">
        <f t="shared" si="430"/>
        <v>0</v>
      </c>
    </row>
    <row r="13132" spans="6:10" hidden="1" x14ac:dyDescent="0.25">
      <c r="F13132" s="464">
        <v>453</v>
      </c>
      <c r="G13132" s="455" t="s">
        <v>4152</v>
      </c>
      <c r="J13132" s="556">
        <f t="shared" si="430"/>
        <v>0</v>
      </c>
    </row>
    <row r="13133" spans="6:10" hidden="1" x14ac:dyDescent="0.25">
      <c r="F13133" s="464">
        <v>454</v>
      </c>
      <c r="G13133" s="455" t="s">
        <v>3805</v>
      </c>
      <c r="J13133" s="556">
        <f t="shared" si="430"/>
        <v>0</v>
      </c>
    </row>
    <row r="13134" spans="6:10" hidden="1" x14ac:dyDescent="0.25">
      <c r="F13134" s="464">
        <v>461</v>
      </c>
      <c r="G13134" s="455" t="s">
        <v>4133</v>
      </c>
      <c r="J13134" s="556">
        <f t="shared" si="430"/>
        <v>0</v>
      </c>
    </row>
    <row r="13135" spans="6:10" hidden="1" x14ac:dyDescent="0.25">
      <c r="F13135" s="464">
        <v>462</v>
      </c>
      <c r="G13135" s="455" t="s">
        <v>3808</v>
      </c>
      <c r="J13135" s="556">
        <f t="shared" si="430"/>
        <v>0</v>
      </c>
    </row>
    <row r="13136" spans="6:10" hidden="1" x14ac:dyDescent="0.25">
      <c r="F13136" s="464">
        <v>4631</v>
      </c>
      <c r="G13136" s="455" t="s">
        <v>3809</v>
      </c>
      <c r="J13136" s="556">
        <f t="shared" si="430"/>
        <v>0</v>
      </c>
    </row>
    <row r="13137" spans="6:10" hidden="1" x14ac:dyDescent="0.25">
      <c r="F13137" s="464">
        <v>4632</v>
      </c>
      <c r="G13137" s="455" t="s">
        <v>3810</v>
      </c>
      <c r="J13137" s="556">
        <f t="shared" si="430"/>
        <v>0</v>
      </c>
    </row>
    <row r="13138" spans="6:10" hidden="1" x14ac:dyDescent="0.25">
      <c r="F13138" s="464">
        <v>464</v>
      </c>
      <c r="G13138" s="455" t="s">
        <v>3811</v>
      </c>
      <c r="J13138" s="556">
        <f t="shared" si="430"/>
        <v>0</v>
      </c>
    </row>
    <row r="13139" spans="6:10" hidden="1" x14ac:dyDescent="0.25">
      <c r="F13139" s="464">
        <v>465</v>
      </c>
      <c r="G13139" s="455" t="s">
        <v>4134</v>
      </c>
      <c r="J13139" s="556">
        <f t="shared" si="430"/>
        <v>0</v>
      </c>
    </row>
    <row r="13140" spans="6:10" hidden="1" x14ac:dyDescent="0.25">
      <c r="F13140" s="464">
        <v>472</v>
      </c>
      <c r="G13140" s="455" t="s">
        <v>3815</v>
      </c>
      <c r="J13140" s="556">
        <f t="shared" si="430"/>
        <v>0</v>
      </c>
    </row>
    <row r="13141" spans="6:10" hidden="1" x14ac:dyDescent="0.25">
      <c r="F13141" s="464">
        <v>481</v>
      </c>
      <c r="G13141" s="455" t="s">
        <v>4153</v>
      </c>
      <c r="J13141" s="556">
        <f t="shared" si="430"/>
        <v>0</v>
      </c>
    </row>
    <row r="13142" spans="6:10" hidden="1" x14ac:dyDescent="0.25">
      <c r="F13142" s="464">
        <v>482</v>
      </c>
      <c r="G13142" s="455" t="s">
        <v>4154</v>
      </c>
      <c r="J13142" s="556">
        <f t="shared" si="430"/>
        <v>0</v>
      </c>
    </row>
    <row r="13143" spans="6:10" hidden="1" x14ac:dyDescent="0.25">
      <c r="F13143" s="464">
        <v>483</v>
      </c>
      <c r="G13143" s="457" t="s">
        <v>4155</v>
      </c>
      <c r="J13143" s="556">
        <f t="shared" si="430"/>
        <v>0</v>
      </c>
    </row>
    <row r="13144" spans="6:10" ht="30" hidden="1" x14ac:dyDescent="0.25">
      <c r="F13144" s="464">
        <v>484</v>
      </c>
      <c r="G13144" s="455" t="s">
        <v>4156</v>
      </c>
      <c r="J13144" s="556">
        <f t="shared" si="430"/>
        <v>0</v>
      </c>
    </row>
    <row r="13145" spans="6:10" ht="30" hidden="1" x14ac:dyDescent="0.25">
      <c r="F13145" s="464">
        <v>485</v>
      </c>
      <c r="G13145" s="455" t="s">
        <v>4157</v>
      </c>
      <c r="J13145" s="556">
        <f t="shared" si="430"/>
        <v>0</v>
      </c>
    </row>
    <row r="13146" spans="6:10" ht="30" hidden="1" x14ac:dyDescent="0.25">
      <c r="F13146" s="464">
        <v>489</v>
      </c>
      <c r="G13146" s="455" t="s">
        <v>3823</v>
      </c>
      <c r="J13146" s="556">
        <f t="shared" si="430"/>
        <v>0</v>
      </c>
    </row>
    <row r="13147" spans="6:10" hidden="1" x14ac:dyDescent="0.25">
      <c r="F13147" s="464">
        <v>494</v>
      </c>
      <c r="G13147" s="455" t="s">
        <v>4135</v>
      </c>
      <c r="J13147" s="556">
        <f t="shared" si="430"/>
        <v>0</v>
      </c>
    </row>
    <row r="13148" spans="6:10" ht="30" hidden="1" x14ac:dyDescent="0.25">
      <c r="F13148" s="464">
        <v>495</v>
      </c>
      <c r="G13148" s="455" t="s">
        <v>4136</v>
      </c>
      <c r="J13148" s="556">
        <f t="shared" si="430"/>
        <v>0</v>
      </c>
    </row>
    <row r="13149" spans="6:10" ht="30" hidden="1" x14ac:dyDescent="0.25">
      <c r="F13149" s="464">
        <v>496</v>
      </c>
      <c r="G13149" s="455" t="s">
        <v>4137</v>
      </c>
      <c r="J13149" s="556">
        <f t="shared" si="430"/>
        <v>0</v>
      </c>
    </row>
    <row r="13150" spans="6:10" ht="30" hidden="1" x14ac:dyDescent="0.25">
      <c r="F13150" s="464">
        <v>499</v>
      </c>
      <c r="G13150" s="455" t="s">
        <v>4138</v>
      </c>
      <c r="J13150" s="556">
        <f t="shared" si="430"/>
        <v>0</v>
      </c>
    </row>
    <row r="13151" spans="6:10" hidden="1" x14ac:dyDescent="0.25">
      <c r="F13151" s="464">
        <v>511</v>
      </c>
      <c r="G13151" s="457" t="s">
        <v>4158</v>
      </c>
      <c r="J13151" s="556">
        <f t="shared" si="430"/>
        <v>0</v>
      </c>
    </row>
    <row r="13152" spans="6:10" hidden="1" x14ac:dyDescent="0.25">
      <c r="F13152" s="464">
        <v>512</v>
      </c>
      <c r="G13152" s="457" t="s">
        <v>4159</v>
      </c>
      <c r="J13152" s="556">
        <f t="shared" si="430"/>
        <v>0</v>
      </c>
    </row>
    <row r="13153" spans="5:10" hidden="1" x14ac:dyDescent="0.25">
      <c r="F13153" s="464">
        <v>513</v>
      </c>
      <c r="G13153" s="457" t="s">
        <v>4160</v>
      </c>
      <c r="J13153" s="556">
        <f t="shared" si="430"/>
        <v>0</v>
      </c>
    </row>
    <row r="13154" spans="5:10" hidden="1" x14ac:dyDescent="0.25">
      <c r="F13154" s="464">
        <v>514</v>
      </c>
      <c r="G13154" s="455" t="s">
        <v>4161</v>
      </c>
      <c r="J13154" s="556">
        <f t="shared" si="430"/>
        <v>0</v>
      </c>
    </row>
    <row r="13155" spans="5:10" hidden="1" x14ac:dyDescent="0.25">
      <c r="F13155" s="464">
        <v>515</v>
      </c>
      <c r="G13155" s="455" t="s">
        <v>3834</v>
      </c>
      <c r="J13155" s="556">
        <f t="shared" si="430"/>
        <v>0</v>
      </c>
    </row>
    <row r="13156" spans="5:10" hidden="1" x14ac:dyDescent="0.25">
      <c r="F13156" s="464">
        <v>521</v>
      </c>
      <c r="G13156" s="455" t="s">
        <v>4162</v>
      </c>
      <c r="J13156" s="556">
        <f t="shared" si="430"/>
        <v>0</v>
      </c>
    </row>
    <row r="13157" spans="5:10" hidden="1" x14ac:dyDescent="0.25">
      <c r="F13157" s="464">
        <v>522</v>
      </c>
      <c r="G13157" s="455" t="s">
        <v>4163</v>
      </c>
      <c r="J13157" s="556">
        <f t="shared" si="430"/>
        <v>0</v>
      </c>
    </row>
    <row r="13158" spans="5:10" hidden="1" x14ac:dyDescent="0.25">
      <c r="F13158" s="464">
        <v>523</v>
      </c>
      <c r="G13158" s="455" t="s">
        <v>3839</v>
      </c>
      <c r="J13158" s="556">
        <f t="shared" si="430"/>
        <v>0</v>
      </c>
    </row>
    <row r="13159" spans="5:10" hidden="1" x14ac:dyDescent="0.25">
      <c r="F13159" s="464">
        <v>531</v>
      </c>
      <c r="G13159" s="453" t="s">
        <v>4139</v>
      </c>
      <c r="J13159" s="556">
        <f t="shared" si="430"/>
        <v>0</v>
      </c>
    </row>
    <row r="13160" spans="5:10" hidden="1" x14ac:dyDescent="0.25">
      <c r="F13160" s="464">
        <v>541</v>
      </c>
      <c r="G13160" s="455" t="s">
        <v>4164</v>
      </c>
      <c r="J13160" s="556">
        <f t="shared" si="430"/>
        <v>0</v>
      </c>
    </row>
    <row r="13161" spans="5:10" hidden="1" x14ac:dyDescent="0.25">
      <c r="F13161" s="464">
        <v>542</v>
      </c>
      <c r="G13161" s="455" t="s">
        <v>4165</v>
      </c>
      <c r="J13161" s="556">
        <f t="shared" si="430"/>
        <v>0</v>
      </c>
    </row>
    <row r="13162" spans="5:10" hidden="1" x14ac:dyDescent="0.25">
      <c r="F13162" s="464">
        <v>543</v>
      </c>
      <c r="G13162" s="455" t="s">
        <v>3844</v>
      </c>
      <c r="J13162" s="556">
        <f t="shared" si="430"/>
        <v>0</v>
      </c>
    </row>
    <row r="13163" spans="5:10" ht="30" hidden="1" x14ac:dyDescent="0.25">
      <c r="F13163" s="464">
        <v>551</v>
      </c>
      <c r="G13163" s="455" t="s">
        <v>4140</v>
      </c>
      <c r="J13163" s="556">
        <f t="shared" si="430"/>
        <v>0</v>
      </c>
    </row>
    <row r="13164" spans="5:10" hidden="1" x14ac:dyDescent="0.25">
      <c r="F13164" s="465">
        <v>611</v>
      </c>
      <c r="G13164" s="463" t="s">
        <v>3850</v>
      </c>
      <c r="J13164" s="556">
        <f t="shared" si="430"/>
        <v>0</v>
      </c>
    </row>
    <row r="13165" spans="5:10" hidden="1" x14ac:dyDescent="0.25">
      <c r="F13165" s="465">
        <v>620</v>
      </c>
      <c r="G13165" s="463" t="s">
        <v>88</v>
      </c>
      <c r="J13165" s="556">
        <f t="shared" si="430"/>
        <v>0</v>
      </c>
    </row>
    <row r="13166" spans="5:10" hidden="1" x14ac:dyDescent="0.25">
      <c r="E13166" s="489"/>
      <c r="F13166" s="465"/>
      <c r="G13166" s="343" t="s">
        <v>4356</v>
      </c>
      <c r="H13166" s="557"/>
      <c r="I13166" s="583"/>
      <c r="J13166" s="558"/>
    </row>
    <row r="13167" spans="5:10" hidden="1" x14ac:dyDescent="0.25">
      <c r="E13167" s="693"/>
      <c r="F13167" s="284" t="s">
        <v>234</v>
      </c>
      <c r="G13167" s="287" t="s">
        <v>235</v>
      </c>
      <c r="H13167" s="559">
        <f>SUM(H13106:H13165)</f>
        <v>0</v>
      </c>
      <c r="I13167" s="560"/>
      <c r="J13167" s="560">
        <f t="shared" ref="J13167:J13182" si="431">SUM(H13167:I13167)</f>
        <v>0</v>
      </c>
    </row>
    <row r="13168" spans="5:10" hidden="1" x14ac:dyDescent="0.25">
      <c r="F13168" s="284" t="s">
        <v>236</v>
      </c>
      <c r="G13168" s="287" t="s">
        <v>237</v>
      </c>
      <c r="J13168" s="560">
        <f t="shared" si="431"/>
        <v>0</v>
      </c>
    </row>
    <row r="13169" spans="5:10" hidden="1" x14ac:dyDescent="0.25">
      <c r="F13169" s="284" t="s">
        <v>238</v>
      </c>
      <c r="G13169" s="287" t="s">
        <v>239</v>
      </c>
      <c r="J13169" s="560">
        <f t="shared" si="431"/>
        <v>0</v>
      </c>
    </row>
    <row r="13170" spans="5:10" hidden="1" x14ac:dyDescent="0.25">
      <c r="F13170" s="284" t="s">
        <v>240</v>
      </c>
      <c r="G13170" s="287" t="s">
        <v>241</v>
      </c>
      <c r="J13170" s="560">
        <f t="shared" si="431"/>
        <v>0</v>
      </c>
    </row>
    <row r="13171" spans="5:10" hidden="1" x14ac:dyDescent="0.25">
      <c r="F13171" s="284" t="s">
        <v>242</v>
      </c>
      <c r="G13171" s="287" t="s">
        <v>243</v>
      </c>
      <c r="J13171" s="560">
        <f t="shared" si="431"/>
        <v>0</v>
      </c>
    </row>
    <row r="13172" spans="5:10" hidden="1" x14ac:dyDescent="0.25">
      <c r="F13172" s="284" t="s">
        <v>244</v>
      </c>
      <c r="G13172" s="287" t="s">
        <v>245</v>
      </c>
      <c r="J13172" s="560">
        <f t="shared" si="431"/>
        <v>0</v>
      </c>
    </row>
    <row r="13173" spans="5:10" hidden="1" x14ac:dyDescent="0.25">
      <c r="F13173" s="284" t="s">
        <v>246</v>
      </c>
      <c r="G13173" s="598" t="s">
        <v>4996</v>
      </c>
      <c r="J13173" s="560">
        <f t="shared" si="431"/>
        <v>0</v>
      </c>
    </row>
    <row r="13174" spans="5:10" hidden="1" x14ac:dyDescent="0.25">
      <c r="F13174" s="284" t="s">
        <v>247</v>
      </c>
      <c r="G13174" s="598" t="s">
        <v>4995</v>
      </c>
      <c r="J13174" s="560">
        <f t="shared" si="431"/>
        <v>0</v>
      </c>
    </row>
    <row r="13175" spans="5:10" hidden="1" x14ac:dyDescent="0.25">
      <c r="F13175" s="284" t="s">
        <v>248</v>
      </c>
      <c r="G13175" s="287" t="s">
        <v>57</v>
      </c>
      <c r="J13175" s="560">
        <f t="shared" si="431"/>
        <v>0</v>
      </c>
    </row>
    <row r="13176" spans="5:10" hidden="1" x14ac:dyDescent="0.25">
      <c r="F13176" s="284" t="s">
        <v>249</v>
      </c>
      <c r="G13176" s="287" t="s">
        <v>250</v>
      </c>
      <c r="J13176" s="560">
        <f t="shared" si="431"/>
        <v>0</v>
      </c>
    </row>
    <row r="13177" spans="5:10" hidden="1" x14ac:dyDescent="0.25">
      <c r="F13177" s="284" t="s">
        <v>251</v>
      </c>
      <c r="G13177" s="287" t="s">
        <v>252</v>
      </c>
      <c r="J13177" s="560">
        <f t="shared" si="431"/>
        <v>0</v>
      </c>
    </row>
    <row r="13178" spans="5:10" ht="30" hidden="1" x14ac:dyDescent="0.25">
      <c r="F13178" s="284" t="s">
        <v>253</v>
      </c>
      <c r="G13178" s="287" t="s">
        <v>254</v>
      </c>
      <c r="J13178" s="560">
        <f t="shared" si="431"/>
        <v>0</v>
      </c>
    </row>
    <row r="13179" spans="5:10" hidden="1" x14ac:dyDescent="0.25">
      <c r="F13179" s="284" t="s">
        <v>255</v>
      </c>
      <c r="G13179" s="287" t="s">
        <v>256</v>
      </c>
      <c r="J13179" s="560">
        <f t="shared" si="431"/>
        <v>0</v>
      </c>
    </row>
    <row r="13180" spans="5:10" ht="30" hidden="1" x14ac:dyDescent="0.25">
      <c r="F13180" s="284" t="s">
        <v>257</v>
      </c>
      <c r="G13180" s="287" t="s">
        <v>258</v>
      </c>
      <c r="J13180" s="560">
        <f t="shared" si="431"/>
        <v>0</v>
      </c>
    </row>
    <row r="13181" spans="5:10" hidden="1" x14ac:dyDescent="0.25">
      <c r="F13181" s="284" t="s">
        <v>259</v>
      </c>
      <c r="G13181" s="287" t="s">
        <v>260</v>
      </c>
      <c r="J13181" s="560">
        <f t="shared" si="431"/>
        <v>0</v>
      </c>
    </row>
    <row r="13182" spans="5:10" hidden="1" x14ac:dyDescent="0.25">
      <c r="F13182" s="284" t="s">
        <v>261</v>
      </c>
      <c r="G13182" s="287" t="s">
        <v>262</v>
      </c>
      <c r="H13182" s="559"/>
      <c r="I13182" s="560"/>
      <c r="J13182" s="560">
        <f t="shared" si="431"/>
        <v>0</v>
      </c>
    </row>
    <row r="13183" spans="5:10" ht="15.75" hidden="1" thickBot="1" x14ac:dyDescent="0.3">
      <c r="G13183" s="268" t="s">
        <v>4357</v>
      </c>
      <c r="H13183" s="561">
        <f>SUM(H13167:H13182)</f>
        <v>0</v>
      </c>
      <c r="I13183" s="562">
        <f>SUM(I13168:I13182)</f>
        <v>0</v>
      </c>
      <c r="J13183" s="562">
        <f>SUM(J13167:J13182)</f>
        <v>0</v>
      </c>
    </row>
    <row r="13184" spans="5:10" ht="28.5" hidden="1" collapsed="1" x14ac:dyDescent="0.25">
      <c r="E13184" s="489"/>
      <c r="F13184" s="465"/>
      <c r="G13184" s="270" t="s">
        <v>4358</v>
      </c>
      <c r="H13184" s="563"/>
      <c r="I13184" s="584"/>
      <c r="J13184" s="564"/>
    </row>
    <row r="13185" spans="5:10" hidden="1" x14ac:dyDescent="0.25">
      <c r="E13185" s="693"/>
      <c r="F13185" s="284" t="s">
        <v>234</v>
      </c>
      <c r="G13185" s="287" t="s">
        <v>235</v>
      </c>
      <c r="H13185" s="559">
        <f>SUM(H13106:H13165)</f>
        <v>0</v>
      </c>
      <c r="I13185" s="560"/>
      <c r="J13185" s="560">
        <f>SUM(H13185:I13185)</f>
        <v>0</v>
      </c>
    </row>
    <row r="13186" spans="5:10" hidden="1" x14ac:dyDescent="0.25">
      <c r="F13186" s="284" t="s">
        <v>236</v>
      </c>
      <c r="G13186" s="287" t="s">
        <v>237</v>
      </c>
      <c r="J13186" s="560">
        <f t="shared" ref="J13186:J13200" si="432">SUM(H13186:I13186)</f>
        <v>0</v>
      </c>
    </row>
    <row r="13187" spans="5:10" hidden="1" x14ac:dyDescent="0.25">
      <c r="F13187" s="284" t="s">
        <v>238</v>
      </c>
      <c r="G13187" s="287" t="s">
        <v>239</v>
      </c>
      <c r="J13187" s="560">
        <f t="shared" si="432"/>
        <v>0</v>
      </c>
    </row>
    <row r="13188" spans="5:10" hidden="1" x14ac:dyDescent="0.25">
      <c r="F13188" s="284" t="s">
        <v>240</v>
      </c>
      <c r="G13188" s="287" t="s">
        <v>241</v>
      </c>
      <c r="J13188" s="560">
        <f t="shared" si="432"/>
        <v>0</v>
      </c>
    </row>
    <row r="13189" spans="5:10" hidden="1" x14ac:dyDescent="0.25">
      <c r="F13189" s="284" t="s">
        <v>242</v>
      </c>
      <c r="G13189" s="287" t="s">
        <v>243</v>
      </c>
      <c r="J13189" s="560">
        <f t="shared" si="432"/>
        <v>0</v>
      </c>
    </row>
    <row r="13190" spans="5:10" hidden="1" x14ac:dyDescent="0.25">
      <c r="F13190" s="284" t="s">
        <v>244</v>
      </c>
      <c r="G13190" s="287" t="s">
        <v>245</v>
      </c>
      <c r="J13190" s="560">
        <f t="shared" si="432"/>
        <v>0</v>
      </c>
    </row>
    <row r="13191" spans="5:10" hidden="1" x14ac:dyDescent="0.25">
      <c r="F13191" s="284" t="s">
        <v>246</v>
      </c>
      <c r="G13191" s="598" t="s">
        <v>4996</v>
      </c>
      <c r="J13191" s="560">
        <f t="shared" si="432"/>
        <v>0</v>
      </c>
    </row>
    <row r="13192" spans="5:10" hidden="1" x14ac:dyDescent="0.25">
      <c r="F13192" s="284" t="s">
        <v>247</v>
      </c>
      <c r="G13192" s="598" t="s">
        <v>4995</v>
      </c>
      <c r="J13192" s="560">
        <f t="shared" si="432"/>
        <v>0</v>
      </c>
    </row>
    <row r="13193" spans="5:10" hidden="1" x14ac:dyDescent="0.25">
      <c r="F13193" s="284" t="s">
        <v>248</v>
      </c>
      <c r="G13193" s="287" t="s">
        <v>57</v>
      </c>
      <c r="J13193" s="560">
        <f t="shared" si="432"/>
        <v>0</v>
      </c>
    </row>
    <row r="13194" spans="5:10" hidden="1" x14ac:dyDescent="0.25">
      <c r="F13194" s="284" t="s">
        <v>249</v>
      </c>
      <c r="G13194" s="287" t="s">
        <v>250</v>
      </c>
      <c r="J13194" s="560">
        <f t="shared" si="432"/>
        <v>0</v>
      </c>
    </row>
    <row r="13195" spans="5:10" hidden="1" x14ac:dyDescent="0.25">
      <c r="F13195" s="284" t="s">
        <v>251</v>
      </c>
      <c r="G13195" s="287" t="s">
        <v>252</v>
      </c>
      <c r="J13195" s="560">
        <f t="shared" si="432"/>
        <v>0</v>
      </c>
    </row>
    <row r="13196" spans="5:10" ht="30" hidden="1" x14ac:dyDescent="0.25">
      <c r="F13196" s="284" t="s">
        <v>253</v>
      </c>
      <c r="G13196" s="287" t="s">
        <v>254</v>
      </c>
      <c r="J13196" s="560">
        <f t="shared" si="432"/>
        <v>0</v>
      </c>
    </row>
    <row r="13197" spans="5:10" hidden="1" x14ac:dyDescent="0.25">
      <c r="F13197" s="284" t="s">
        <v>255</v>
      </c>
      <c r="G13197" s="287" t="s">
        <v>256</v>
      </c>
      <c r="J13197" s="560">
        <f t="shared" si="432"/>
        <v>0</v>
      </c>
    </row>
    <row r="13198" spans="5:10" ht="30" hidden="1" x14ac:dyDescent="0.25">
      <c r="F13198" s="284" t="s">
        <v>257</v>
      </c>
      <c r="G13198" s="287" t="s">
        <v>258</v>
      </c>
      <c r="J13198" s="560">
        <f t="shared" si="432"/>
        <v>0</v>
      </c>
    </row>
    <row r="13199" spans="5:10" hidden="1" x14ac:dyDescent="0.25">
      <c r="F13199" s="284" t="s">
        <v>259</v>
      </c>
      <c r="G13199" s="287" t="s">
        <v>260</v>
      </c>
      <c r="J13199" s="560">
        <f t="shared" si="432"/>
        <v>0</v>
      </c>
    </row>
    <row r="13200" spans="5:10" hidden="1" x14ac:dyDescent="0.25">
      <c r="F13200" s="284" t="s">
        <v>261</v>
      </c>
      <c r="G13200" s="287" t="s">
        <v>262</v>
      </c>
      <c r="H13200" s="559"/>
      <c r="I13200" s="560"/>
      <c r="J13200" s="560">
        <f t="shared" si="432"/>
        <v>0</v>
      </c>
    </row>
    <row r="13201" spans="3:10" ht="15.75" hidden="1" collapsed="1" thickBot="1" x14ac:dyDescent="0.3">
      <c r="G13201" s="268" t="s">
        <v>4359</v>
      </c>
      <c r="H13201" s="561">
        <f>SUM(H13185:H13200)</f>
        <v>0</v>
      </c>
      <c r="I13201" s="562">
        <f>SUM(I13186:I13200)</f>
        <v>0</v>
      </c>
      <c r="J13201" s="562">
        <f>SUM(J13185:J13200)</f>
        <v>0</v>
      </c>
    </row>
    <row r="13202" spans="3:10" hidden="1" x14ac:dyDescent="0.25"/>
    <row r="13203" spans="3:10" hidden="1" x14ac:dyDescent="0.25">
      <c r="C13203" s="267" t="s">
        <v>4748</v>
      </c>
      <c r="D13203" s="259"/>
      <c r="G13203" s="456" t="s">
        <v>4196</v>
      </c>
    </row>
    <row r="13204" spans="3:10" hidden="1" x14ac:dyDescent="0.25">
      <c r="C13204" s="267"/>
      <c r="D13204" s="331">
        <v>820</v>
      </c>
      <c r="E13204" s="869"/>
      <c r="F13204" s="331"/>
      <c r="G13204" s="332" t="s">
        <v>207</v>
      </c>
    </row>
    <row r="13205" spans="3:10" hidden="1" x14ac:dyDescent="0.25">
      <c r="F13205" s="464">
        <v>411</v>
      </c>
      <c r="G13205" s="455" t="s">
        <v>4131</v>
      </c>
      <c r="J13205" s="556">
        <f>SUM(H13205:I13205)</f>
        <v>0</v>
      </c>
    </row>
    <row r="13206" spans="3:10" hidden="1" x14ac:dyDescent="0.25">
      <c r="F13206" s="464">
        <v>412</v>
      </c>
      <c r="G13206" s="453" t="s">
        <v>3766</v>
      </c>
      <c r="J13206" s="556">
        <f t="shared" ref="J13206:J13264" si="433">SUM(H13206:I13206)</f>
        <v>0</v>
      </c>
    </row>
    <row r="13207" spans="3:10" hidden="1" x14ac:dyDescent="0.25">
      <c r="F13207" s="464">
        <v>413</v>
      </c>
      <c r="G13207" s="455" t="s">
        <v>4132</v>
      </c>
      <c r="J13207" s="556">
        <f t="shared" si="433"/>
        <v>0</v>
      </c>
    </row>
    <row r="13208" spans="3:10" hidden="1" x14ac:dyDescent="0.25">
      <c r="F13208" s="464">
        <v>414</v>
      </c>
      <c r="G13208" s="455" t="s">
        <v>3769</v>
      </c>
      <c r="J13208" s="556">
        <f t="shared" si="433"/>
        <v>0</v>
      </c>
    </row>
    <row r="13209" spans="3:10" hidden="1" x14ac:dyDescent="0.25">
      <c r="F13209" s="464">
        <v>415</v>
      </c>
      <c r="G13209" s="455" t="s">
        <v>4141</v>
      </c>
      <c r="J13209" s="556">
        <f t="shared" si="433"/>
        <v>0</v>
      </c>
    </row>
    <row r="13210" spans="3:10" hidden="1" x14ac:dyDescent="0.25">
      <c r="F13210" s="464">
        <v>416</v>
      </c>
      <c r="G13210" s="455" t="s">
        <v>4142</v>
      </c>
      <c r="J13210" s="556">
        <f t="shared" si="433"/>
        <v>0</v>
      </c>
    </row>
    <row r="13211" spans="3:10" hidden="1" x14ac:dyDescent="0.25">
      <c r="F13211" s="464">
        <v>417</v>
      </c>
      <c r="G13211" s="455" t="s">
        <v>4143</v>
      </c>
      <c r="J13211" s="556">
        <f t="shared" si="433"/>
        <v>0</v>
      </c>
    </row>
    <row r="13212" spans="3:10" hidden="1" x14ac:dyDescent="0.25">
      <c r="F13212" s="464">
        <v>418</v>
      </c>
      <c r="G13212" s="455" t="s">
        <v>3775</v>
      </c>
      <c r="J13212" s="556">
        <f t="shared" si="433"/>
        <v>0</v>
      </c>
    </row>
    <row r="13213" spans="3:10" hidden="1" x14ac:dyDescent="0.25">
      <c r="F13213" s="464">
        <v>421</v>
      </c>
      <c r="G13213" s="455" t="s">
        <v>3779</v>
      </c>
      <c r="J13213" s="556">
        <f t="shared" si="433"/>
        <v>0</v>
      </c>
    </row>
    <row r="13214" spans="3:10" hidden="1" x14ac:dyDescent="0.25">
      <c r="F13214" s="464">
        <v>422</v>
      </c>
      <c r="G13214" s="455" t="s">
        <v>3780</v>
      </c>
      <c r="J13214" s="556">
        <f t="shared" si="433"/>
        <v>0</v>
      </c>
    </row>
    <row r="13215" spans="3:10" hidden="1" x14ac:dyDescent="0.25">
      <c r="F13215" s="464">
        <v>423</v>
      </c>
      <c r="G13215" s="455" t="s">
        <v>3781</v>
      </c>
      <c r="J13215" s="556">
        <f t="shared" si="433"/>
        <v>0</v>
      </c>
    </row>
    <row r="13216" spans="3:10" hidden="1" x14ac:dyDescent="0.25">
      <c r="F13216" s="464">
        <v>424</v>
      </c>
      <c r="G13216" s="455" t="s">
        <v>3783</v>
      </c>
      <c r="J13216" s="556">
        <f t="shared" si="433"/>
        <v>0</v>
      </c>
    </row>
    <row r="13217" spans="6:10" hidden="1" x14ac:dyDescent="0.25">
      <c r="F13217" s="464">
        <v>425</v>
      </c>
      <c r="G13217" s="455" t="s">
        <v>4144</v>
      </c>
      <c r="J13217" s="556">
        <f t="shared" si="433"/>
        <v>0</v>
      </c>
    </row>
    <row r="13218" spans="6:10" hidden="1" x14ac:dyDescent="0.25">
      <c r="F13218" s="464">
        <v>426</v>
      </c>
      <c r="G13218" s="455" t="s">
        <v>3787</v>
      </c>
      <c r="J13218" s="556">
        <f t="shared" si="433"/>
        <v>0</v>
      </c>
    </row>
    <row r="13219" spans="6:10" hidden="1" x14ac:dyDescent="0.25">
      <c r="F13219" s="464">
        <v>431</v>
      </c>
      <c r="G13219" s="455" t="s">
        <v>4145</v>
      </c>
      <c r="J13219" s="556">
        <f t="shared" si="433"/>
        <v>0</v>
      </c>
    </row>
    <row r="13220" spans="6:10" hidden="1" x14ac:dyDescent="0.25">
      <c r="F13220" s="464">
        <v>432</v>
      </c>
      <c r="G13220" s="455" t="s">
        <v>4146</v>
      </c>
      <c r="J13220" s="556">
        <f t="shared" si="433"/>
        <v>0</v>
      </c>
    </row>
    <row r="13221" spans="6:10" hidden="1" x14ac:dyDescent="0.25">
      <c r="F13221" s="464">
        <v>433</v>
      </c>
      <c r="G13221" s="455" t="s">
        <v>4147</v>
      </c>
      <c r="J13221" s="556">
        <f t="shared" si="433"/>
        <v>0</v>
      </c>
    </row>
    <row r="13222" spans="6:10" hidden="1" x14ac:dyDescent="0.25">
      <c r="F13222" s="464">
        <v>434</v>
      </c>
      <c r="G13222" s="455" t="s">
        <v>4148</v>
      </c>
      <c r="J13222" s="556">
        <f t="shared" si="433"/>
        <v>0</v>
      </c>
    </row>
    <row r="13223" spans="6:10" hidden="1" x14ac:dyDescent="0.25">
      <c r="F13223" s="464">
        <v>435</v>
      </c>
      <c r="G13223" s="455" t="s">
        <v>3794</v>
      </c>
      <c r="J13223" s="556">
        <f t="shared" si="433"/>
        <v>0</v>
      </c>
    </row>
    <row r="13224" spans="6:10" hidden="1" x14ac:dyDescent="0.25">
      <c r="F13224" s="464">
        <v>441</v>
      </c>
      <c r="G13224" s="455" t="s">
        <v>4149</v>
      </c>
      <c r="J13224" s="556">
        <f t="shared" si="433"/>
        <v>0</v>
      </c>
    </row>
    <row r="13225" spans="6:10" hidden="1" x14ac:dyDescent="0.25">
      <c r="F13225" s="464">
        <v>442</v>
      </c>
      <c r="G13225" s="455" t="s">
        <v>4150</v>
      </c>
      <c r="J13225" s="556">
        <f t="shared" si="433"/>
        <v>0</v>
      </c>
    </row>
    <row r="13226" spans="6:10" hidden="1" x14ac:dyDescent="0.25">
      <c r="F13226" s="464">
        <v>443</v>
      </c>
      <c r="G13226" s="455" t="s">
        <v>3799</v>
      </c>
      <c r="J13226" s="556">
        <f t="shared" si="433"/>
        <v>0</v>
      </c>
    </row>
    <row r="13227" spans="6:10" hidden="1" x14ac:dyDescent="0.25">
      <c r="F13227" s="464">
        <v>444</v>
      </c>
      <c r="G13227" s="455" t="s">
        <v>3800</v>
      </c>
      <c r="J13227" s="556">
        <f t="shared" si="433"/>
        <v>0</v>
      </c>
    </row>
    <row r="13228" spans="6:10" ht="30" hidden="1" x14ac:dyDescent="0.25">
      <c r="F13228" s="464">
        <v>4511</v>
      </c>
      <c r="G13228" s="263" t="s">
        <v>1690</v>
      </c>
      <c r="J13228" s="556">
        <f t="shared" si="433"/>
        <v>0</v>
      </c>
    </row>
    <row r="13229" spans="6:10" ht="30" hidden="1" x14ac:dyDescent="0.25">
      <c r="F13229" s="464">
        <v>4512</v>
      </c>
      <c r="G13229" s="263" t="s">
        <v>1699</v>
      </c>
      <c r="J13229" s="556">
        <f t="shared" si="433"/>
        <v>0</v>
      </c>
    </row>
    <row r="13230" spans="6:10" hidden="1" x14ac:dyDescent="0.25">
      <c r="F13230" s="464">
        <v>452</v>
      </c>
      <c r="G13230" s="455" t="s">
        <v>4151</v>
      </c>
      <c r="J13230" s="556">
        <f t="shared" si="433"/>
        <v>0</v>
      </c>
    </row>
    <row r="13231" spans="6:10" hidden="1" x14ac:dyDescent="0.25">
      <c r="F13231" s="464">
        <v>453</v>
      </c>
      <c r="G13231" s="455" t="s">
        <v>4152</v>
      </c>
      <c r="J13231" s="556">
        <f t="shared" si="433"/>
        <v>0</v>
      </c>
    </row>
    <row r="13232" spans="6:10" hidden="1" x14ac:dyDescent="0.25">
      <c r="F13232" s="464">
        <v>454</v>
      </c>
      <c r="G13232" s="455" t="s">
        <v>3805</v>
      </c>
      <c r="J13232" s="556">
        <f t="shared" si="433"/>
        <v>0</v>
      </c>
    </row>
    <row r="13233" spans="6:10" hidden="1" x14ac:dyDescent="0.25">
      <c r="F13233" s="464">
        <v>461</v>
      </c>
      <c r="G13233" s="455" t="s">
        <v>4133</v>
      </c>
      <c r="J13233" s="556">
        <f t="shared" si="433"/>
        <v>0</v>
      </c>
    </row>
    <row r="13234" spans="6:10" hidden="1" x14ac:dyDescent="0.25">
      <c r="F13234" s="464">
        <v>462</v>
      </c>
      <c r="G13234" s="455" t="s">
        <v>3808</v>
      </c>
      <c r="J13234" s="556">
        <f t="shared" si="433"/>
        <v>0</v>
      </c>
    </row>
    <row r="13235" spans="6:10" hidden="1" x14ac:dyDescent="0.25">
      <c r="F13235" s="464">
        <v>4631</v>
      </c>
      <c r="G13235" s="455" t="s">
        <v>3809</v>
      </c>
      <c r="J13235" s="556">
        <f t="shared" si="433"/>
        <v>0</v>
      </c>
    </row>
    <row r="13236" spans="6:10" hidden="1" x14ac:dyDescent="0.25">
      <c r="F13236" s="464">
        <v>4632</v>
      </c>
      <c r="G13236" s="455" t="s">
        <v>3810</v>
      </c>
      <c r="J13236" s="556">
        <f t="shared" si="433"/>
        <v>0</v>
      </c>
    </row>
    <row r="13237" spans="6:10" hidden="1" x14ac:dyDescent="0.25">
      <c r="F13237" s="464">
        <v>464</v>
      </c>
      <c r="G13237" s="455" t="s">
        <v>3811</v>
      </c>
      <c r="J13237" s="556">
        <f t="shared" si="433"/>
        <v>0</v>
      </c>
    </row>
    <row r="13238" spans="6:10" hidden="1" x14ac:dyDescent="0.25">
      <c r="F13238" s="464">
        <v>465</v>
      </c>
      <c r="G13238" s="455" t="s">
        <v>4134</v>
      </c>
      <c r="J13238" s="556">
        <f t="shared" si="433"/>
        <v>0</v>
      </c>
    </row>
    <row r="13239" spans="6:10" hidden="1" x14ac:dyDescent="0.25">
      <c r="F13239" s="464">
        <v>472</v>
      </c>
      <c r="G13239" s="455" t="s">
        <v>3815</v>
      </c>
      <c r="J13239" s="556">
        <f t="shared" si="433"/>
        <v>0</v>
      </c>
    </row>
    <row r="13240" spans="6:10" hidden="1" x14ac:dyDescent="0.25">
      <c r="F13240" s="464">
        <v>481</v>
      </c>
      <c r="G13240" s="455" t="s">
        <v>4153</v>
      </c>
      <c r="J13240" s="556">
        <f t="shared" si="433"/>
        <v>0</v>
      </c>
    </row>
    <row r="13241" spans="6:10" hidden="1" x14ac:dyDescent="0.25">
      <c r="F13241" s="464">
        <v>482</v>
      </c>
      <c r="G13241" s="455" t="s">
        <v>4154</v>
      </c>
      <c r="J13241" s="556">
        <f t="shared" si="433"/>
        <v>0</v>
      </c>
    </row>
    <row r="13242" spans="6:10" hidden="1" x14ac:dyDescent="0.25">
      <c r="F13242" s="464">
        <v>483</v>
      </c>
      <c r="G13242" s="457" t="s">
        <v>4155</v>
      </c>
      <c r="J13242" s="556">
        <f t="shared" si="433"/>
        <v>0</v>
      </c>
    </row>
    <row r="13243" spans="6:10" ht="30" hidden="1" x14ac:dyDescent="0.25">
      <c r="F13243" s="464">
        <v>484</v>
      </c>
      <c r="G13243" s="455" t="s">
        <v>4156</v>
      </c>
      <c r="J13243" s="556">
        <f t="shared" si="433"/>
        <v>0</v>
      </c>
    </row>
    <row r="13244" spans="6:10" ht="30" hidden="1" x14ac:dyDescent="0.25">
      <c r="F13244" s="464">
        <v>485</v>
      </c>
      <c r="G13244" s="455" t="s">
        <v>4157</v>
      </c>
      <c r="J13244" s="556">
        <f t="shared" si="433"/>
        <v>0</v>
      </c>
    </row>
    <row r="13245" spans="6:10" ht="30" hidden="1" x14ac:dyDescent="0.25">
      <c r="F13245" s="464">
        <v>489</v>
      </c>
      <c r="G13245" s="455" t="s">
        <v>3823</v>
      </c>
      <c r="J13245" s="556">
        <f t="shared" si="433"/>
        <v>0</v>
      </c>
    </row>
    <row r="13246" spans="6:10" hidden="1" x14ac:dyDescent="0.25">
      <c r="F13246" s="464">
        <v>494</v>
      </c>
      <c r="G13246" s="455" t="s">
        <v>4135</v>
      </c>
      <c r="J13246" s="556">
        <f t="shared" si="433"/>
        <v>0</v>
      </c>
    </row>
    <row r="13247" spans="6:10" ht="30" hidden="1" x14ac:dyDescent="0.25">
      <c r="F13247" s="464">
        <v>495</v>
      </c>
      <c r="G13247" s="455" t="s">
        <v>4136</v>
      </c>
      <c r="J13247" s="556">
        <f t="shared" si="433"/>
        <v>0</v>
      </c>
    </row>
    <row r="13248" spans="6:10" ht="30" hidden="1" x14ac:dyDescent="0.25">
      <c r="F13248" s="464">
        <v>496</v>
      </c>
      <c r="G13248" s="455" t="s">
        <v>4137</v>
      </c>
      <c r="J13248" s="556">
        <f t="shared" si="433"/>
        <v>0</v>
      </c>
    </row>
    <row r="13249" spans="6:10" ht="30" hidden="1" x14ac:dyDescent="0.25">
      <c r="F13249" s="464">
        <v>499</v>
      </c>
      <c r="G13249" s="455" t="s">
        <v>4138</v>
      </c>
      <c r="J13249" s="556">
        <f t="shared" si="433"/>
        <v>0</v>
      </c>
    </row>
    <row r="13250" spans="6:10" hidden="1" x14ac:dyDescent="0.25">
      <c r="F13250" s="464">
        <v>511</v>
      </c>
      <c r="G13250" s="457" t="s">
        <v>4158</v>
      </c>
      <c r="J13250" s="556">
        <f t="shared" si="433"/>
        <v>0</v>
      </c>
    </row>
    <row r="13251" spans="6:10" hidden="1" x14ac:dyDescent="0.25">
      <c r="F13251" s="464">
        <v>512</v>
      </c>
      <c r="G13251" s="457" t="s">
        <v>4159</v>
      </c>
      <c r="J13251" s="556">
        <f t="shared" si="433"/>
        <v>0</v>
      </c>
    </row>
    <row r="13252" spans="6:10" hidden="1" x14ac:dyDescent="0.25">
      <c r="F13252" s="464">
        <v>513</v>
      </c>
      <c r="G13252" s="457" t="s">
        <v>4160</v>
      </c>
      <c r="J13252" s="556">
        <f t="shared" si="433"/>
        <v>0</v>
      </c>
    </row>
    <row r="13253" spans="6:10" hidden="1" x14ac:dyDescent="0.25">
      <c r="F13253" s="464">
        <v>514</v>
      </c>
      <c r="G13253" s="455" t="s">
        <v>4161</v>
      </c>
      <c r="J13253" s="556">
        <f t="shared" si="433"/>
        <v>0</v>
      </c>
    </row>
    <row r="13254" spans="6:10" hidden="1" x14ac:dyDescent="0.25">
      <c r="F13254" s="464">
        <v>515</v>
      </c>
      <c r="G13254" s="455" t="s">
        <v>3834</v>
      </c>
      <c r="J13254" s="556">
        <f t="shared" si="433"/>
        <v>0</v>
      </c>
    </row>
    <row r="13255" spans="6:10" hidden="1" x14ac:dyDescent="0.25">
      <c r="F13255" s="464">
        <v>521</v>
      </c>
      <c r="G13255" s="455" t="s">
        <v>4162</v>
      </c>
      <c r="J13255" s="556">
        <f t="shared" si="433"/>
        <v>0</v>
      </c>
    </row>
    <row r="13256" spans="6:10" hidden="1" x14ac:dyDescent="0.25">
      <c r="F13256" s="464">
        <v>522</v>
      </c>
      <c r="G13256" s="455" t="s">
        <v>4163</v>
      </c>
      <c r="J13256" s="556">
        <f t="shared" si="433"/>
        <v>0</v>
      </c>
    </row>
    <row r="13257" spans="6:10" hidden="1" x14ac:dyDescent="0.25">
      <c r="F13257" s="464">
        <v>523</v>
      </c>
      <c r="G13257" s="455" t="s">
        <v>3839</v>
      </c>
      <c r="J13257" s="556">
        <f t="shared" si="433"/>
        <v>0</v>
      </c>
    </row>
    <row r="13258" spans="6:10" hidden="1" x14ac:dyDescent="0.25">
      <c r="F13258" s="464">
        <v>531</v>
      </c>
      <c r="G13258" s="453" t="s">
        <v>4139</v>
      </c>
      <c r="J13258" s="556">
        <f t="shared" si="433"/>
        <v>0</v>
      </c>
    </row>
    <row r="13259" spans="6:10" hidden="1" x14ac:dyDescent="0.25">
      <c r="F13259" s="464">
        <v>541</v>
      </c>
      <c r="G13259" s="455" t="s">
        <v>4164</v>
      </c>
      <c r="J13259" s="556">
        <f t="shared" si="433"/>
        <v>0</v>
      </c>
    </row>
    <row r="13260" spans="6:10" hidden="1" x14ac:dyDescent="0.25">
      <c r="F13260" s="464">
        <v>542</v>
      </c>
      <c r="G13260" s="455" t="s">
        <v>4165</v>
      </c>
      <c r="J13260" s="556">
        <f t="shared" si="433"/>
        <v>0</v>
      </c>
    </row>
    <row r="13261" spans="6:10" hidden="1" x14ac:dyDescent="0.25">
      <c r="F13261" s="464">
        <v>543</v>
      </c>
      <c r="G13261" s="455" t="s">
        <v>3844</v>
      </c>
      <c r="J13261" s="556">
        <f t="shared" si="433"/>
        <v>0</v>
      </c>
    </row>
    <row r="13262" spans="6:10" ht="30" hidden="1" x14ac:dyDescent="0.25">
      <c r="F13262" s="464">
        <v>551</v>
      </c>
      <c r="G13262" s="455" t="s">
        <v>4140</v>
      </c>
      <c r="J13262" s="556">
        <f t="shared" si="433"/>
        <v>0</v>
      </c>
    </row>
    <row r="13263" spans="6:10" hidden="1" x14ac:dyDescent="0.25">
      <c r="F13263" s="465">
        <v>611</v>
      </c>
      <c r="G13263" s="463" t="s">
        <v>3850</v>
      </c>
      <c r="J13263" s="556">
        <f t="shared" si="433"/>
        <v>0</v>
      </c>
    </row>
    <row r="13264" spans="6:10" hidden="1" x14ac:dyDescent="0.25">
      <c r="F13264" s="465">
        <v>620</v>
      </c>
      <c r="G13264" s="463" t="s">
        <v>88</v>
      </c>
      <c r="J13264" s="556">
        <f t="shared" si="433"/>
        <v>0</v>
      </c>
    </row>
    <row r="13265" spans="5:10" hidden="1" x14ac:dyDescent="0.25">
      <c r="E13265" s="489"/>
      <c r="F13265" s="465"/>
      <c r="G13265" s="342" t="s">
        <v>4356</v>
      </c>
      <c r="H13265" s="557"/>
      <c r="I13265" s="583"/>
      <c r="J13265" s="558"/>
    </row>
    <row r="13266" spans="5:10" hidden="1" x14ac:dyDescent="0.25">
      <c r="E13266" s="693"/>
      <c r="F13266" s="284" t="s">
        <v>234</v>
      </c>
      <c r="G13266" s="287" t="s">
        <v>235</v>
      </c>
      <c r="H13266" s="559">
        <f>SUM(H13205:H13264)</f>
        <v>0</v>
      </c>
      <c r="I13266" s="560"/>
      <c r="J13266" s="560">
        <f>SUM(H13266:I13266)</f>
        <v>0</v>
      </c>
    </row>
    <row r="13267" spans="5:10" hidden="1" x14ac:dyDescent="0.25">
      <c r="F13267" s="284" t="s">
        <v>236</v>
      </c>
      <c r="G13267" s="287" t="s">
        <v>237</v>
      </c>
      <c r="J13267" s="560">
        <f t="shared" ref="J13267:J13281" si="434">SUM(H13267:I13267)</f>
        <v>0</v>
      </c>
    </row>
    <row r="13268" spans="5:10" hidden="1" x14ac:dyDescent="0.25">
      <c r="F13268" s="284" t="s">
        <v>238</v>
      </c>
      <c r="G13268" s="287" t="s">
        <v>239</v>
      </c>
      <c r="J13268" s="560">
        <f t="shared" si="434"/>
        <v>0</v>
      </c>
    </row>
    <row r="13269" spans="5:10" hidden="1" x14ac:dyDescent="0.25">
      <c r="F13269" s="284" t="s">
        <v>240</v>
      </c>
      <c r="G13269" s="287" t="s">
        <v>241</v>
      </c>
      <c r="J13269" s="560">
        <f t="shared" si="434"/>
        <v>0</v>
      </c>
    </row>
    <row r="13270" spans="5:10" hidden="1" x14ac:dyDescent="0.25">
      <c r="F13270" s="284" t="s">
        <v>242</v>
      </c>
      <c r="G13270" s="287" t="s">
        <v>243</v>
      </c>
      <c r="J13270" s="560">
        <f t="shared" si="434"/>
        <v>0</v>
      </c>
    </row>
    <row r="13271" spans="5:10" hidden="1" x14ac:dyDescent="0.25">
      <c r="F13271" s="284" t="s">
        <v>244</v>
      </c>
      <c r="G13271" s="287" t="s">
        <v>245</v>
      </c>
      <c r="J13271" s="560">
        <f t="shared" si="434"/>
        <v>0</v>
      </c>
    </row>
    <row r="13272" spans="5:10" hidden="1" x14ac:dyDescent="0.25">
      <c r="F13272" s="284" t="s">
        <v>246</v>
      </c>
      <c r="G13272" s="598" t="s">
        <v>4996</v>
      </c>
      <c r="J13272" s="560">
        <f t="shared" si="434"/>
        <v>0</v>
      </c>
    </row>
    <row r="13273" spans="5:10" hidden="1" x14ac:dyDescent="0.25">
      <c r="F13273" s="284" t="s">
        <v>247</v>
      </c>
      <c r="G13273" s="598" t="s">
        <v>4995</v>
      </c>
      <c r="J13273" s="560">
        <f t="shared" si="434"/>
        <v>0</v>
      </c>
    </row>
    <row r="13274" spans="5:10" hidden="1" x14ac:dyDescent="0.25">
      <c r="F13274" s="284" t="s">
        <v>248</v>
      </c>
      <c r="G13274" s="287" t="s">
        <v>57</v>
      </c>
      <c r="J13274" s="560">
        <f t="shared" si="434"/>
        <v>0</v>
      </c>
    </row>
    <row r="13275" spans="5:10" hidden="1" x14ac:dyDescent="0.25">
      <c r="F13275" s="284" t="s">
        <v>249</v>
      </c>
      <c r="G13275" s="287" t="s">
        <v>250</v>
      </c>
      <c r="J13275" s="560">
        <f t="shared" si="434"/>
        <v>0</v>
      </c>
    </row>
    <row r="13276" spans="5:10" hidden="1" x14ac:dyDescent="0.25">
      <c r="F13276" s="284" t="s">
        <v>251</v>
      </c>
      <c r="G13276" s="287" t="s">
        <v>252</v>
      </c>
      <c r="J13276" s="560">
        <f t="shared" si="434"/>
        <v>0</v>
      </c>
    </row>
    <row r="13277" spans="5:10" ht="30" hidden="1" x14ac:dyDescent="0.25">
      <c r="F13277" s="284" t="s">
        <v>253</v>
      </c>
      <c r="G13277" s="287" t="s">
        <v>254</v>
      </c>
      <c r="J13277" s="560">
        <f t="shared" si="434"/>
        <v>0</v>
      </c>
    </row>
    <row r="13278" spans="5:10" hidden="1" x14ac:dyDescent="0.25">
      <c r="F13278" s="284" t="s">
        <v>255</v>
      </c>
      <c r="G13278" s="287" t="s">
        <v>256</v>
      </c>
      <c r="J13278" s="560">
        <f t="shared" si="434"/>
        <v>0</v>
      </c>
    </row>
    <row r="13279" spans="5:10" ht="30" hidden="1" x14ac:dyDescent="0.25">
      <c r="F13279" s="284" t="s">
        <v>257</v>
      </c>
      <c r="G13279" s="287" t="s">
        <v>258</v>
      </c>
      <c r="J13279" s="560">
        <f t="shared" si="434"/>
        <v>0</v>
      </c>
    </row>
    <row r="13280" spans="5:10" hidden="1" x14ac:dyDescent="0.25">
      <c r="F13280" s="284" t="s">
        <v>259</v>
      </c>
      <c r="G13280" s="287" t="s">
        <v>260</v>
      </c>
      <c r="J13280" s="560">
        <f t="shared" si="434"/>
        <v>0</v>
      </c>
    </row>
    <row r="13281" spans="5:10" hidden="1" x14ac:dyDescent="0.25">
      <c r="F13281" s="284" t="s">
        <v>261</v>
      </c>
      <c r="G13281" s="287" t="s">
        <v>262</v>
      </c>
      <c r="H13281" s="559"/>
      <c r="I13281" s="560"/>
      <c r="J13281" s="560">
        <f t="shared" si="434"/>
        <v>0</v>
      </c>
    </row>
    <row r="13282" spans="5:10" ht="15.75" hidden="1" thickBot="1" x14ac:dyDescent="0.3">
      <c r="G13282" s="268" t="s">
        <v>4357</v>
      </c>
      <c r="H13282" s="561">
        <f>SUM(H13266:H13281)</f>
        <v>0</v>
      </c>
      <c r="I13282" s="562">
        <f>SUM(I13267:I13281)</f>
        <v>0</v>
      </c>
      <c r="J13282" s="562">
        <f>SUM(J13266:J13281)</f>
        <v>0</v>
      </c>
    </row>
    <row r="13283" spans="5:10" hidden="1" collapsed="1" x14ac:dyDescent="0.25">
      <c r="E13283" s="489"/>
      <c r="F13283" s="465"/>
      <c r="G13283" s="270" t="s">
        <v>4935</v>
      </c>
      <c r="H13283" s="563"/>
      <c r="I13283" s="584"/>
      <c r="J13283" s="564"/>
    </row>
    <row r="13284" spans="5:10" hidden="1" x14ac:dyDescent="0.25">
      <c r="E13284" s="693"/>
      <c r="F13284" s="284" t="s">
        <v>234</v>
      </c>
      <c r="G13284" s="287" t="s">
        <v>235</v>
      </c>
      <c r="H13284" s="559">
        <f>SUM(H13205:H13264)</f>
        <v>0</v>
      </c>
      <c r="I13284" s="560"/>
      <c r="J13284" s="560">
        <f>SUM(H13284:I13284)</f>
        <v>0</v>
      </c>
    </row>
    <row r="13285" spans="5:10" hidden="1" x14ac:dyDescent="0.25">
      <c r="F13285" s="284" t="s">
        <v>236</v>
      </c>
      <c r="G13285" s="287" t="s">
        <v>237</v>
      </c>
      <c r="J13285" s="560">
        <f t="shared" ref="J13285:J13299" si="435">SUM(H13285:I13285)</f>
        <v>0</v>
      </c>
    </row>
    <row r="13286" spans="5:10" hidden="1" x14ac:dyDescent="0.25">
      <c r="F13286" s="284" t="s">
        <v>238</v>
      </c>
      <c r="G13286" s="287" t="s">
        <v>239</v>
      </c>
      <c r="J13286" s="560">
        <f t="shared" si="435"/>
        <v>0</v>
      </c>
    </row>
    <row r="13287" spans="5:10" hidden="1" x14ac:dyDescent="0.25">
      <c r="F13287" s="284" t="s">
        <v>240</v>
      </c>
      <c r="G13287" s="287" t="s">
        <v>241</v>
      </c>
      <c r="J13287" s="560">
        <f t="shared" si="435"/>
        <v>0</v>
      </c>
    </row>
    <row r="13288" spans="5:10" hidden="1" x14ac:dyDescent="0.25">
      <c r="F13288" s="284" t="s">
        <v>242</v>
      </c>
      <c r="G13288" s="287" t="s">
        <v>243</v>
      </c>
      <c r="J13288" s="560">
        <f t="shared" si="435"/>
        <v>0</v>
      </c>
    </row>
    <row r="13289" spans="5:10" hidden="1" x14ac:dyDescent="0.25">
      <c r="F13289" s="284" t="s">
        <v>244</v>
      </c>
      <c r="G13289" s="287" t="s">
        <v>245</v>
      </c>
      <c r="J13289" s="560">
        <f t="shared" si="435"/>
        <v>0</v>
      </c>
    </row>
    <row r="13290" spans="5:10" hidden="1" x14ac:dyDescent="0.25">
      <c r="F13290" s="284" t="s">
        <v>246</v>
      </c>
      <c r="G13290" s="598" t="s">
        <v>4996</v>
      </c>
      <c r="J13290" s="560">
        <f t="shared" si="435"/>
        <v>0</v>
      </c>
    </row>
    <row r="13291" spans="5:10" hidden="1" x14ac:dyDescent="0.25">
      <c r="F13291" s="284" t="s">
        <v>247</v>
      </c>
      <c r="G13291" s="598" t="s">
        <v>4995</v>
      </c>
      <c r="J13291" s="560">
        <f t="shared" si="435"/>
        <v>0</v>
      </c>
    </row>
    <row r="13292" spans="5:10" hidden="1" x14ac:dyDescent="0.25">
      <c r="F13292" s="284" t="s">
        <v>248</v>
      </c>
      <c r="G13292" s="287" t="s">
        <v>57</v>
      </c>
      <c r="J13292" s="560">
        <f t="shared" si="435"/>
        <v>0</v>
      </c>
    </row>
    <row r="13293" spans="5:10" hidden="1" x14ac:dyDescent="0.25">
      <c r="F13293" s="284" t="s">
        <v>249</v>
      </c>
      <c r="G13293" s="287" t="s">
        <v>250</v>
      </c>
      <c r="J13293" s="560">
        <f t="shared" si="435"/>
        <v>0</v>
      </c>
    </row>
    <row r="13294" spans="5:10" hidden="1" x14ac:dyDescent="0.25">
      <c r="F13294" s="284" t="s">
        <v>251</v>
      </c>
      <c r="G13294" s="287" t="s">
        <v>252</v>
      </c>
      <c r="J13294" s="560">
        <f t="shared" si="435"/>
        <v>0</v>
      </c>
    </row>
    <row r="13295" spans="5:10" ht="30" hidden="1" x14ac:dyDescent="0.25">
      <c r="F13295" s="284" t="s">
        <v>253</v>
      </c>
      <c r="G13295" s="287" t="s">
        <v>254</v>
      </c>
      <c r="J13295" s="560">
        <f t="shared" si="435"/>
        <v>0</v>
      </c>
    </row>
    <row r="13296" spans="5:10" hidden="1" x14ac:dyDescent="0.25">
      <c r="F13296" s="284" t="s">
        <v>255</v>
      </c>
      <c r="G13296" s="287" t="s">
        <v>256</v>
      </c>
      <c r="J13296" s="560">
        <f t="shared" si="435"/>
        <v>0</v>
      </c>
    </row>
    <row r="13297" spans="5:10" ht="30" hidden="1" x14ac:dyDescent="0.25">
      <c r="F13297" s="284" t="s">
        <v>257</v>
      </c>
      <c r="G13297" s="287" t="s">
        <v>258</v>
      </c>
      <c r="J13297" s="560">
        <f t="shared" si="435"/>
        <v>0</v>
      </c>
    </row>
    <row r="13298" spans="5:10" hidden="1" x14ac:dyDescent="0.25">
      <c r="F13298" s="284" t="s">
        <v>259</v>
      </c>
      <c r="G13298" s="287" t="s">
        <v>260</v>
      </c>
      <c r="J13298" s="560">
        <f t="shared" si="435"/>
        <v>0</v>
      </c>
    </row>
    <row r="13299" spans="5:10" hidden="1" x14ac:dyDescent="0.25">
      <c r="F13299" s="284" t="s">
        <v>261</v>
      </c>
      <c r="G13299" s="287" t="s">
        <v>262</v>
      </c>
      <c r="H13299" s="559"/>
      <c r="I13299" s="560"/>
      <c r="J13299" s="560">
        <f t="shared" si="435"/>
        <v>0</v>
      </c>
    </row>
    <row r="13300" spans="5:10" ht="15.75" hidden="1" thickBot="1" x14ac:dyDescent="0.3">
      <c r="G13300" s="268" t="s">
        <v>4924</v>
      </c>
      <c r="H13300" s="561">
        <f>SUM(H13284:H13299)</f>
        <v>0</v>
      </c>
      <c r="I13300" s="562">
        <f>SUM(I13285:I13299)</f>
        <v>0</v>
      </c>
      <c r="J13300" s="562">
        <f>SUM(J13284:J13299)</f>
        <v>0</v>
      </c>
    </row>
    <row r="13301" spans="5:10" hidden="1" x14ac:dyDescent="0.25"/>
    <row r="13302" spans="5:10" hidden="1" x14ac:dyDescent="0.25">
      <c r="E13302" s="489"/>
      <c r="F13302" s="465"/>
      <c r="G13302" s="285" t="s">
        <v>4270</v>
      </c>
      <c r="H13302" s="567"/>
      <c r="I13302" s="585"/>
      <c r="J13302" s="568"/>
    </row>
    <row r="13303" spans="5:10" hidden="1" x14ac:dyDescent="0.25">
      <c r="E13303" s="693"/>
      <c r="F13303" s="284" t="s">
        <v>234</v>
      </c>
      <c r="G13303" s="287" t="s">
        <v>235</v>
      </c>
      <c r="H13303" s="559">
        <f>SUM(H13284,H13185)</f>
        <v>0</v>
      </c>
      <c r="I13303" s="560"/>
      <c r="J13303" s="560">
        <f>SUM(H13303:I13303)</f>
        <v>0</v>
      </c>
    </row>
    <row r="13304" spans="5:10" hidden="1" x14ac:dyDescent="0.25">
      <c r="F13304" s="284" t="s">
        <v>236</v>
      </c>
      <c r="G13304" s="287" t="s">
        <v>237</v>
      </c>
      <c r="J13304" s="560">
        <f t="shared" ref="J13304:J13318" si="436">SUM(H13304:I13304)</f>
        <v>0</v>
      </c>
    </row>
    <row r="13305" spans="5:10" hidden="1" x14ac:dyDescent="0.25">
      <c r="F13305" s="284" t="s">
        <v>238</v>
      </c>
      <c r="G13305" s="287" t="s">
        <v>239</v>
      </c>
      <c r="J13305" s="560">
        <f t="shared" si="436"/>
        <v>0</v>
      </c>
    </row>
    <row r="13306" spans="5:10" hidden="1" x14ac:dyDescent="0.25">
      <c r="F13306" s="284" t="s">
        <v>240</v>
      </c>
      <c r="G13306" s="287" t="s">
        <v>241</v>
      </c>
      <c r="J13306" s="560">
        <f t="shared" si="436"/>
        <v>0</v>
      </c>
    </row>
    <row r="13307" spans="5:10" hidden="1" x14ac:dyDescent="0.25">
      <c r="F13307" s="284" t="s">
        <v>242</v>
      </c>
      <c r="G13307" s="287" t="s">
        <v>243</v>
      </c>
      <c r="J13307" s="560">
        <f t="shared" si="436"/>
        <v>0</v>
      </c>
    </row>
    <row r="13308" spans="5:10" hidden="1" x14ac:dyDescent="0.25">
      <c r="F13308" s="284" t="s">
        <v>244</v>
      </c>
      <c r="G13308" s="287" t="s">
        <v>245</v>
      </c>
      <c r="J13308" s="560">
        <f t="shared" si="436"/>
        <v>0</v>
      </c>
    </row>
    <row r="13309" spans="5:10" hidden="1" x14ac:dyDescent="0.25">
      <c r="F13309" s="284" t="s">
        <v>246</v>
      </c>
      <c r="G13309" s="598" t="s">
        <v>4996</v>
      </c>
      <c r="J13309" s="560">
        <f t="shared" si="436"/>
        <v>0</v>
      </c>
    </row>
    <row r="13310" spans="5:10" hidden="1" x14ac:dyDescent="0.25">
      <c r="F13310" s="284" t="s">
        <v>247</v>
      </c>
      <c r="G13310" s="598" t="s">
        <v>4995</v>
      </c>
      <c r="J13310" s="560">
        <f t="shared" si="436"/>
        <v>0</v>
      </c>
    </row>
    <row r="13311" spans="5:10" hidden="1" x14ac:dyDescent="0.25">
      <c r="F13311" s="284" t="s">
        <v>248</v>
      </c>
      <c r="G13311" s="287" t="s">
        <v>57</v>
      </c>
      <c r="J13311" s="560">
        <f t="shared" si="436"/>
        <v>0</v>
      </c>
    </row>
    <row r="13312" spans="5:10" hidden="1" x14ac:dyDescent="0.25">
      <c r="F13312" s="284" t="s">
        <v>249</v>
      </c>
      <c r="G13312" s="287" t="s">
        <v>250</v>
      </c>
      <c r="J13312" s="560">
        <f t="shared" si="436"/>
        <v>0</v>
      </c>
    </row>
    <row r="13313" spans="5:10" hidden="1" x14ac:dyDescent="0.25">
      <c r="F13313" s="284" t="s">
        <v>251</v>
      </c>
      <c r="G13313" s="287" t="s">
        <v>252</v>
      </c>
      <c r="J13313" s="560">
        <f t="shared" si="436"/>
        <v>0</v>
      </c>
    </row>
    <row r="13314" spans="5:10" ht="30" hidden="1" x14ac:dyDescent="0.25">
      <c r="F13314" s="284" t="s">
        <v>253</v>
      </c>
      <c r="G13314" s="287" t="s">
        <v>254</v>
      </c>
      <c r="J13314" s="560">
        <f t="shared" si="436"/>
        <v>0</v>
      </c>
    </row>
    <row r="13315" spans="5:10" hidden="1" x14ac:dyDescent="0.25">
      <c r="F13315" s="284" t="s">
        <v>255</v>
      </c>
      <c r="G13315" s="287" t="s">
        <v>256</v>
      </c>
      <c r="J13315" s="560">
        <f t="shared" si="436"/>
        <v>0</v>
      </c>
    </row>
    <row r="13316" spans="5:10" ht="30" hidden="1" x14ac:dyDescent="0.25">
      <c r="F13316" s="284" t="s">
        <v>257</v>
      </c>
      <c r="G13316" s="287" t="s">
        <v>258</v>
      </c>
      <c r="J13316" s="560">
        <f t="shared" si="436"/>
        <v>0</v>
      </c>
    </row>
    <row r="13317" spans="5:10" hidden="1" x14ac:dyDescent="0.25">
      <c r="F13317" s="284" t="s">
        <v>259</v>
      </c>
      <c r="G13317" s="287" t="s">
        <v>260</v>
      </c>
      <c r="J13317" s="560">
        <f t="shared" si="436"/>
        <v>0</v>
      </c>
    </row>
    <row r="13318" spans="5:10" hidden="1" x14ac:dyDescent="0.25">
      <c r="F13318" s="284" t="s">
        <v>261</v>
      </c>
      <c r="G13318" s="287" t="s">
        <v>262</v>
      </c>
      <c r="H13318" s="559"/>
      <c r="I13318" s="560"/>
      <c r="J13318" s="560">
        <f t="shared" si="436"/>
        <v>0</v>
      </c>
    </row>
    <row r="13319" spans="5:10" ht="15.75" hidden="1" thickBot="1" x14ac:dyDescent="0.3">
      <c r="G13319" s="268" t="s">
        <v>4271</v>
      </c>
      <c r="H13319" s="561">
        <f>SUM(H13303:H13318)</f>
        <v>0</v>
      </c>
      <c r="I13319" s="562">
        <f>SUM(I13304:I13318)</f>
        <v>0</v>
      </c>
      <c r="J13319" s="562">
        <f>SUM(J13303:J13318)</f>
        <v>0</v>
      </c>
    </row>
    <row r="13320" spans="5:10" hidden="1" x14ac:dyDescent="0.25"/>
    <row r="13321" spans="5:10" hidden="1" x14ac:dyDescent="0.25">
      <c r="E13321" s="489"/>
      <c r="F13321" s="465"/>
      <c r="G13321" s="285" t="s">
        <v>4962</v>
      </c>
      <c r="H13321" s="567"/>
      <c r="I13321" s="585"/>
      <c r="J13321" s="568"/>
    </row>
    <row r="13322" spans="5:10" hidden="1" x14ac:dyDescent="0.25">
      <c r="E13322" s="693"/>
      <c r="F13322" s="284" t="s">
        <v>234</v>
      </c>
      <c r="G13322" s="287" t="s">
        <v>235</v>
      </c>
      <c r="H13322" s="559">
        <f>SUM(H13303)</f>
        <v>0</v>
      </c>
      <c r="I13322" s="560"/>
      <c r="J13322" s="560">
        <f>SUM(H13322:I13322)</f>
        <v>0</v>
      </c>
    </row>
    <row r="13323" spans="5:10" hidden="1" x14ac:dyDescent="0.25">
      <c r="F13323" s="284" t="s">
        <v>236</v>
      </c>
      <c r="G13323" s="287" t="s">
        <v>237</v>
      </c>
      <c r="J13323" s="560">
        <f t="shared" ref="J13323:J13337" si="437">SUM(H13323:I13323)</f>
        <v>0</v>
      </c>
    </row>
    <row r="13324" spans="5:10" hidden="1" x14ac:dyDescent="0.25">
      <c r="F13324" s="284" t="s">
        <v>238</v>
      </c>
      <c r="G13324" s="287" t="s">
        <v>239</v>
      </c>
      <c r="J13324" s="560">
        <f t="shared" si="437"/>
        <v>0</v>
      </c>
    </row>
    <row r="13325" spans="5:10" hidden="1" x14ac:dyDescent="0.25">
      <c r="F13325" s="284" t="s">
        <v>240</v>
      </c>
      <c r="G13325" s="287" t="s">
        <v>241</v>
      </c>
      <c r="J13325" s="560">
        <f t="shared" si="437"/>
        <v>0</v>
      </c>
    </row>
    <row r="13326" spans="5:10" hidden="1" x14ac:dyDescent="0.25">
      <c r="F13326" s="284" t="s">
        <v>242</v>
      </c>
      <c r="G13326" s="287" t="s">
        <v>243</v>
      </c>
      <c r="J13326" s="560">
        <f t="shared" si="437"/>
        <v>0</v>
      </c>
    </row>
    <row r="13327" spans="5:10" hidden="1" x14ac:dyDescent="0.25">
      <c r="F13327" s="284" t="s">
        <v>244</v>
      </c>
      <c r="G13327" s="287" t="s">
        <v>245</v>
      </c>
      <c r="J13327" s="560">
        <f t="shared" si="437"/>
        <v>0</v>
      </c>
    </row>
    <row r="13328" spans="5:10" hidden="1" x14ac:dyDescent="0.25">
      <c r="F13328" s="284" t="s">
        <v>246</v>
      </c>
      <c r="G13328" s="598" t="s">
        <v>4996</v>
      </c>
      <c r="J13328" s="560">
        <f t="shared" si="437"/>
        <v>0</v>
      </c>
    </row>
    <row r="13329" spans="1:13" hidden="1" x14ac:dyDescent="0.25">
      <c r="F13329" s="284" t="s">
        <v>247</v>
      </c>
      <c r="G13329" s="598" t="s">
        <v>4995</v>
      </c>
      <c r="J13329" s="560">
        <f t="shared" si="437"/>
        <v>0</v>
      </c>
    </row>
    <row r="13330" spans="1:13" hidden="1" x14ac:dyDescent="0.25">
      <c r="F13330" s="284" t="s">
        <v>248</v>
      </c>
      <c r="G13330" s="287" t="s">
        <v>57</v>
      </c>
      <c r="J13330" s="560">
        <f t="shared" si="437"/>
        <v>0</v>
      </c>
    </row>
    <row r="13331" spans="1:13" hidden="1" x14ac:dyDescent="0.25">
      <c r="F13331" s="284" t="s">
        <v>249</v>
      </c>
      <c r="G13331" s="287" t="s">
        <v>250</v>
      </c>
      <c r="J13331" s="560">
        <f t="shared" si="437"/>
        <v>0</v>
      </c>
    </row>
    <row r="13332" spans="1:13" hidden="1" x14ac:dyDescent="0.25">
      <c r="F13332" s="284" t="s">
        <v>251</v>
      </c>
      <c r="G13332" s="287" t="s">
        <v>252</v>
      </c>
      <c r="J13332" s="560">
        <f t="shared" si="437"/>
        <v>0</v>
      </c>
    </row>
    <row r="13333" spans="1:13" ht="30" hidden="1" x14ac:dyDescent="0.25">
      <c r="F13333" s="284" t="s">
        <v>253</v>
      </c>
      <c r="G13333" s="287" t="s">
        <v>254</v>
      </c>
      <c r="J13333" s="560">
        <f t="shared" si="437"/>
        <v>0</v>
      </c>
    </row>
    <row r="13334" spans="1:13" hidden="1" x14ac:dyDescent="0.25">
      <c r="F13334" s="284" t="s">
        <v>255</v>
      </c>
      <c r="G13334" s="287" t="s">
        <v>256</v>
      </c>
      <c r="J13334" s="560">
        <f t="shared" si="437"/>
        <v>0</v>
      </c>
    </row>
    <row r="13335" spans="1:13" ht="30" hidden="1" x14ac:dyDescent="0.25">
      <c r="F13335" s="284" t="s">
        <v>257</v>
      </c>
      <c r="G13335" s="287" t="s">
        <v>258</v>
      </c>
      <c r="J13335" s="560">
        <f t="shared" si="437"/>
        <v>0</v>
      </c>
    </row>
    <row r="13336" spans="1:13" hidden="1" x14ac:dyDescent="0.25">
      <c r="F13336" s="284" t="s">
        <v>259</v>
      </c>
      <c r="G13336" s="287" t="s">
        <v>260</v>
      </c>
      <c r="J13336" s="560">
        <f t="shared" si="437"/>
        <v>0</v>
      </c>
    </row>
    <row r="13337" spans="1:13" hidden="1" x14ac:dyDescent="0.25">
      <c r="F13337" s="284" t="s">
        <v>261</v>
      </c>
      <c r="G13337" s="287" t="s">
        <v>262</v>
      </c>
      <c r="H13337" s="559"/>
      <c r="I13337" s="560"/>
      <c r="J13337" s="560">
        <f t="shared" si="437"/>
        <v>0</v>
      </c>
    </row>
    <row r="13338" spans="1:13" ht="15.75" hidden="1" thickBot="1" x14ac:dyDescent="0.3">
      <c r="G13338" s="268" t="s">
        <v>4963</v>
      </c>
      <c r="H13338" s="561">
        <f>SUM(H13322:H13337)</f>
        <v>0</v>
      </c>
      <c r="I13338" s="562">
        <f>SUM(I13323:I13337)</f>
        <v>0</v>
      </c>
      <c r="J13338" s="562">
        <f>SUM(J13322:J13337)</f>
        <v>0</v>
      </c>
    </row>
    <row r="13339" spans="1:13" hidden="1" x14ac:dyDescent="0.25"/>
    <row r="13340" spans="1:13" hidden="1" x14ac:dyDescent="0.25">
      <c r="B13340" s="459" t="s">
        <v>4286</v>
      </c>
      <c r="C13340" s="458" t="s">
        <v>4001</v>
      </c>
      <c r="D13340" s="460"/>
      <c r="E13340" s="894"/>
      <c r="F13340" s="461"/>
      <c r="G13340" s="462" t="s">
        <v>4269</v>
      </c>
      <c r="H13340" s="593"/>
      <c r="I13340" s="594"/>
      <c r="J13340" s="579"/>
      <c r="K13340" s="491"/>
      <c r="L13340" s="491"/>
      <c r="M13340" s="491"/>
    </row>
    <row r="13341" spans="1:13" ht="16.5" hidden="1" customHeight="1" x14ac:dyDescent="0.25">
      <c r="A13341" s="458">
        <v>4</v>
      </c>
      <c r="C13341" s="267" t="s">
        <v>3593</v>
      </c>
      <c r="G13341" s="454" t="s">
        <v>4262</v>
      </c>
    </row>
    <row r="13342" spans="1:13" hidden="1" x14ac:dyDescent="0.25">
      <c r="C13342" s="267" t="s">
        <v>4089</v>
      </c>
      <c r="D13342" s="259"/>
      <c r="G13342" s="454" t="s">
        <v>4263</v>
      </c>
    </row>
    <row r="13343" spans="1:13" hidden="1" x14ac:dyDescent="0.25">
      <c r="C13343" s="267"/>
      <c r="D13343" s="331">
        <v>820</v>
      </c>
      <c r="E13343" s="869"/>
      <c r="F13343" s="331"/>
      <c r="G13343" s="332" t="s">
        <v>207</v>
      </c>
    </row>
    <row r="13344" spans="1:13" hidden="1" x14ac:dyDescent="0.25">
      <c r="F13344" s="464">
        <v>411</v>
      </c>
      <c r="G13344" s="455" t="s">
        <v>4131</v>
      </c>
      <c r="J13344" s="556">
        <f>SUM(H13344:I13344)</f>
        <v>0</v>
      </c>
    </row>
    <row r="13345" spans="6:10" hidden="1" x14ac:dyDescent="0.25">
      <c r="F13345" s="464">
        <v>412</v>
      </c>
      <c r="G13345" s="453" t="s">
        <v>3766</v>
      </c>
      <c r="J13345" s="556">
        <f t="shared" ref="J13345:J13403" si="438">SUM(H13345:I13345)</f>
        <v>0</v>
      </c>
    </row>
    <row r="13346" spans="6:10" hidden="1" x14ac:dyDescent="0.25">
      <c r="F13346" s="464">
        <v>413</v>
      </c>
      <c r="G13346" s="455" t="s">
        <v>4132</v>
      </c>
      <c r="J13346" s="556">
        <f t="shared" si="438"/>
        <v>0</v>
      </c>
    </row>
    <row r="13347" spans="6:10" hidden="1" x14ac:dyDescent="0.25">
      <c r="F13347" s="464">
        <v>414</v>
      </c>
      <c r="G13347" s="455" t="s">
        <v>3769</v>
      </c>
      <c r="J13347" s="556">
        <f t="shared" si="438"/>
        <v>0</v>
      </c>
    </row>
    <row r="13348" spans="6:10" hidden="1" x14ac:dyDescent="0.25">
      <c r="F13348" s="464">
        <v>415</v>
      </c>
      <c r="G13348" s="455" t="s">
        <v>4141</v>
      </c>
      <c r="J13348" s="556">
        <f t="shared" si="438"/>
        <v>0</v>
      </c>
    </row>
    <row r="13349" spans="6:10" hidden="1" x14ac:dyDescent="0.25">
      <c r="F13349" s="464">
        <v>416</v>
      </c>
      <c r="G13349" s="455" t="s">
        <v>4142</v>
      </c>
      <c r="J13349" s="556">
        <f t="shared" si="438"/>
        <v>0</v>
      </c>
    </row>
    <row r="13350" spans="6:10" hidden="1" x14ac:dyDescent="0.25">
      <c r="F13350" s="464">
        <v>417</v>
      </c>
      <c r="G13350" s="455" t="s">
        <v>4143</v>
      </c>
      <c r="J13350" s="556">
        <f t="shared" si="438"/>
        <v>0</v>
      </c>
    </row>
    <row r="13351" spans="6:10" hidden="1" x14ac:dyDescent="0.25">
      <c r="F13351" s="464">
        <v>418</v>
      </c>
      <c r="G13351" s="455" t="s">
        <v>3775</v>
      </c>
      <c r="J13351" s="556">
        <f t="shared" si="438"/>
        <v>0</v>
      </c>
    </row>
    <row r="13352" spans="6:10" hidden="1" x14ac:dyDescent="0.25">
      <c r="F13352" s="464">
        <v>421</v>
      </c>
      <c r="G13352" s="455" t="s">
        <v>3779</v>
      </c>
      <c r="J13352" s="556">
        <f t="shared" si="438"/>
        <v>0</v>
      </c>
    </row>
    <row r="13353" spans="6:10" hidden="1" x14ac:dyDescent="0.25">
      <c r="F13353" s="464">
        <v>422</v>
      </c>
      <c r="G13353" s="455" t="s">
        <v>3780</v>
      </c>
      <c r="J13353" s="556">
        <f t="shared" si="438"/>
        <v>0</v>
      </c>
    </row>
    <row r="13354" spans="6:10" hidden="1" x14ac:dyDescent="0.25">
      <c r="F13354" s="464">
        <v>423</v>
      </c>
      <c r="G13354" s="455" t="s">
        <v>3781</v>
      </c>
      <c r="J13354" s="556">
        <f t="shared" si="438"/>
        <v>0</v>
      </c>
    </row>
    <row r="13355" spans="6:10" hidden="1" x14ac:dyDescent="0.25">
      <c r="F13355" s="464">
        <v>424</v>
      </c>
      <c r="G13355" s="455" t="s">
        <v>3783</v>
      </c>
      <c r="J13355" s="556">
        <f t="shared" si="438"/>
        <v>0</v>
      </c>
    </row>
    <row r="13356" spans="6:10" hidden="1" x14ac:dyDescent="0.25">
      <c r="F13356" s="464">
        <v>425</v>
      </c>
      <c r="G13356" s="455" t="s">
        <v>4144</v>
      </c>
      <c r="J13356" s="556">
        <f t="shared" si="438"/>
        <v>0</v>
      </c>
    </row>
    <row r="13357" spans="6:10" hidden="1" x14ac:dyDescent="0.25">
      <c r="F13357" s="464">
        <v>426</v>
      </c>
      <c r="G13357" s="455" t="s">
        <v>3787</v>
      </c>
      <c r="J13357" s="556">
        <f t="shared" si="438"/>
        <v>0</v>
      </c>
    </row>
    <row r="13358" spans="6:10" hidden="1" x14ac:dyDescent="0.25">
      <c r="F13358" s="464">
        <v>431</v>
      </c>
      <c r="G13358" s="455" t="s">
        <v>4145</v>
      </c>
      <c r="J13358" s="556">
        <f t="shared" si="438"/>
        <v>0</v>
      </c>
    </row>
    <row r="13359" spans="6:10" hidden="1" x14ac:dyDescent="0.25">
      <c r="F13359" s="464">
        <v>432</v>
      </c>
      <c r="G13359" s="455" t="s">
        <v>4146</v>
      </c>
      <c r="J13359" s="556">
        <f t="shared" si="438"/>
        <v>0</v>
      </c>
    </row>
    <row r="13360" spans="6:10" hidden="1" x14ac:dyDescent="0.25">
      <c r="F13360" s="464">
        <v>433</v>
      </c>
      <c r="G13360" s="455" t="s">
        <v>4147</v>
      </c>
      <c r="J13360" s="556">
        <f t="shared" si="438"/>
        <v>0</v>
      </c>
    </row>
    <row r="13361" spans="6:10" hidden="1" x14ac:dyDescent="0.25">
      <c r="F13361" s="464">
        <v>434</v>
      </c>
      <c r="G13361" s="455" t="s">
        <v>4148</v>
      </c>
      <c r="J13361" s="556">
        <f t="shared" si="438"/>
        <v>0</v>
      </c>
    </row>
    <row r="13362" spans="6:10" hidden="1" x14ac:dyDescent="0.25">
      <c r="F13362" s="464">
        <v>435</v>
      </c>
      <c r="G13362" s="455" t="s">
        <v>3794</v>
      </c>
      <c r="J13362" s="556">
        <f t="shared" si="438"/>
        <v>0</v>
      </c>
    </row>
    <row r="13363" spans="6:10" hidden="1" x14ac:dyDescent="0.25">
      <c r="F13363" s="464">
        <v>441</v>
      </c>
      <c r="G13363" s="455" t="s">
        <v>4149</v>
      </c>
      <c r="J13363" s="556">
        <f t="shared" si="438"/>
        <v>0</v>
      </c>
    </row>
    <row r="13364" spans="6:10" hidden="1" x14ac:dyDescent="0.25">
      <c r="F13364" s="464">
        <v>442</v>
      </c>
      <c r="G13364" s="455" t="s">
        <v>4150</v>
      </c>
      <c r="J13364" s="556">
        <f t="shared" si="438"/>
        <v>0</v>
      </c>
    </row>
    <row r="13365" spans="6:10" hidden="1" x14ac:dyDescent="0.25">
      <c r="F13365" s="464">
        <v>443</v>
      </c>
      <c r="G13365" s="455" t="s">
        <v>3799</v>
      </c>
      <c r="J13365" s="556">
        <f t="shared" si="438"/>
        <v>0</v>
      </c>
    </row>
    <row r="13366" spans="6:10" hidden="1" x14ac:dyDescent="0.25">
      <c r="F13366" s="464">
        <v>444</v>
      </c>
      <c r="G13366" s="455" t="s">
        <v>3800</v>
      </c>
      <c r="J13366" s="556">
        <f t="shared" si="438"/>
        <v>0</v>
      </c>
    </row>
    <row r="13367" spans="6:10" ht="30" hidden="1" x14ac:dyDescent="0.25">
      <c r="F13367" s="464">
        <v>4511</v>
      </c>
      <c r="G13367" s="263" t="s">
        <v>1690</v>
      </c>
      <c r="J13367" s="556">
        <f t="shared" si="438"/>
        <v>0</v>
      </c>
    </row>
    <row r="13368" spans="6:10" ht="19.5" hidden="1" customHeight="1" x14ac:dyDescent="0.25">
      <c r="F13368" s="464">
        <v>4512</v>
      </c>
      <c r="G13368" s="263" t="s">
        <v>1699</v>
      </c>
      <c r="J13368" s="556">
        <f t="shared" si="438"/>
        <v>0</v>
      </c>
    </row>
    <row r="13369" spans="6:10" hidden="1" x14ac:dyDescent="0.25">
      <c r="F13369" s="464">
        <v>452</v>
      </c>
      <c r="G13369" s="455" t="s">
        <v>4151</v>
      </c>
      <c r="J13369" s="556">
        <f t="shared" si="438"/>
        <v>0</v>
      </c>
    </row>
    <row r="13370" spans="6:10" hidden="1" x14ac:dyDescent="0.25">
      <c r="F13370" s="464">
        <v>453</v>
      </c>
      <c r="G13370" s="455" t="s">
        <v>4152</v>
      </c>
      <c r="J13370" s="556">
        <f t="shared" si="438"/>
        <v>0</v>
      </c>
    </row>
    <row r="13371" spans="6:10" hidden="1" x14ac:dyDescent="0.25">
      <c r="F13371" s="464">
        <v>454</v>
      </c>
      <c r="G13371" s="455" t="s">
        <v>3805</v>
      </c>
      <c r="J13371" s="556">
        <f t="shared" si="438"/>
        <v>0</v>
      </c>
    </row>
    <row r="13372" spans="6:10" hidden="1" x14ac:dyDescent="0.25">
      <c r="F13372" s="464">
        <v>461</v>
      </c>
      <c r="G13372" s="455" t="s">
        <v>4133</v>
      </c>
      <c r="J13372" s="556">
        <f t="shared" si="438"/>
        <v>0</v>
      </c>
    </row>
    <row r="13373" spans="6:10" hidden="1" x14ac:dyDescent="0.25">
      <c r="F13373" s="464">
        <v>462</v>
      </c>
      <c r="G13373" s="455" t="s">
        <v>3808</v>
      </c>
      <c r="J13373" s="556">
        <f t="shared" si="438"/>
        <v>0</v>
      </c>
    </row>
    <row r="13374" spans="6:10" hidden="1" x14ac:dyDescent="0.25">
      <c r="F13374" s="464">
        <v>4631</v>
      </c>
      <c r="G13374" s="455" t="s">
        <v>3809</v>
      </c>
      <c r="J13374" s="556">
        <f t="shared" si="438"/>
        <v>0</v>
      </c>
    </row>
    <row r="13375" spans="6:10" hidden="1" x14ac:dyDescent="0.25">
      <c r="F13375" s="464">
        <v>4632</v>
      </c>
      <c r="G13375" s="455" t="s">
        <v>3810</v>
      </c>
      <c r="J13375" s="556">
        <f t="shared" si="438"/>
        <v>0</v>
      </c>
    </row>
    <row r="13376" spans="6:10" hidden="1" x14ac:dyDescent="0.25">
      <c r="F13376" s="464">
        <v>464</v>
      </c>
      <c r="G13376" s="455" t="s">
        <v>3811</v>
      </c>
      <c r="J13376" s="556">
        <f t="shared" si="438"/>
        <v>0</v>
      </c>
    </row>
    <row r="13377" spans="6:10" hidden="1" x14ac:dyDescent="0.25">
      <c r="F13377" s="464">
        <v>465</v>
      </c>
      <c r="G13377" s="455" t="s">
        <v>4134</v>
      </c>
      <c r="J13377" s="556">
        <f t="shared" si="438"/>
        <v>0</v>
      </c>
    </row>
    <row r="13378" spans="6:10" hidden="1" x14ac:dyDescent="0.25">
      <c r="F13378" s="464">
        <v>472</v>
      </c>
      <c r="G13378" s="455" t="s">
        <v>3815</v>
      </c>
      <c r="J13378" s="556">
        <f t="shared" si="438"/>
        <v>0</v>
      </c>
    </row>
    <row r="13379" spans="6:10" hidden="1" x14ac:dyDescent="0.25">
      <c r="F13379" s="464">
        <v>481</v>
      </c>
      <c r="G13379" s="455" t="s">
        <v>4153</v>
      </c>
      <c r="J13379" s="556">
        <f t="shared" si="438"/>
        <v>0</v>
      </c>
    </row>
    <row r="13380" spans="6:10" hidden="1" x14ac:dyDescent="0.25">
      <c r="F13380" s="464">
        <v>482</v>
      </c>
      <c r="G13380" s="455" t="s">
        <v>4154</v>
      </c>
      <c r="J13380" s="556">
        <f t="shared" si="438"/>
        <v>0</v>
      </c>
    </row>
    <row r="13381" spans="6:10" hidden="1" x14ac:dyDescent="0.25">
      <c r="F13381" s="464">
        <v>483</v>
      </c>
      <c r="G13381" s="457" t="s">
        <v>4155</v>
      </c>
      <c r="J13381" s="556">
        <f t="shared" si="438"/>
        <v>0</v>
      </c>
    </row>
    <row r="13382" spans="6:10" ht="30" hidden="1" x14ac:dyDescent="0.25">
      <c r="F13382" s="464">
        <v>484</v>
      </c>
      <c r="G13382" s="455" t="s">
        <v>4156</v>
      </c>
      <c r="J13382" s="556">
        <f t="shared" si="438"/>
        <v>0</v>
      </c>
    </row>
    <row r="13383" spans="6:10" ht="30" hidden="1" x14ac:dyDescent="0.25">
      <c r="F13383" s="464">
        <v>485</v>
      </c>
      <c r="G13383" s="455" t="s">
        <v>4157</v>
      </c>
      <c r="J13383" s="556">
        <f t="shared" si="438"/>
        <v>0</v>
      </c>
    </row>
    <row r="13384" spans="6:10" ht="30" hidden="1" x14ac:dyDescent="0.25">
      <c r="F13384" s="464">
        <v>489</v>
      </c>
      <c r="G13384" s="455" t="s">
        <v>3823</v>
      </c>
      <c r="J13384" s="556">
        <f t="shared" si="438"/>
        <v>0</v>
      </c>
    </row>
    <row r="13385" spans="6:10" hidden="1" x14ac:dyDescent="0.25">
      <c r="F13385" s="464">
        <v>494</v>
      </c>
      <c r="G13385" s="455" t="s">
        <v>4135</v>
      </c>
      <c r="J13385" s="556">
        <f t="shared" si="438"/>
        <v>0</v>
      </c>
    </row>
    <row r="13386" spans="6:10" ht="30" hidden="1" x14ac:dyDescent="0.25">
      <c r="F13386" s="464">
        <v>495</v>
      </c>
      <c r="G13386" s="455" t="s">
        <v>4136</v>
      </c>
      <c r="J13386" s="556">
        <f t="shared" si="438"/>
        <v>0</v>
      </c>
    </row>
    <row r="13387" spans="6:10" ht="30" hidden="1" x14ac:dyDescent="0.25">
      <c r="F13387" s="464">
        <v>496</v>
      </c>
      <c r="G13387" s="455" t="s">
        <v>4137</v>
      </c>
      <c r="J13387" s="556">
        <f t="shared" si="438"/>
        <v>0</v>
      </c>
    </row>
    <row r="13388" spans="6:10" ht="30" hidden="1" x14ac:dyDescent="0.25">
      <c r="F13388" s="464">
        <v>499</v>
      </c>
      <c r="G13388" s="455" t="s">
        <v>4138</v>
      </c>
      <c r="J13388" s="556">
        <f t="shared" si="438"/>
        <v>0</v>
      </c>
    </row>
    <row r="13389" spans="6:10" hidden="1" x14ac:dyDescent="0.25">
      <c r="F13389" s="464">
        <v>511</v>
      </c>
      <c r="G13389" s="457" t="s">
        <v>4158</v>
      </c>
      <c r="J13389" s="556">
        <f t="shared" si="438"/>
        <v>0</v>
      </c>
    </row>
    <row r="13390" spans="6:10" hidden="1" x14ac:dyDescent="0.25">
      <c r="F13390" s="464">
        <v>512</v>
      </c>
      <c r="G13390" s="457" t="s">
        <v>4159</v>
      </c>
      <c r="J13390" s="556">
        <f t="shared" si="438"/>
        <v>0</v>
      </c>
    </row>
    <row r="13391" spans="6:10" hidden="1" x14ac:dyDescent="0.25">
      <c r="F13391" s="464">
        <v>513</v>
      </c>
      <c r="G13391" s="457" t="s">
        <v>4160</v>
      </c>
      <c r="J13391" s="556">
        <f t="shared" si="438"/>
        <v>0</v>
      </c>
    </row>
    <row r="13392" spans="6:10" hidden="1" x14ac:dyDescent="0.25">
      <c r="F13392" s="464">
        <v>514</v>
      </c>
      <c r="G13392" s="455" t="s">
        <v>4161</v>
      </c>
      <c r="J13392" s="556">
        <f t="shared" si="438"/>
        <v>0</v>
      </c>
    </row>
    <row r="13393" spans="5:10" hidden="1" x14ac:dyDescent="0.25">
      <c r="F13393" s="464">
        <v>515</v>
      </c>
      <c r="G13393" s="455" t="s">
        <v>3834</v>
      </c>
      <c r="J13393" s="556">
        <f t="shared" si="438"/>
        <v>0</v>
      </c>
    </row>
    <row r="13394" spans="5:10" hidden="1" x14ac:dyDescent="0.25">
      <c r="F13394" s="464">
        <v>521</v>
      </c>
      <c r="G13394" s="455" t="s">
        <v>4162</v>
      </c>
      <c r="J13394" s="556">
        <f t="shared" si="438"/>
        <v>0</v>
      </c>
    </row>
    <row r="13395" spans="5:10" hidden="1" x14ac:dyDescent="0.25">
      <c r="F13395" s="464">
        <v>522</v>
      </c>
      <c r="G13395" s="455" t="s">
        <v>4163</v>
      </c>
      <c r="J13395" s="556">
        <f t="shared" si="438"/>
        <v>0</v>
      </c>
    </row>
    <row r="13396" spans="5:10" hidden="1" x14ac:dyDescent="0.25">
      <c r="F13396" s="464">
        <v>523</v>
      </c>
      <c r="G13396" s="455" t="s">
        <v>3839</v>
      </c>
      <c r="J13396" s="556">
        <f t="shared" si="438"/>
        <v>0</v>
      </c>
    </row>
    <row r="13397" spans="5:10" hidden="1" x14ac:dyDescent="0.25">
      <c r="F13397" s="464">
        <v>531</v>
      </c>
      <c r="G13397" s="453" t="s">
        <v>4139</v>
      </c>
      <c r="J13397" s="556">
        <f t="shared" si="438"/>
        <v>0</v>
      </c>
    </row>
    <row r="13398" spans="5:10" hidden="1" x14ac:dyDescent="0.25">
      <c r="F13398" s="464">
        <v>541</v>
      </c>
      <c r="G13398" s="455" t="s">
        <v>4164</v>
      </c>
      <c r="J13398" s="556">
        <f t="shared" si="438"/>
        <v>0</v>
      </c>
    </row>
    <row r="13399" spans="5:10" hidden="1" x14ac:dyDescent="0.25">
      <c r="F13399" s="464">
        <v>542</v>
      </c>
      <c r="G13399" s="455" t="s">
        <v>4165</v>
      </c>
      <c r="J13399" s="556">
        <f t="shared" si="438"/>
        <v>0</v>
      </c>
    </row>
    <row r="13400" spans="5:10" hidden="1" x14ac:dyDescent="0.25">
      <c r="F13400" s="464">
        <v>543</v>
      </c>
      <c r="G13400" s="455" t="s">
        <v>3844</v>
      </c>
      <c r="J13400" s="556">
        <f t="shared" si="438"/>
        <v>0</v>
      </c>
    </row>
    <row r="13401" spans="5:10" ht="30" hidden="1" x14ac:dyDescent="0.25">
      <c r="F13401" s="464">
        <v>551</v>
      </c>
      <c r="G13401" s="455" t="s">
        <v>4140</v>
      </c>
      <c r="J13401" s="556">
        <f t="shared" si="438"/>
        <v>0</v>
      </c>
    </row>
    <row r="13402" spans="5:10" hidden="1" x14ac:dyDescent="0.25">
      <c r="F13402" s="465">
        <v>611</v>
      </c>
      <c r="G13402" s="463" t="s">
        <v>3850</v>
      </c>
      <c r="J13402" s="556">
        <f t="shared" si="438"/>
        <v>0</v>
      </c>
    </row>
    <row r="13403" spans="5:10" hidden="1" x14ac:dyDescent="0.25">
      <c r="F13403" s="465">
        <v>620</v>
      </c>
      <c r="G13403" s="463" t="s">
        <v>88</v>
      </c>
      <c r="J13403" s="556">
        <f t="shared" si="438"/>
        <v>0</v>
      </c>
    </row>
    <row r="13404" spans="5:10" hidden="1" x14ac:dyDescent="0.25">
      <c r="E13404" s="489"/>
      <c r="F13404" s="465"/>
      <c r="G13404" s="343" t="s">
        <v>4356</v>
      </c>
      <c r="H13404" s="557"/>
      <c r="I13404" s="583"/>
      <c r="J13404" s="558"/>
    </row>
    <row r="13405" spans="5:10" hidden="1" x14ac:dyDescent="0.25">
      <c r="E13405" s="693"/>
      <c r="F13405" s="284" t="s">
        <v>234</v>
      </c>
      <c r="G13405" s="287" t="s">
        <v>235</v>
      </c>
      <c r="H13405" s="559">
        <f>SUM(H13344:H13403)</f>
        <v>0</v>
      </c>
      <c r="I13405" s="560"/>
      <c r="J13405" s="560">
        <f t="shared" ref="J13405:J13420" si="439">SUM(H13405:I13405)</f>
        <v>0</v>
      </c>
    </row>
    <row r="13406" spans="5:10" hidden="1" x14ac:dyDescent="0.25">
      <c r="F13406" s="284" t="s">
        <v>236</v>
      </c>
      <c r="G13406" s="287" t="s">
        <v>237</v>
      </c>
      <c r="J13406" s="560">
        <f t="shared" si="439"/>
        <v>0</v>
      </c>
    </row>
    <row r="13407" spans="5:10" hidden="1" x14ac:dyDescent="0.25">
      <c r="F13407" s="284" t="s">
        <v>238</v>
      </c>
      <c r="G13407" s="287" t="s">
        <v>239</v>
      </c>
      <c r="J13407" s="560">
        <f t="shared" si="439"/>
        <v>0</v>
      </c>
    </row>
    <row r="13408" spans="5:10" hidden="1" x14ac:dyDescent="0.25">
      <c r="F13408" s="284" t="s">
        <v>240</v>
      </c>
      <c r="G13408" s="287" t="s">
        <v>241</v>
      </c>
      <c r="J13408" s="560">
        <f t="shared" si="439"/>
        <v>0</v>
      </c>
    </row>
    <row r="13409" spans="5:10" hidden="1" x14ac:dyDescent="0.25">
      <c r="F13409" s="284" t="s">
        <v>242</v>
      </c>
      <c r="G13409" s="287" t="s">
        <v>243</v>
      </c>
      <c r="J13409" s="560">
        <f t="shared" si="439"/>
        <v>0</v>
      </c>
    </row>
    <row r="13410" spans="5:10" hidden="1" x14ac:dyDescent="0.25">
      <c r="F13410" s="284" t="s">
        <v>244</v>
      </c>
      <c r="G13410" s="287" t="s">
        <v>245</v>
      </c>
      <c r="J13410" s="560">
        <f t="shared" si="439"/>
        <v>0</v>
      </c>
    </row>
    <row r="13411" spans="5:10" hidden="1" x14ac:dyDescent="0.25">
      <c r="F13411" s="284" t="s">
        <v>246</v>
      </c>
      <c r="G13411" s="598" t="s">
        <v>4996</v>
      </c>
      <c r="J13411" s="560">
        <f t="shared" si="439"/>
        <v>0</v>
      </c>
    </row>
    <row r="13412" spans="5:10" hidden="1" x14ac:dyDescent="0.25">
      <c r="F13412" s="284" t="s">
        <v>247</v>
      </c>
      <c r="G13412" s="598" t="s">
        <v>4995</v>
      </c>
      <c r="J13412" s="560">
        <f t="shared" si="439"/>
        <v>0</v>
      </c>
    </row>
    <row r="13413" spans="5:10" hidden="1" x14ac:dyDescent="0.25">
      <c r="F13413" s="284" t="s">
        <v>248</v>
      </c>
      <c r="G13413" s="287" t="s">
        <v>57</v>
      </c>
      <c r="J13413" s="560">
        <f t="shared" si="439"/>
        <v>0</v>
      </c>
    </row>
    <row r="13414" spans="5:10" hidden="1" x14ac:dyDescent="0.25">
      <c r="F13414" s="284" t="s">
        <v>249</v>
      </c>
      <c r="G13414" s="287" t="s">
        <v>250</v>
      </c>
      <c r="J13414" s="560">
        <f t="shared" si="439"/>
        <v>0</v>
      </c>
    </row>
    <row r="13415" spans="5:10" hidden="1" x14ac:dyDescent="0.25">
      <c r="F13415" s="284" t="s">
        <v>251</v>
      </c>
      <c r="G13415" s="287" t="s">
        <v>252</v>
      </c>
      <c r="J13415" s="560">
        <f t="shared" si="439"/>
        <v>0</v>
      </c>
    </row>
    <row r="13416" spans="5:10" ht="30" hidden="1" x14ac:dyDescent="0.25">
      <c r="F13416" s="284" t="s">
        <v>253</v>
      </c>
      <c r="G13416" s="287" t="s">
        <v>254</v>
      </c>
      <c r="J13416" s="560">
        <f t="shared" si="439"/>
        <v>0</v>
      </c>
    </row>
    <row r="13417" spans="5:10" hidden="1" x14ac:dyDescent="0.25">
      <c r="F13417" s="284" t="s">
        <v>255</v>
      </c>
      <c r="G13417" s="287" t="s">
        <v>256</v>
      </c>
      <c r="J13417" s="560">
        <f t="shared" si="439"/>
        <v>0</v>
      </c>
    </row>
    <row r="13418" spans="5:10" ht="30" hidden="1" x14ac:dyDescent="0.25">
      <c r="F13418" s="284" t="s">
        <v>257</v>
      </c>
      <c r="G13418" s="287" t="s">
        <v>258</v>
      </c>
      <c r="J13418" s="560">
        <f t="shared" si="439"/>
        <v>0</v>
      </c>
    </row>
    <row r="13419" spans="5:10" hidden="1" x14ac:dyDescent="0.25">
      <c r="F13419" s="284" t="s">
        <v>259</v>
      </c>
      <c r="G13419" s="287" t="s">
        <v>260</v>
      </c>
      <c r="J13419" s="560">
        <f t="shared" si="439"/>
        <v>0</v>
      </c>
    </row>
    <row r="13420" spans="5:10" hidden="1" x14ac:dyDescent="0.25">
      <c r="F13420" s="284" t="s">
        <v>261</v>
      </c>
      <c r="G13420" s="287" t="s">
        <v>262</v>
      </c>
      <c r="H13420" s="559"/>
      <c r="I13420" s="560"/>
      <c r="J13420" s="560">
        <f t="shared" si="439"/>
        <v>0</v>
      </c>
    </row>
    <row r="13421" spans="5:10" ht="15.75" hidden="1" thickBot="1" x14ac:dyDescent="0.3">
      <c r="G13421" s="268" t="s">
        <v>4357</v>
      </c>
      <c r="H13421" s="561">
        <f>SUM(H13405:H13420)</f>
        <v>0</v>
      </c>
      <c r="I13421" s="562">
        <f>SUM(I13406:I13420)</f>
        <v>0</v>
      </c>
      <c r="J13421" s="562">
        <f>SUM(J13405:J13420)</f>
        <v>0</v>
      </c>
    </row>
    <row r="13422" spans="5:10" ht="28.5" hidden="1" collapsed="1" x14ac:dyDescent="0.25">
      <c r="E13422" s="489"/>
      <c r="F13422" s="465"/>
      <c r="G13422" s="270" t="s">
        <v>4358</v>
      </c>
      <c r="H13422" s="563"/>
      <c r="I13422" s="584"/>
      <c r="J13422" s="564"/>
    </row>
    <row r="13423" spans="5:10" hidden="1" x14ac:dyDescent="0.25">
      <c r="E13423" s="693"/>
      <c r="F13423" s="284" t="s">
        <v>234</v>
      </c>
      <c r="G13423" s="287" t="s">
        <v>235</v>
      </c>
      <c r="H13423" s="559">
        <f>SUM(H13344:H13403)</f>
        <v>0</v>
      </c>
      <c r="I13423" s="560"/>
      <c r="J13423" s="560">
        <f>SUM(H13423:I13423)</f>
        <v>0</v>
      </c>
    </row>
    <row r="13424" spans="5:10" hidden="1" x14ac:dyDescent="0.25">
      <c r="F13424" s="284" t="s">
        <v>236</v>
      </c>
      <c r="G13424" s="287" t="s">
        <v>237</v>
      </c>
      <c r="J13424" s="560">
        <f t="shared" ref="J13424:J13438" si="440">SUM(H13424:I13424)</f>
        <v>0</v>
      </c>
    </row>
    <row r="13425" spans="6:10" hidden="1" x14ac:dyDescent="0.25">
      <c r="F13425" s="284" t="s">
        <v>238</v>
      </c>
      <c r="G13425" s="287" t="s">
        <v>239</v>
      </c>
      <c r="J13425" s="560">
        <f t="shared" si="440"/>
        <v>0</v>
      </c>
    </row>
    <row r="13426" spans="6:10" hidden="1" x14ac:dyDescent="0.25">
      <c r="F13426" s="284" t="s">
        <v>240</v>
      </c>
      <c r="G13426" s="287" t="s">
        <v>241</v>
      </c>
      <c r="J13426" s="560">
        <f t="shared" si="440"/>
        <v>0</v>
      </c>
    </row>
    <row r="13427" spans="6:10" hidden="1" x14ac:dyDescent="0.25">
      <c r="F13427" s="284" t="s">
        <v>242</v>
      </c>
      <c r="G13427" s="287" t="s">
        <v>243</v>
      </c>
      <c r="J13427" s="560">
        <f t="shared" si="440"/>
        <v>0</v>
      </c>
    </row>
    <row r="13428" spans="6:10" hidden="1" x14ac:dyDescent="0.25">
      <c r="F13428" s="284" t="s">
        <v>244</v>
      </c>
      <c r="G13428" s="287" t="s">
        <v>245</v>
      </c>
      <c r="J13428" s="560">
        <f t="shared" si="440"/>
        <v>0</v>
      </c>
    </row>
    <row r="13429" spans="6:10" hidden="1" x14ac:dyDescent="0.25">
      <c r="F13429" s="284" t="s">
        <v>246</v>
      </c>
      <c r="G13429" s="598" t="s">
        <v>4996</v>
      </c>
      <c r="J13429" s="560">
        <f t="shared" si="440"/>
        <v>0</v>
      </c>
    </row>
    <row r="13430" spans="6:10" hidden="1" x14ac:dyDescent="0.25">
      <c r="F13430" s="284" t="s">
        <v>247</v>
      </c>
      <c r="G13430" s="598" t="s">
        <v>4995</v>
      </c>
      <c r="J13430" s="560">
        <f t="shared" si="440"/>
        <v>0</v>
      </c>
    </row>
    <row r="13431" spans="6:10" hidden="1" x14ac:dyDescent="0.25">
      <c r="F13431" s="284" t="s">
        <v>248</v>
      </c>
      <c r="G13431" s="287" t="s">
        <v>57</v>
      </c>
      <c r="J13431" s="560">
        <f t="shared" si="440"/>
        <v>0</v>
      </c>
    </row>
    <row r="13432" spans="6:10" hidden="1" x14ac:dyDescent="0.25">
      <c r="F13432" s="284" t="s">
        <v>249</v>
      </c>
      <c r="G13432" s="287" t="s">
        <v>250</v>
      </c>
      <c r="J13432" s="560">
        <f t="shared" si="440"/>
        <v>0</v>
      </c>
    </row>
    <row r="13433" spans="6:10" hidden="1" x14ac:dyDescent="0.25">
      <c r="F13433" s="284" t="s">
        <v>251</v>
      </c>
      <c r="G13433" s="287" t="s">
        <v>252</v>
      </c>
      <c r="J13433" s="560">
        <f t="shared" si="440"/>
        <v>0</v>
      </c>
    </row>
    <row r="13434" spans="6:10" ht="30" hidden="1" x14ac:dyDescent="0.25">
      <c r="F13434" s="284" t="s">
        <v>253</v>
      </c>
      <c r="G13434" s="287" t="s">
        <v>254</v>
      </c>
      <c r="J13434" s="560">
        <f t="shared" si="440"/>
        <v>0</v>
      </c>
    </row>
    <row r="13435" spans="6:10" hidden="1" x14ac:dyDescent="0.25">
      <c r="F13435" s="284" t="s">
        <v>255</v>
      </c>
      <c r="G13435" s="287" t="s">
        <v>256</v>
      </c>
      <c r="J13435" s="560">
        <f t="shared" si="440"/>
        <v>0</v>
      </c>
    </row>
    <row r="13436" spans="6:10" ht="30" hidden="1" x14ac:dyDescent="0.25">
      <c r="F13436" s="284" t="s">
        <v>257</v>
      </c>
      <c r="G13436" s="287" t="s">
        <v>258</v>
      </c>
      <c r="J13436" s="560">
        <f t="shared" si="440"/>
        <v>0</v>
      </c>
    </row>
    <row r="13437" spans="6:10" hidden="1" x14ac:dyDescent="0.25">
      <c r="F13437" s="284" t="s">
        <v>259</v>
      </c>
      <c r="G13437" s="287" t="s">
        <v>260</v>
      </c>
      <c r="J13437" s="560">
        <f t="shared" si="440"/>
        <v>0</v>
      </c>
    </row>
    <row r="13438" spans="6:10" hidden="1" x14ac:dyDescent="0.25">
      <c r="F13438" s="284" t="s">
        <v>261</v>
      </c>
      <c r="G13438" s="287" t="s">
        <v>262</v>
      </c>
      <c r="H13438" s="559"/>
      <c r="I13438" s="560"/>
      <c r="J13438" s="560">
        <f t="shared" si="440"/>
        <v>0</v>
      </c>
    </row>
    <row r="13439" spans="6:10" ht="15.75" hidden="1" collapsed="1" thickBot="1" x14ac:dyDescent="0.3">
      <c r="G13439" s="268" t="s">
        <v>4359</v>
      </c>
      <c r="H13439" s="561">
        <f>SUM(H13423:H13438)</f>
        <v>0</v>
      </c>
      <c r="I13439" s="562">
        <f>SUM(I13424:I13438)</f>
        <v>0</v>
      </c>
      <c r="J13439" s="562">
        <f>SUM(J13423:J13438)</f>
        <v>0</v>
      </c>
    </row>
    <row r="13440" spans="6:10" hidden="1" x14ac:dyDescent="0.25"/>
    <row r="13441" spans="3:10" hidden="1" x14ac:dyDescent="0.25">
      <c r="C13441" s="267" t="s">
        <v>4749</v>
      </c>
      <c r="D13441" s="259"/>
      <c r="G13441" s="456" t="s">
        <v>4196</v>
      </c>
    </row>
    <row r="13442" spans="3:10" hidden="1" x14ac:dyDescent="0.25">
      <c r="C13442" s="267"/>
      <c r="D13442" s="331">
        <v>820</v>
      </c>
      <c r="E13442" s="869"/>
      <c r="F13442" s="331"/>
      <c r="G13442" s="332" t="s">
        <v>207</v>
      </c>
    </row>
    <row r="13443" spans="3:10" hidden="1" x14ac:dyDescent="0.25">
      <c r="F13443" s="464">
        <v>411</v>
      </c>
      <c r="G13443" s="455" t="s">
        <v>4131</v>
      </c>
      <c r="J13443" s="556">
        <f>SUM(H13443:I13443)</f>
        <v>0</v>
      </c>
    </row>
    <row r="13444" spans="3:10" hidden="1" x14ac:dyDescent="0.25">
      <c r="F13444" s="464">
        <v>412</v>
      </c>
      <c r="G13444" s="453" t="s">
        <v>3766</v>
      </c>
      <c r="J13444" s="556">
        <f t="shared" ref="J13444:J13502" si="441">SUM(H13444:I13444)</f>
        <v>0</v>
      </c>
    </row>
    <row r="13445" spans="3:10" hidden="1" x14ac:dyDescent="0.25">
      <c r="F13445" s="464">
        <v>413</v>
      </c>
      <c r="G13445" s="455" t="s">
        <v>4132</v>
      </c>
      <c r="J13445" s="556">
        <f t="shared" si="441"/>
        <v>0</v>
      </c>
    </row>
    <row r="13446" spans="3:10" hidden="1" x14ac:dyDescent="0.25">
      <c r="F13446" s="464">
        <v>414</v>
      </c>
      <c r="G13446" s="455" t="s">
        <v>3769</v>
      </c>
      <c r="J13446" s="556">
        <f t="shared" si="441"/>
        <v>0</v>
      </c>
    </row>
    <row r="13447" spans="3:10" hidden="1" x14ac:dyDescent="0.25">
      <c r="F13447" s="464">
        <v>415</v>
      </c>
      <c r="G13447" s="455" t="s">
        <v>4141</v>
      </c>
      <c r="J13447" s="556">
        <f t="shared" si="441"/>
        <v>0</v>
      </c>
    </row>
    <row r="13448" spans="3:10" hidden="1" x14ac:dyDescent="0.25">
      <c r="F13448" s="464">
        <v>416</v>
      </c>
      <c r="G13448" s="455" t="s">
        <v>4142</v>
      </c>
      <c r="J13448" s="556">
        <f t="shared" si="441"/>
        <v>0</v>
      </c>
    </row>
    <row r="13449" spans="3:10" hidden="1" x14ac:dyDescent="0.25">
      <c r="F13449" s="464">
        <v>417</v>
      </c>
      <c r="G13449" s="455" t="s">
        <v>4143</v>
      </c>
      <c r="J13449" s="556">
        <f t="shared" si="441"/>
        <v>0</v>
      </c>
    </row>
    <row r="13450" spans="3:10" hidden="1" x14ac:dyDescent="0.25">
      <c r="F13450" s="464">
        <v>418</v>
      </c>
      <c r="G13450" s="455" t="s">
        <v>3775</v>
      </c>
      <c r="J13450" s="556">
        <f t="shared" si="441"/>
        <v>0</v>
      </c>
    </row>
    <row r="13451" spans="3:10" hidden="1" x14ac:dyDescent="0.25">
      <c r="F13451" s="464">
        <v>421</v>
      </c>
      <c r="G13451" s="455" t="s">
        <v>3779</v>
      </c>
      <c r="J13451" s="556">
        <f t="shared" si="441"/>
        <v>0</v>
      </c>
    </row>
    <row r="13452" spans="3:10" hidden="1" x14ac:dyDescent="0.25">
      <c r="F13452" s="464">
        <v>422</v>
      </c>
      <c r="G13452" s="455" t="s">
        <v>3780</v>
      </c>
      <c r="J13452" s="556">
        <f t="shared" si="441"/>
        <v>0</v>
      </c>
    </row>
    <row r="13453" spans="3:10" hidden="1" x14ac:dyDescent="0.25">
      <c r="F13453" s="464">
        <v>423</v>
      </c>
      <c r="G13453" s="455" t="s">
        <v>3781</v>
      </c>
      <c r="J13453" s="556">
        <f t="shared" si="441"/>
        <v>0</v>
      </c>
    </row>
    <row r="13454" spans="3:10" hidden="1" x14ac:dyDescent="0.25">
      <c r="F13454" s="464">
        <v>424</v>
      </c>
      <c r="G13454" s="455" t="s">
        <v>3783</v>
      </c>
      <c r="J13454" s="556">
        <f t="shared" si="441"/>
        <v>0</v>
      </c>
    </row>
    <row r="13455" spans="3:10" hidden="1" x14ac:dyDescent="0.25">
      <c r="F13455" s="464">
        <v>425</v>
      </c>
      <c r="G13455" s="455" t="s">
        <v>4144</v>
      </c>
      <c r="J13455" s="556">
        <f t="shared" si="441"/>
        <v>0</v>
      </c>
    </row>
    <row r="13456" spans="3:10" hidden="1" x14ac:dyDescent="0.25">
      <c r="F13456" s="464">
        <v>426</v>
      </c>
      <c r="G13456" s="455" t="s">
        <v>3787</v>
      </c>
      <c r="J13456" s="556">
        <f t="shared" si="441"/>
        <v>0</v>
      </c>
    </row>
    <row r="13457" spans="6:10" hidden="1" x14ac:dyDescent="0.25">
      <c r="F13457" s="464">
        <v>431</v>
      </c>
      <c r="G13457" s="455" t="s">
        <v>4145</v>
      </c>
      <c r="J13457" s="556">
        <f t="shared" si="441"/>
        <v>0</v>
      </c>
    </row>
    <row r="13458" spans="6:10" hidden="1" x14ac:dyDescent="0.25">
      <c r="F13458" s="464">
        <v>432</v>
      </c>
      <c r="G13458" s="455" t="s">
        <v>4146</v>
      </c>
      <c r="J13458" s="556">
        <f t="shared" si="441"/>
        <v>0</v>
      </c>
    </row>
    <row r="13459" spans="6:10" hidden="1" x14ac:dyDescent="0.25">
      <c r="F13459" s="464">
        <v>433</v>
      </c>
      <c r="G13459" s="455" t="s">
        <v>4147</v>
      </c>
      <c r="J13459" s="556">
        <f t="shared" si="441"/>
        <v>0</v>
      </c>
    </row>
    <row r="13460" spans="6:10" hidden="1" x14ac:dyDescent="0.25">
      <c r="F13460" s="464">
        <v>434</v>
      </c>
      <c r="G13460" s="455" t="s">
        <v>4148</v>
      </c>
      <c r="J13460" s="556">
        <f t="shared" si="441"/>
        <v>0</v>
      </c>
    </row>
    <row r="13461" spans="6:10" hidden="1" x14ac:dyDescent="0.25">
      <c r="F13461" s="464">
        <v>435</v>
      </c>
      <c r="G13461" s="455" t="s">
        <v>3794</v>
      </c>
      <c r="J13461" s="556">
        <f t="shared" si="441"/>
        <v>0</v>
      </c>
    </row>
    <row r="13462" spans="6:10" hidden="1" x14ac:dyDescent="0.25">
      <c r="F13462" s="464">
        <v>441</v>
      </c>
      <c r="G13462" s="455" t="s">
        <v>4149</v>
      </c>
      <c r="J13462" s="556">
        <f t="shared" si="441"/>
        <v>0</v>
      </c>
    </row>
    <row r="13463" spans="6:10" hidden="1" x14ac:dyDescent="0.25">
      <c r="F13463" s="464">
        <v>442</v>
      </c>
      <c r="G13463" s="455" t="s">
        <v>4150</v>
      </c>
      <c r="J13463" s="556">
        <f t="shared" si="441"/>
        <v>0</v>
      </c>
    </row>
    <row r="13464" spans="6:10" hidden="1" x14ac:dyDescent="0.25">
      <c r="F13464" s="464">
        <v>443</v>
      </c>
      <c r="G13464" s="455" t="s">
        <v>3799</v>
      </c>
      <c r="J13464" s="556">
        <f t="shared" si="441"/>
        <v>0</v>
      </c>
    </row>
    <row r="13465" spans="6:10" hidden="1" x14ac:dyDescent="0.25">
      <c r="F13465" s="464">
        <v>444</v>
      </c>
      <c r="G13465" s="455" t="s">
        <v>3800</v>
      </c>
      <c r="J13465" s="556">
        <f t="shared" si="441"/>
        <v>0</v>
      </c>
    </row>
    <row r="13466" spans="6:10" ht="30" hidden="1" x14ac:dyDescent="0.25">
      <c r="F13466" s="464">
        <v>4511</v>
      </c>
      <c r="G13466" s="263" t="s">
        <v>1690</v>
      </c>
      <c r="J13466" s="556">
        <f t="shared" si="441"/>
        <v>0</v>
      </c>
    </row>
    <row r="13467" spans="6:10" ht="30" hidden="1" x14ac:dyDescent="0.25">
      <c r="F13467" s="464">
        <v>4512</v>
      </c>
      <c r="G13467" s="263" t="s">
        <v>1699</v>
      </c>
      <c r="J13467" s="556">
        <f t="shared" si="441"/>
        <v>0</v>
      </c>
    </row>
    <row r="13468" spans="6:10" hidden="1" x14ac:dyDescent="0.25">
      <c r="F13468" s="464">
        <v>452</v>
      </c>
      <c r="G13468" s="455" t="s">
        <v>4151</v>
      </c>
      <c r="J13468" s="556">
        <f t="shared" si="441"/>
        <v>0</v>
      </c>
    </row>
    <row r="13469" spans="6:10" hidden="1" x14ac:dyDescent="0.25">
      <c r="F13469" s="464">
        <v>453</v>
      </c>
      <c r="G13469" s="455" t="s">
        <v>4152</v>
      </c>
      <c r="J13469" s="556">
        <f t="shared" si="441"/>
        <v>0</v>
      </c>
    </row>
    <row r="13470" spans="6:10" hidden="1" x14ac:dyDescent="0.25">
      <c r="F13470" s="464">
        <v>454</v>
      </c>
      <c r="G13470" s="455" t="s">
        <v>3805</v>
      </c>
      <c r="J13470" s="556">
        <f t="shared" si="441"/>
        <v>0</v>
      </c>
    </row>
    <row r="13471" spans="6:10" hidden="1" x14ac:dyDescent="0.25">
      <c r="F13471" s="464">
        <v>461</v>
      </c>
      <c r="G13471" s="455" t="s">
        <v>4133</v>
      </c>
      <c r="J13471" s="556">
        <f t="shared" si="441"/>
        <v>0</v>
      </c>
    </row>
    <row r="13472" spans="6:10" hidden="1" x14ac:dyDescent="0.25">
      <c r="F13472" s="464">
        <v>462</v>
      </c>
      <c r="G13472" s="455" t="s">
        <v>3808</v>
      </c>
      <c r="J13472" s="556">
        <f t="shared" si="441"/>
        <v>0</v>
      </c>
    </row>
    <row r="13473" spans="6:10" hidden="1" x14ac:dyDescent="0.25">
      <c r="F13473" s="464">
        <v>4631</v>
      </c>
      <c r="G13473" s="455" t="s">
        <v>3809</v>
      </c>
      <c r="J13473" s="556">
        <f t="shared" si="441"/>
        <v>0</v>
      </c>
    </row>
    <row r="13474" spans="6:10" hidden="1" x14ac:dyDescent="0.25">
      <c r="F13474" s="464">
        <v>4632</v>
      </c>
      <c r="G13474" s="455" t="s">
        <v>3810</v>
      </c>
      <c r="J13474" s="556">
        <f t="shared" si="441"/>
        <v>0</v>
      </c>
    </row>
    <row r="13475" spans="6:10" hidden="1" x14ac:dyDescent="0.25">
      <c r="F13475" s="464">
        <v>464</v>
      </c>
      <c r="G13475" s="455" t="s">
        <v>3811</v>
      </c>
      <c r="J13475" s="556">
        <f t="shared" si="441"/>
        <v>0</v>
      </c>
    </row>
    <row r="13476" spans="6:10" hidden="1" x14ac:dyDescent="0.25">
      <c r="F13476" s="464">
        <v>465</v>
      </c>
      <c r="G13476" s="455" t="s">
        <v>4134</v>
      </c>
      <c r="J13476" s="556">
        <f t="shared" si="441"/>
        <v>0</v>
      </c>
    </row>
    <row r="13477" spans="6:10" hidden="1" x14ac:dyDescent="0.25">
      <c r="F13477" s="464">
        <v>472</v>
      </c>
      <c r="G13477" s="455" t="s">
        <v>3815</v>
      </c>
      <c r="J13477" s="556">
        <f t="shared" si="441"/>
        <v>0</v>
      </c>
    </row>
    <row r="13478" spans="6:10" hidden="1" x14ac:dyDescent="0.25">
      <c r="F13478" s="464">
        <v>481</v>
      </c>
      <c r="G13478" s="455" t="s">
        <v>4153</v>
      </c>
      <c r="J13478" s="556">
        <f t="shared" si="441"/>
        <v>0</v>
      </c>
    </row>
    <row r="13479" spans="6:10" hidden="1" x14ac:dyDescent="0.25">
      <c r="F13479" s="464">
        <v>482</v>
      </c>
      <c r="G13479" s="455" t="s">
        <v>4154</v>
      </c>
      <c r="J13479" s="556">
        <f t="shared" si="441"/>
        <v>0</v>
      </c>
    </row>
    <row r="13480" spans="6:10" hidden="1" x14ac:dyDescent="0.25">
      <c r="F13480" s="464">
        <v>483</v>
      </c>
      <c r="G13480" s="457" t="s">
        <v>4155</v>
      </c>
      <c r="J13480" s="556">
        <f t="shared" si="441"/>
        <v>0</v>
      </c>
    </row>
    <row r="13481" spans="6:10" ht="30" hidden="1" x14ac:dyDescent="0.25">
      <c r="F13481" s="464">
        <v>484</v>
      </c>
      <c r="G13481" s="455" t="s">
        <v>4156</v>
      </c>
      <c r="J13481" s="556">
        <f t="shared" si="441"/>
        <v>0</v>
      </c>
    </row>
    <row r="13482" spans="6:10" ht="30" hidden="1" x14ac:dyDescent="0.25">
      <c r="F13482" s="464">
        <v>485</v>
      </c>
      <c r="G13482" s="455" t="s">
        <v>4157</v>
      </c>
      <c r="J13482" s="556">
        <f t="shared" si="441"/>
        <v>0</v>
      </c>
    </row>
    <row r="13483" spans="6:10" ht="30" hidden="1" x14ac:dyDescent="0.25">
      <c r="F13483" s="464">
        <v>489</v>
      </c>
      <c r="G13483" s="455" t="s">
        <v>3823</v>
      </c>
      <c r="J13483" s="556">
        <f t="shared" si="441"/>
        <v>0</v>
      </c>
    </row>
    <row r="13484" spans="6:10" hidden="1" x14ac:dyDescent="0.25">
      <c r="F13484" s="464">
        <v>494</v>
      </c>
      <c r="G13484" s="455" t="s">
        <v>4135</v>
      </c>
      <c r="J13484" s="556">
        <f t="shared" si="441"/>
        <v>0</v>
      </c>
    </row>
    <row r="13485" spans="6:10" ht="30" hidden="1" x14ac:dyDescent="0.25">
      <c r="F13485" s="464">
        <v>495</v>
      </c>
      <c r="G13485" s="455" t="s">
        <v>4136</v>
      </c>
      <c r="J13485" s="556">
        <f t="shared" si="441"/>
        <v>0</v>
      </c>
    </row>
    <row r="13486" spans="6:10" ht="30" hidden="1" x14ac:dyDescent="0.25">
      <c r="F13486" s="464">
        <v>496</v>
      </c>
      <c r="G13486" s="455" t="s">
        <v>4137</v>
      </c>
      <c r="J13486" s="556">
        <f t="shared" si="441"/>
        <v>0</v>
      </c>
    </row>
    <row r="13487" spans="6:10" ht="30" hidden="1" x14ac:dyDescent="0.25">
      <c r="F13487" s="464">
        <v>499</v>
      </c>
      <c r="G13487" s="455" t="s">
        <v>4138</v>
      </c>
      <c r="J13487" s="556">
        <f t="shared" si="441"/>
        <v>0</v>
      </c>
    </row>
    <row r="13488" spans="6:10" hidden="1" x14ac:dyDescent="0.25">
      <c r="F13488" s="464">
        <v>511</v>
      </c>
      <c r="G13488" s="457" t="s">
        <v>4158</v>
      </c>
      <c r="J13488" s="556">
        <f t="shared" si="441"/>
        <v>0</v>
      </c>
    </row>
    <row r="13489" spans="5:10" hidden="1" x14ac:dyDescent="0.25">
      <c r="F13489" s="464">
        <v>512</v>
      </c>
      <c r="G13489" s="457" t="s">
        <v>4159</v>
      </c>
      <c r="J13489" s="556">
        <f t="shared" si="441"/>
        <v>0</v>
      </c>
    </row>
    <row r="13490" spans="5:10" hidden="1" x14ac:dyDescent="0.25">
      <c r="F13490" s="464">
        <v>513</v>
      </c>
      <c r="G13490" s="457" t="s">
        <v>4160</v>
      </c>
      <c r="J13490" s="556">
        <f t="shared" si="441"/>
        <v>0</v>
      </c>
    </row>
    <row r="13491" spans="5:10" hidden="1" x14ac:dyDescent="0.25">
      <c r="F13491" s="464">
        <v>514</v>
      </c>
      <c r="G13491" s="455" t="s">
        <v>4161</v>
      </c>
      <c r="J13491" s="556">
        <f t="shared" si="441"/>
        <v>0</v>
      </c>
    </row>
    <row r="13492" spans="5:10" hidden="1" x14ac:dyDescent="0.25">
      <c r="F13492" s="464">
        <v>515</v>
      </c>
      <c r="G13492" s="455" t="s">
        <v>3834</v>
      </c>
      <c r="J13492" s="556">
        <f t="shared" si="441"/>
        <v>0</v>
      </c>
    </row>
    <row r="13493" spans="5:10" hidden="1" x14ac:dyDescent="0.25">
      <c r="F13493" s="464">
        <v>521</v>
      </c>
      <c r="G13493" s="455" t="s">
        <v>4162</v>
      </c>
      <c r="J13493" s="556">
        <f t="shared" si="441"/>
        <v>0</v>
      </c>
    </row>
    <row r="13494" spans="5:10" hidden="1" x14ac:dyDescent="0.25">
      <c r="F13494" s="464">
        <v>522</v>
      </c>
      <c r="G13494" s="455" t="s">
        <v>4163</v>
      </c>
      <c r="J13494" s="556">
        <f t="shared" si="441"/>
        <v>0</v>
      </c>
    </row>
    <row r="13495" spans="5:10" hidden="1" x14ac:dyDescent="0.25">
      <c r="F13495" s="464">
        <v>523</v>
      </c>
      <c r="G13495" s="455" t="s">
        <v>3839</v>
      </c>
      <c r="J13495" s="556">
        <f t="shared" si="441"/>
        <v>0</v>
      </c>
    </row>
    <row r="13496" spans="5:10" hidden="1" x14ac:dyDescent="0.25">
      <c r="F13496" s="464">
        <v>531</v>
      </c>
      <c r="G13496" s="453" t="s">
        <v>4139</v>
      </c>
      <c r="J13496" s="556">
        <f t="shared" si="441"/>
        <v>0</v>
      </c>
    </row>
    <row r="13497" spans="5:10" hidden="1" x14ac:dyDescent="0.25">
      <c r="F13497" s="464">
        <v>541</v>
      </c>
      <c r="G13497" s="455" t="s">
        <v>4164</v>
      </c>
      <c r="J13497" s="556">
        <f t="shared" si="441"/>
        <v>0</v>
      </c>
    </row>
    <row r="13498" spans="5:10" hidden="1" x14ac:dyDescent="0.25">
      <c r="F13498" s="464">
        <v>542</v>
      </c>
      <c r="G13498" s="455" t="s">
        <v>4165</v>
      </c>
      <c r="J13498" s="556">
        <f t="shared" si="441"/>
        <v>0</v>
      </c>
    </row>
    <row r="13499" spans="5:10" hidden="1" x14ac:dyDescent="0.25">
      <c r="F13499" s="464">
        <v>543</v>
      </c>
      <c r="G13499" s="455" t="s">
        <v>3844</v>
      </c>
      <c r="J13499" s="556">
        <f t="shared" si="441"/>
        <v>0</v>
      </c>
    </row>
    <row r="13500" spans="5:10" ht="30" hidden="1" x14ac:dyDescent="0.25">
      <c r="F13500" s="464">
        <v>551</v>
      </c>
      <c r="G13500" s="455" t="s">
        <v>4140</v>
      </c>
      <c r="J13500" s="556">
        <f t="shared" si="441"/>
        <v>0</v>
      </c>
    </row>
    <row r="13501" spans="5:10" hidden="1" x14ac:dyDescent="0.25">
      <c r="F13501" s="465">
        <v>611</v>
      </c>
      <c r="G13501" s="463" t="s">
        <v>3850</v>
      </c>
      <c r="J13501" s="556">
        <f t="shared" si="441"/>
        <v>0</v>
      </c>
    </row>
    <row r="13502" spans="5:10" hidden="1" x14ac:dyDescent="0.25">
      <c r="F13502" s="465">
        <v>620</v>
      </c>
      <c r="G13502" s="463" t="s">
        <v>88</v>
      </c>
      <c r="J13502" s="556">
        <f t="shared" si="441"/>
        <v>0</v>
      </c>
    </row>
    <row r="13503" spans="5:10" hidden="1" x14ac:dyDescent="0.25">
      <c r="E13503" s="489"/>
      <c r="F13503" s="465"/>
      <c r="G13503" s="342" t="s">
        <v>4356</v>
      </c>
      <c r="H13503" s="557"/>
      <c r="I13503" s="583"/>
      <c r="J13503" s="558"/>
    </row>
    <row r="13504" spans="5:10" hidden="1" x14ac:dyDescent="0.25">
      <c r="E13504" s="693"/>
      <c r="F13504" s="284" t="s">
        <v>234</v>
      </c>
      <c r="G13504" s="287" t="s">
        <v>235</v>
      </c>
      <c r="H13504" s="559">
        <f>SUM(H13443:H13502)</f>
        <v>0</v>
      </c>
      <c r="I13504" s="560"/>
      <c r="J13504" s="560">
        <f>SUM(H13504:I13504)</f>
        <v>0</v>
      </c>
    </row>
    <row r="13505" spans="6:10" hidden="1" x14ac:dyDescent="0.25">
      <c r="F13505" s="284" t="s">
        <v>236</v>
      </c>
      <c r="G13505" s="287" t="s">
        <v>237</v>
      </c>
      <c r="J13505" s="560">
        <f t="shared" ref="J13505:J13519" si="442">SUM(H13505:I13505)</f>
        <v>0</v>
      </c>
    </row>
    <row r="13506" spans="6:10" hidden="1" x14ac:dyDescent="0.25">
      <c r="F13506" s="284" t="s">
        <v>238</v>
      </c>
      <c r="G13506" s="287" t="s">
        <v>239</v>
      </c>
      <c r="J13506" s="560">
        <f t="shared" si="442"/>
        <v>0</v>
      </c>
    </row>
    <row r="13507" spans="6:10" hidden="1" x14ac:dyDescent="0.25">
      <c r="F13507" s="284" t="s">
        <v>240</v>
      </c>
      <c r="G13507" s="287" t="s">
        <v>241</v>
      </c>
      <c r="J13507" s="560">
        <f t="shared" si="442"/>
        <v>0</v>
      </c>
    </row>
    <row r="13508" spans="6:10" hidden="1" x14ac:dyDescent="0.25">
      <c r="F13508" s="284" t="s">
        <v>242</v>
      </c>
      <c r="G13508" s="287" t="s">
        <v>243</v>
      </c>
      <c r="J13508" s="560">
        <f t="shared" si="442"/>
        <v>0</v>
      </c>
    </row>
    <row r="13509" spans="6:10" hidden="1" x14ac:dyDescent="0.25">
      <c r="F13509" s="284" t="s">
        <v>244</v>
      </c>
      <c r="G13509" s="287" t="s">
        <v>245</v>
      </c>
      <c r="J13509" s="560">
        <f t="shared" si="442"/>
        <v>0</v>
      </c>
    </row>
    <row r="13510" spans="6:10" hidden="1" x14ac:dyDescent="0.25">
      <c r="F13510" s="284" t="s">
        <v>246</v>
      </c>
      <c r="G13510" s="598" t="s">
        <v>4996</v>
      </c>
      <c r="J13510" s="560">
        <f t="shared" si="442"/>
        <v>0</v>
      </c>
    </row>
    <row r="13511" spans="6:10" hidden="1" x14ac:dyDescent="0.25">
      <c r="F13511" s="284" t="s">
        <v>247</v>
      </c>
      <c r="G13511" s="598" t="s">
        <v>4995</v>
      </c>
      <c r="J13511" s="560">
        <f t="shared" si="442"/>
        <v>0</v>
      </c>
    </row>
    <row r="13512" spans="6:10" hidden="1" x14ac:dyDescent="0.25">
      <c r="F13512" s="284" t="s">
        <v>248</v>
      </c>
      <c r="G13512" s="287" t="s">
        <v>57</v>
      </c>
      <c r="J13512" s="560">
        <f t="shared" si="442"/>
        <v>0</v>
      </c>
    </row>
    <row r="13513" spans="6:10" hidden="1" x14ac:dyDescent="0.25">
      <c r="F13513" s="284" t="s">
        <v>249</v>
      </c>
      <c r="G13513" s="287" t="s">
        <v>250</v>
      </c>
      <c r="J13513" s="560">
        <f t="shared" si="442"/>
        <v>0</v>
      </c>
    </row>
    <row r="13514" spans="6:10" hidden="1" x14ac:dyDescent="0.25">
      <c r="F13514" s="284" t="s">
        <v>251</v>
      </c>
      <c r="G13514" s="287" t="s">
        <v>252</v>
      </c>
      <c r="J13514" s="560">
        <f t="shared" si="442"/>
        <v>0</v>
      </c>
    </row>
    <row r="13515" spans="6:10" ht="30" hidden="1" x14ac:dyDescent="0.25">
      <c r="F13515" s="284" t="s">
        <v>253</v>
      </c>
      <c r="G13515" s="287" t="s">
        <v>254</v>
      </c>
      <c r="J13515" s="560">
        <f t="shared" si="442"/>
        <v>0</v>
      </c>
    </row>
    <row r="13516" spans="6:10" hidden="1" x14ac:dyDescent="0.25">
      <c r="F13516" s="284" t="s">
        <v>255</v>
      </c>
      <c r="G13516" s="287" t="s">
        <v>256</v>
      </c>
      <c r="J13516" s="560">
        <f t="shared" si="442"/>
        <v>0</v>
      </c>
    </row>
    <row r="13517" spans="6:10" ht="30" hidden="1" x14ac:dyDescent="0.25">
      <c r="F13517" s="284" t="s">
        <v>257</v>
      </c>
      <c r="G13517" s="287" t="s">
        <v>258</v>
      </c>
      <c r="J13517" s="560">
        <f t="shared" si="442"/>
        <v>0</v>
      </c>
    </row>
    <row r="13518" spans="6:10" hidden="1" x14ac:dyDescent="0.25">
      <c r="F13518" s="284" t="s">
        <v>259</v>
      </c>
      <c r="G13518" s="287" t="s">
        <v>260</v>
      </c>
      <c r="J13518" s="560">
        <f t="shared" si="442"/>
        <v>0</v>
      </c>
    </row>
    <row r="13519" spans="6:10" hidden="1" x14ac:dyDescent="0.25">
      <c r="F13519" s="284" t="s">
        <v>261</v>
      </c>
      <c r="G13519" s="287" t="s">
        <v>262</v>
      </c>
      <c r="H13519" s="559"/>
      <c r="I13519" s="560"/>
      <c r="J13519" s="560">
        <f t="shared" si="442"/>
        <v>0</v>
      </c>
    </row>
    <row r="13520" spans="6:10" ht="15.75" hidden="1" thickBot="1" x14ac:dyDescent="0.3">
      <c r="G13520" s="268" t="s">
        <v>4357</v>
      </c>
      <c r="H13520" s="561">
        <f>SUM(H13504:H13519)</f>
        <v>0</v>
      </c>
      <c r="I13520" s="562">
        <f>SUM(I13505:I13519)</f>
        <v>0</v>
      </c>
      <c r="J13520" s="562">
        <f>SUM(J13504:J13519)</f>
        <v>0</v>
      </c>
    </row>
    <row r="13521" spans="5:10" hidden="1" collapsed="1" x14ac:dyDescent="0.25">
      <c r="E13521" s="489"/>
      <c r="F13521" s="465"/>
      <c r="G13521" s="270" t="s">
        <v>4936</v>
      </c>
      <c r="H13521" s="563"/>
      <c r="I13521" s="584"/>
      <c r="J13521" s="564"/>
    </row>
    <row r="13522" spans="5:10" hidden="1" x14ac:dyDescent="0.25">
      <c r="E13522" s="693"/>
      <c r="F13522" s="284" t="s">
        <v>234</v>
      </c>
      <c r="G13522" s="287" t="s">
        <v>235</v>
      </c>
      <c r="H13522" s="559">
        <f>SUM(H13443:H13502)</f>
        <v>0</v>
      </c>
      <c r="I13522" s="560"/>
      <c r="J13522" s="560">
        <f>SUM(H13522:I13522)</f>
        <v>0</v>
      </c>
    </row>
    <row r="13523" spans="5:10" hidden="1" x14ac:dyDescent="0.25">
      <c r="F13523" s="284" t="s">
        <v>236</v>
      </c>
      <c r="G13523" s="287" t="s">
        <v>237</v>
      </c>
      <c r="J13523" s="560">
        <f t="shared" ref="J13523:J13537" si="443">SUM(H13523:I13523)</f>
        <v>0</v>
      </c>
    </row>
    <row r="13524" spans="5:10" hidden="1" x14ac:dyDescent="0.25">
      <c r="F13524" s="284" t="s">
        <v>238</v>
      </c>
      <c r="G13524" s="287" t="s">
        <v>239</v>
      </c>
      <c r="J13524" s="560">
        <f t="shared" si="443"/>
        <v>0</v>
      </c>
    </row>
    <row r="13525" spans="5:10" hidden="1" x14ac:dyDescent="0.25">
      <c r="F13525" s="284" t="s">
        <v>240</v>
      </c>
      <c r="G13525" s="287" t="s">
        <v>241</v>
      </c>
      <c r="J13525" s="560">
        <f t="shared" si="443"/>
        <v>0</v>
      </c>
    </row>
    <row r="13526" spans="5:10" hidden="1" x14ac:dyDescent="0.25">
      <c r="F13526" s="284" t="s">
        <v>242</v>
      </c>
      <c r="G13526" s="287" t="s">
        <v>243</v>
      </c>
      <c r="J13526" s="560">
        <f t="shared" si="443"/>
        <v>0</v>
      </c>
    </row>
    <row r="13527" spans="5:10" hidden="1" x14ac:dyDescent="0.25">
      <c r="F13527" s="284" t="s">
        <v>244</v>
      </c>
      <c r="G13527" s="287" t="s">
        <v>245</v>
      </c>
      <c r="J13527" s="560">
        <f t="shared" si="443"/>
        <v>0</v>
      </c>
    </row>
    <row r="13528" spans="5:10" hidden="1" x14ac:dyDescent="0.25">
      <c r="F13528" s="284" t="s">
        <v>246</v>
      </c>
      <c r="G13528" s="598" t="s">
        <v>4996</v>
      </c>
      <c r="J13528" s="560">
        <f t="shared" si="443"/>
        <v>0</v>
      </c>
    </row>
    <row r="13529" spans="5:10" hidden="1" x14ac:dyDescent="0.25">
      <c r="F13529" s="284" t="s">
        <v>247</v>
      </c>
      <c r="G13529" s="598" t="s">
        <v>4995</v>
      </c>
      <c r="J13529" s="560">
        <f t="shared" si="443"/>
        <v>0</v>
      </c>
    </row>
    <row r="13530" spans="5:10" hidden="1" x14ac:dyDescent="0.25">
      <c r="F13530" s="284" t="s">
        <v>248</v>
      </c>
      <c r="G13530" s="287" t="s">
        <v>57</v>
      </c>
      <c r="J13530" s="560">
        <f t="shared" si="443"/>
        <v>0</v>
      </c>
    </row>
    <row r="13531" spans="5:10" hidden="1" x14ac:dyDescent="0.25">
      <c r="F13531" s="284" t="s">
        <v>249</v>
      </c>
      <c r="G13531" s="287" t="s">
        <v>250</v>
      </c>
      <c r="J13531" s="560">
        <f t="shared" si="443"/>
        <v>0</v>
      </c>
    </row>
    <row r="13532" spans="5:10" hidden="1" x14ac:dyDescent="0.25">
      <c r="F13532" s="284" t="s">
        <v>251</v>
      </c>
      <c r="G13532" s="287" t="s">
        <v>252</v>
      </c>
      <c r="J13532" s="560">
        <f t="shared" si="443"/>
        <v>0</v>
      </c>
    </row>
    <row r="13533" spans="5:10" ht="30" hidden="1" x14ac:dyDescent="0.25">
      <c r="F13533" s="284" t="s">
        <v>253</v>
      </c>
      <c r="G13533" s="287" t="s">
        <v>254</v>
      </c>
      <c r="J13533" s="560">
        <f t="shared" si="443"/>
        <v>0</v>
      </c>
    </row>
    <row r="13534" spans="5:10" hidden="1" x14ac:dyDescent="0.25">
      <c r="F13534" s="284" t="s">
        <v>255</v>
      </c>
      <c r="G13534" s="287" t="s">
        <v>256</v>
      </c>
      <c r="J13534" s="560">
        <f t="shared" si="443"/>
        <v>0</v>
      </c>
    </row>
    <row r="13535" spans="5:10" ht="30" hidden="1" x14ac:dyDescent="0.25">
      <c r="F13535" s="284" t="s">
        <v>257</v>
      </c>
      <c r="G13535" s="287" t="s">
        <v>258</v>
      </c>
      <c r="J13535" s="560">
        <f t="shared" si="443"/>
        <v>0</v>
      </c>
    </row>
    <row r="13536" spans="5:10" hidden="1" x14ac:dyDescent="0.25">
      <c r="F13536" s="284" t="s">
        <v>259</v>
      </c>
      <c r="G13536" s="287" t="s">
        <v>260</v>
      </c>
      <c r="J13536" s="560">
        <f t="shared" si="443"/>
        <v>0</v>
      </c>
    </row>
    <row r="13537" spans="5:10" hidden="1" x14ac:dyDescent="0.25">
      <c r="F13537" s="284" t="s">
        <v>261</v>
      </c>
      <c r="G13537" s="287" t="s">
        <v>262</v>
      </c>
      <c r="H13537" s="559"/>
      <c r="I13537" s="560"/>
      <c r="J13537" s="560">
        <f t="shared" si="443"/>
        <v>0</v>
      </c>
    </row>
    <row r="13538" spans="5:10" ht="15.75" hidden="1" thickBot="1" x14ac:dyDescent="0.3">
      <c r="G13538" s="268" t="s">
        <v>4925</v>
      </c>
      <c r="H13538" s="561">
        <f>SUM(H13522:H13537)</f>
        <v>0</v>
      </c>
      <c r="I13538" s="562">
        <f>SUM(I13523:I13537)</f>
        <v>0</v>
      </c>
      <c r="J13538" s="562">
        <f>SUM(J13522:J13537)</f>
        <v>0</v>
      </c>
    </row>
    <row r="13539" spans="5:10" hidden="1" x14ac:dyDescent="0.25"/>
    <row r="13540" spans="5:10" hidden="1" x14ac:dyDescent="0.25">
      <c r="E13540" s="489"/>
      <c r="F13540" s="465"/>
      <c r="G13540" s="285" t="s">
        <v>4270</v>
      </c>
      <c r="H13540" s="567"/>
      <c r="I13540" s="585"/>
      <c r="J13540" s="568"/>
    </row>
    <row r="13541" spans="5:10" hidden="1" x14ac:dyDescent="0.25">
      <c r="E13541" s="693"/>
      <c r="F13541" s="284" t="s">
        <v>234</v>
      </c>
      <c r="G13541" s="287" t="s">
        <v>235</v>
      </c>
      <c r="H13541" s="559">
        <f>SUM(H13522,H13423)</f>
        <v>0</v>
      </c>
      <c r="I13541" s="560"/>
      <c r="J13541" s="560">
        <f>SUM(H13541:I13541)</f>
        <v>0</v>
      </c>
    </row>
    <row r="13542" spans="5:10" hidden="1" x14ac:dyDescent="0.25">
      <c r="F13542" s="284" t="s">
        <v>236</v>
      </c>
      <c r="G13542" s="287" t="s">
        <v>237</v>
      </c>
      <c r="J13542" s="560">
        <f t="shared" ref="J13542:J13556" si="444">SUM(H13542:I13542)</f>
        <v>0</v>
      </c>
    </row>
    <row r="13543" spans="5:10" hidden="1" x14ac:dyDescent="0.25">
      <c r="F13543" s="284" t="s">
        <v>238</v>
      </c>
      <c r="G13543" s="287" t="s">
        <v>239</v>
      </c>
      <c r="J13543" s="560">
        <f t="shared" si="444"/>
        <v>0</v>
      </c>
    </row>
    <row r="13544" spans="5:10" hidden="1" x14ac:dyDescent="0.25">
      <c r="F13544" s="284" t="s">
        <v>240</v>
      </c>
      <c r="G13544" s="287" t="s">
        <v>241</v>
      </c>
      <c r="J13544" s="560">
        <f t="shared" si="444"/>
        <v>0</v>
      </c>
    </row>
    <row r="13545" spans="5:10" hidden="1" x14ac:dyDescent="0.25">
      <c r="F13545" s="284" t="s">
        <v>242</v>
      </c>
      <c r="G13545" s="287" t="s">
        <v>243</v>
      </c>
      <c r="J13545" s="560">
        <f t="shared" si="444"/>
        <v>0</v>
      </c>
    </row>
    <row r="13546" spans="5:10" hidden="1" x14ac:dyDescent="0.25">
      <c r="F13546" s="284" t="s">
        <v>244</v>
      </c>
      <c r="G13546" s="287" t="s">
        <v>245</v>
      </c>
      <c r="J13546" s="560">
        <f t="shared" si="444"/>
        <v>0</v>
      </c>
    </row>
    <row r="13547" spans="5:10" hidden="1" x14ac:dyDescent="0.25">
      <c r="F13547" s="284" t="s">
        <v>246</v>
      </c>
      <c r="G13547" s="598" t="s">
        <v>4996</v>
      </c>
      <c r="J13547" s="560">
        <f t="shared" si="444"/>
        <v>0</v>
      </c>
    </row>
    <row r="13548" spans="5:10" hidden="1" x14ac:dyDescent="0.25">
      <c r="F13548" s="284" t="s">
        <v>247</v>
      </c>
      <c r="G13548" s="598" t="s">
        <v>4995</v>
      </c>
      <c r="J13548" s="560">
        <f t="shared" si="444"/>
        <v>0</v>
      </c>
    </row>
    <row r="13549" spans="5:10" hidden="1" x14ac:dyDescent="0.25">
      <c r="F13549" s="284" t="s">
        <v>248</v>
      </c>
      <c r="G13549" s="287" t="s">
        <v>57</v>
      </c>
      <c r="J13549" s="560">
        <f t="shared" si="444"/>
        <v>0</v>
      </c>
    </row>
    <row r="13550" spans="5:10" hidden="1" x14ac:dyDescent="0.25">
      <c r="F13550" s="284" t="s">
        <v>249</v>
      </c>
      <c r="G13550" s="287" t="s">
        <v>250</v>
      </c>
      <c r="J13550" s="560">
        <f t="shared" si="444"/>
        <v>0</v>
      </c>
    </row>
    <row r="13551" spans="5:10" hidden="1" x14ac:dyDescent="0.25">
      <c r="F13551" s="284" t="s">
        <v>251</v>
      </c>
      <c r="G13551" s="287" t="s">
        <v>252</v>
      </c>
      <c r="J13551" s="560">
        <f t="shared" si="444"/>
        <v>0</v>
      </c>
    </row>
    <row r="13552" spans="5:10" ht="30" hidden="1" x14ac:dyDescent="0.25">
      <c r="F13552" s="284" t="s">
        <v>253</v>
      </c>
      <c r="G13552" s="287" t="s">
        <v>254</v>
      </c>
      <c r="J13552" s="560">
        <f t="shared" si="444"/>
        <v>0</v>
      </c>
    </row>
    <row r="13553" spans="5:10" hidden="1" x14ac:dyDescent="0.25">
      <c r="F13553" s="284" t="s">
        <v>255</v>
      </c>
      <c r="G13553" s="287" t="s">
        <v>256</v>
      </c>
      <c r="J13553" s="560">
        <f t="shared" si="444"/>
        <v>0</v>
      </c>
    </row>
    <row r="13554" spans="5:10" ht="30" hidden="1" x14ac:dyDescent="0.25">
      <c r="F13554" s="284" t="s">
        <v>257</v>
      </c>
      <c r="G13554" s="287" t="s">
        <v>258</v>
      </c>
      <c r="J13554" s="560">
        <f t="shared" si="444"/>
        <v>0</v>
      </c>
    </row>
    <row r="13555" spans="5:10" hidden="1" x14ac:dyDescent="0.25">
      <c r="F13555" s="284" t="s">
        <v>259</v>
      </c>
      <c r="G13555" s="287" t="s">
        <v>260</v>
      </c>
      <c r="J13555" s="560">
        <f t="shared" si="444"/>
        <v>0</v>
      </c>
    </row>
    <row r="13556" spans="5:10" hidden="1" x14ac:dyDescent="0.25">
      <c r="F13556" s="284" t="s">
        <v>261</v>
      </c>
      <c r="G13556" s="287" t="s">
        <v>262</v>
      </c>
      <c r="H13556" s="559"/>
      <c r="I13556" s="560"/>
      <c r="J13556" s="560">
        <f t="shared" si="444"/>
        <v>0</v>
      </c>
    </row>
    <row r="13557" spans="5:10" ht="15.75" hidden="1" thickBot="1" x14ac:dyDescent="0.3">
      <c r="G13557" s="268" t="s">
        <v>4271</v>
      </c>
      <c r="H13557" s="561">
        <f>SUM(H13541:H13556)</f>
        <v>0</v>
      </c>
      <c r="I13557" s="562">
        <f>SUM(I13542:I13556)</f>
        <v>0</v>
      </c>
      <c r="J13557" s="562">
        <f>SUM(J13541:J13556)</f>
        <v>0</v>
      </c>
    </row>
    <row r="13558" spans="5:10" hidden="1" x14ac:dyDescent="0.25"/>
    <row r="13559" spans="5:10" hidden="1" x14ac:dyDescent="0.25">
      <c r="E13559" s="489"/>
      <c r="F13559" s="465"/>
      <c r="G13559" s="285" t="s">
        <v>4964</v>
      </c>
      <c r="H13559" s="567"/>
      <c r="I13559" s="585"/>
      <c r="J13559" s="568"/>
    </row>
    <row r="13560" spans="5:10" hidden="1" x14ac:dyDescent="0.25">
      <c r="E13560" s="693"/>
      <c r="F13560" s="284" t="s">
        <v>234</v>
      </c>
      <c r="G13560" s="287" t="s">
        <v>235</v>
      </c>
      <c r="H13560" s="559">
        <f>SUM(H13541)</f>
        <v>0</v>
      </c>
      <c r="I13560" s="560"/>
      <c r="J13560" s="560">
        <f>SUM(H13560:I13560)</f>
        <v>0</v>
      </c>
    </row>
    <row r="13561" spans="5:10" hidden="1" x14ac:dyDescent="0.25">
      <c r="F13561" s="284" t="s">
        <v>236</v>
      </c>
      <c r="G13561" s="287" t="s">
        <v>237</v>
      </c>
      <c r="J13561" s="560">
        <f t="shared" ref="J13561:J13575" si="445">SUM(H13561:I13561)</f>
        <v>0</v>
      </c>
    </row>
    <row r="13562" spans="5:10" hidden="1" x14ac:dyDescent="0.25">
      <c r="F13562" s="284" t="s">
        <v>238</v>
      </c>
      <c r="G13562" s="287" t="s">
        <v>239</v>
      </c>
      <c r="J13562" s="560">
        <f t="shared" si="445"/>
        <v>0</v>
      </c>
    </row>
    <row r="13563" spans="5:10" hidden="1" x14ac:dyDescent="0.25">
      <c r="F13563" s="284" t="s">
        <v>240</v>
      </c>
      <c r="G13563" s="287" t="s">
        <v>241</v>
      </c>
      <c r="J13563" s="560">
        <f t="shared" si="445"/>
        <v>0</v>
      </c>
    </row>
    <row r="13564" spans="5:10" hidden="1" x14ac:dyDescent="0.25">
      <c r="F13564" s="284" t="s">
        <v>242</v>
      </c>
      <c r="G13564" s="287" t="s">
        <v>243</v>
      </c>
      <c r="J13564" s="560">
        <f t="shared" si="445"/>
        <v>0</v>
      </c>
    </row>
    <row r="13565" spans="5:10" hidden="1" x14ac:dyDescent="0.25">
      <c r="F13565" s="284" t="s">
        <v>244</v>
      </c>
      <c r="G13565" s="287" t="s">
        <v>245</v>
      </c>
      <c r="J13565" s="560">
        <f t="shared" si="445"/>
        <v>0</v>
      </c>
    </row>
    <row r="13566" spans="5:10" hidden="1" x14ac:dyDescent="0.25">
      <c r="F13566" s="284" t="s">
        <v>246</v>
      </c>
      <c r="G13566" s="598" t="s">
        <v>4996</v>
      </c>
      <c r="J13566" s="560">
        <f t="shared" si="445"/>
        <v>0</v>
      </c>
    </row>
    <row r="13567" spans="5:10" hidden="1" x14ac:dyDescent="0.25">
      <c r="F13567" s="284" t="s">
        <v>247</v>
      </c>
      <c r="G13567" s="598" t="s">
        <v>4995</v>
      </c>
      <c r="J13567" s="560">
        <f t="shared" si="445"/>
        <v>0</v>
      </c>
    </row>
    <row r="13568" spans="5:10" hidden="1" x14ac:dyDescent="0.25">
      <c r="F13568" s="284" t="s">
        <v>248</v>
      </c>
      <c r="G13568" s="287" t="s">
        <v>57</v>
      </c>
      <c r="J13568" s="560">
        <f t="shared" si="445"/>
        <v>0</v>
      </c>
    </row>
    <row r="13569" spans="6:10" hidden="1" x14ac:dyDescent="0.25">
      <c r="F13569" s="284" t="s">
        <v>249</v>
      </c>
      <c r="G13569" s="287" t="s">
        <v>250</v>
      </c>
      <c r="J13569" s="560">
        <f t="shared" si="445"/>
        <v>0</v>
      </c>
    </row>
    <row r="13570" spans="6:10" hidden="1" x14ac:dyDescent="0.25">
      <c r="F13570" s="284" t="s">
        <v>251</v>
      </c>
      <c r="G13570" s="287" t="s">
        <v>252</v>
      </c>
      <c r="J13570" s="560">
        <f t="shared" si="445"/>
        <v>0</v>
      </c>
    </row>
    <row r="13571" spans="6:10" ht="30" hidden="1" x14ac:dyDescent="0.25">
      <c r="F13571" s="284" t="s">
        <v>253</v>
      </c>
      <c r="G13571" s="287" t="s">
        <v>254</v>
      </c>
      <c r="J13571" s="560">
        <f t="shared" si="445"/>
        <v>0</v>
      </c>
    </row>
    <row r="13572" spans="6:10" hidden="1" x14ac:dyDescent="0.25">
      <c r="F13572" s="284" t="s">
        <v>255</v>
      </c>
      <c r="G13572" s="287" t="s">
        <v>256</v>
      </c>
      <c r="J13572" s="560">
        <f t="shared" si="445"/>
        <v>0</v>
      </c>
    </row>
    <row r="13573" spans="6:10" ht="30" hidden="1" x14ac:dyDescent="0.25">
      <c r="F13573" s="284" t="s">
        <v>257</v>
      </c>
      <c r="G13573" s="287" t="s">
        <v>258</v>
      </c>
      <c r="J13573" s="560">
        <f t="shared" si="445"/>
        <v>0</v>
      </c>
    </row>
    <row r="13574" spans="6:10" hidden="1" x14ac:dyDescent="0.25">
      <c r="F13574" s="284" t="s">
        <v>259</v>
      </c>
      <c r="G13574" s="287" t="s">
        <v>260</v>
      </c>
      <c r="J13574" s="560">
        <f t="shared" si="445"/>
        <v>0</v>
      </c>
    </row>
    <row r="13575" spans="6:10" hidden="1" x14ac:dyDescent="0.25">
      <c r="F13575" s="284" t="s">
        <v>261</v>
      </c>
      <c r="G13575" s="287" t="s">
        <v>262</v>
      </c>
      <c r="H13575" s="559"/>
      <c r="I13575" s="560"/>
      <c r="J13575" s="560">
        <f t="shared" si="445"/>
        <v>0</v>
      </c>
    </row>
    <row r="13576" spans="6:10" ht="15.75" hidden="1" thickBot="1" x14ac:dyDescent="0.3">
      <c r="G13576" s="268" t="s">
        <v>4965</v>
      </c>
      <c r="H13576" s="561">
        <f>SUM(H13560:H13575)</f>
        <v>0</v>
      </c>
      <c r="I13576" s="562">
        <f>SUM(I13561:I13575)</f>
        <v>0</v>
      </c>
      <c r="J13576" s="562">
        <f>SUM(J13560:J13575)</f>
        <v>0</v>
      </c>
    </row>
    <row r="13577" spans="6:10" hidden="1" x14ac:dyDescent="0.25"/>
    <row r="13578" spans="6:10" hidden="1" x14ac:dyDescent="0.25"/>
    <row r="13579" spans="6:10" hidden="1" x14ac:dyDescent="0.25">
      <c r="F13579" s="499">
        <v>444</v>
      </c>
      <c r="G13579" s="492" t="s">
        <v>3800</v>
      </c>
      <c r="J13579" s="556">
        <f t="shared" ref="J13579:J13616" si="446">SUM(H13579:I13579)</f>
        <v>0</v>
      </c>
    </row>
    <row r="13580" spans="6:10" ht="30" hidden="1" x14ac:dyDescent="0.25">
      <c r="F13580" s="499">
        <v>4511</v>
      </c>
      <c r="G13580" s="263" t="s">
        <v>1690</v>
      </c>
      <c r="J13580" s="556">
        <f t="shared" si="446"/>
        <v>0</v>
      </c>
    </row>
    <row r="13581" spans="6:10" ht="30" hidden="1" x14ac:dyDescent="0.25">
      <c r="F13581" s="499">
        <v>4512</v>
      </c>
      <c r="G13581" s="263" t="s">
        <v>1699</v>
      </c>
      <c r="J13581" s="556">
        <f t="shared" si="446"/>
        <v>0</v>
      </c>
    </row>
    <row r="13582" spans="6:10" hidden="1" x14ac:dyDescent="0.25">
      <c r="F13582" s="499">
        <v>452</v>
      </c>
      <c r="G13582" s="492" t="s">
        <v>4151</v>
      </c>
      <c r="J13582" s="556">
        <f t="shared" si="446"/>
        <v>0</v>
      </c>
    </row>
    <row r="13583" spans="6:10" hidden="1" x14ac:dyDescent="0.25">
      <c r="F13583" s="499">
        <v>453</v>
      </c>
      <c r="G13583" s="492" t="s">
        <v>4152</v>
      </c>
      <c r="J13583" s="556">
        <f t="shared" si="446"/>
        <v>0</v>
      </c>
    </row>
    <row r="13584" spans="6:10" hidden="1" x14ac:dyDescent="0.25">
      <c r="F13584" s="499">
        <v>454</v>
      </c>
      <c r="G13584" s="492" t="s">
        <v>3805</v>
      </c>
      <c r="J13584" s="556">
        <f t="shared" si="446"/>
        <v>0</v>
      </c>
    </row>
    <row r="13585" spans="6:10" hidden="1" x14ac:dyDescent="0.25">
      <c r="F13585" s="499">
        <v>461</v>
      </c>
      <c r="G13585" s="492" t="s">
        <v>4133</v>
      </c>
      <c r="J13585" s="556">
        <f t="shared" si="446"/>
        <v>0</v>
      </c>
    </row>
    <row r="13586" spans="6:10" hidden="1" x14ac:dyDescent="0.25">
      <c r="F13586" s="499">
        <v>462</v>
      </c>
      <c r="G13586" s="492" t="s">
        <v>3808</v>
      </c>
      <c r="J13586" s="556">
        <f t="shared" si="446"/>
        <v>0</v>
      </c>
    </row>
    <row r="13587" spans="6:10" hidden="1" x14ac:dyDescent="0.25">
      <c r="F13587" s="499">
        <v>4631</v>
      </c>
      <c r="G13587" s="492" t="s">
        <v>3809</v>
      </c>
      <c r="J13587" s="556">
        <f t="shared" si="446"/>
        <v>0</v>
      </c>
    </row>
    <row r="13588" spans="6:10" hidden="1" x14ac:dyDescent="0.25">
      <c r="F13588" s="499">
        <v>4632</v>
      </c>
      <c r="G13588" s="492" t="s">
        <v>3810</v>
      </c>
      <c r="J13588" s="556">
        <f t="shared" si="446"/>
        <v>0</v>
      </c>
    </row>
    <row r="13589" spans="6:10" hidden="1" x14ac:dyDescent="0.25">
      <c r="F13589" s="499">
        <v>464</v>
      </c>
      <c r="G13589" s="492" t="s">
        <v>3811</v>
      </c>
      <c r="J13589" s="556">
        <f t="shared" si="446"/>
        <v>0</v>
      </c>
    </row>
    <row r="13590" spans="6:10" hidden="1" x14ac:dyDescent="0.25">
      <c r="F13590" s="499">
        <v>465</v>
      </c>
      <c r="G13590" s="492" t="s">
        <v>4134</v>
      </c>
      <c r="J13590" s="556">
        <f t="shared" si="446"/>
        <v>0</v>
      </c>
    </row>
    <row r="13591" spans="6:10" hidden="1" x14ac:dyDescent="0.25">
      <c r="F13591" s="499">
        <v>472</v>
      </c>
      <c r="G13591" s="492" t="s">
        <v>3815</v>
      </c>
      <c r="J13591" s="556">
        <f t="shared" si="446"/>
        <v>0</v>
      </c>
    </row>
    <row r="13592" spans="6:10" hidden="1" x14ac:dyDescent="0.25">
      <c r="F13592" s="499">
        <v>481</v>
      </c>
      <c r="G13592" s="492" t="s">
        <v>4153</v>
      </c>
      <c r="J13592" s="556">
        <f t="shared" si="446"/>
        <v>0</v>
      </c>
    </row>
    <row r="13593" spans="6:10" hidden="1" x14ac:dyDescent="0.25">
      <c r="F13593" s="499">
        <v>482</v>
      </c>
      <c r="G13593" s="492" t="s">
        <v>4154</v>
      </c>
      <c r="J13593" s="556">
        <f t="shared" si="446"/>
        <v>0</v>
      </c>
    </row>
    <row r="13594" spans="6:10" hidden="1" x14ac:dyDescent="0.25">
      <c r="F13594" s="499">
        <v>483</v>
      </c>
      <c r="G13594" s="496" t="s">
        <v>4155</v>
      </c>
      <c r="J13594" s="556">
        <f t="shared" si="446"/>
        <v>0</v>
      </c>
    </row>
    <row r="13595" spans="6:10" ht="30" hidden="1" x14ac:dyDescent="0.25">
      <c r="F13595" s="499">
        <v>484</v>
      </c>
      <c r="G13595" s="492" t="s">
        <v>4156</v>
      </c>
      <c r="J13595" s="556">
        <f t="shared" si="446"/>
        <v>0</v>
      </c>
    </row>
    <row r="13596" spans="6:10" ht="30" hidden="1" x14ac:dyDescent="0.25">
      <c r="F13596" s="499">
        <v>485</v>
      </c>
      <c r="G13596" s="492" t="s">
        <v>4157</v>
      </c>
      <c r="J13596" s="556">
        <f t="shared" si="446"/>
        <v>0</v>
      </c>
    </row>
    <row r="13597" spans="6:10" ht="30" hidden="1" x14ac:dyDescent="0.25">
      <c r="F13597" s="499">
        <v>489</v>
      </c>
      <c r="G13597" s="492" t="s">
        <v>3823</v>
      </c>
      <c r="J13597" s="556">
        <f t="shared" si="446"/>
        <v>0</v>
      </c>
    </row>
    <row r="13598" spans="6:10" hidden="1" x14ac:dyDescent="0.25">
      <c r="F13598" s="499">
        <v>494</v>
      </c>
      <c r="G13598" s="492" t="s">
        <v>4135</v>
      </c>
      <c r="J13598" s="556">
        <f t="shared" si="446"/>
        <v>0</v>
      </c>
    </row>
    <row r="13599" spans="6:10" ht="30" hidden="1" x14ac:dyDescent="0.25">
      <c r="F13599" s="499">
        <v>495</v>
      </c>
      <c r="G13599" s="492" t="s">
        <v>4136</v>
      </c>
      <c r="J13599" s="556">
        <f t="shared" si="446"/>
        <v>0</v>
      </c>
    </row>
    <row r="13600" spans="6:10" ht="30" hidden="1" x14ac:dyDescent="0.25">
      <c r="F13600" s="499">
        <v>496</v>
      </c>
      <c r="G13600" s="492" t="s">
        <v>4137</v>
      </c>
      <c r="J13600" s="556">
        <f t="shared" si="446"/>
        <v>0</v>
      </c>
    </row>
    <row r="13601" spans="6:10" ht="30" hidden="1" x14ac:dyDescent="0.25">
      <c r="F13601" s="499">
        <v>499</v>
      </c>
      <c r="G13601" s="492" t="s">
        <v>4138</v>
      </c>
      <c r="J13601" s="556">
        <f t="shared" si="446"/>
        <v>0</v>
      </c>
    </row>
    <row r="13602" spans="6:10" hidden="1" x14ac:dyDescent="0.25">
      <c r="F13602" s="499">
        <v>511</v>
      </c>
      <c r="G13602" s="496" t="s">
        <v>4158</v>
      </c>
      <c r="J13602" s="556">
        <f t="shared" si="446"/>
        <v>0</v>
      </c>
    </row>
    <row r="13603" spans="6:10" hidden="1" x14ac:dyDescent="0.25">
      <c r="F13603" s="499">
        <v>512</v>
      </c>
      <c r="G13603" s="496" t="s">
        <v>4159</v>
      </c>
      <c r="J13603" s="556">
        <f t="shared" si="446"/>
        <v>0</v>
      </c>
    </row>
    <row r="13604" spans="6:10" hidden="1" x14ac:dyDescent="0.25">
      <c r="F13604" s="499">
        <v>513</v>
      </c>
      <c r="G13604" s="496" t="s">
        <v>4160</v>
      </c>
      <c r="J13604" s="556">
        <f t="shared" si="446"/>
        <v>0</v>
      </c>
    </row>
    <row r="13605" spans="6:10" hidden="1" x14ac:dyDescent="0.25">
      <c r="F13605" s="499">
        <v>514</v>
      </c>
      <c r="G13605" s="492" t="s">
        <v>4161</v>
      </c>
      <c r="J13605" s="556">
        <f t="shared" si="446"/>
        <v>0</v>
      </c>
    </row>
    <row r="13606" spans="6:10" hidden="1" x14ac:dyDescent="0.25">
      <c r="F13606" s="499">
        <v>515</v>
      </c>
      <c r="G13606" s="492" t="s">
        <v>3834</v>
      </c>
      <c r="J13606" s="556">
        <f t="shared" si="446"/>
        <v>0</v>
      </c>
    </row>
    <row r="13607" spans="6:10" hidden="1" x14ac:dyDescent="0.25">
      <c r="F13607" s="499">
        <v>521</v>
      </c>
      <c r="G13607" s="492" t="s">
        <v>4162</v>
      </c>
      <c r="J13607" s="556">
        <f t="shared" si="446"/>
        <v>0</v>
      </c>
    </row>
    <row r="13608" spans="6:10" hidden="1" x14ac:dyDescent="0.25">
      <c r="F13608" s="499">
        <v>522</v>
      </c>
      <c r="G13608" s="492" t="s">
        <v>4163</v>
      </c>
      <c r="J13608" s="556">
        <f t="shared" si="446"/>
        <v>0</v>
      </c>
    </row>
    <row r="13609" spans="6:10" hidden="1" x14ac:dyDescent="0.25">
      <c r="F13609" s="499">
        <v>523</v>
      </c>
      <c r="G13609" s="492" t="s">
        <v>3839</v>
      </c>
      <c r="J13609" s="556">
        <f t="shared" si="446"/>
        <v>0</v>
      </c>
    </row>
    <row r="13610" spans="6:10" hidden="1" x14ac:dyDescent="0.25">
      <c r="F13610" s="499">
        <v>531</v>
      </c>
      <c r="G13610" s="488" t="s">
        <v>4139</v>
      </c>
      <c r="J13610" s="556">
        <f t="shared" si="446"/>
        <v>0</v>
      </c>
    </row>
    <row r="13611" spans="6:10" hidden="1" x14ac:dyDescent="0.25">
      <c r="F13611" s="499">
        <v>541</v>
      </c>
      <c r="G13611" s="492" t="s">
        <v>4164</v>
      </c>
      <c r="J13611" s="556">
        <f t="shared" si="446"/>
        <v>0</v>
      </c>
    </row>
    <row r="13612" spans="6:10" hidden="1" x14ac:dyDescent="0.25">
      <c r="F13612" s="499">
        <v>542</v>
      </c>
      <c r="G13612" s="492" t="s">
        <v>4165</v>
      </c>
      <c r="J13612" s="556">
        <f t="shared" si="446"/>
        <v>0</v>
      </c>
    </row>
    <row r="13613" spans="6:10" hidden="1" x14ac:dyDescent="0.25">
      <c r="F13613" s="499">
        <v>543</v>
      </c>
      <c r="G13613" s="492" t="s">
        <v>3844</v>
      </c>
      <c r="J13613" s="556">
        <f t="shared" si="446"/>
        <v>0</v>
      </c>
    </row>
    <row r="13614" spans="6:10" ht="30" hidden="1" x14ac:dyDescent="0.25">
      <c r="F13614" s="499">
        <v>551</v>
      </c>
      <c r="G13614" s="492" t="s">
        <v>4140</v>
      </c>
      <c r="J13614" s="556">
        <f t="shared" si="446"/>
        <v>0</v>
      </c>
    </row>
    <row r="13615" spans="6:10" hidden="1" x14ac:dyDescent="0.25">
      <c r="F13615" s="500">
        <v>611</v>
      </c>
      <c r="G13615" s="498" t="s">
        <v>3850</v>
      </c>
      <c r="J13615" s="556">
        <f t="shared" si="446"/>
        <v>0</v>
      </c>
    </row>
    <row r="13616" spans="6:10" hidden="1" x14ac:dyDescent="0.25">
      <c r="F13616" s="500">
        <v>620</v>
      </c>
      <c r="G13616" s="498" t="s">
        <v>88</v>
      </c>
      <c r="J13616" s="556">
        <f t="shared" si="446"/>
        <v>0</v>
      </c>
    </row>
    <row r="13617" spans="5:10" hidden="1" x14ac:dyDescent="0.25">
      <c r="E13617" s="489"/>
      <c r="F13617" s="500"/>
      <c r="G13617" s="342" t="s">
        <v>4367</v>
      </c>
      <c r="H13617" s="557"/>
      <c r="I13617" s="583"/>
      <c r="J13617" s="558"/>
    </row>
    <row r="13618" spans="5:10" hidden="1" x14ac:dyDescent="0.25">
      <c r="E13618" s="693"/>
      <c r="F13618" s="284" t="s">
        <v>234</v>
      </c>
      <c r="G13618" s="287" t="s">
        <v>235</v>
      </c>
      <c r="H13618" s="559">
        <f>SUM(H13579:H13616)</f>
        <v>0</v>
      </c>
      <c r="I13618" s="560"/>
      <c r="J13618" s="560">
        <f>SUM(H13618:I13618)</f>
        <v>0</v>
      </c>
    </row>
    <row r="13619" spans="5:10" hidden="1" x14ac:dyDescent="0.25">
      <c r="F13619" s="284" t="s">
        <v>236</v>
      </c>
      <c r="G13619" s="287" t="s">
        <v>237</v>
      </c>
      <c r="J13619" s="560">
        <f t="shared" ref="J13619:J13633" si="447">SUM(H13619:I13619)</f>
        <v>0</v>
      </c>
    </row>
    <row r="13620" spans="5:10" hidden="1" x14ac:dyDescent="0.25">
      <c r="F13620" s="284" t="s">
        <v>238</v>
      </c>
      <c r="G13620" s="287" t="s">
        <v>239</v>
      </c>
      <c r="J13620" s="560">
        <f t="shared" si="447"/>
        <v>0</v>
      </c>
    </row>
    <row r="13621" spans="5:10" hidden="1" x14ac:dyDescent="0.25">
      <c r="F13621" s="284" t="s">
        <v>240</v>
      </c>
      <c r="G13621" s="287" t="s">
        <v>241</v>
      </c>
      <c r="J13621" s="560">
        <f t="shared" si="447"/>
        <v>0</v>
      </c>
    </row>
    <row r="13622" spans="5:10" hidden="1" x14ac:dyDescent="0.25">
      <c r="F13622" s="284" t="s">
        <v>242</v>
      </c>
      <c r="G13622" s="287" t="s">
        <v>243</v>
      </c>
      <c r="J13622" s="560">
        <f t="shared" si="447"/>
        <v>0</v>
      </c>
    </row>
    <row r="13623" spans="5:10" hidden="1" x14ac:dyDescent="0.25">
      <c r="F13623" s="284" t="s">
        <v>244</v>
      </c>
      <c r="G13623" s="287" t="s">
        <v>245</v>
      </c>
      <c r="J13623" s="560">
        <f t="shared" si="447"/>
        <v>0</v>
      </c>
    </row>
    <row r="13624" spans="5:10" hidden="1" x14ac:dyDescent="0.25">
      <c r="F13624" s="284" t="s">
        <v>246</v>
      </c>
      <c r="G13624" s="598" t="s">
        <v>4996</v>
      </c>
      <c r="J13624" s="560">
        <f t="shared" si="447"/>
        <v>0</v>
      </c>
    </row>
    <row r="13625" spans="5:10" hidden="1" x14ac:dyDescent="0.25">
      <c r="F13625" s="284" t="s">
        <v>247</v>
      </c>
      <c r="G13625" s="598" t="s">
        <v>4995</v>
      </c>
      <c r="J13625" s="560">
        <f t="shared" si="447"/>
        <v>0</v>
      </c>
    </row>
    <row r="13626" spans="5:10" hidden="1" x14ac:dyDescent="0.25">
      <c r="F13626" s="284" t="s">
        <v>248</v>
      </c>
      <c r="G13626" s="287" t="s">
        <v>57</v>
      </c>
      <c r="J13626" s="560">
        <f t="shared" si="447"/>
        <v>0</v>
      </c>
    </row>
    <row r="13627" spans="5:10" hidden="1" x14ac:dyDescent="0.25">
      <c r="F13627" s="284" t="s">
        <v>249</v>
      </c>
      <c r="G13627" s="287" t="s">
        <v>250</v>
      </c>
      <c r="J13627" s="560">
        <f t="shared" si="447"/>
        <v>0</v>
      </c>
    </row>
    <row r="13628" spans="5:10" hidden="1" x14ac:dyDescent="0.25">
      <c r="F13628" s="284" t="s">
        <v>251</v>
      </c>
      <c r="G13628" s="287" t="s">
        <v>252</v>
      </c>
      <c r="J13628" s="560">
        <f t="shared" si="447"/>
        <v>0</v>
      </c>
    </row>
    <row r="13629" spans="5:10" ht="30" hidden="1" x14ac:dyDescent="0.25">
      <c r="F13629" s="284" t="s">
        <v>253</v>
      </c>
      <c r="G13629" s="287" t="s">
        <v>254</v>
      </c>
      <c r="J13629" s="560">
        <f t="shared" si="447"/>
        <v>0</v>
      </c>
    </row>
    <row r="13630" spans="5:10" hidden="1" x14ac:dyDescent="0.25">
      <c r="F13630" s="284" t="s">
        <v>255</v>
      </c>
      <c r="G13630" s="287" t="s">
        <v>256</v>
      </c>
      <c r="J13630" s="560">
        <f t="shared" si="447"/>
        <v>0</v>
      </c>
    </row>
    <row r="13631" spans="5:10" ht="30" hidden="1" x14ac:dyDescent="0.25">
      <c r="F13631" s="284" t="s">
        <v>257</v>
      </c>
      <c r="G13631" s="287" t="s">
        <v>258</v>
      </c>
      <c r="J13631" s="560">
        <f t="shared" si="447"/>
        <v>0</v>
      </c>
    </row>
    <row r="13632" spans="5:10" hidden="1" x14ac:dyDescent="0.25">
      <c r="F13632" s="284" t="s">
        <v>259</v>
      </c>
      <c r="G13632" s="287" t="s">
        <v>260</v>
      </c>
      <c r="J13632" s="560">
        <f t="shared" si="447"/>
        <v>0</v>
      </c>
    </row>
    <row r="13633" spans="5:10" hidden="1" x14ac:dyDescent="0.25">
      <c r="F13633" s="284" t="s">
        <v>261</v>
      </c>
      <c r="G13633" s="287" t="s">
        <v>262</v>
      </c>
      <c r="H13633" s="559"/>
      <c r="I13633" s="560"/>
      <c r="J13633" s="560">
        <f t="shared" si="447"/>
        <v>0</v>
      </c>
    </row>
    <row r="13634" spans="5:10" ht="15.75" hidden="1" thickBot="1" x14ac:dyDescent="0.3">
      <c r="G13634" s="268" t="s">
        <v>4368</v>
      </c>
      <c r="H13634" s="561">
        <f>SUM(H13618:H13633)</f>
        <v>0</v>
      </c>
      <c r="I13634" s="562">
        <f>SUM(I13619:I13633)</f>
        <v>0</v>
      </c>
      <c r="J13634" s="562">
        <f>SUM(J13618:J13633)</f>
        <v>0</v>
      </c>
    </row>
    <row r="13635" spans="5:10" hidden="1" collapsed="1" x14ac:dyDescent="0.25">
      <c r="E13635" s="489"/>
      <c r="F13635" s="500"/>
      <c r="G13635" s="270" t="s">
        <v>4939</v>
      </c>
      <c r="H13635" s="563"/>
      <c r="I13635" s="584"/>
      <c r="J13635" s="564"/>
    </row>
    <row r="13636" spans="5:10" hidden="1" x14ac:dyDescent="0.25">
      <c r="E13636" s="693"/>
      <c r="F13636" s="284" t="s">
        <v>234</v>
      </c>
      <c r="G13636" s="287" t="s">
        <v>235</v>
      </c>
      <c r="H13636" s="559">
        <f>SUM(H13579:H13616)</f>
        <v>0</v>
      </c>
      <c r="I13636" s="560"/>
      <c r="J13636" s="560">
        <f>SUM(H13636:I13636)</f>
        <v>0</v>
      </c>
    </row>
    <row r="13637" spans="5:10" hidden="1" x14ac:dyDescent="0.25">
      <c r="F13637" s="284" t="s">
        <v>236</v>
      </c>
      <c r="G13637" s="287" t="s">
        <v>237</v>
      </c>
      <c r="J13637" s="560">
        <f t="shared" ref="J13637:J13651" si="448">SUM(H13637:I13637)</f>
        <v>0</v>
      </c>
    </row>
    <row r="13638" spans="5:10" hidden="1" x14ac:dyDescent="0.25">
      <c r="F13638" s="284" t="s">
        <v>238</v>
      </c>
      <c r="G13638" s="287" t="s">
        <v>239</v>
      </c>
      <c r="J13638" s="560">
        <f t="shared" si="448"/>
        <v>0</v>
      </c>
    </row>
    <row r="13639" spans="5:10" hidden="1" x14ac:dyDescent="0.25">
      <c r="F13639" s="284" t="s">
        <v>240</v>
      </c>
      <c r="G13639" s="287" t="s">
        <v>241</v>
      </c>
      <c r="J13639" s="560">
        <f t="shared" si="448"/>
        <v>0</v>
      </c>
    </row>
    <row r="13640" spans="5:10" hidden="1" x14ac:dyDescent="0.25">
      <c r="F13640" s="284" t="s">
        <v>242</v>
      </c>
      <c r="G13640" s="287" t="s">
        <v>243</v>
      </c>
      <c r="J13640" s="560">
        <f t="shared" si="448"/>
        <v>0</v>
      </c>
    </row>
    <row r="13641" spans="5:10" hidden="1" x14ac:dyDescent="0.25">
      <c r="F13641" s="284" t="s">
        <v>244</v>
      </c>
      <c r="G13641" s="287" t="s">
        <v>245</v>
      </c>
      <c r="J13641" s="560">
        <f t="shared" si="448"/>
        <v>0</v>
      </c>
    </row>
    <row r="13642" spans="5:10" hidden="1" x14ac:dyDescent="0.25">
      <c r="F13642" s="284" t="s">
        <v>246</v>
      </c>
      <c r="G13642" s="598" t="s">
        <v>4996</v>
      </c>
      <c r="J13642" s="560">
        <f t="shared" si="448"/>
        <v>0</v>
      </c>
    </row>
    <row r="13643" spans="5:10" hidden="1" x14ac:dyDescent="0.25">
      <c r="F13643" s="284" t="s">
        <v>247</v>
      </c>
      <c r="G13643" s="598" t="s">
        <v>4995</v>
      </c>
      <c r="J13643" s="560">
        <f t="shared" si="448"/>
        <v>0</v>
      </c>
    </row>
    <row r="13644" spans="5:10" hidden="1" x14ac:dyDescent="0.25">
      <c r="F13644" s="284" t="s">
        <v>248</v>
      </c>
      <c r="G13644" s="287" t="s">
        <v>57</v>
      </c>
      <c r="J13644" s="560">
        <f t="shared" si="448"/>
        <v>0</v>
      </c>
    </row>
    <row r="13645" spans="5:10" hidden="1" x14ac:dyDescent="0.25">
      <c r="F13645" s="284" t="s">
        <v>249</v>
      </c>
      <c r="G13645" s="287" t="s">
        <v>250</v>
      </c>
      <c r="J13645" s="560">
        <f t="shared" si="448"/>
        <v>0</v>
      </c>
    </row>
    <row r="13646" spans="5:10" hidden="1" x14ac:dyDescent="0.25">
      <c r="F13646" s="284" t="s">
        <v>251</v>
      </c>
      <c r="G13646" s="287" t="s">
        <v>252</v>
      </c>
      <c r="J13646" s="560">
        <f t="shared" si="448"/>
        <v>0</v>
      </c>
    </row>
    <row r="13647" spans="5:10" ht="30" hidden="1" x14ac:dyDescent="0.25">
      <c r="F13647" s="284" t="s">
        <v>253</v>
      </c>
      <c r="G13647" s="287" t="s">
        <v>254</v>
      </c>
      <c r="J13647" s="560">
        <f t="shared" si="448"/>
        <v>0</v>
      </c>
    </row>
    <row r="13648" spans="5:10" hidden="1" x14ac:dyDescent="0.25">
      <c r="F13648" s="284" t="s">
        <v>255</v>
      </c>
      <c r="G13648" s="287" t="s">
        <v>256</v>
      </c>
      <c r="J13648" s="560">
        <f t="shared" si="448"/>
        <v>0</v>
      </c>
    </row>
    <row r="13649" spans="1:10" ht="30" hidden="1" x14ac:dyDescent="0.25">
      <c r="F13649" s="284" t="s">
        <v>257</v>
      </c>
      <c r="G13649" s="287" t="s">
        <v>258</v>
      </c>
      <c r="J13649" s="560">
        <f t="shared" si="448"/>
        <v>0</v>
      </c>
    </row>
    <row r="13650" spans="1:10" hidden="1" x14ac:dyDescent="0.25">
      <c r="F13650" s="284" t="s">
        <v>259</v>
      </c>
      <c r="G13650" s="287" t="s">
        <v>260</v>
      </c>
      <c r="J13650" s="560">
        <f t="shared" si="448"/>
        <v>0</v>
      </c>
    </row>
    <row r="13651" spans="1:10" hidden="1" x14ac:dyDescent="0.25">
      <c r="F13651" s="284" t="s">
        <v>261</v>
      </c>
      <c r="G13651" s="287" t="s">
        <v>262</v>
      </c>
      <c r="H13651" s="559"/>
      <c r="I13651" s="560"/>
      <c r="J13651" s="560">
        <f t="shared" si="448"/>
        <v>0</v>
      </c>
    </row>
    <row r="13652" spans="1:10" ht="15.75" hidden="1" thickBot="1" x14ac:dyDescent="0.3">
      <c r="G13652" s="268" t="s">
        <v>4926</v>
      </c>
      <c r="H13652" s="561">
        <f>SUM(H13619:H13634)</f>
        <v>0</v>
      </c>
      <c r="I13652" s="562">
        <f>SUM(I13620:I13634)</f>
        <v>0</v>
      </c>
      <c r="J13652" s="562">
        <f>SUM(J13619:J13634)</f>
        <v>0</v>
      </c>
    </row>
    <row r="13653" spans="1:10" hidden="1" x14ac:dyDescent="0.25"/>
    <row r="13654" spans="1:10" hidden="1" x14ac:dyDescent="0.25">
      <c r="B13654" s="84"/>
      <c r="C13654" s="84"/>
      <c r="D13654" s="84"/>
      <c r="E13654" s="878"/>
      <c r="F13654" s="84"/>
      <c r="G13654" s="84"/>
      <c r="H13654" s="84"/>
      <c r="I13654" s="84"/>
      <c r="J13654" s="84"/>
    </row>
    <row r="13655" spans="1:10" hidden="1" x14ac:dyDescent="0.25">
      <c r="A13655" s="84"/>
      <c r="B13655" s="84"/>
      <c r="C13655" s="84"/>
      <c r="D13655" s="84"/>
      <c r="E13655" s="878"/>
      <c r="F13655" s="84"/>
      <c r="G13655" s="84"/>
      <c r="H13655" s="84"/>
      <c r="I13655" s="84"/>
      <c r="J13655" s="84"/>
    </row>
    <row r="13656" spans="1:10" hidden="1" x14ac:dyDescent="0.25">
      <c r="A13656" s="84"/>
      <c r="B13656" s="84"/>
      <c r="C13656" s="84"/>
      <c r="D13656" s="84"/>
      <c r="E13656" s="878"/>
      <c r="F13656" s="84"/>
      <c r="G13656" s="84"/>
      <c r="H13656" s="84"/>
      <c r="I13656" s="84"/>
      <c r="J13656" s="84"/>
    </row>
    <row r="13657" spans="1:10" hidden="1" x14ac:dyDescent="0.25">
      <c r="A13657" s="84"/>
      <c r="B13657" s="84"/>
      <c r="C13657" s="84"/>
      <c r="D13657" s="84"/>
      <c r="E13657" s="878"/>
      <c r="F13657" s="84"/>
      <c r="G13657" s="84"/>
      <c r="H13657" s="84"/>
      <c r="I13657" s="84"/>
      <c r="J13657" s="84"/>
    </row>
    <row r="13658" spans="1:10" hidden="1" x14ac:dyDescent="0.25">
      <c r="A13658" s="84"/>
      <c r="B13658" s="84"/>
      <c r="C13658" s="84"/>
      <c r="D13658" s="84"/>
      <c r="E13658" s="878"/>
      <c r="F13658" s="84"/>
      <c r="G13658" s="84"/>
      <c r="H13658" s="84"/>
      <c r="I13658" s="84"/>
      <c r="J13658" s="84"/>
    </row>
    <row r="13659" spans="1:10" hidden="1" x14ac:dyDescent="0.25">
      <c r="A13659" s="84"/>
      <c r="B13659" s="84"/>
      <c r="C13659" s="84"/>
      <c r="D13659" s="84"/>
      <c r="E13659" s="878"/>
      <c r="F13659" s="84"/>
      <c r="G13659" s="84"/>
      <c r="H13659" s="84"/>
      <c r="I13659" s="84"/>
      <c r="J13659" s="84"/>
    </row>
    <row r="13660" spans="1:10" hidden="1" x14ac:dyDescent="0.25">
      <c r="A13660" s="84"/>
      <c r="B13660" s="84"/>
      <c r="C13660" s="84"/>
      <c r="D13660" s="84"/>
      <c r="E13660" s="878"/>
      <c r="F13660" s="84"/>
      <c r="G13660" s="84"/>
      <c r="H13660" s="84"/>
      <c r="I13660" s="84"/>
      <c r="J13660" s="84"/>
    </row>
    <row r="13661" spans="1:10" hidden="1" x14ac:dyDescent="0.25">
      <c r="A13661" s="84"/>
      <c r="B13661" s="84"/>
      <c r="C13661" s="84"/>
      <c r="D13661" s="84"/>
      <c r="E13661" s="878"/>
      <c r="F13661" s="84"/>
      <c r="G13661" s="84"/>
      <c r="H13661" s="84"/>
      <c r="I13661" s="84"/>
      <c r="J13661" s="84"/>
    </row>
    <row r="13662" spans="1:10" hidden="1" x14ac:dyDescent="0.25">
      <c r="A13662" s="84"/>
      <c r="B13662" s="84"/>
      <c r="C13662" s="84"/>
      <c r="D13662" s="84"/>
      <c r="E13662" s="878"/>
      <c r="F13662" s="84"/>
      <c r="G13662" s="84"/>
      <c r="H13662" s="84"/>
      <c r="I13662" s="84"/>
      <c r="J13662" s="84"/>
    </row>
    <row r="13663" spans="1:10" hidden="1" x14ac:dyDescent="0.25">
      <c r="A13663" s="84"/>
      <c r="B13663" s="84"/>
      <c r="C13663" s="84"/>
      <c r="D13663" s="84"/>
      <c r="E13663" s="878"/>
      <c r="F13663" s="84"/>
      <c r="G13663" s="84"/>
      <c r="H13663" s="84"/>
      <c r="I13663" s="84"/>
      <c r="J13663" s="84"/>
    </row>
    <row r="13664" spans="1:10" hidden="1" x14ac:dyDescent="0.25">
      <c r="A13664" s="84"/>
      <c r="B13664" s="84"/>
      <c r="C13664" s="84"/>
      <c r="D13664" s="84"/>
      <c r="E13664" s="878"/>
      <c r="F13664" s="84"/>
      <c r="G13664" s="84"/>
      <c r="H13664" s="84"/>
      <c r="I13664" s="84"/>
      <c r="J13664" s="84"/>
    </row>
    <row r="13665" spans="1:10" hidden="1" x14ac:dyDescent="0.25">
      <c r="A13665" s="84"/>
      <c r="B13665" s="84"/>
      <c r="C13665" s="84"/>
      <c r="D13665" s="84"/>
      <c r="E13665" s="878"/>
      <c r="F13665" s="84"/>
      <c r="G13665" s="84"/>
      <c r="H13665" s="84"/>
      <c r="I13665" s="84"/>
      <c r="J13665" s="84"/>
    </row>
    <row r="13666" spans="1:10" hidden="1" x14ac:dyDescent="0.25">
      <c r="A13666" s="84"/>
      <c r="B13666" s="84"/>
      <c r="C13666" s="84"/>
      <c r="D13666" s="84"/>
      <c r="E13666" s="878"/>
      <c r="F13666" s="84"/>
      <c r="G13666" s="84"/>
      <c r="H13666" s="84"/>
      <c r="I13666" s="84"/>
      <c r="J13666" s="84"/>
    </row>
    <row r="13667" spans="1:10" hidden="1" x14ac:dyDescent="0.25">
      <c r="A13667" s="84"/>
      <c r="B13667" s="84"/>
      <c r="C13667" s="84"/>
      <c r="D13667" s="84"/>
      <c r="E13667" s="878"/>
      <c r="F13667" s="84"/>
      <c r="G13667" s="84"/>
      <c r="H13667" s="84"/>
      <c r="I13667" s="84"/>
      <c r="J13667" s="84"/>
    </row>
    <row r="13668" spans="1:10" hidden="1" x14ac:dyDescent="0.25">
      <c r="A13668" s="84"/>
      <c r="B13668" s="84"/>
      <c r="C13668" s="84"/>
      <c r="D13668" s="84"/>
      <c r="E13668" s="878"/>
      <c r="F13668" s="84"/>
      <c r="G13668" s="84"/>
      <c r="H13668" s="84"/>
      <c r="I13668" s="84"/>
      <c r="J13668" s="84"/>
    </row>
    <row r="13669" spans="1:10" hidden="1" x14ac:dyDescent="0.25">
      <c r="A13669" s="84"/>
      <c r="B13669" s="84"/>
      <c r="C13669" s="84"/>
      <c r="D13669" s="84"/>
      <c r="E13669" s="878"/>
      <c r="F13669" s="84"/>
      <c r="G13669" s="84"/>
      <c r="H13669" s="84"/>
      <c r="I13669" s="84"/>
      <c r="J13669" s="84"/>
    </row>
    <row r="13670" spans="1:10" hidden="1" x14ac:dyDescent="0.25">
      <c r="A13670" s="84"/>
      <c r="B13670" s="84"/>
      <c r="C13670" s="84"/>
      <c r="D13670" s="84"/>
      <c r="E13670" s="878"/>
      <c r="F13670" s="84"/>
      <c r="G13670" s="84"/>
      <c r="H13670" s="84"/>
      <c r="I13670" s="84"/>
      <c r="J13670" s="84"/>
    </row>
    <row r="13671" spans="1:10" hidden="1" x14ac:dyDescent="0.25">
      <c r="A13671" s="84"/>
      <c r="B13671" s="84"/>
      <c r="C13671" s="84"/>
      <c r="D13671" s="84"/>
      <c r="E13671" s="878"/>
      <c r="F13671" s="84"/>
      <c r="G13671" s="84"/>
      <c r="H13671" s="84"/>
      <c r="I13671" s="84"/>
      <c r="J13671" s="84"/>
    </row>
    <row r="13672" spans="1:10" hidden="1" x14ac:dyDescent="0.25">
      <c r="A13672" s="84"/>
    </row>
    <row r="13673" spans="1:10" hidden="1" x14ac:dyDescent="0.25">
      <c r="E13673" s="489"/>
      <c r="F13673" s="500"/>
      <c r="G13673" s="285" t="s">
        <v>4371</v>
      </c>
      <c r="H13673" s="567"/>
      <c r="I13673" s="585"/>
      <c r="J13673" s="568"/>
    </row>
    <row r="13674" spans="1:10" hidden="1" x14ac:dyDescent="0.25">
      <c r="E13674" s="693"/>
      <c r="F13674" s="284" t="s">
        <v>234</v>
      </c>
      <c r="G13674" s="287" t="s">
        <v>235</v>
      </c>
      <c r="H13674" s="559" t="e">
        <f>SUM(#REF!)</f>
        <v>#REF!</v>
      </c>
      <c r="I13674" s="560"/>
      <c r="J13674" s="560" t="e">
        <f>SUM(H13674:I13674)</f>
        <v>#REF!</v>
      </c>
    </row>
    <row r="13675" spans="1:10" hidden="1" x14ac:dyDescent="0.25">
      <c r="F13675" s="284" t="s">
        <v>236</v>
      </c>
      <c r="G13675" s="287" t="s">
        <v>237</v>
      </c>
      <c r="J13675" s="560">
        <f t="shared" ref="J13675:J13689" si="449">SUM(H13675:I13675)</f>
        <v>0</v>
      </c>
    </row>
    <row r="13676" spans="1:10" hidden="1" x14ac:dyDescent="0.25">
      <c r="F13676" s="284" t="s">
        <v>238</v>
      </c>
      <c r="G13676" s="287" t="s">
        <v>239</v>
      </c>
      <c r="J13676" s="560">
        <f t="shared" si="449"/>
        <v>0</v>
      </c>
    </row>
    <row r="13677" spans="1:10" hidden="1" x14ac:dyDescent="0.25">
      <c r="F13677" s="284" t="s">
        <v>240</v>
      </c>
      <c r="G13677" s="287" t="s">
        <v>241</v>
      </c>
      <c r="J13677" s="560">
        <f t="shared" si="449"/>
        <v>0</v>
      </c>
    </row>
    <row r="13678" spans="1:10" hidden="1" x14ac:dyDescent="0.25">
      <c r="F13678" s="284" t="s">
        <v>242</v>
      </c>
      <c r="G13678" s="287" t="s">
        <v>243</v>
      </c>
      <c r="J13678" s="560">
        <f t="shared" si="449"/>
        <v>0</v>
      </c>
    </row>
    <row r="13679" spans="1:10" hidden="1" x14ac:dyDescent="0.25">
      <c r="F13679" s="284" t="s">
        <v>244</v>
      </c>
      <c r="G13679" s="287" t="s">
        <v>245</v>
      </c>
      <c r="J13679" s="560">
        <f t="shared" si="449"/>
        <v>0</v>
      </c>
    </row>
    <row r="13680" spans="1:10" hidden="1" x14ac:dyDescent="0.25">
      <c r="F13680" s="284" t="s">
        <v>246</v>
      </c>
      <c r="G13680" s="598" t="s">
        <v>4996</v>
      </c>
      <c r="J13680" s="560">
        <f t="shared" si="449"/>
        <v>0</v>
      </c>
    </row>
    <row r="13681" spans="6:10" hidden="1" x14ac:dyDescent="0.25">
      <c r="F13681" s="284" t="s">
        <v>247</v>
      </c>
      <c r="G13681" s="598" t="s">
        <v>4995</v>
      </c>
      <c r="J13681" s="560">
        <f t="shared" si="449"/>
        <v>0</v>
      </c>
    </row>
    <row r="13682" spans="6:10" hidden="1" x14ac:dyDescent="0.25">
      <c r="F13682" s="284" t="s">
        <v>248</v>
      </c>
      <c r="G13682" s="287" t="s">
        <v>57</v>
      </c>
      <c r="J13682" s="560">
        <f t="shared" si="449"/>
        <v>0</v>
      </c>
    </row>
    <row r="13683" spans="6:10" hidden="1" x14ac:dyDescent="0.25">
      <c r="F13683" s="284" t="s">
        <v>249</v>
      </c>
      <c r="G13683" s="287" t="s">
        <v>250</v>
      </c>
      <c r="J13683" s="560">
        <f t="shared" si="449"/>
        <v>0</v>
      </c>
    </row>
    <row r="13684" spans="6:10" hidden="1" x14ac:dyDescent="0.25">
      <c r="F13684" s="284" t="s">
        <v>251</v>
      </c>
      <c r="G13684" s="287" t="s">
        <v>252</v>
      </c>
      <c r="J13684" s="560">
        <f t="shared" si="449"/>
        <v>0</v>
      </c>
    </row>
    <row r="13685" spans="6:10" ht="30" hidden="1" x14ac:dyDescent="0.25">
      <c r="F13685" s="284" t="s">
        <v>253</v>
      </c>
      <c r="G13685" s="287" t="s">
        <v>254</v>
      </c>
      <c r="J13685" s="560">
        <f t="shared" si="449"/>
        <v>0</v>
      </c>
    </row>
    <row r="13686" spans="6:10" hidden="1" x14ac:dyDescent="0.25">
      <c r="F13686" s="284" t="s">
        <v>255</v>
      </c>
      <c r="G13686" s="287" t="s">
        <v>256</v>
      </c>
      <c r="J13686" s="560">
        <f t="shared" si="449"/>
        <v>0</v>
      </c>
    </row>
    <row r="13687" spans="6:10" ht="30" hidden="1" x14ac:dyDescent="0.25">
      <c r="F13687" s="284" t="s">
        <v>257</v>
      </c>
      <c r="G13687" s="287" t="s">
        <v>258</v>
      </c>
      <c r="J13687" s="560">
        <f t="shared" si="449"/>
        <v>0</v>
      </c>
    </row>
    <row r="13688" spans="6:10" hidden="1" x14ac:dyDescent="0.25">
      <c r="F13688" s="284" t="s">
        <v>259</v>
      </c>
      <c r="G13688" s="287" t="s">
        <v>260</v>
      </c>
      <c r="J13688" s="560">
        <f t="shared" si="449"/>
        <v>0</v>
      </c>
    </row>
    <row r="13689" spans="6:10" hidden="1" x14ac:dyDescent="0.25">
      <c r="F13689" s="284" t="s">
        <v>261</v>
      </c>
      <c r="G13689" s="287" t="s">
        <v>262</v>
      </c>
      <c r="H13689" s="559"/>
      <c r="I13689" s="560"/>
      <c r="J13689" s="560">
        <f t="shared" si="449"/>
        <v>0</v>
      </c>
    </row>
    <row r="13690" spans="6:10" ht="15.75" hidden="1" thickBot="1" x14ac:dyDescent="0.3">
      <c r="G13690" s="268" t="s">
        <v>4372</v>
      </c>
      <c r="H13690" s="561" t="e">
        <f>SUM(H13674:H13689)</f>
        <v>#REF!</v>
      </c>
      <c r="I13690" s="562">
        <f>SUM(I13675:I13689)</f>
        <v>0</v>
      </c>
      <c r="J13690" s="562" t="e">
        <f>SUM(J13674:J13689)</f>
        <v>#REF!</v>
      </c>
    </row>
    <row r="13691" spans="6:10" hidden="1" x14ac:dyDescent="0.25"/>
    <row r="13692" spans="6:10" hidden="1" x14ac:dyDescent="0.25"/>
    <row r="13693" spans="6:10" ht="16.5" hidden="1" customHeight="1" x14ac:dyDescent="0.25"/>
    <row r="13694" spans="6:10" hidden="1" x14ac:dyDescent="0.25"/>
    <row r="13695" spans="6:10" hidden="1" x14ac:dyDescent="0.25"/>
    <row r="13696" spans="6:10"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t="19.5" hidden="1" customHeight="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collapsed="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collapsed="1" x14ac:dyDescent="0.25"/>
    <row r="13792" hidden="1" x14ac:dyDescent="0.25"/>
    <row r="13793" spans="3:10" hidden="1" x14ac:dyDescent="0.25"/>
    <row r="13794" spans="3:10" hidden="1" x14ac:dyDescent="0.25">
      <c r="C13794" s="267" t="s">
        <v>4652</v>
      </c>
      <c r="D13794" s="259"/>
      <c r="G13794" s="493" t="s">
        <v>4196</v>
      </c>
    </row>
    <row r="13795" spans="3:10" hidden="1" x14ac:dyDescent="0.25">
      <c r="C13795" s="267"/>
      <c r="D13795" s="331">
        <v>920</v>
      </c>
      <c r="E13795" s="869"/>
      <c r="F13795" s="331"/>
      <c r="G13795" s="332" t="s">
        <v>220</v>
      </c>
    </row>
    <row r="13796" spans="3:10" hidden="1" x14ac:dyDescent="0.25">
      <c r="F13796" s="499">
        <v>411</v>
      </c>
      <c r="G13796" s="492" t="s">
        <v>4131</v>
      </c>
      <c r="J13796" s="556">
        <f>SUM(H13796:I13796)</f>
        <v>0</v>
      </c>
    </row>
    <row r="13797" spans="3:10" hidden="1" x14ac:dyDescent="0.25">
      <c r="F13797" s="499">
        <v>412</v>
      </c>
      <c r="G13797" s="488" t="s">
        <v>3766</v>
      </c>
      <c r="J13797" s="556">
        <f t="shared" ref="J13797:J13855" si="450">SUM(H13797:I13797)</f>
        <v>0</v>
      </c>
    </row>
    <row r="13798" spans="3:10" hidden="1" x14ac:dyDescent="0.25">
      <c r="F13798" s="499">
        <v>413</v>
      </c>
      <c r="G13798" s="492" t="s">
        <v>4132</v>
      </c>
      <c r="J13798" s="556">
        <f t="shared" si="450"/>
        <v>0</v>
      </c>
    </row>
    <row r="13799" spans="3:10" hidden="1" x14ac:dyDescent="0.25">
      <c r="F13799" s="499">
        <v>414</v>
      </c>
      <c r="G13799" s="492" t="s">
        <v>3769</v>
      </c>
      <c r="J13799" s="556">
        <f t="shared" si="450"/>
        <v>0</v>
      </c>
    </row>
    <row r="13800" spans="3:10" hidden="1" x14ac:dyDescent="0.25">
      <c r="F13800" s="499">
        <v>415</v>
      </c>
      <c r="G13800" s="492" t="s">
        <v>4141</v>
      </c>
      <c r="J13800" s="556">
        <f t="shared" si="450"/>
        <v>0</v>
      </c>
    </row>
    <row r="13801" spans="3:10" hidden="1" x14ac:dyDescent="0.25">
      <c r="F13801" s="499">
        <v>416</v>
      </c>
      <c r="G13801" s="492" t="s">
        <v>4142</v>
      </c>
      <c r="J13801" s="556">
        <f t="shared" si="450"/>
        <v>0</v>
      </c>
    </row>
    <row r="13802" spans="3:10" hidden="1" x14ac:dyDescent="0.25">
      <c r="F13802" s="499">
        <v>417</v>
      </c>
      <c r="G13802" s="492" t="s">
        <v>4143</v>
      </c>
      <c r="J13802" s="556">
        <f t="shared" si="450"/>
        <v>0</v>
      </c>
    </row>
    <row r="13803" spans="3:10" hidden="1" x14ac:dyDescent="0.25">
      <c r="F13803" s="499">
        <v>418</v>
      </c>
      <c r="G13803" s="492" t="s">
        <v>3775</v>
      </c>
      <c r="J13803" s="556">
        <f t="shared" si="450"/>
        <v>0</v>
      </c>
    </row>
    <row r="13804" spans="3:10" hidden="1" x14ac:dyDescent="0.25">
      <c r="F13804" s="499">
        <v>421</v>
      </c>
      <c r="G13804" s="492" t="s">
        <v>3779</v>
      </c>
      <c r="J13804" s="556">
        <f t="shared" si="450"/>
        <v>0</v>
      </c>
    </row>
    <row r="13805" spans="3:10" hidden="1" x14ac:dyDescent="0.25">
      <c r="F13805" s="499">
        <v>422</v>
      </c>
      <c r="G13805" s="492" t="s">
        <v>3780</v>
      </c>
      <c r="J13805" s="556">
        <f t="shared" si="450"/>
        <v>0</v>
      </c>
    </row>
    <row r="13806" spans="3:10" hidden="1" x14ac:dyDescent="0.25">
      <c r="F13806" s="499">
        <v>423</v>
      </c>
      <c r="G13806" s="492" t="s">
        <v>3781</v>
      </c>
      <c r="J13806" s="556">
        <f t="shared" si="450"/>
        <v>0</v>
      </c>
    </row>
    <row r="13807" spans="3:10" hidden="1" x14ac:dyDescent="0.25">
      <c r="F13807" s="499">
        <v>424</v>
      </c>
      <c r="G13807" s="492" t="s">
        <v>3783</v>
      </c>
      <c r="J13807" s="556">
        <f t="shared" si="450"/>
        <v>0</v>
      </c>
    </row>
    <row r="13808" spans="3:10" hidden="1" x14ac:dyDescent="0.25">
      <c r="F13808" s="499">
        <v>425</v>
      </c>
      <c r="G13808" s="492" t="s">
        <v>4144</v>
      </c>
      <c r="J13808" s="556">
        <f t="shared" si="450"/>
        <v>0</v>
      </c>
    </row>
    <row r="13809" spans="6:10" hidden="1" x14ac:dyDescent="0.25">
      <c r="F13809" s="499">
        <v>426</v>
      </c>
      <c r="G13809" s="492" t="s">
        <v>3787</v>
      </c>
      <c r="J13809" s="556">
        <f t="shared" si="450"/>
        <v>0</v>
      </c>
    </row>
    <row r="13810" spans="6:10" hidden="1" x14ac:dyDescent="0.25">
      <c r="F13810" s="499">
        <v>431</v>
      </c>
      <c r="G13810" s="492" t="s">
        <v>4145</v>
      </c>
      <c r="J13810" s="556">
        <f t="shared" si="450"/>
        <v>0</v>
      </c>
    </row>
    <row r="13811" spans="6:10" hidden="1" x14ac:dyDescent="0.25">
      <c r="F13811" s="499">
        <v>432</v>
      </c>
      <c r="G13811" s="492" t="s">
        <v>4146</v>
      </c>
      <c r="J13811" s="556">
        <f t="shared" si="450"/>
        <v>0</v>
      </c>
    </row>
    <row r="13812" spans="6:10" hidden="1" x14ac:dyDescent="0.25">
      <c r="F13812" s="499">
        <v>433</v>
      </c>
      <c r="G13812" s="492" t="s">
        <v>4147</v>
      </c>
      <c r="J13812" s="556">
        <f t="shared" si="450"/>
        <v>0</v>
      </c>
    </row>
    <row r="13813" spans="6:10" hidden="1" x14ac:dyDescent="0.25">
      <c r="F13813" s="499">
        <v>434</v>
      </c>
      <c r="G13813" s="492" t="s">
        <v>4148</v>
      </c>
      <c r="J13813" s="556">
        <f t="shared" si="450"/>
        <v>0</v>
      </c>
    </row>
    <row r="13814" spans="6:10" hidden="1" x14ac:dyDescent="0.25">
      <c r="F13814" s="499">
        <v>435</v>
      </c>
      <c r="G13814" s="492" t="s">
        <v>3794</v>
      </c>
      <c r="J13814" s="556">
        <f t="shared" si="450"/>
        <v>0</v>
      </c>
    </row>
    <row r="13815" spans="6:10" hidden="1" x14ac:dyDescent="0.25">
      <c r="F13815" s="499">
        <v>441</v>
      </c>
      <c r="G13815" s="492" t="s">
        <v>4149</v>
      </c>
      <c r="J13815" s="556">
        <f t="shared" si="450"/>
        <v>0</v>
      </c>
    </row>
    <row r="13816" spans="6:10" hidden="1" x14ac:dyDescent="0.25">
      <c r="F13816" s="499">
        <v>442</v>
      </c>
      <c r="G13816" s="492" t="s">
        <v>4150</v>
      </c>
      <c r="J13816" s="556">
        <f t="shared" si="450"/>
        <v>0</v>
      </c>
    </row>
    <row r="13817" spans="6:10" hidden="1" x14ac:dyDescent="0.25">
      <c r="F13817" s="499">
        <v>443</v>
      </c>
      <c r="G13817" s="492" t="s">
        <v>3799</v>
      </c>
      <c r="J13817" s="556">
        <f t="shared" si="450"/>
        <v>0</v>
      </c>
    </row>
    <row r="13818" spans="6:10" hidden="1" x14ac:dyDescent="0.25">
      <c r="F13818" s="499">
        <v>444</v>
      </c>
      <c r="G13818" s="492" t="s">
        <v>3800</v>
      </c>
      <c r="J13818" s="556">
        <f t="shared" si="450"/>
        <v>0</v>
      </c>
    </row>
    <row r="13819" spans="6:10" ht="30" hidden="1" x14ac:dyDescent="0.25">
      <c r="F13819" s="499">
        <v>4511</v>
      </c>
      <c r="G13819" s="263" t="s">
        <v>1690</v>
      </c>
      <c r="J13819" s="556">
        <f t="shared" si="450"/>
        <v>0</v>
      </c>
    </row>
    <row r="13820" spans="6:10" ht="30" hidden="1" x14ac:dyDescent="0.25">
      <c r="F13820" s="499">
        <v>4512</v>
      </c>
      <c r="G13820" s="263" t="s">
        <v>1699</v>
      </c>
      <c r="J13820" s="556">
        <f t="shared" si="450"/>
        <v>0</v>
      </c>
    </row>
    <row r="13821" spans="6:10" hidden="1" x14ac:dyDescent="0.25">
      <c r="F13821" s="499">
        <v>452</v>
      </c>
      <c r="G13821" s="492" t="s">
        <v>4151</v>
      </c>
      <c r="J13821" s="556">
        <f t="shared" si="450"/>
        <v>0</v>
      </c>
    </row>
    <row r="13822" spans="6:10" hidden="1" x14ac:dyDescent="0.25">
      <c r="F13822" s="499">
        <v>453</v>
      </c>
      <c r="G13822" s="492" t="s">
        <v>4152</v>
      </c>
      <c r="J13822" s="556">
        <f t="shared" si="450"/>
        <v>0</v>
      </c>
    </row>
    <row r="13823" spans="6:10" hidden="1" x14ac:dyDescent="0.25">
      <c r="F13823" s="499">
        <v>454</v>
      </c>
      <c r="G13823" s="492" t="s">
        <v>3805</v>
      </c>
      <c r="J13823" s="556">
        <f t="shared" si="450"/>
        <v>0</v>
      </c>
    </row>
    <row r="13824" spans="6:10" hidden="1" x14ac:dyDescent="0.25">
      <c r="F13824" s="499">
        <v>461</v>
      </c>
      <c r="G13824" s="492" t="s">
        <v>4133</v>
      </c>
      <c r="J13824" s="556">
        <f t="shared" si="450"/>
        <v>0</v>
      </c>
    </row>
    <row r="13825" spans="6:10" hidden="1" x14ac:dyDescent="0.25">
      <c r="F13825" s="499">
        <v>462</v>
      </c>
      <c r="G13825" s="492" t="s">
        <v>3808</v>
      </c>
      <c r="J13825" s="556">
        <f t="shared" si="450"/>
        <v>0</v>
      </c>
    </row>
    <row r="13826" spans="6:10" hidden="1" x14ac:dyDescent="0.25">
      <c r="F13826" s="499">
        <v>4631</v>
      </c>
      <c r="G13826" s="492" t="s">
        <v>3809</v>
      </c>
      <c r="J13826" s="556">
        <f t="shared" si="450"/>
        <v>0</v>
      </c>
    </row>
    <row r="13827" spans="6:10" hidden="1" x14ac:dyDescent="0.25">
      <c r="F13827" s="499">
        <v>4632</v>
      </c>
      <c r="G13827" s="492" t="s">
        <v>3810</v>
      </c>
      <c r="J13827" s="556">
        <f t="shared" si="450"/>
        <v>0</v>
      </c>
    </row>
    <row r="13828" spans="6:10" hidden="1" x14ac:dyDescent="0.25">
      <c r="F13828" s="499">
        <v>464</v>
      </c>
      <c r="G13828" s="492" t="s">
        <v>3811</v>
      </c>
      <c r="J13828" s="556">
        <f t="shared" si="450"/>
        <v>0</v>
      </c>
    </row>
    <row r="13829" spans="6:10" hidden="1" x14ac:dyDescent="0.25">
      <c r="F13829" s="499">
        <v>465</v>
      </c>
      <c r="G13829" s="492" t="s">
        <v>4134</v>
      </c>
      <c r="J13829" s="556">
        <f t="shared" si="450"/>
        <v>0</v>
      </c>
    </row>
    <row r="13830" spans="6:10" hidden="1" x14ac:dyDescent="0.25">
      <c r="F13830" s="499">
        <v>472</v>
      </c>
      <c r="G13830" s="492" t="s">
        <v>3815</v>
      </c>
      <c r="J13830" s="556">
        <f t="shared" si="450"/>
        <v>0</v>
      </c>
    </row>
    <row r="13831" spans="6:10" hidden="1" x14ac:dyDescent="0.25">
      <c r="F13831" s="499">
        <v>481</v>
      </c>
      <c r="G13831" s="492" t="s">
        <v>4153</v>
      </c>
      <c r="J13831" s="556">
        <f t="shared" si="450"/>
        <v>0</v>
      </c>
    </row>
    <row r="13832" spans="6:10" hidden="1" x14ac:dyDescent="0.25">
      <c r="F13832" s="499">
        <v>482</v>
      </c>
      <c r="G13832" s="492" t="s">
        <v>4154</v>
      </c>
      <c r="J13832" s="556">
        <f t="shared" si="450"/>
        <v>0</v>
      </c>
    </row>
    <row r="13833" spans="6:10" hidden="1" x14ac:dyDescent="0.25">
      <c r="F13833" s="499">
        <v>483</v>
      </c>
      <c r="G13833" s="496" t="s">
        <v>4155</v>
      </c>
      <c r="J13833" s="556">
        <f t="shared" si="450"/>
        <v>0</v>
      </c>
    </row>
    <row r="13834" spans="6:10" ht="30" hidden="1" x14ac:dyDescent="0.25">
      <c r="F13834" s="499">
        <v>484</v>
      </c>
      <c r="G13834" s="492" t="s">
        <v>4156</v>
      </c>
      <c r="J13834" s="556">
        <f t="shared" si="450"/>
        <v>0</v>
      </c>
    </row>
    <row r="13835" spans="6:10" ht="30" hidden="1" x14ac:dyDescent="0.25">
      <c r="F13835" s="499">
        <v>485</v>
      </c>
      <c r="G13835" s="492" t="s">
        <v>4157</v>
      </c>
      <c r="J13835" s="556">
        <f t="shared" si="450"/>
        <v>0</v>
      </c>
    </row>
    <row r="13836" spans="6:10" ht="30" hidden="1" x14ac:dyDescent="0.25">
      <c r="F13836" s="499">
        <v>489</v>
      </c>
      <c r="G13836" s="492" t="s">
        <v>3823</v>
      </c>
      <c r="J13836" s="556">
        <f t="shared" si="450"/>
        <v>0</v>
      </c>
    </row>
    <row r="13837" spans="6:10" hidden="1" x14ac:dyDescent="0.25">
      <c r="F13837" s="499">
        <v>494</v>
      </c>
      <c r="G13837" s="492" t="s">
        <v>4135</v>
      </c>
      <c r="J13837" s="556">
        <f t="shared" si="450"/>
        <v>0</v>
      </c>
    </row>
    <row r="13838" spans="6:10" ht="30" hidden="1" x14ac:dyDescent="0.25">
      <c r="F13838" s="499">
        <v>495</v>
      </c>
      <c r="G13838" s="492" t="s">
        <v>4136</v>
      </c>
      <c r="J13838" s="556">
        <f t="shared" si="450"/>
        <v>0</v>
      </c>
    </row>
    <row r="13839" spans="6:10" ht="30" hidden="1" x14ac:dyDescent="0.25">
      <c r="F13839" s="499">
        <v>496</v>
      </c>
      <c r="G13839" s="492" t="s">
        <v>4137</v>
      </c>
      <c r="J13839" s="556">
        <f t="shared" si="450"/>
        <v>0</v>
      </c>
    </row>
    <row r="13840" spans="6:10" ht="30" hidden="1" x14ac:dyDescent="0.25">
      <c r="F13840" s="499">
        <v>499</v>
      </c>
      <c r="G13840" s="492" t="s">
        <v>4138</v>
      </c>
      <c r="J13840" s="556">
        <f t="shared" si="450"/>
        <v>0</v>
      </c>
    </row>
    <row r="13841" spans="5:10" hidden="1" x14ac:dyDescent="0.25">
      <c r="F13841" s="499">
        <v>511</v>
      </c>
      <c r="G13841" s="496" t="s">
        <v>4158</v>
      </c>
      <c r="J13841" s="556">
        <f t="shared" si="450"/>
        <v>0</v>
      </c>
    </row>
    <row r="13842" spans="5:10" hidden="1" x14ac:dyDescent="0.25">
      <c r="F13842" s="499">
        <v>512</v>
      </c>
      <c r="G13842" s="496" t="s">
        <v>4159</v>
      </c>
      <c r="J13842" s="556">
        <f t="shared" si="450"/>
        <v>0</v>
      </c>
    </row>
    <row r="13843" spans="5:10" hidden="1" x14ac:dyDescent="0.25">
      <c r="F13843" s="499">
        <v>513</v>
      </c>
      <c r="G13843" s="496" t="s">
        <v>4160</v>
      </c>
      <c r="J13843" s="556">
        <f t="shared" si="450"/>
        <v>0</v>
      </c>
    </row>
    <row r="13844" spans="5:10" hidden="1" x14ac:dyDescent="0.25">
      <c r="F13844" s="499">
        <v>514</v>
      </c>
      <c r="G13844" s="492" t="s">
        <v>4161</v>
      </c>
      <c r="J13844" s="556">
        <f t="shared" si="450"/>
        <v>0</v>
      </c>
    </row>
    <row r="13845" spans="5:10" hidden="1" x14ac:dyDescent="0.25">
      <c r="F13845" s="499">
        <v>515</v>
      </c>
      <c r="G13845" s="492" t="s">
        <v>3834</v>
      </c>
      <c r="J13845" s="556">
        <f t="shared" si="450"/>
        <v>0</v>
      </c>
    </row>
    <row r="13846" spans="5:10" hidden="1" x14ac:dyDescent="0.25">
      <c r="F13846" s="499">
        <v>521</v>
      </c>
      <c r="G13846" s="492" t="s">
        <v>4162</v>
      </c>
      <c r="J13846" s="556">
        <f t="shared" si="450"/>
        <v>0</v>
      </c>
    </row>
    <row r="13847" spans="5:10" hidden="1" x14ac:dyDescent="0.25">
      <c r="F13847" s="499">
        <v>522</v>
      </c>
      <c r="G13847" s="492" t="s">
        <v>4163</v>
      </c>
      <c r="J13847" s="556">
        <f t="shared" si="450"/>
        <v>0</v>
      </c>
    </row>
    <row r="13848" spans="5:10" hidden="1" x14ac:dyDescent="0.25">
      <c r="F13848" s="499">
        <v>523</v>
      </c>
      <c r="G13848" s="492" t="s">
        <v>3839</v>
      </c>
      <c r="J13848" s="556">
        <f t="shared" si="450"/>
        <v>0</v>
      </c>
    </row>
    <row r="13849" spans="5:10" hidden="1" x14ac:dyDescent="0.25">
      <c r="F13849" s="499">
        <v>531</v>
      </c>
      <c r="G13849" s="488" t="s">
        <v>4139</v>
      </c>
      <c r="J13849" s="556">
        <f t="shared" si="450"/>
        <v>0</v>
      </c>
    </row>
    <row r="13850" spans="5:10" hidden="1" x14ac:dyDescent="0.25">
      <c r="F13850" s="499">
        <v>541</v>
      </c>
      <c r="G13850" s="492" t="s">
        <v>4164</v>
      </c>
      <c r="J13850" s="556">
        <f t="shared" si="450"/>
        <v>0</v>
      </c>
    </row>
    <row r="13851" spans="5:10" hidden="1" x14ac:dyDescent="0.25">
      <c r="F13851" s="499">
        <v>542</v>
      </c>
      <c r="G13851" s="492" t="s">
        <v>4165</v>
      </c>
      <c r="J13851" s="556">
        <f t="shared" si="450"/>
        <v>0</v>
      </c>
    </row>
    <row r="13852" spans="5:10" hidden="1" x14ac:dyDescent="0.25">
      <c r="F13852" s="499">
        <v>543</v>
      </c>
      <c r="G13852" s="492" t="s">
        <v>3844</v>
      </c>
      <c r="J13852" s="556">
        <f t="shared" si="450"/>
        <v>0</v>
      </c>
    </row>
    <row r="13853" spans="5:10" ht="30" hidden="1" x14ac:dyDescent="0.25">
      <c r="F13853" s="499">
        <v>551</v>
      </c>
      <c r="G13853" s="492" t="s">
        <v>4140</v>
      </c>
      <c r="J13853" s="556">
        <f t="shared" si="450"/>
        <v>0</v>
      </c>
    </row>
    <row r="13854" spans="5:10" hidden="1" x14ac:dyDescent="0.25">
      <c r="F13854" s="500">
        <v>611</v>
      </c>
      <c r="G13854" s="498" t="s">
        <v>3850</v>
      </c>
      <c r="J13854" s="556">
        <f t="shared" si="450"/>
        <v>0</v>
      </c>
    </row>
    <row r="13855" spans="5:10" hidden="1" x14ac:dyDescent="0.25">
      <c r="F13855" s="500">
        <v>620</v>
      </c>
      <c r="G13855" s="498" t="s">
        <v>88</v>
      </c>
      <c r="J13855" s="556">
        <f t="shared" si="450"/>
        <v>0</v>
      </c>
    </row>
    <row r="13856" spans="5:10" hidden="1" x14ac:dyDescent="0.25">
      <c r="E13856" s="489"/>
      <c r="F13856" s="500"/>
      <c r="G13856" s="342" t="s">
        <v>4373</v>
      </c>
      <c r="H13856" s="557"/>
      <c r="I13856" s="583"/>
      <c r="J13856" s="558"/>
    </row>
    <row r="13857" spans="5:10" hidden="1" x14ac:dyDescent="0.25">
      <c r="E13857" s="693"/>
      <c r="F13857" s="284" t="s">
        <v>234</v>
      </c>
      <c r="G13857" s="287" t="s">
        <v>235</v>
      </c>
      <c r="H13857" s="559">
        <f>SUM(H13796:H13855)</f>
        <v>0</v>
      </c>
      <c r="I13857" s="560"/>
      <c r="J13857" s="560">
        <f>SUM(H13857:I13857)</f>
        <v>0</v>
      </c>
    </row>
    <row r="13858" spans="5:10" hidden="1" x14ac:dyDescent="0.25">
      <c r="F13858" s="284" t="s">
        <v>236</v>
      </c>
      <c r="G13858" s="287" t="s">
        <v>237</v>
      </c>
      <c r="J13858" s="560">
        <f t="shared" ref="J13858:J13872" si="451">SUM(H13858:I13858)</f>
        <v>0</v>
      </c>
    </row>
    <row r="13859" spans="5:10" hidden="1" x14ac:dyDescent="0.25">
      <c r="F13859" s="284" t="s">
        <v>238</v>
      </c>
      <c r="G13859" s="287" t="s">
        <v>239</v>
      </c>
      <c r="J13859" s="560">
        <f t="shared" si="451"/>
        <v>0</v>
      </c>
    </row>
    <row r="13860" spans="5:10" hidden="1" x14ac:dyDescent="0.25">
      <c r="F13860" s="284" t="s">
        <v>240</v>
      </c>
      <c r="G13860" s="287" t="s">
        <v>241</v>
      </c>
      <c r="J13860" s="560">
        <f t="shared" si="451"/>
        <v>0</v>
      </c>
    </row>
    <row r="13861" spans="5:10" hidden="1" x14ac:dyDescent="0.25">
      <c r="F13861" s="284" t="s">
        <v>242</v>
      </c>
      <c r="G13861" s="287" t="s">
        <v>243</v>
      </c>
      <c r="J13861" s="560">
        <f t="shared" si="451"/>
        <v>0</v>
      </c>
    </row>
    <row r="13862" spans="5:10" hidden="1" x14ac:dyDescent="0.25">
      <c r="F13862" s="284" t="s">
        <v>244</v>
      </c>
      <c r="G13862" s="287" t="s">
        <v>245</v>
      </c>
      <c r="J13862" s="560">
        <f t="shared" si="451"/>
        <v>0</v>
      </c>
    </row>
    <row r="13863" spans="5:10" hidden="1" x14ac:dyDescent="0.25">
      <c r="F13863" s="284" t="s">
        <v>246</v>
      </c>
      <c r="G13863" s="598" t="s">
        <v>4996</v>
      </c>
      <c r="J13863" s="560">
        <f t="shared" si="451"/>
        <v>0</v>
      </c>
    </row>
    <row r="13864" spans="5:10" hidden="1" x14ac:dyDescent="0.25">
      <c r="F13864" s="284" t="s">
        <v>247</v>
      </c>
      <c r="G13864" s="598" t="s">
        <v>4995</v>
      </c>
      <c r="J13864" s="560">
        <f t="shared" si="451"/>
        <v>0</v>
      </c>
    </row>
    <row r="13865" spans="5:10" hidden="1" x14ac:dyDescent="0.25">
      <c r="F13865" s="284" t="s">
        <v>248</v>
      </c>
      <c r="G13865" s="287" t="s">
        <v>57</v>
      </c>
      <c r="J13865" s="560">
        <f t="shared" si="451"/>
        <v>0</v>
      </c>
    </row>
    <row r="13866" spans="5:10" hidden="1" x14ac:dyDescent="0.25">
      <c r="F13866" s="284" t="s">
        <v>249</v>
      </c>
      <c r="G13866" s="287" t="s">
        <v>250</v>
      </c>
      <c r="J13866" s="560">
        <f t="shared" si="451"/>
        <v>0</v>
      </c>
    </row>
    <row r="13867" spans="5:10" hidden="1" x14ac:dyDescent="0.25">
      <c r="F13867" s="284" t="s">
        <v>251</v>
      </c>
      <c r="G13867" s="287" t="s">
        <v>252</v>
      </c>
      <c r="J13867" s="560">
        <f t="shared" si="451"/>
        <v>0</v>
      </c>
    </row>
    <row r="13868" spans="5:10" ht="30" hidden="1" x14ac:dyDescent="0.25">
      <c r="F13868" s="284" t="s">
        <v>253</v>
      </c>
      <c r="G13868" s="287" t="s">
        <v>254</v>
      </c>
      <c r="J13868" s="560">
        <f t="shared" si="451"/>
        <v>0</v>
      </c>
    </row>
    <row r="13869" spans="5:10" hidden="1" x14ac:dyDescent="0.25">
      <c r="F13869" s="284" t="s">
        <v>255</v>
      </c>
      <c r="G13869" s="287" t="s">
        <v>256</v>
      </c>
      <c r="J13869" s="560">
        <f t="shared" si="451"/>
        <v>0</v>
      </c>
    </row>
    <row r="13870" spans="5:10" ht="30" hidden="1" x14ac:dyDescent="0.25">
      <c r="F13870" s="284" t="s">
        <v>257</v>
      </c>
      <c r="G13870" s="287" t="s">
        <v>258</v>
      </c>
      <c r="J13870" s="560">
        <f t="shared" si="451"/>
        <v>0</v>
      </c>
    </row>
    <row r="13871" spans="5:10" hidden="1" x14ac:dyDescent="0.25">
      <c r="F13871" s="284" t="s">
        <v>259</v>
      </c>
      <c r="G13871" s="287" t="s">
        <v>260</v>
      </c>
      <c r="J13871" s="560">
        <f t="shared" si="451"/>
        <v>0</v>
      </c>
    </row>
    <row r="13872" spans="5:10" hidden="1" x14ac:dyDescent="0.25">
      <c r="F13872" s="284" t="s">
        <v>261</v>
      </c>
      <c r="G13872" s="287" t="s">
        <v>262</v>
      </c>
      <c r="H13872" s="559"/>
      <c r="I13872" s="560"/>
      <c r="J13872" s="560">
        <f t="shared" si="451"/>
        <v>0</v>
      </c>
    </row>
    <row r="13873" spans="5:10" ht="15.75" hidden="1" thickBot="1" x14ac:dyDescent="0.3">
      <c r="G13873" s="268" t="s">
        <v>4374</v>
      </c>
      <c r="H13873" s="561">
        <f>SUM(H13857:H13872)</f>
        <v>0</v>
      </c>
      <c r="I13873" s="562">
        <f>SUM(I13858:I13872)</f>
        <v>0</v>
      </c>
      <c r="J13873" s="562">
        <f>SUM(J13857:J13872)</f>
        <v>0</v>
      </c>
    </row>
    <row r="13874" spans="5:10" hidden="1" collapsed="1" x14ac:dyDescent="0.25">
      <c r="E13874" s="489"/>
      <c r="F13874" s="500"/>
      <c r="G13874" s="270" t="s">
        <v>4940</v>
      </c>
      <c r="H13874" s="563"/>
      <c r="I13874" s="584"/>
      <c r="J13874" s="564"/>
    </row>
    <row r="13875" spans="5:10" hidden="1" x14ac:dyDescent="0.25">
      <c r="E13875" s="693"/>
      <c r="F13875" s="284" t="s">
        <v>234</v>
      </c>
      <c r="G13875" s="287" t="s">
        <v>235</v>
      </c>
      <c r="H13875" s="559">
        <f>SUM(H13796:H13855)</f>
        <v>0</v>
      </c>
      <c r="I13875" s="560"/>
      <c r="J13875" s="560">
        <f>SUM(H13875:I13875)</f>
        <v>0</v>
      </c>
    </row>
    <row r="13876" spans="5:10" hidden="1" x14ac:dyDescent="0.25">
      <c r="F13876" s="284" t="s">
        <v>236</v>
      </c>
      <c r="G13876" s="287" t="s">
        <v>237</v>
      </c>
      <c r="J13876" s="560">
        <f t="shared" ref="J13876:J13890" si="452">SUM(H13876:I13876)</f>
        <v>0</v>
      </c>
    </row>
    <row r="13877" spans="5:10" hidden="1" x14ac:dyDescent="0.25">
      <c r="F13877" s="284" t="s">
        <v>238</v>
      </c>
      <c r="G13877" s="287" t="s">
        <v>239</v>
      </c>
      <c r="J13877" s="560">
        <f t="shared" si="452"/>
        <v>0</v>
      </c>
    </row>
    <row r="13878" spans="5:10" hidden="1" x14ac:dyDescent="0.25">
      <c r="F13878" s="284" t="s">
        <v>240</v>
      </c>
      <c r="G13878" s="287" t="s">
        <v>241</v>
      </c>
      <c r="J13878" s="560">
        <f t="shared" si="452"/>
        <v>0</v>
      </c>
    </row>
    <row r="13879" spans="5:10" hidden="1" x14ac:dyDescent="0.25">
      <c r="F13879" s="284" t="s">
        <v>242</v>
      </c>
      <c r="G13879" s="287" t="s">
        <v>243</v>
      </c>
      <c r="J13879" s="560">
        <f t="shared" si="452"/>
        <v>0</v>
      </c>
    </row>
    <row r="13880" spans="5:10" hidden="1" x14ac:dyDescent="0.25">
      <c r="F13880" s="284" t="s">
        <v>244</v>
      </c>
      <c r="G13880" s="287" t="s">
        <v>245</v>
      </c>
      <c r="J13880" s="560">
        <f t="shared" si="452"/>
        <v>0</v>
      </c>
    </row>
    <row r="13881" spans="5:10" hidden="1" x14ac:dyDescent="0.25">
      <c r="F13881" s="284" t="s">
        <v>246</v>
      </c>
      <c r="G13881" s="598" t="s">
        <v>4996</v>
      </c>
      <c r="J13881" s="560">
        <f t="shared" si="452"/>
        <v>0</v>
      </c>
    </row>
    <row r="13882" spans="5:10" hidden="1" x14ac:dyDescent="0.25">
      <c r="F13882" s="284" t="s">
        <v>247</v>
      </c>
      <c r="G13882" s="598" t="s">
        <v>4995</v>
      </c>
      <c r="J13882" s="560">
        <f t="shared" si="452"/>
        <v>0</v>
      </c>
    </row>
    <row r="13883" spans="5:10" hidden="1" x14ac:dyDescent="0.25">
      <c r="F13883" s="284" t="s">
        <v>248</v>
      </c>
      <c r="G13883" s="287" t="s">
        <v>57</v>
      </c>
      <c r="J13883" s="560">
        <f t="shared" si="452"/>
        <v>0</v>
      </c>
    </row>
    <row r="13884" spans="5:10" hidden="1" x14ac:dyDescent="0.25">
      <c r="F13884" s="284" t="s">
        <v>249</v>
      </c>
      <c r="G13884" s="287" t="s">
        <v>250</v>
      </c>
      <c r="J13884" s="560">
        <f t="shared" si="452"/>
        <v>0</v>
      </c>
    </row>
    <row r="13885" spans="5:10" hidden="1" x14ac:dyDescent="0.25">
      <c r="F13885" s="284" t="s">
        <v>251</v>
      </c>
      <c r="G13885" s="287" t="s">
        <v>252</v>
      </c>
      <c r="J13885" s="560">
        <f t="shared" si="452"/>
        <v>0</v>
      </c>
    </row>
    <row r="13886" spans="5:10" ht="30" hidden="1" x14ac:dyDescent="0.25">
      <c r="F13886" s="284" t="s">
        <v>253</v>
      </c>
      <c r="G13886" s="287" t="s">
        <v>254</v>
      </c>
      <c r="J13886" s="560">
        <f t="shared" si="452"/>
        <v>0</v>
      </c>
    </row>
    <row r="13887" spans="5:10" hidden="1" x14ac:dyDescent="0.25">
      <c r="F13887" s="284" t="s">
        <v>255</v>
      </c>
      <c r="G13887" s="287" t="s">
        <v>256</v>
      </c>
      <c r="J13887" s="560">
        <f t="shared" si="452"/>
        <v>0</v>
      </c>
    </row>
    <row r="13888" spans="5:10" ht="30" hidden="1" x14ac:dyDescent="0.25">
      <c r="F13888" s="284" t="s">
        <v>257</v>
      </c>
      <c r="G13888" s="287" t="s">
        <v>258</v>
      </c>
      <c r="J13888" s="560">
        <f t="shared" si="452"/>
        <v>0</v>
      </c>
    </row>
    <row r="13889" spans="3:10" hidden="1" x14ac:dyDescent="0.25">
      <c r="F13889" s="284" t="s">
        <v>259</v>
      </c>
      <c r="G13889" s="287" t="s">
        <v>260</v>
      </c>
      <c r="J13889" s="560">
        <f t="shared" si="452"/>
        <v>0</v>
      </c>
    </row>
    <row r="13890" spans="3:10" hidden="1" x14ac:dyDescent="0.25">
      <c r="F13890" s="284" t="s">
        <v>261</v>
      </c>
      <c r="G13890" s="287" t="s">
        <v>262</v>
      </c>
      <c r="H13890" s="559"/>
      <c r="I13890" s="560"/>
      <c r="J13890" s="560">
        <f t="shared" si="452"/>
        <v>0</v>
      </c>
    </row>
    <row r="13891" spans="3:10" ht="15.75" hidden="1" thickBot="1" x14ac:dyDescent="0.3">
      <c r="G13891" s="268" t="s">
        <v>4941</v>
      </c>
      <c r="H13891" s="561">
        <f>SUM(H13875:H13890)</f>
        <v>0</v>
      </c>
      <c r="I13891" s="562">
        <f>SUM(I13876:I13890)</f>
        <v>0</v>
      </c>
      <c r="J13891" s="562">
        <f>SUM(J13875:J13890)</f>
        <v>0</v>
      </c>
    </row>
    <row r="13892" spans="3:10" hidden="1" x14ac:dyDescent="0.25"/>
    <row r="13893" spans="3:10" hidden="1" x14ac:dyDescent="0.25"/>
    <row r="13894" spans="3:10" hidden="1" x14ac:dyDescent="0.25">
      <c r="C13894" s="267" t="s">
        <v>4653</v>
      </c>
      <c r="D13894" s="259"/>
      <c r="G13894" s="493" t="s">
        <v>4196</v>
      </c>
    </row>
    <row r="13895" spans="3:10" hidden="1" x14ac:dyDescent="0.25">
      <c r="C13895" s="267"/>
      <c r="D13895" s="331">
        <v>920</v>
      </c>
      <c r="E13895" s="869"/>
      <c r="F13895" s="331"/>
      <c r="G13895" s="332" t="s">
        <v>220</v>
      </c>
    </row>
    <row r="13896" spans="3:10" hidden="1" x14ac:dyDescent="0.25">
      <c r="F13896" s="499">
        <v>411</v>
      </c>
      <c r="G13896" s="492" t="s">
        <v>4131</v>
      </c>
      <c r="J13896" s="556">
        <f>SUM(H13896:I13896)</f>
        <v>0</v>
      </c>
    </row>
    <row r="13897" spans="3:10" hidden="1" x14ac:dyDescent="0.25">
      <c r="F13897" s="499">
        <v>412</v>
      </c>
      <c r="G13897" s="488" t="s">
        <v>3766</v>
      </c>
      <c r="J13897" s="556">
        <f t="shared" ref="J13897:J13955" si="453">SUM(H13897:I13897)</f>
        <v>0</v>
      </c>
    </row>
    <row r="13898" spans="3:10" hidden="1" x14ac:dyDescent="0.25">
      <c r="F13898" s="499">
        <v>413</v>
      </c>
      <c r="G13898" s="492" t="s">
        <v>4132</v>
      </c>
      <c r="J13898" s="556">
        <f t="shared" si="453"/>
        <v>0</v>
      </c>
    </row>
    <row r="13899" spans="3:10" hidden="1" x14ac:dyDescent="0.25">
      <c r="F13899" s="499">
        <v>414</v>
      </c>
      <c r="G13899" s="492" t="s">
        <v>3769</v>
      </c>
      <c r="J13899" s="556">
        <f t="shared" si="453"/>
        <v>0</v>
      </c>
    </row>
    <row r="13900" spans="3:10" hidden="1" x14ac:dyDescent="0.25">
      <c r="F13900" s="499">
        <v>415</v>
      </c>
      <c r="G13900" s="492" t="s">
        <v>4141</v>
      </c>
      <c r="J13900" s="556">
        <f t="shared" si="453"/>
        <v>0</v>
      </c>
    </row>
    <row r="13901" spans="3:10" hidden="1" x14ac:dyDescent="0.25">
      <c r="F13901" s="499">
        <v>416</v>
      </c>
      <c r="G13901" s="492" t="s">
        <v>4142</v>
      </c>
      <c r="J13901" s="556">
        <f t="shared" si="453"/>
        <v>0</v>
      </c>
    </row>
    <row r="13902" spans="3:10" hidden="1" x14ac:dyDescent="0.25">
      <c r="F13902" s="499">
        <v>417</v>
      </c>
      <c r="G13902" s="492" t="s">
        <v>4143</v>
      </c>
      <c r="J13902" s="556">
        <f t="shared" si="453"/>
        <v>0</v>
      </c>
    </row>
    <row r="13903" spans="3:10" hidden="1" x14ac:dyDescent="0.25">
      <c r="F13903" s="499">
        <v>418</v>
      </c>
      <c r="G13903" s="492" t="s">
        <v>3775</v>
      </c>
      <c r="J13903" s="556">
        <f t="shared" si="453"/>
        <v>0</v>
      </c>
    </row>
    <row r="13904" spans="3:10" hidden="1" x14ac:dyDescent="0.25">
      <c r="F13904" s="499">
        <v>421</v>
      </c>
      <c r="G13904" s="492" t="s">
        <v>3779</v>
      </c>
      <c r="J13904" s="556">
        <f t="shared" si="453"/>
        <v>0</v>
      </c>
    </row>
    <row r="13905" spans="6:10" hidden="1" x14ac:dyDescent="0.25">
      <c r="F13905" s="499">
        <v>422</v>
      </c>
      <c r="G13905" s="492" t="s">
        <v>3780</v>
      </c>
      <c r="J13905" s="556">
        <f t="shared" si="453"/>
        <v>0</v>
      </c>
    </row>
    <row r="13906" spans="6:10" hidden="1" x14ac:dyDescent="0.25">
      <c r="F13906" s="499">
        <v>423</v>
      </c>
      <c r="G13906" s="492" t="s">
        <v>3781</v>
      </c>
      <c r="J13906" s="556">
        <f t="shared" si="453"/>
        <v>0</v>
      </c>
    </row>
    <row r="13907" spans="6:10" hidden="1" x14ac:dyDescent="0.25">
      <c r="F13907" s="499">
        <v>424</v>
      </c>
      <c r="G13907" s="492" t="s">
        <v>3783</v>
      </c>
      <c r="J13907" s="556">
        <f t="shared" si="453"/>
        <v>0</v>
      </c>
    </row>
    <row r="13908" spans="6:10" hidden="1" x14ac:dyDescent="0.25">
      <c r="F13908" s="499">
        <v>425</v>
      </c>
      <c r="G13908" s="492" t="s">
        <v>4144</v>
      </c>
      <c r="J13908" s="556">
        <f t="shared" si="453"/>
        <v>0</v>
      </c>
    </row>
    <row r="13909" spans="6:10" hidden="1" x14ac:dyDescent="0.25">
      <c r="F13909" s="499">
        <v>426</v>
      </c>
      <c r="G13909" s="492" t="s">
        <v>3787</v>
      </c>
      <c r="J13909" s="556">
        <f t="shared" si="453"/>
        <v>0</v>
      </c>
    </row>
    <row r="13910" spans="6:10" hidden="1" x14ac:dyDescent="0.25">
      <c r="F13910" s="499">
        <v>431</v>
      </c>
      <c r="G13910" s="492" t="s">
        <v>4145</v>
      </c>
      <c r="J13910" s="556">
        <f t="shared" si="453"/>
        <v>0</v>
      </c>
    </row>
    <row r="13911" spans="6:10" hidden="1" x14ac:dyDescent="0.25">
      <c r="F13911" s="499">
        <v>432</v>
      </c>
      <c r="G13911" s="492" t="s">
        <v>4146</v>
      </c>
      <c r="J13911" s="556">
        <f t="shared" si="453"/>
        <v>0</v>
      </c>
    </row>
    <row r="13912" spans="6:10" hidden="1" x14ac:dyDescent="0.25">
      <c r="F13912" s="499">
        <v>433</v>
      </c>
      <c r="G13912" s="492" t="s">
        <v>4147</v>
      </c>
      <c r="J13912" s="556">
        <f t="shared" si="453"/>
        <v>0</v>
      </c>
    </row>
    <row r="13913" spans="6:10" hidden="1" x14ac:dyDescent="0.25">
      <c r="F13913" s="499">
        <v>434</v>
      </c>
      <c r="G13913" s="492" t="s">
        <v>4148</v>
      </c>
      <c r="J13913" s="556">
        <f t="shared" si="453"/>
        <v>0</v>
      </c>
    </row>
    <row r="13914" spans="6:10" hidden="1" x14ac:dyDescent="0.25">
      <c r="F13914" s="499">
        <v>435</v>
      </c>
      <c r="G13914" s="492" t="s">
        <v>3794</v>
      </c>
      <c r="J13914" s="556">
        <f t="shared" si="453"/>
        <v>0</v>
      </c>
    </row>
    <row r="13915" spans="6:10" hidden="1" x14ac:dyDescent="0.25">
      <c r="F13915" s="499">
        <v>441</v>
      </c>
      <c r="G13915" s="492" t="s">
        <v>4149</v>
      </c>
      <c r="J13915" s="556">
        <f t="shared" si="453"/>
        <v>0</v>
      </c>
    </row>
    <row r="13916" spans="6:10" hidden="1" x14ac:dyDescent="0.25">
      <c r="F13916" s="499">
        <v>442</v>
      </c>
      <c r="G13916" s="492" t="s">
        <v>4150</v>
      </c>
      <c r="J13916" s="556">
        <f t="shared" si="453"/>
        <v>0</v>
      </c>
    </row>
    <row r="13917" spans="6:10" hidden="1" x14ac:dyDescent="0.25">
      <c r="F13917" s="499">
        <v>443</v>
      </c>
      <c r="G13917" s="492" t="s">
        <v>3799</v>
      </c>
      <c r="J13917" s="556">
        <f t="shared" si="453"/>
        <v>0</v>
      </c>
    </row>
    <row r="13918" spans="6:10" hidden="1" x14ac:dyDescent="0.25">
      <c r="F13918" s="499">
        <v>444</v>
      </c>
      <c r="G13918" s="492" t="s">
        <v>3800</v>
      </c>
      <c r="J13918" s="556">
        <f t="shared" si="453"/>
        <v>0</v>
      </c>
    </row>
    <row r="13919" spans="6:10" ht="30" hidden="1" x14ac:dyDescent="0.25">
      <c r="F13919" s="499">
        <v>4511</v>
      </c>
      <c r="G13919" s="263" t="s">
        <v>1690</v>
      </c>
      <c r="J13919" s="556">
        <f t="shared" si="453"/>
        <v>0</v>
      </c>
    </row>
    <row r="13920" spans="6:10" ht="30" hidden="1" x14ac:dyDescent="0.25">
      <c r="F13920" s="499">
        <v>4512</v>
      </c>
      <c r="G13920" s="263" t="s">
        <v>1699</v>
      </c>
      <c r="J13920" s="556">
        <f t="shared" si="453"/>
        <v>0</v>
      </c>
    </row>
    <row r="13921" spans="6:10" hidden="1" x14ac:dyDescent="0.25">
      <c r="F13921" s="499">
        <v>452</v>
      </c>
      <c r="G13921" s="492" t="s">
        <v>4151</v>
      </c>
      <c r="J13921" s="556">
        <f t="shared" si="453"/>
        <v>0</v>
      </c>
    </row>
    <row r="13922" spans="6:10" hidden="1" x14ac:dyDescent="0.25">
      <c r="F13922" s="499">
        <v>453</v>
      </c>
      <c r="G13922" s="492" t="s">
        <v>4152</v>
      </c>
      <c r="J13922" s="556">
        <f t="shared" si="453"/>
        <v>0</v>
      </c>
    </row>
    <row r="13923" spans="6:10" hidden="1" x14ac:dyDescent="0.25">
      <c r="F13923" s="499">
        <v>454</v>
      </c>
      <c r="G13923" s="492" t="s">
        <v>3805</v>
      </c>
      <c r="J13923" s="556">
        <f t="shared" si="453"/>
        <v>0</v>
      </c>
    </row>
    <row r="13924" spans="6:10" hidden="1" x14ac:dyDescent="0.25">
      <c r="F13924" s="499">
        <v>461</v>
      </c>
      <c r="G13924" s="492" t="s">
        <v>4133</v>
      </c>
      <c r="J13924" s="556">
        <f t="shared" si="453"/>
        <v>0</v>
      </c>
    </row>
    <row r="13925" spans="6:10" hidden="1" x14ac:dyDescent="0.25">
      <c r="F13925" s="499">
        <v>462</v>
      </c>
      <c r="G13925" s="492" t="s">
        <v>3808</v>
      </c>
      <c r="J13925" s="556">
        <f t="shared" si="453"/>
        <v>0</v>
      </c>
    </row>
    <row r="13926" spans="6:10" hidden="1" x14ac:dyDescent="0.25">
      <c r="F13926" s="499">
        <v>4631</v>
      </c>
      <c r="G13926" s="492" t="s">
        <v>3809</v>
      </c>
      <c r="J13926" s="556">
        <f t="shared" si="453"/>
        <v>0</v>
      </c>
    </row>
    <row r="13927" spans="6:10" hidden="1" x14ac:dyDescent="0.25">
      <c r="F13927" s="499">
        <v>4632</v>
      </c>
      <c r="G13927" s="492" t="s">
        <v>3810</v>
      </c>
      <c r="J13927" s="556">
        <f t="shared" si="453"/>
        <v>0</v>
      </c>
    </row>
    <row r="13928" spans="6:10" hidden="1" x14ac:dyDescent="0.25">
      <c r="F13928" s="499">
        <v>464</v>
      </c>
      <c r="G13928" s="492" t="s">
        <v>3811</v>
      </c>
      <c r="J13928" s="556">
        <f t="shared" si="453"/>
        <v>0</v>
      </c>
    </row>
    <row r="13929" spans="6:10" hidden="1" x14ac:dyDescent="0.25">
      <c r="F13929" s="499">
        <v>465</v>
      </c>
      <c r="G13929" s="492" t="s">
        <v>4134</v>
      </c>
      <c r="J13929" s="556">
        <f t="shared" si="453"/>
        <v>0</v>
      </c>
    </row>
    <row r="13930" spans="6:10" hidden="1" x14ac:dyDescent="0.25">
      <c r="F13930" s="499">
        <v>472</v>
      </c>
      <c r="G13930" s="492" t="s">
        <v>3815</v>
      </c>
      <c r="J13930" s="556">
        <f t="shared" si="453"/>
        <v>0</v>
      </c>
    </row>
    <row r="13931" spans="6:10" hidden="1" x14ac:dyDescent="0.25">
      <c r="F13931" s="499">
        <v>481</v>
      </c>
      <c r="G13931" s="492" t="s">
        <v>4153</v>
      </c>
      <c r="J13931" s="556">
        <f t="shared" si="453"/>
        <v>0</v>
      </c>
    </row>
    <row r="13932" spans="6:10" hidden="1" x14ac:dyDescent="0.25">
      <c r="F13932" s="499">
        <v>482</v>
      </c>
      <c r="G13932" s="492" t="s">
        <v>4154</v>
      </c>
      <c r="J13932" s="556">
        <f t="shared" si="453"/>
        <v>0</v>
      </c>
    </row>
    <row r="13933" spans="6:10" hidden="1" x14ac:dyDescent="0.25">
      <c r="F13933" s="499">
        <v>483</v>
      </c>
      <c r="G13933" s="496" t="s">
        <v>4155</v>
      </c>
      <c r="J13933" s="556">
        <f t="shared" si="453"/>
        <v>0</v>
      </c>
    </row>
    <row r="13934" spans="6:10" ht="30" hidden="1" x14ac:dyDescent="0.25">
      <c r="F13934" s="499">
        <v>484</v>
      </c>
      <c r="G13934" s="492" t="s">
        <v>4156</v>
      </c>
      <c r="J13934" s="556">
        <f t="shared" si="453"/>
        <v>0</v>
      </c>
    </row>
    <row r="13935" spans="6:10" ht="30" hidden="1" x14ac:dyDescent="0.25">
      <c r="F13935" s="499">
        <v>485</v>
      </c>
      <c r="G13935" s="492" t="s">
        <v>4157</v>
      </c>
      <c r="J13935" s="556">
        <f t="shared" si="453"/>
        <v>0</v>
      </c>
    </row>
    <row r="13936" spans="6:10" ht="30" hidden="1" x14ac:dyDescent="0.25">
      <c r="F13936" s="499">
        <v>489</v>
      </c>
      <c r="G13936" s="492" t="s">
        <v>3823</v>
      </c>
      <c r="J13936" s="556">
        <f t="shared" si="453"/>
        <v>0</v>
      </c>
    </row>
    <row r="13937" spans="6:10" hidden="1" x14ac:dyDescent="0.25">
      <c r="F13937" s="499">
        <v>494</v>
      </c>
      <c r="G13937" s="492" t="s">
        <v>4135</v>
      </c>
      <c r="J13937" s="556">
        <f t="shared" si="453"/>
        <v>0</v>
      </c>
    </row>
    <row r="13938" spans="6:10" ht="30" hidden="1" x14ac:dyDescent="0.25">
      <c r="F13938" s="499">
        <v>495</v>
      </c>
      <c r="G13938" s="492" t="s">
        <v>4136</v>
      </c>
      <c r="J13938" s="556">
        <f t="shared" si="453"/>
        <v>0</v>
      </c>
    </row>
    <row r="13939" spans="6:10" ht="30" hidden="1" x14ac:dyDescent="0.25">
      <c r="F13939" s="499">
        <v>496</v>
      </c>
      <c r="G13939" s="492" t="s">
        <v>4137</v>
      </c>
      <c r="J13939" s="556">
        <f t="shared" si="453"/>
        <v>0</v>
      </c>
    </row>
    <row r="13940" spans="6:10" ht="30" hidden="1" x14ac:dyDescent="0.25">
      <c r="F13940" s="499">
        <v>499</v>
      </c>
      <c r="G13940" s="492" t="s">
        <v>4138</v>
      </c>
      <c r="J13940" s="556">
        <f t="shared" si="453"/>
        <v>0</v>
      </c>
    </row>
    <row r="13941" spans="6:10" hidden="1" x14ac:dyDescent="0.25">
      <c r="F13941" s="499">
        <v>511</v>
      </c>
      <c r="G13941" s="496" t="s">
        <v>4158</v>
      </c>
      <c r="J13941" s="556">
        <f t="shared" si="453"/>
        <v>0</v>
      </c>
    </row>
    <row r="13942" spans="6:10" hidden="1" x14ac:dyDescent="0.25">
      <c r="F13942" s="499">
        <v>512</v>
      </c>
      <c r="G13942" s="496" t="s">
        <v>4159</v>
      </c>
      <c r="J13942" s="556">
        <f t="shared" si="453"/>
        <v>0</v>
      </c>
    </row>
    <row r="13943" spans="6:10" hidden="1" x14ac:dyDescent="0.25">
      <c r="F13943" s="499">
        <v>513</v>
      </c>
      <c r="G13943" s="496" t="s">
        <v>4160</v>
      </c>
      <c r="J13943" s="556">
        <f t="shared" si="453"/>
        <v>0</v>
      </c>
    </row>
    <row r="13944" spans="6:10" hidden="1" x14ac:dyDescent="0.25">
      <c r="F13944" s="499">
        <v>514</v>
      </c>
      <c r="G13944" s="492" t="s">
        <v>4161</v>
      </c>
      <c r="J13944" s="556">
        <f t="shared" si="453"/>
        <v>0</v>
      </c>
    </row>
    <row r="13945" spans="6:10" hidden="1" x14ac:dyDescent="0.25">
      <c r="F13945" s="499">
        <v>515</v>
      </c>
      <c r="G13945" s="492" t="s">
        <v>3834</v>
      </c>
      <c r="J13945" s="556">
        <f t="shared" si="453"/>
        <v>0</v>
      </c>
    </row>
    <row r="13946" spans="6:10" hidden="1" x14ac:dyDescent="0.25">
      <c r="F13946" s="499">
        <v>521</v>
      </c>
      <c r="G13946" s="492" t="s">
        <v>4162</v>
      </c>
      <c r="J13946" s="556">
        <f t="shared" si="453"/>
        <v>0</v>
      </c>
    </row>
    <row r="13947" spans="6:10" hidden="1" x14ac:dyDescent="0.25">
      <c r="F13947" s="499">
        <v>522</v>
      </c>
      <c r="G13947" s="492" t="s">
        <v>4163</v>
      </c>
      <c r="J13947" s="556">
        <f t="shared" si="453"/>
        <v>0</v>
      </c>
    </row>
    <row r="13948" spans="6:10" hidden="1" x14ac:dyDescent="0.25">
      <c r="F13948" s="499">
        <v>523</v>
      </c>
      <c r="G13948" s="492" t="s">
        <v>3839</v>
      </c>
      <c r="J13948" s="556">
        <f t="shared" si="453"/>
        <v>0</v>
      </c>
    </row>
    <row r="13949" spans="6:10" hidden="1" x14ac:dyDescent="0.25">
      <c r="F13949" s="499">
        <v>531</v>
      </c>
      <c r="G13949" s="488" t="s">
        <v>4139</v>
      </c>
      <c r="J13949" s="556">
        <f t="shared" si="453"/>
        <v>0</v>
      </c>
    </row>
    <row r="13950" spans="6:10" hidden="1" x14ac:dyDescent="0.25">
      <c r="F13950" s="499">
        <v>541</v>
      </c>
      <c r="G13950" s="492" t="s">
        <v>4164</v>
      </c>
      <c r="J13950" s="556">
        <f t="shared" si="453"/>
        <v>0</v>
      </c>
    </row>
    <row r="13951" spans="6:10" hidden="1" x14ac:dyDescent="0.25">
      <c r="F13951" s="499">
        <v>542</v>
      </c>
      <c r="G13951" s="492" t="s">
        <v>4165</v>
      </c>
      <c r="J13951" s="556">
        <f t="shared" si="453"/>
        <v>0</v>
      </c>
    </row>
    <row r="13952" spans="6:10" hidden="1" x14ac:dyDescent="0.25">
      <c r="F13952" s="499">
        <v>543</v>
      </c>
      <c r="G13952" s="492" t="s">
        <v>3844</v>
      </c>
      <c r="J13952" s="556">
        <f t="shared" si="453"/>
        <v>0</v>
      </c>
    </row>
    <row r="13953" spans="5:10" ht="30" hidden="1" x14ac:dyDescent="0.25">
      <c r="F13953" s="499">
        <v>551</v>
      </c>
      <c r="G13953" s="492" t="s">
        <v>4140</v>
      </c>
      <c r="J13953" s="556">
        <f t="shared" si="453"/>
        <v>0</v>
      </c>
    </row>
    <row r="13954" spans="5:10" hidden="1" x14ac:dyDescent="0.25">
      <c r="F13954" s="500">
        <v>611</v>
      </c>
      <c r="G13954" s="498" t="s">
        <v>3850</v>
      </c>
      <c r="J13954" s="556">
        <f t="shared" si="453"/>
        <v>0</v>
      </c>
    </row>
    <row r="13955" spans="5:10" hidden="1" x14ac:dyDescent="0.25">
      <c r="F13955" s="500">
        <v>620</v>
      </c>
      <c r="G13955" s="498" t="s">
        <v>88</v>
      </c>
      <c r="J13955" s="556">
        <f t="shared" si="453"/>
        <v>0</v>
      </c>
    </row>
    <row r="13956" spans="5:10" hidden="1" x14ac:dyDescent="0.25">
      <c r="E13956" s="489"/>
      <c r="F13956" s="500"/>
      <c r="G13956" s="342" t="s">
        <v>4373</v>
      </c>
      <c r="H13956" s="557"/>
      <c r="I13956" s="583"/>
      <c r="J13956" s="558"/>
    </row>
    <row r="13957" spans="5:10" hidden="1" x14ac:dyDescent="0.25">
      <c r="E13957" s="693"/>
      <c r="F13957" s="284" t="s">
        <v>234</v>
      </c>
      <c r="G13957" s="287" t="s">
        <v>235</v>
      </c>
      <c r="H13957" s="559">
        <f>SUM(H13896:H13955)</f>
        <v>0</v>
      </c>
      <c r="I13957" s="560"/>
      <c r="J13957" s="560">
        <f>SUM(H13957:I13957)</f>
        <v>0</v>
      </c>
    </row>
    <row r="13958" spans="5:10" hidden="1" x14ac:dyDescent="0.25">
      <c r="F13958" s="284" t="s">
        <v>236</v>
      </c>
      <c r="G13958" s="287" t="s">
        <v>237</v>
      </c>
      <c r="J13958" s="560">
        <f t="shared" ref="J13958:J13972" si="454">SUM(H13958:I13958)</f>
        <v>0</v>
      </c>
    </row>
    <row r="13959" spans="5:10" hidden="1" x14ac:dyDescent="0.25">
      <c r="F13959" s="284" t="s">
        <v>238</v>
      </c>
      <c r="G13959" s="287" t="s">
        <v>239</v>
      </c>
      <c r="J13959" s="560">
        <f t="shared" si="454"/>
        <v>0</v>
      </c>
    </row>
    <row r="13960" spans="5:10" hidden="1" x14ac:dyDescent="0.25">
      <c r="F13960" s="284" t="s">
        <v>240</v>
      </c>
      <c r="G13960" s="287" t="s">
        <v>241</v>
      </c>
      <c r="J13960" s="560">
        <f t="shared" si="454"/>
        <v>0</v>
      </c>
    </row>
    <row r="13961" spans="5:10" hidden="1" x14ac:dyDescent="0.25">
      <c r="F13961" s="284" t="s">
        <v>242</v>
      </c>
      <c r="G13961" s="287" t="s">
        <v>243</v>
      </c>
      <c r="J13961" s="560">
        <f t="shared" si="454"/>
        <v>0</v>
      </c>
    </row>
    <row r="13962" spans="5:10" hidden="1" x14ac:dyDescent="0.25">
      <c r="F13962" s="284" t="s">
        <v>244</v>
      </c>
      <c r="G13962" s="287" t="s">
        <v>245</v>
      </c>
      <c r="J13962" s="560">
        <f t="shared" si="454"/>
        <v>0</v>
      </c>
    </row>
    <row r="13963" spans="5:10" hidden="1" x14ac:dyDescent="0.25">
      <c r="F13963" s="284" t="s">
        <v>246</v>
      </c>
      <c r="G13963" s="598" t="s">
        <v>4996</v>
      </c>
      <c r="J13963" s="560">
        <f t="shared" si="454"/>
        <v>0</v>
      </c>
    </row>
    <row r="13964" spans="5:10" hidden="1" x14ac:dyDescent="0.25">
      <c r="F13964" s="284" t="s">
        <v>247</v>
      </c>
      <c r="G13964" s="598" t="s">
        <v>4995</v>
      </c>
      <c r="J13964" s="560">
        <f t="shared" si="454"/>
        <v>0</v>
      </c>
    </row>
    <row r="13965" spans="5:10" hidden="1" x14ac:dyDescent="0.25">
      <c r="F13965" s="284" t="s">
        <v>248</v>
      </c>
      <c r="G13965" s="287" t="s">
        <v>57</v>
      </c>
      <c r="J13965" s="560">
        <f t="shared" si="454"/>
        <v>0</v>
      </c>
    </row>
    <row r="13966" spans="5:10" hidden="1" x14ac:dyDescent="0.25">
      <c r="F13966" s="284" t="s">
        <v>249</v>
      </c>
      <c r="G13966" s="287" t="s">
        <v>250</v>
      </c>
      <c r="J13966" s="560">
        <f t="shared" si="454"/>
        <v>0</v>
      </c>
    </row>
    <row r="13967" spans="5:10" hidden="1" x14ac:dyDescent="0.25">
      <c r="F13967" s="284" t="s">
        <v>251</v>
      </c>
      <c r="G13967" s="287" t="s">
        <v>252</v>
      </c>
      <c r="J13967" s="560">
        <f t="shared" si="454"/>
        <v>0</v>
      </c>
    </row>
    <row r="13968" spans="5:10" ht="30" hidden="1" x14ac:dyDescent="0.25">
      <c r="F13968" s="284" t="s">
        <v>253</v>
      </c>
      <c r="G13968" s="287" t="s">
        <v>254</v>
      </c>
      <c r="J13968" s="560">
        <f t="shared" si="454"/>
        <v>0</v>
      </c>
    </row>
    <row r="13969" spans="5:10" hidden="1" x14ac:dyDescent="0.25">
      <c r="F13969" s="284" t="s">
        <v>255</v>
      </c>
      <c r="G13969" s="287" t="s">
        <v>256</v>
      </c>
      <c r="J13969" s="560">
        <f t="shared" si="454"/>
        <v>0</v>
      </c>
    </row>
    <row r="13970" spans="5:10" ht="30" hidden="1" x14ac:dyDescent="0.25">
      <c r="F13970" s="284" t="s">
        <v>257</v>
      </c>
      <c r="G13970" s="287" t="s">
        <v>258</v>
      </c>
      <c r="J13970" s="560">
        <f t="shared" si="454"/>
        <v>0</v>
      </c>
    </row>
    <row r="13971" spans="5:10" hidden="1" x14ac:dyDescent="0.25">
      <c r="F13971" s="284" t="s">
        <v>259</v>
      </c>
      <c r="G13971" s="287" t="s">
        <v>260</v>
      </c>
      <c r="J13971" s="560">
        <f t="shared" si="454"/>
        <v>0</v>
      </c>
    </row>
    <row r="13972" spans="5:10" hidden="1" x14ac:dyDescent="0.25">
      <c r="F13972" s="284" t="s">
        <v>261</v>
      </c>
      <c r="G13972" s="287" t="s">
        <v>262</v>
      </c>
      <c r="H13972" s="559"/>
      <c r="I13972" s="560"/>
      <c r="J13972" s="560">
        <f t="shared" si="454"/>
        <v>0</v>
      </c>
    </row>
    <row r="13973" spans="5:10" ht="15.75" hidden="1" thickBot="1" x14ac:dyDescent="0.3">
      <c r="G13973" s="268" t="s">
        <v>4374</v>
      </c>
      <c r="H13973" s="561">
        <f>SUM(H13957:H13972)</f>
        <v>0</v>
      </c>
      <c r="I13973" s="562">
        <f>SUM(I13958:I13972)</f>
        <v>0</v>
      </c>
      <c r="J13973" s="562">
        <f>SUM(J13957:J13972)</f>
        <v>0</v>
      </c>
    </row>
    <row r="13974" spans="5:10" hidden="1" collapsed="1" x14ac:dyDescent="0.25">
      <c r="E13974" s="489"/>
      <c r="F13974" s="500"/>
      <c r="G13974" s="270" t="s">
        <v>4942</v>
      </c>
      <c r="H13974" s="563"/>
      <c r="I13974" s="584"/>
      <c r="J13974" s="564"/>
    </row>
    <row r="13975" spans="5:10" hidden="1" x14ac:dyDescent="0.25">
      <c r="E13975" s="693"/>
      <c r="F13975" s="284" t="s">
        <v>234</v>
      </c>
      <c r="G13975" s="287" t="s">
        <v>235</v>
      </c>
      <c r="H13975" s="559">
        <f>SUM(H13896:H13955)</f>
        <v>0</v>
      </c>
      <c r="I13975" s="560"/>
      <c r="J13975" s="560">
        <f>SUM(H13975:I13975)</f>
        <v>0</v>
      </c>
    </row>
    <row r="13976" spans="5:10" hidden="1" x14ac:dyDescent="0.25">
      <c r="F13976" s="284" t="s">
        <v>236</v>
      </c>
      <c r="G13976" s="287" t="s">
        <v>237</v>
      </c>
      <c r="J13976" s="560">
        <f t="shared" ref="J13976:J13990" si="455">SUM(H13976:I13976)</f>
        <v>0</v>
      </c>
    </row>
    <row r="13977" spans="5:10" hidden="1" x14ac:dyDescent="0.25">
      <c r="F13977" s="284" t="s">
        <v>238</v>
      </c>
      <c r="G13977" s="287" t="s">
        <v>239</v>
      </c>
      <c r="J13977" s="560">
        <f t="shared" si="455"/>
        <v>0</v>
      </c>
    </row>
    <row r="13978" spans="5:10" hidden="1" x14ac:dyDescent="0.25">
      <c r="F13978" s="284" t="s">
        <v>240</v>
      </c>
      <c r="G13978" s="287" t="s">
        <v>241</v>
      </c>
      <c r="J13978" s="560">
        <f t="shared" si="455"/>
        <v>0</v>
      </c>
    </row>
    <row r="13979" spans="5:10" hidden="1" x14ac:dyDescent="0.25">
      <c r="F13979" s="284" t="s">
        <v>242</v>
      </c>
      <c r="G13979" s="287" t="s">
        <v>243</v>
      </c>
      <c r="J13979" s="560">
        <f t="shared" si="455"/>
        <v>0</v>
      </c>
    </row>
    <row r="13980" spans="5:10" hidden="1" x14ac:dyDescent="0.25">
      <c r="F13980" s="284" t="s">
        <v>244</v>
      </c>
      <c r="G13980" s="287" t="s">
        <v>245</v>
      </c>
      <c r="J13980" s="560">
        <f t="shared" si="455"/>
        <v>0</v>
      </c>
    </row>
    <row r="13981" spans="5:10" hidden="1" x14ac:dyDescent="0.25">
      <c r="F13981" s="284" t="s">
        <v>246</v>
      </c>
      <c r="G13981" s="598" t="s">
        <v>4996</v>
      </c>
      <c r="J13981" s="560">
        <f t="shared" si="455"/>
        <v>0</v>
      </c>
    </row>
    <row r="13982" spans="5:10" hidden="1" x14ac:dyDescent="0.25">
      <c r="F13982" s="284" t="s">
        <v>247</v>
      </c>
      <c r="G13982" s="598" t="s">
        <v>4995</v>
      </c>
      <c r="J13982" s="560">
        <f t="shared" si="455"/>
        <v>0</v>
      </c>
    </row>
    <row r="13983" spans="5:10" hidden="1" x14ac:dyDescent="0.25">
      <c r="F13983" s="284" t="s">
        <v>248</v>
      </c>
      <c r="G13983" s="287" t="s">
        <v>57</v>
      </c>
      <c r="J13983" s="560">
        <f t="shared" si="455"/>
        <v>0</v>
      </c>
    </row>
    <row r="13984" spans="5:10" hidden="1" x14ac:dyDescent="0.25">
      <c r="F13984" s="284" t="s">
        <v>249</v>
      </c>
      <c r="G13984" s="287" t="s">
        <v>250</v>
      </c>
      <c r="J13984" s="560">
        <f t="shared" si="455"/>
        <v>0</v>
      </c>
    </row>
    <row r="13985" spans="1:10" hidden="1" x14ac:dyDescent="0.25">
      <c r="F13985" s="284" t="s">
        <v>251</v>
      </c>
      <c r="G13985" s="287" t="s">
        <v>252</v>
      </c>
      <c r="J13985" s="560">
        <f t="shared" si="455"/>
        <v>0</v>
      </c>
    </row>
    <row r="13986" spans="1:10" ht="30" hidden="1" x14ac:dyDescent="0.25">
      <c r="F13986" s="284" t="s">
        <v>253</v>
      </c>
      <c r="G13986" s="287" t="s">
        <v>254</v>
      </c>
      <c r="J13986" s="560">
        <f t="shared" si="455"/>
        <v>0</v>
      </c>
    </row>
    <row r="13987" spans="1:10" hidden="1" x14ac:dyDescent="0.25">
      <c r="F13987" s="284" t="s">
        <v>255</v>
      </c>
      <c r="G13987" s="287" t="s">
        <v>256</v>
      </c>
      <c r="J13987" s="560">
        <f t="shared" si="455"/>
        <v>0</v>
      </c>
    </row>
    <row r="13988" spans="1:10" ht="30" hidden="1" x14ac:dyDescent="0.25">
      <c r="F13988" s="284" t="s">
        <v>257</v>
      </c>
      <c r="G13988" s="287" t="s">
        <v>258</v>
      </c>
      <c r="J13988" s="560">
        <f t="shared" si="455"/>
        <v>0</v>
      </c>
    </row>
    <row r="13989" spans="1:10" hidden="1" x14ac:dyDescent="0.25">
      <c r="F13989" s="284" t="s">
        <v>259</v>
      </c>
      <c r="G13989" s="287" t="s">
        <v>260</v>
      </c>
      <c r="J13989" s="560">
        <f t="shared" si="455"/>
        <v>0</v>
      </c>
    </row>
    <row r="13990" spans="1:10" hidden="1" x14ac:dyDescent="0.25">
      <c r="F13990" s="284" t="s">
        <v>261</v>
      </c>
      <c r="G13990" s="287" t="s">
        <v>262</v>
      </c>
      <c r="H13990" s="559"/>
      <c r="I13990" s="560"/>
      <c r="J13990" s="560">
        <f t="shared" si="455"/>
        <v>0</v>
      </c>
    </row>
    <row r="13991" spans="1:10" ht="15.75" hidden="1" thickBot="1" x14ac:dyDescent="0.3">
      <c r="G13991" s="268" t="s">
        <v>4927</v>
      </c>
      <c r="H13991" s="561">
        <f>SUM(H13975:H13990)</f>
        <v>0</v>
      </c>
      <c r="I13991" s="562">
        <f>SUM(I13976:I13990)</f>
        <v>0</v>
      </c>
      <c r="J13991" s="562">
        <f>SUM(J13975:J13990)</f>
        <v>0</v>
      </c>
    </row>
    <row r="13992" spans="1:10" hidden="1" x14ac:dyDescent="0.25">
      <c r="G13992" s="312"/>
      <c r="H13992" s="565"/>
      <c r="I13992" s="566"/>
      <c r="J13992" s="566"/>
    </row>
    <row r="13993" spans="1:10" hidden="1" x14ac:dyDescent="0.25">
      <c r="B13993" s="84"/>
      <c r="C13993" s="84"/>
      <c r="D13993" s="84"/>
      <c r="E13993" s="878"/>
      <c r="F13993" s="84"/>
      <c r="G13993" s="84"/>
      <c r="H13993" s="84"/>
      <c r="I13993" s="84"/>
      <c r="J13993" s="84"/>
    </row>
    <row r="13994" spans="1:10" hidden="1" x14ac:dyDescent="0.25">
      <c r="A13994" s="84"/>
      <c r="B13994" s="84"/>
      <c r="C13994" s="84"/>
      <c r="D13994" s="84"/>
      <c r="E13994" s="878"/>
      <c r="F13994" s="84"/>
      <c r="G13994" s="84"/>
      <c r="H13994" s="84"/>
      <c r="I13994" s="84"/>
      <c r="J13994" s="84"/>
    </row>
    <row r="13995" spans="1:10" hidden="1" x14ac:dyDescent="0.25">
      <c r="A13995" s="84"/>
      <c r="B13995" s="84"/>
      <c r="C13995" s="84"/>
      <c r="D13995" s="84"/>
      <c r="E13995" s="878"/>
      <c r="F13995" s="84"/>
      <c r="G13995" s="84"/>
      <c r="H13995" s="84"/>
      <c r="I13995" s="84"/>
      <c r="J13995" s="84"/>
    </row>
    <row r="13996" spans="1:10" hidden="1" x14ac:dyDescent="0.25">
      <c r="A13996" s="84"/>
      <c r="B13996" s="84"/>
      <c r="C13996" s="84"/>
      <c r="D13996" s="84"/>
      <c r="E13996" s="878"/>
      <c r="F13996" s="84"/>
      <c r="G13996" s="84"/>
      <c r="H13996" s="84"/>
      <c r="I13996" s="84"/>
      <c r="J13996" s="84"/>
    </row>
    <row r="13997" spans="1:10" hidden="1" x14ac:dyDescent="0.25">
      <c r="A13997" s="84"/>
      <c r="B13997" s="84"/>
      <c r="C13997" s="84"/>
      <c r="D13997" s="84"/>
      <c r="E13997" s="878"/>
      <c r="F13997" s="84"/>
      <c r="G13997" s="84"/>
      <c r="H13997" s="84"/>
      <c r="I13997" s="84"/>
      <c r="J13997" s="84"/>
    </row>
    <row r="13998" spans="1:10" hidden="1" x14ac:dyDescent="0.25">
      <c r="A13998" s="84"/>
      <c r="B13998" s="84"/>
      <c r="C13998" s="84"/>
      <c r="D13998" s="84"/>
      <c r="E13998" s="878"/>
      <c r="F13998" s="84"/>
      <c r="G13998" s="84"/>
      <c r="H13998" s="84"/>
      <c r="I13998" s="84"/>
      <c r="J13998" s="84"/>
    </row>
    <row r="13999" spans="1:10" hidden="1" x14ac:dyDescent="0.25">
      <c r="A13999" s="84"/>
      <c r="B13999" s="84"/>
      <c r="C13999" s="84"/>
      <c r="D13999" s="84"/>
      <c r="E13999" s="878"/>
      <c r="F13999" s="84"/>
      <c r="G13999" s="84"/>
      <c r="H13999" s="84"/>
      <c r="I13999" s="84"/>
      <c r="J13999" s="84"/>
    </row>
    <row r="14000" spans="1:10" hidden="1" x14ac:dyDescent="0.25">
      <c r="A14000" s="84"/>
      <c r="B14000" s="84"/>
      <c r="C14000" s="84"/>
      <c r="D14000" s="84"/>
      <c r="E14000" s="878"/>
      <c r="F14000" s="84"/>
      <c r="G14000" s="84"/>
      <c r="H14000" s="84"/>
      <c r="I14000" s="84"/>
      <c r="J14000" s="84"/>
    </row>
    <row r="14001" spans="1:10" hidden="1" x14ac:dyDescent="0.25">
      <c r="A14001" s="84"/>
      <c r="B14001" s="84"/>
      <c r="C14001" s="84"/>
      <c r="D14001" s="84"/>
      <c r="E14001" s="878"/>
      <c r="F14001" s="84"/>
      <c r="G14001" s="84"/>
      <c r="H14001" s="84"/>
      <c r="I14001" s="84"/>
      <c r="J14001" s="84"/>
    </row>
    <row r="14002" spans="1:10" hidden="1" x14ac:dyDescent="0.25">
      <c r="A14002" s="84"/>
      <c r="B14002" s="84"/>
      <c r="C14002" s="84"/>
      <c r="D14002" s="84"/>
      <c r="E14002" s="878"/>
      <c r="F14002" s="84"/>
      <c r="G14002" s="84"/>
      <c r="H14002" s="84"/>
      <c r="I14002" s="84"/>
      <c r="J14002" s="84"/>
    </row>
    <row r="14003" spans="1:10" hidden="1" x14ac:dyDescent="0.25">
      <c r="A14003" s="84"/>
      <c r="B14003" s="84"/>
      <c r="C14003" s="84"/>
      <c r="D14003" s="84"/>
      <c r="E14003" s="878"/>
      <c r="F14003" s="84"/>
      <c r="G14003" s="84"/>
      <c r="H14003" s="84"/>
      <c r="I14003" s="84"/>
      <c r="J14003" s="84"/>
    </row>
    <row r="14004" spans="1:10" hidden="1" x14ac:dyDescent="0.25">
      <c r="A14004" s="84"/>
      <c r="B14004" s="84"/>
      <c r="C14004" s="84"/>
      <c r="D14004" s="84"/>
      <c r="E14004" s="878"/>
      <c r="F14004" s="84"/>
      <c r="G14004" s="84"/>
      <c r="H14004" s="84"/>
      <c r="I14004" s="84"/>
      <c r="J14004" s="84"/>
    </row>
    <row r="14005" spans="1:10" hidden="1" x14ac:dyDescent="0.25">
      <c r="A14005" s="84"/>
      <c r="B14005" s="84"/>
      <c r="C14005" s="84"/>
      <c r="D14005" s="84"/>
      <c r="E14005" s="878"/>
      <c r="F14005" s="84"/>
      <c r="G14005" s="84"/>
      <c r="H14005" s="84"/>
      <c r="I14005" s="84"/>
      <c r="J14005" s="84"/>
    </row>
    <row r="14006" spans="1:10" hidden="1" x14ac:dyDescent="0.25">
      <c r="A14006" s="84"/>
      <c r="B14006" s="84"/>
      <c r="C14006" s="84"/>
      <c r="D14006" s="84"/>
      <c r="E14006" s="878"/>
      <c r="F14006" s="84"/>
      <c r="G14006" s="84"/>
      <c r="H14006" s="84"/>
      <c r="I14006" s="84"/>
      <c r="J14006" s="84"/>
    </row>
    <row r="14007" spans="1:10" hidden="1" x14ac:dyDescent="0.25">
      <c r="A14007" s="84"/>
      <c r="B14007" s="84"/>
      <c r="C14007" s="84"/>
      <c r="D14007" s="84"/>
      <c r="E14007" s="878"/>
      <c r="F14007" s="84"/>
      <c r="G14007" s="84"/>
      <c r="H14007" s="84"/>
      <c r="I14007" s="84"/>
      <c r="J14007" s="84"/>
    </row>
    <row r="14008" spans="1:10" hidden="1" x14ac:dyDescent="0.25">
      <c r="A14008" s="84"/>
      <c r="B14008" s="84"/>
      <c r="C14008" s="84"/>
      <c r="D14008" s="84"/>
      <c r="E14008" s="878"/>
      <c r="F14008" s="84"/>
      <c r="G14008" s="84"/>
      <c r="H14008" s="84"/>
      <c r="I14008" s="84"/>
      <c r="J14008" s="84"/>
    </row>
    <row r="14009" spans="1:10" hidden="1" x14ac:dyDescent="0.25">
      <c r="A14009" s="84"/>
      <c r="B14009" s="84"/>
      <c r="C14009" s="84"/>
      <c r="D14009" s="84"/>
      <c r="E14009" s="878"/>
      <c r="F14009" s="84"/>
      <c r="G14009" s="84"/>
      <c r="H14009" s="84"/>
      <c r="I14009" s="84"/>
      <c r="J14009" s="84"/>
    </row>
    <row r="14010" spans="1:10" hidden="1" x14ac:dyDescent="0.25">
      <c r="A14010" s="84"/>
      <c r="B14010" s="84"/>
      <c r="C14010" s="84"/>
      <c r="D14010" s="84"/>
      <c r="E14010" s="878"/>
      <c r="F14010" s="84"/>
      <c r="G14010" s="84"/>
      <c r="H14010" s="84"/>
      <c r="I14010" s="84"/>
      <c r="J14010" s="84"/>
    </row>
    <row r="14011" spans="1:10" hidden="1" x14ac:dyDescent="0.25">
      <c r="A14011" s="84"/>
    </row>
    <row r="14012" spans="1:10" hidden="1" x14ac:dyDescent="0.25">
      <c r="E14012" s="489"/>
      <c r="F14012" s="500"/>
      <c r="G14012" s="285" t="s">
        <v>4371</v>
      </c>
      <c r="H14012" s="567"/>
      <c r="I14012" s="585"/>
      <c r="J14012" s="568"/>
    </row>
    <row r="14013" spans="1:10" hidden="1" x14ac:dyDescent="0.25">
      <c r="E14013" s="693"/>
      <c r="F14013" s="284" t="s">
        <v>234</v>
      </c>
      <c r="G14013" s="287" t="s">
        <v>235</v>
      </c>
      <c r="H14013" s="559" t="e">
        <f>SUM(#REF!)</f>
        <v>#REF!</v>
      </c>
      <c r="I14013" s="560"/>
      <c r="J14013" s="560" t="e">
        <f>SUM(H14013:I14013)</f>
        <v>#REF!</v>
      </c>
    </row>
    <row r="14014" spans="1:10" hidden="1" x14ac:dyDescent="0.25">
      <c r="F14014" s="284" t="s">
        <v>236</v>
      </c>
      <c r="G14014" s="287" t="s">
        <v>237</v>
      </c>
      <c r="J14014" s="560">
        <f t="shared" ref="J14014:J14028" si="456">SUM(H14014:I14014)</f>
        <v>0</v>
      </c>
    </row>
    <row r="14015" spans="1:10" hidden="1" x14ac:dyDescent="0.25">
      <c r="F14015" s="284" t="s">
        <v>238</v>
      </c>
      <c r="G14015" s="287" t="s">
        <v>239</v>
      </c>
      <c r="J14015" s="560">
        <f t="shared" si="456"/>
        <v>0</v>
      </c>
    </row>
    <row r="14016" spans="1:10" hidden="1" x14ac:dyDescent="0.25">
      <c r="F14016" s="284" t="s">
        <v>240</v>
      </c>
      <c r="G14016" s="287" t="s">
        <v>241</v>
      </c>
      <c r="J14016" s="560">
        <f t="shared" si="456"/>
        <v>0</v>
      </c>
    </row>
    <row r="14017" spans="2:14" hidden="1" x14ac:dyDescent="0.25">
      <c r="F14017" s="284" t="s">
        <v>242</v>
      </c>
      <c r="G14017" s="287" t="s">
        <v>243</v>
      </c>
      <c r="J14017" s="560">
        <f t="shared" si="456"/>
        <v>0</v>
      </c>
    </row>
    <row r="14018" spans="2:14" hidden="1" x14ac:dyDescent="0.25">
      <c r="F14018" s="284" t="s">
        <v>244</v>
      </c>
      <c r="G14018" s="287" t="s">
        <v>245</v>
      </c>
      <c r="J14018" s="560">
        <f t="shared" si="456"/>
        <v>0</v>
      </c>
    </row>
    <row r="14019" spans="2:14" hidden="1" x14ac:dyDescent="0.25">
      <c r="F14019" s="284" t="s">
        <v>246</v>
      </c>
      <c r="G14019" s="598" t="s">
        <v>4996</v>
      </c>
      <c r="J14019" s="560">
        <f t="shared" si="456"/>
        <v>0</v>
      </c>
    </row>
    <row r="14020" spans="2:14" hidden="1" x14ac:dyDescent="0.25">
      <c r="F14020" s="284" t="s">
        <v>247</v>
      </c>
      <c r="G14020" s="598" t="s">
        <v>4995</v>
      </c>
      <c r="J14020" s="560">
        <f t="shared" si="456"/>
        <v>0</v>
      </c>
    </row>
    <row r="14021" spans="2:14" hidden="1" x14ac:dyDescent="0.25">
      <c r="F14021" s="284" t="s">
        <v>248</v>
      </c>
      <c r="G14021" s="287" t="s">
        <v>57</v>
      </c>
      <c r="J14021" s="560">
        <f t="shared" si="456"/>
        <v>0</v>
      </c>
    </row>
    <row r="14022" spans="2:14" hidden="1" x14ac:dyDescent="0.25">
      <c r="F14022" s="284" t="s">
        <v>249</v>
      </c>
      <c r="G14022" s="287" t="s">
        <v>250</v>
      </c>
      <c r="J14022" s="560">
        <f t="shared" si="456"/>
        <v>0</v>
      </c>
    </row>
    <row r="14023" spans="2:14" hidden="1" x14ac:dyDescent="0.25">
      <c r="F14023" s="284" t="s">
        <v>251</v>
      </c>
      <c r="G14023" s="287" t="s">
        <v>252</v>
      </c>
      <c r="J14023" s="560">
        <f t="shared" si="456"/>
        <v>0</v>
      </c>
    </row>
    <row r="14024" spans="2:14" ht="30" hidden="1" x14ac:dyDescent="0.25">
      <c r="F14024" s="284" t="s">
        <v>253</v>
      </c>
      <c r="G14024" s="287" t="s">
        <v>254</v>
      </c>
      <c r="J14024" s="560">
        <f t="shared" si="456"/>
        <v>0</v>
      </c>
    </row>
    <row r="14025" spans="2:14" hidden="1" x14ac:dyDescent="0.25">
      <c r="F14025" s="284" t="s">
        <v>255</v>
      </c>
      <c r="G14025" s="287" t="s">
        <v>256</v>
      </c>
      <c r="J14025" s="560">
        <f t="shared" si="456"/>
        <v>0</v>
      </c>
    </row>
    <row r="14026" spans="2:14" ht="30" hidden="1" x14ac:dyDescent="0.25">
      <c r="F14026" s="284" t="s">
        <v>257</v>
      </c>
      <c r="G14026" s="287" t="s">
        <v>258</v>
      </c>
      <c r="J14026" s="560">
        <f t="shared" si="456"/>
        <v>0</v>
      </c>
    </row>
    <row r="14027" spans="2:14" hidden="1" x14ac:dyDescent="0.25">
      <c r="F14027" s="284" t="s">
        <v>259</v>
      </c>
      <c r="G14027" s="287" t="s">
        <v>260</v>
      </c>
      <c r="J14027" s="560">
        <f t="shared" si="456"/>
        <v>0</v>
      </c>
    </row>
    <row r="14028" spans="2:14" hidden="1" x14ac:dyDescent="0.25">
      <c r="F14028" s="284" t="s">
        <v>261</v>
      </c>
      <c r="G14028" s="287" t="s">
        <v>262</v>
      </c>
      <c r="H14028" s="559"/>
      <c r="I14028" s="560"/>
      <c r="J14028" s="560">
        <f t="shared" si="456"/>
        <v>0</v>
      </c>
    </row>
    <row r="14029" spans="2:14" ht="15.75" hidden="1" thickBot="1" x14ac:dyDescent="0.3">
      <c r="G14029" s="268" t="s">
        <v>4372</v>
      </c>
      <c r="H14029" s="561" t="e">
        <f>SUM(H14013:H14028)</f>
        <v>#REF!</v>
      </c>
      <c r="I14029" s="562">
        <f>SUM(I14014:I14028)</f>
        <v>0</v>
      </c>
      <c r="J14029" s="562" t="e">
        <f>SUM(J14013:J14028)</f>
        <v>#REF!</v>
      </c>
    </row>
    <row r="14030" spans="2:14" hidden="1" x14ac:dyDescent="0.25"/>
    <row r="14031" spans="2:14" hidden="1" x14ac:dyDescent="0.25"/>
    <row r="14032" spans="2:14" hidden="1" x14ac:dyDescent="0.25">
      <c r="B14032" s="467">
        <v>12</v>
      </c>
      <c r="C14032" s="468"/>
      <c r="D14032" s="469"/>
      <c r="E14032" s="470"/>
      <c r="F14032" s="470"/>
      <c r="G14032" s="471" t="s">
        <v>4272</v>
      </c>
      <c r="H14032" s="595"/>
      <c r="I14032" s="596"/>
      <c r="J14032" s="578"/>
      <c r="K14032" s="495"/>
      <c r="L14032" s="495"/>
      <c r="M14032" s="495"/>
      <c r="N14032" s="505"/>
    </row>
    <row r="14033" spans="1:25" s="88" customFormat="1" hidden="1" x14ac:dyDescent="0.25">
      <c r="A14033" s="466">
        <v>4</v>
      </c>
      <c r="B14033" s="288"/>
      <c r="C14033" s="294" t="s">
        <v>3587</v>
      </c>
      <c r="D14033" s="294"/>
      <c r="E14033" s="879"/>
      <c r="F14033" s="283"/>
      <c r="G14033" s="329" t="s">
        <v>4205</v>
      </c>
      <c r="H14033" s="572"/>
      <c r="I14033" s="573"/>
      <c r="J14033" s="573"/>
      <c r="K14033" s="505"/>
      <c r="L14033" s="505"/>
      <c r="M14033" s="505"/>
      <c r="N14033" s="505"/>
      <c r="O14033" s="505"/>
      <c r="P14033" s="505"/>
      <c r="Q14033" s="505"/>
      <c r="R14033" s="505"/>
      <c r="S14033" s="505"/>
      <c r="T14033" s="505"/>
      <c r="U14033" s="505"/>
      <c r="V14033" s="505"/>
      <c r="W14033" s="505"/>
      <c r="X14033" s="505"/>
      <c r="Y14033" s="505"/>
    </row>
    <row r="14034" spans="1:25" hidden="1" x14ac:dyDescent="0.25">
      <c r="A14034" s="481"/>
      <c r="C14034" s="267" t="s">
        <v>4077</v>
      </c>
      <c r="D14034" s="259"/>
      <c r="G14034" s="483" t="s">
        <v>4078</v>
      </c>
    </row>
    <row r="14035" spans="1:25" s="88" customFormat="1" hidden="1" x14ac:dyDescent="0.25">
      <c r="A14035" s="258"/>
      <c r="B14035" s="288"/>
      <c r="C14035" s="294"/>
      <c r="D14035" s="348" t="s">
        <v>3874</v>
      </c>
      <c r="E14035" s="871"/>
      <c r="F14035" s="345"/>
      <c r="G14035" s="346" t="s">
        <v>4239</v>
      </c>
      <c r="H14035" s="572"/>
      <c r="I14035" s="573"/>
      <c r="J14035" s="573"/>
      <c r="K14035" s="505"/>
      <c r="L14035" s="505"/>
      <c r="M14035" s="505"/>
      <c r="N14035" s="505"/>
      <c r="O14035" s="505"/>
      <c r="P14035" s="505"/>
      <c r="Q14035" s="505"/>
      <c r="R14035" s="505"/>
      <c r="S14035" s="505"/>
      <c r="T14035" s="505"/>
      <c r="U14035" s="505"/>
      <c r="V14035" s="505"/>
      <c r="W14035" s="505"/>
      <c r="X14035" s="505"/>
      <c r="Y14035" s="505"/>
    </row>
    <row r="14036" spans="1:25" hidden="1" x14ac:dyDescent="0.25">
      <c r="A14036" s="481"/>
      <c r="F14036" s="485">
        <v>411</v>
      </c>
      <c r="G14036" s="480" t="s">
        <v>4131</v>
      </c>
      <c r="J14036" s="556">
        <f>SUM(H14036:I14036)</f>
        <v>0</v>
      </c>
    </row>
    <row r="14037" spans="1:25" hidden="1" x14ac:dyDescent="0.25">
      <c r="F14037" s="485">
        <v>412</v>
      </c>
      <c r="G14037" s="478" t="s">
        <v>3766</v>
      </c>
      <c r="J14037" s="556">
        <f t="shared" ref="J14037:J14095" si="457">SUM(H14037:I14037)</f>
        <v>0</v>
      </c>
    </row>
    <row r="14038" spans="1:25" hidden="1" x14ac:dyDescent="0.25">
      <c r="F14038" s="485">
        <v>413</v>
      </c>
      <c r="G14038" s="480" t="s">
        <v>4132</v>
      </c>
      <c r="J14038" s="556">
        <f t="shared" si="457"/>
        <v>0</v>
      </c>
    </row>
    <row r="14039" spans="1:25" hidden="1" x14ac:dyDescent="0.25">
      <c r="F14039" s="485">
        <v>414</v>
      </c>
      <c r="G14039" s="480" t="s">
        <v>3769</v>
      </c>
      <c r="J14039" s="556">
        <f t="shared" si="457"/>
        <v>0</v>
      </c>
    </row>
    <row r="14040" spans="1:25" hidden="1" x14ac:dyDescent="0.25">
      <c r="F14040" s="485">
        <v>415</v>
      </c>
      <c r="G14040" s="480" t="s">
        <v>4141</v>
      </c>
      <c r="J14040" s="556">
        <f t="shared" si="457"/>
        <v>0</v>
      </c>
    </row>
    <row r="14041" spans="1:25" hidden="1" x14ac:dyDescent="0.25">
      <c r="F14041" s="485">
        <v>416</v>
      </c>
      <c r="G14041" s="480" t="s">
        <v>4142</v>
      </c>
      <c r="J14041" s="556">
        <f t="shared" si="457"/>
        <v>0</v>
      </c>
    </row>
    <row r="14042" spans="1:25" hidden="1" x14ac:dyDescent="0.25">
      <c r="F14042" s="485">
        <v>417</v>
      </c>
      <c r="G14042" s="480" t="s">
        <v>4143</v>
      </c>
      <c r="J14042" s="556">
        <f t="shared" si="457"/>
        <v>0</v>
      </c>
    </row>
    <row r="14043" spans="1:25" hidden="1" x14ac:dyDescent="0.25">
      <c r="F14043" s="485">
        <v>418</v>
      </c>
      <c r="G14043" s="480" t="s">
        <v>3775</v>
      </c>
      <c r="J14043" s="556">
        <f t="shared" si="457"/>
        <v>0</v>
      </c>
    </row>
    <row r="14044" spans="1:25" hidden="1" x14ac:dyDescent="0.25">
      <c r="F14044" s="485">
        <v>421</v>
      </c>
      <c r="G14044" s="480" t="s">
        <v>3779</v>
      </c>
      <c r="J14044" s="556">
        <f t="shared" si="457"/>
        <v>0</v>
      </c>
    </row>
    <row r="14045" spans="1:25" hidden="1" x14ac:dyDescent="0.25">
      <c r="F14045" s="485">
        <v>422</v>
      </c>
      <c r="G14045" s="480" t="s">
        <v>3780</v>
      </c>
      <c r="J14045" s="556">
        <f t="shared" si="457"/>
        <v>0</v>
      </c>
    </row>
    <row r="14046" spans="1:25" hidden="1" x14ac:dyDescent="0.25">
      <c r="F14046" s="485">
        <v>423</v>
      </c>
      <c r="G14046" s="480" t="s">
        <v>3781</v>
      </c>
      <c r="J14046" s="556">
        <f t="shared" si="457"/>
        <v>0</v>
      </c>
    </row>
    <row r="14047" spans="1:25" hidden="1" x14ac:dyDescent="0.25">
      <c r="F14047" s="485">
        <v>424</v>
      </c>
      <c r="G14047" s="480" t="s">
        <v>3783</v>
      </c>
      <c r="J14047" s="556">
        <f t="shared" si="457"/>
        <v>0</v>
      </c>
    </row>
    <row r="14048" spans="1:25" hidden="1" x14ac:dyDescent="0.25">
      <c r="F14048" s="485">
        <v>425</v>
      </c>
      <c r="G14048" s="480" t="s">
        <v>4144</v>
      </c>
      <c r="J14048" s="556">
        <f t="shared" si="457"/>
        <v>0</v>
      </c>
    </row>
    <row r="14049" spans="6:10" hidden="1" x14ac:dyDescent="0.25">
      <c r="F14049" s="485">
        <v>426</v>
      </c>
      <c r="G14049" s="480" t="s">
        <v>3787</v>
      </c>
      <c r="J14049" s="556">
        <f t="shared" si="457"/>
        <v>0</v>
      </c>
    </row>
    <row r="14050" spans="6:10" hidden="1" x14ac:dyDescent="0.25">
      <c r="F14050" s="485">
        <v>431</v>
      </c>
      <c r="G14050" s="480" t="s">
        <v>4145</v>
      </c>
      <c r="J14050" s="556">
        <f t="shared" si="457"/>
        <v>0</v>
      </c>
    </row>
    <row r="14051" spans="6:10" hidden="1" x14ac:dyDescent="0.25">
      <c r="F14051" s="485">
        <v>432</v>
      </c>
      <c r="G14051" s="480" t="s">
        <v>4146</v>
      </c>
      <c r="J14051" s="556">
        <f t="shared" si="457"/>
        <v>0</v>
      </c>
    </row>
    <row r="14052" spans="6:10" hidden="1" x14ac:dyDescent="0.25">
      <c r="F14052" s="485">
        <v>433</v>
      </c>
      <c r="G14052" s="480" t="s">
        <v>4147</v>
      </c>
      <c r="J14052" s="556">
        <f t="shared" si="457"/>
        <v>0</v>
      </c>
    </row>
    <row r="14053" spans="6:10" hidden="1" x14ac:dyDescent="0.25">
      <c r="F14053" s="485">
        <v>434</v>
      </c>
      <c r="G14053" s="480" t="s">
        <v>4148</v>
      </c>
      <c r="J14053" s="556">
        <f t="shared" si="457"/>
        <v>0</v>
      </c>
    </row>
    <row r="14054" spans="6:10" hidden="1" x14ac:dyDescent="0.25">
      <c r="F14054" s="485">
        <v>435</v>
      </c>
      <c r="G14054" s="480" t="s">
        <v>3794</v>
      </c>
      <c r="J14054" s="556">
        <f t="shared" si="457"/>
        <v>0</v>
      </c>
    </row>
    <row r="14055" spans="6:10" hidden="1" x14ac:dyDescent="0.25">
      <c r="F14055" s="485">
        <v>441</v>
      </c>
      <c r="G14055" s="480" t="s">
        <v>4149</v>
      </c>
      <c r="J14055" s="556">
        <f t="shared" si="457"/>
        <v>0</v>
      </c>
    </row>
    <row r="14056" spans="6:10" hidden="1" x14ac:dyDescent="0.25">
      <c r="F14056" s="485">
        <v>442</v>
      </c>
      <c r="G14056" s="480" t="s">
        <v>4150</v>
      </c>
      <c r="J14056" s="556">
        <f t="shared" si="457"/>
        <v>0</v>
      </c>
    </row>
    <row r="14057" spans="6:10" hidden="1" x14ac:dyDescent="0.25">
      <c r="F14057" s="485">
        <v>443</v>
      </c>
      <c r="G14057" s="480" t="s">
        <v>3799</v>
      </c>
      <c r="J14057" s="556">
        <f t="shared" si="457"/>
        <v>0</v>
      </c>
    </row>
    <row r="14058" spans="6:10" hidden="1" x14ac:dyDescent="0.25">
      <c r="F14058" s="485">
        <v>444</v>
      </c>
      <c r="G14058" s="480" t="s">
        <v>3800</v>
      </c>
      <c r="J14058" s="556">
        <f t="shared" si="457"/>
        <v>0</v>
      </c>
    </row>
    <row r="14059" spans="6:10" ht="30" hidden="1" x14ac:dyDescent="0.25">
      <c r="F14059" s="485">
        <v>4511</v>
      </c>
      <c r="G14059" s="263" t="s">
        <v>1690</v>
      </c>
      <c r="J14059" s="556">
        <f t="shared" si="457"/>
        <v>0</v>
      </c>
    </row>
    <row r="14060" spans="6:10" ht="30" hidden="1" x14ac:dyDescent="0.25">
      <c r="F14060" s="485">
        <v>4512</v>
      </c>
      <c r="G14060" s="263" t="s">
        <v>1699</v>
      </c>
      <c r="J14060" s="556">
        <f t="shared" si="457"/>
        <v>0</v>
      </c>
    </row>
    <row r="14061" spans="6:10" hidden="1" x14ac:dyDescent="0.25">
      <c r="F14061" s="485">
        <v>452</v>
      </c>
      <c r="G14061" s="480" t="s">
        <v>4151</v>
      </c>
      <c r="J14061" s="556">
        <f t="shared" si="457"/>
        <v>0</v>
      </c>
    </row>
    <row r="14062" spans="6:10" hidden="1" x14ac:dyDescent="0.25">
      <c r="F14062" s="485">
        <v>453</v>
      </c>
      <c r="G14062" s="480" t="s">
        <v>4152</v>
      </c>
      <c r="J14062" s="556">
        <f t="shared" si="457"/>
        <v>0</v>
      </c>
    </row>
    <row r="14063" spans="6:10" hidden="1" x14ac:dyDescent="0.25">
      <c r="F14063" s="485">
        <v>454</v>
      </c>
      <c r="G14063" s="480" t="s">
        <v>3805</v>
      </c>
      <c r="J14063" s="556">
        <f t="shared" si="457"/>
        <v>0</v>
      </c>
    </row>
    <row r="14064" spans="6:10" hidden="1" x14ac:dyDescent="0.25">
      <c r="F14064" s="485">
        <v>461</v>
      </c>
      <c r="G14064" s="480" t="s">
        <v>4133</v>
      </c>
      <c r="J14064" s="556">
        <f t="shared" si="457"/>
        <v>0</v>
      </c>
    </row>
    <row r="14065" spans="6:10" hidden="1" x14ac:dyDescent="0.25">
      <c r="F14065" s="485">
        <v>462</v>
      </c>
      <c r="G14065" s="480" t="s">
        <v>3808</v>
      </c>
      <c r="J14065" s="556">
        <f t="shared" si="457"/>
        <v>0</v>
      </c>
    </row>
    <row r="14066" spans="6:10" hidden="1" x14ac:dyDescent="0.25">
      <c r="F14066" s="485">
        <v>4631</v>
      </c>
      <c r="G14066" s="480" t="s">
        <v>3809</v>
      </c>
      <c r="J14066" s="556">
        <f t="shared" si="457"/>
        <v>0</v>
      </c>
    </row>
    <row r="14067" spans="6:10" hidden="1" x14ac:dyDescent="0.25">
      <c r="F14067" s="485">
        <v>4632</v>
      </c>
      <c r="G14067" s="480" t="s">
        <v>3810</v>
      </c>
      <c r="J14067" s="556">
        <f t="shared" si="457"/>
        <v>0</v>
      </c>
    </row>
    <row r="14068" spans="6:10" hidden="1" x14ac:dyDescent="0.25">
      <c r="F14068" s="485">
        <v>464</v>
      </c>
      <c r="G14068" s="480" t="s">
        <v>3811</v>
      </c>
      <c r="J14068" s="556">
        <f t="shared" si="457"/>
        <v>0</v>
      </c>
    </row>
    <row r="14069" spans="6:10" hidden="1" x14ac:dyDescent="0.25">
      <c r="F14069" s="485">
        <v>465</v>
      </c>
      <c r="G14069" s="480" t="s">
        <v>4134</v>
      </c>
      <c r="J14069" s="556">
        <f t="shared" si="457"/>
        <v>0</v>
      </c>
    </row>
    <row r="14070" spans="6:10" hidden="1" x14ac:dyDescent="0.25">
      <c r="F14070" s="485">
        <v>472</v>
      </c>
      <c r="G14070" s="480" t="s">
        <v>3815</v>
      </c>
      <c r="J14070" s="556">
        <f t="shared" si="457"/>
        <v>0</v>
      </c>
    </row>
    <row r="14071" spans="6:10" hidden="1" x14ac:dyDescent="0.25">
      <c r="F14071" s="485">
        <v>481</v>
      </c>
      <c r="G14071" s="480" t="s">
        <v>4153</v>
      </c>
      <c r="J14071" s="556">
        <f t="shared" si="457"/>
        <v>0</v>
      </c>
    </row>
    <row r="14072" spans="6:10" hidden="1" x14ac:dyDescent="0.25">
      <c r="F14072" s="485">
        <v>482</v>
      </c>
      <c r="G14072" s="480" t="s">
        <v>4154</v>
      </c>
      <c r="J14072" s="556">
        <f t="shared" si="457"/>
        <v>0</v>
      </c>
    </row>
    <row r="14073" spans="6:10" hidden="1" x14ac:dyDescent="0.25">
      <c r="F14073" s="485">
        <v>483</v>
      </c>
      <c r="G14073" s="482" t="s">
        <v>4155</v>
      </c>
      <c r="J14073" s="556">
        <f t="shared" si="457"/>
        <v>0</v>
      </c>
    </row>
    <row r="14074" spans="6:10" ht="30" hidden="1" x14ac:dyDescent="0.25">
      <c r="F14074" s="485">
        <v>484</v>
      </c>
      <c r="G14074" s="480" t="s">
        <v>4156</v>
      </c>
      <c r="J14074" s="556">
        <f t="shared" si="457"/>
        <v>0</v>
      </c>
    </row>
    <row r="14075" spans="6:10" ht="30" hidden="1" x14ac:dyDescent="0.25">
      <c r="F14075" s="485">
        <v>485</v>
      </c>
      <c r="G14075" s="480" t="s">
        <v>4157</v>
      </c>
      <c r="J14075" s="556">
        <f t="shared" si="457"/>
        <v>0</v>
      </c>
    </row>
    <row r="14076" spans="6:10" ht="30" hidden="1" x14ac:dyDescent="0.25">
      <c r="F14076" s="485">
        <v>489</v>
      </c>
      <c r="G14076" s="480" t="s">
        <v>3823</v>
      </c>
      <c r="J14076" s="556">
        <f t="shared" si="457"/>
        <v>0</v>
      </c>
    </row>
    <row r="14077" spans="6:10" hidden="1" x14ac:dyDescent="0.25">
      <c r="F14077" s="485">
        <v>494</v>
      </c>
      <c r="G14077" s="480" t="s">
        <v>4135</v>
      </c>
      <c r="J14077" s="556">
        <f t="shared" si="457"/>
        <v>0</v>
      </c>
    </row>
    <row r="14078" spans="6:10" ht="30" hidden="1" x14ac:dyDescent="0.25">
      <c r="F14078" s="485">
        <v>495</v>
      </c>
      <c r="G14078" s="480" t="s">
        <v>4136</v>
      </c>
      <c r="J14078" s="556">
        <f t="shared" si="457"/>
        <v>0</v>
      </c>
    </row>
    <row r="14079" spans="6:10" ht="30" hidden="1" x14ac:dyDescent="0.25">
      <c r="F14079" s="485">
        <v>496</v>
      </c>
      <c r="G14079" s="480" t="s">
        <v>4137</v>
      </c>
      <c r="J14079" s="556">
        <f t="shared" si="457"/>
        <v>0</v>
      </c>
    </row>
    <row r="14080" spans="6:10" ht="30" hidden="1" x14ac:dyDescent="0.25">
      <c r="F14080" s="485">
        <v>499</v>
      </c>
      <c r="G14080" s="480" t="s">
        <v>4138</v>
      </c>
      <c r="J14080" s="556">
        <f t="shared" si="457"/>
        <v>0</v>
      </c>
    </row>
    <row r="14081" spans="5:10" hidden="1" x14ac:dyDescent="0.25">
      <c r="F14081" s="485">
        <v>511</v>
      </c>
      <c r="G14081" s="482" t="s">
        <v>4158</v>
      </c>
      <c r="J14081" s="556">
        <f t="shared" si="457"/>
        <v>0</v>
      </c>
    </row>
    <row r="14082" spans="5:10" hidden="1" x14ac:dyDescent="0.25">
      <c r="F14082" s="485">
        <v>512</v>
      </c>
      <c r="G14082" s="482" t="s">
        <v>4159</v>
      </c>
      <c r="J14082" s="556">
        <f t="shared" si="457"/>
        <v>0</v>
      </c>
    </row>
    <row r="14083" spans="5:10" hidden="1" x14ac:dyDescent="0.25">
      <c r="F14083" s="485">
        <v>513</v>
      </c>
      <c r="G14083" s="482" t="s">
        <v>4160</v>
      </c>
      <c r="J14083" s="556">
        <f t="shared" si="457"/>
        <v>0</v>
      </c>
    </row>
    <row r="14084" spans="5:10" hidden="1" x14ac:dyDescent="0.25">
      <c r="F14084" s="485">
        <v>514</v>
      </c>
      <c r="G14084" s="480" t="s">
        <v>4161</v>
      </c>
      <c r="J14084" s="556">
        <f t="shared" si="457"/>
        <v>0</v>
      </c>
    </row>
    <row r="14085" spans="5:10" hidden="1" x14ac:dyDescent="0.25">
      <c r="F14085" s="485">
        <v>515</v>
      </c>
      <c r="G14085" s="480" t="s">
        <v>3834</v>
      </c>
      <c r="J14085" s="556">
        <f t="shared" si="457"/>
        <v>0</v>
      </c>
    </row>
    <row r="14086" spans="5:10" hidden="1" x14ac:dyDescent="0.25">
      <c r="F14086" s="485">
        <v>521</v>
      </c>
      <c r="G14086" s="480" t="s">
        <v>4162</v>
      </c>
      <c r="J14086" s="556">
        <f t="shared" si="457"/>
        <v>0</v>
      </c>
    </row>
    <row r="14087" spans="5:10" hidden="1" x14ac:dyDescent="0.25">
      <c r="F14087" s="485">
        <v>522</v>
      </c>
      <c r="G14087" s="480" t="s">
        <v>4163</v>
      </c>
      <c r="J14087" s="556">
        <f t="shared" si="457"/>
        <v>0</v>
      </c>
    </row>
    <row r="14088" spans="5:10" hidden="1" x14ac:dyDescent="0.25">
      <c r="F14088" s="485">
        <v>523</v>
      </c>
      <c r="G14088" s="480" t="s">
        <v>3839</v>
      </c>
      <c r="J14088" s="556">
        <f t="shared" si="457"/>
        <v>0</v>
      </c>
    </row>
    <row r="14089" spans="5:10" hidden="1" x14ac:dyDescent="0.25">
      <c r="F14089" s="485">
        <v>531</v>
      </c>
      <c r="G14089" s="478" t="s">
        <v>4139</v>
      </c>
      <c r="J14089" s="556">
        <f t="shared" si="457"/>
        <v>0</v>
      </c>
    </row>
    <row r="14090" spans="5:10" hidden="1" x14ac:dyDescent="0.25">
      <c r="F14090" s="485">
        <v>541</v>
      </c>
      <c r="G14090" s="480" t="s">
        <v>4164</v>
      </c>
      <c r="J14090" s="556">
        <f t="shared" si="457"/>
        <v>0</v>
      </c>
    </row>
    <row r="14091" spans="5:10" hidden="1" x14ac:dyDescent="0.25">
      <c r="F14091" s="485">
        <v>542</v>
      </c>
      <c r="G14091" s="480" t="s">
        <v>4165</v>
      </c>
      <c r="J14091" s="556">
        <f t="shared" si="457"/>
        <v>0</v>
      </c>
    </row>
    <row r="14092" spans="5:10" hidden="1" x14ac:dyDescent="0.25">
      <c r="F14092" s="485">
        <v>543</v>
      </c>
      <c r="G14092" s="480" t="s">
        <v>3844</v>
      </c>
      <c r="J14092" s="556">
        <f t="shared" si="457"/>
        <v>0</v>
      </c>
    </row>
    <row r="14093" spans="5:10" ht="30" hidden="1" x14ac:dyDescent="0.25">
      <c r="F14093" s="485">
        <v>551</v>
      </c>
      <c r="G14093" s="480" t="s">
        <v>4140</v>
      </c>
      <c r="J14093" s="556">
        <f t="shared" si="457"/>
        <v>0</v>
      </c>
    </row>
    <row r="14094" spans="5:10" hidden="1" x14ac:dyDescent="0.25">
      <c r="F14094" s="486">
        <v>611</v>
      </c>
      <c r="G14094" s="484" t="s">
        <v>3850</v>
      </c>
      <c r="J14094" s="556">
        <f t="shared" si="457"/>
        <v>0</v>
      </c>
    </row>
    <row r="14095" spans="5:10" hidden="1" x14ac:dyDescent="0.25">
      <c r="F14095" s="486">
        <v>620</v>
      </c>
      <c r="G14095" s="484" t="s">
        <v>88</v>
      </c>
      <c r="J14095" s="556">
        <f t="shared" si="457"/>
        <v>0</v>
      </c>
    </row>
    <row r="14096" spans="5:10" hidden="1" x14ac:dyDescent="0.25">
      <c r="E14096" s="489"/>
      <c r="F14096" s="486"/>
      <c r="G14096" s="342" t="s">
        <v>4301</v>
      </c>
      <c r="H14096" s="557"/>
      <c r="I14096" s="583"/>
      <c r="J14096" s="558"/>
    </row>
    <row r="14097" spans="5:10" hidden="1" x14ac:dyDescent="0.25">
      <c r="E14097" s="693"/>
      <c r="F14097" s="284" t="s">
        <v>234</v>
      </c>
      <c r="G14097" s="287" t="s">
        <v>235</v>
      </c>
      <c r="H14097" s="559">
        <f>SUM(H14036:H14095)</f>
        <v>0</v>
      </c>
      <c r="I14097" s="560"/>
      <c r="J14097" s="560">
        <f>SUM(H14097:I14097)</f>
        <v>0</v>
      </c>
    </row>
    <row r="14098" spans="5:10" hidden="1" x14ac:dyDescent="0.25">
      <c r="F14098" s="284" t="s">
        <v>236</v>
      </c>
      <c r="G14098" s="287" t="s">
        <v>237</v>
      </c>
      <c r="J14098" s="560">
        <f t="shared" ref="J14098:J14112" si="458">SUM(H14098:I14098)</f>
        <v>0</v>
      </c>
    </row>
    <row r="14099" spans="5:10" hidden="1" x14ac:dyDescent="0.25">
      <c r="F14099" s="284" t="s">
        <v>238</v>
      </c>
      <c r="G14099" s="287" t="s">
        <v>239</v>
      </c>
      <c r="J14099" s="560">
        <f t="shared" si="458"/>
        <v>0</v>
      </c>
    </row>
    <row r="14100" spans="5:10" hidden="1" x14ac:dyDescent="0.25">
      <c r="F14100" s="284" t="s">
        <v>240</v>
      </c>
      <c r="G14100" s="287" t="s">
        <v>241</v>
      </c>
      <c r="J14100" s="560">
        <f t="shared" si="458"/>
        <v>0</v>
      </c>
    </row>
    <row r="14101" spans="5:10" hidden="1" x14ac:dyDescent="0.25">
      <c r="F14101" s="284" t="s">
        <v>242</v>
      </c>
      <c r="G14101" s="287" t="s">
        <v>243</v>
      </c>
      <c r="J14101" s="560">
        <f t="shared" si="458"/>
        <v>0</v>
      </c>
    </row>
    <row r="14102" spans="5:10" hidden="1" x14ac:dyDescent="0.25">
      <c r="F14102" s="284" t="s">
        <v>244</v>
      </c>
      <c r="G14102" s="287" t="s">
        <v>245</v>
      </c>
      <c r="J14102" s="560">
        <f t="shared" si="458"/>
        <v>0</v>
      </c>
    </row>
    <row r="14103" spans="5:10" hidden="1" x14ac:dyDescent="0.25">
      <c r="F14103" s="284" t="s">
        <v>246</v>
      </c>
      <c r="G14103" s="598" t="s">
        <v>4996</v>
      </c>
      <c r="J14103" s="560">
        <f t="shared" si="458"/>
        <v>0</v>
      </c>
    </row>
    <row r="14104" spans="5:10" hidden="1" x14ac:dyDescent="0.25">
      <c r="F14104" s="284" t="s">
        <v>247</v>
      </c>
      <c r="G14104" s="598" t="s">
        <v>4995</v>
      </c>
      <c r="J14104" s="560">
        <f t="shared" si="458"/>
        <v>0</v>
      </c>
    </row>
    <row r="14105" spans="5:10" hidden="1" x14ac:dyDescent="0.25">
      <c r="F14105" s="284" t="s">
        <v>248</v>
      </c>
      <c r="G14105" s="287" t="s">
        <v>57</v>
      </c>
      <c r="J14105" s="560">
        <f t="shared" si="458"/>
        <v>0</v>
      </c>
    </row>
    <row r="14106" spans="5:10" hidden="1" x14ac:dyDescent="0.25">
      <c r="F14106" s="284" t="s">
        <v>249</v>
      </c>
      <c r="G14106" s="287" t="s">
        <v>250</v>
      </c>
      <c r="J14106" s="560">
        <f t="shared" si="458"/>
        <v>0</v>
      </c>
    </row>
    <row r="14107" spans="5:10" hidden="1" x14ac:dyDescent="0.25">
      <c r="F14107" s="284" t="s">
        <v>251</v>
      </c>
      <c r="G14107" s="287" t="s">
        <v>252</v>
      </c>
      <c r="J14107" s="560">
        <f t="shared" si="458"/>
        <v>0</v>
      </c>
    </row>
    <row r="14108" spans="5:10" ht="30" hidden="1" x14ac:dyDescent="0.25">
      <c r="F14108" s="284" t="s">
        <v>253</v>
      </c>
      <c r="G14108" s="287" t="s">
        <v>254</v>
      </c>
      <c r="J14108" s="560">
        <f t="shared" si="458"/>
        <v>0</v>
      </c>
    </row>
    <row r="14109" spans="5:10" hidden="1" x14ac:dyDescent="0.25">
      <c r="F14109" s="284" t="s">
        <v>255</v>
      </c>
      <c r="G14109" s="287" t="s">
        <v>256</v>
      </c>
      <c r="J14109" s="560">
        <f t="shared" si="458"/>
        <v>0</v>
      </c>
    </row>
    <row r="14110" spans="5:10" ht="30" hidden="1" x14ac:dyDescent="0.25">
      <c r="F14110" s="284" t="s">
        <v>257</v>
      </c>
      <c r="G14110" s="287" t="s">
        <v>258</v>
      </c>
      <c r="J14110" s="560">
        <f t="shared" si="458"/>
        <v>0</v>
      </c>
    </row>
    <row r="14111" spans="5:10" hidden="1" x14ac:dyDescent="0.25">
      <c r="F14111" s="284" t="s">
        <v>259</v>
      </c>
      <c r="G14111" s="287" t="s">
        <v>260</v>
      </c>
      <c r="J14111" s="560">
        <f t="shared" si="458"/>
        <v>0</v>
      </c>
    </row>
    <row r="14112" spans="5:10" hidden="1" x14ac:dyDescent="0.25">
      <c r="F14112" s="284" t="s">
        <v>261</v>
      </c>
      <c r="G14112" s="287" t="s">
        <v>262</v>
      </c>
      <c r="H14112" s="559"/>
      <c r="I14112" s="560"/>
      <c r="J14112" s="560">
        <f t="shared" si="458"/>
        <v>0</v>
      </c>
    </row>
    <row r="14113" spans="5:10" ht="15.75" hidden="1" thickBot="1" x14ac:dyDescent="0.3">
      <c r="G14113" s="268" t="s">
        <v>4302</v>
      </c>
      <c r="H14113" s="561">
        <f>SUM(H14097:H14112)</f>
        <v>0</v>
      </c>
      <c r="I14113" s="562">
        <f>SUM(I14098:I14112)</f>
        <v>0</v>
      </c>
      <c r="J14113" s="562">
        <f>SUM(J14097:J14112)</f>
        <v>0</v>
      </c>
    </row>
    <row r="14114" spans="5:10" ht="28.5" hidden="1" collapsed="1" x14ac:dyDescent="0.25">
      <c r="E14114" s="489"/>
      <c r="F14114" s="486"/>
      <c r="G14114" s="270" t="s">
        <v>4208</v>
      </c>
      <c r="H14114" s="563"/>
      <c r="I14114" s="584"/>
      <c r="J14114" s="564"/>
    </row>
    <row r="14115" spans="5:10" hidden="1" x14ac:dyDescent="0.25">
      <c r="E14115" s="693"/>
      <c r="F14115" s="284" t="s">
        <v>234</v>
      </c>
      <c r="G14115" s="287" t="s">
        <v>235</v>
      </c>
      <c r="H14115" s="559">
        <f>SUM(H14036:H14095)</f>
        <v>0</v>
      </c>
      <c r="I14115" s="560"/>
      <c r="J14115" s="560">
        <f>SUM(H14115:I14115)</f>
        <v>0</v>
      </c>
    </row>
    <row r="14116" spans="5:10" hidden="1" x14ac:dyDescent="0.25">
      <c r="F14116" s="284" t="s">
        <v>236</v>
      </c>
      <c r="G14116" s="287" t="s">
        <v>237</v>
      </c>
      <c r="J14116" s="560">
        <f t="shared" ref="J14116:J14130" si="459">SUM(H14116:I14116)</f>
        <v>0</v>
      </c>
    </row>
    <row r="14117" spans="5:10" hidden="1" x14ac:dyDescent="0.25">
      <c r="F14117" s="284" t="s">
        <v>238</v>
      </c>
      <c r="G14117" s="287" t="s">
        <v>239</v>
      </c>
      <c r="J14117" s="560">
        <f t="shared" si="459"/>
        <v>0</v>
      </c>
    </row>
    <row r="14118" spans="5:10" hidden="1" x14ac:dyDescent="0.25">
      <c r="F14118" s="284" t="s">
        <v>240</v>
      </c>
      <c r="G14118" s="287" t="s">
        <v>241</v>
      </c>
      <c r="J14118" s="560">
        <f t="shared" si="459"/>
        <v>0</v>
      </c>
    </row>
    <row r="14119" spans="5:10" hidden="1" x14ac:dyDescent="0.25">
      <c r="F14119" s="284" t="s">
        <v>242</v>
      </c>
      <c r="G14119" s="287" t="s">
        <v>243</v>
      </c>
      <c r="J14119" s="560">
        <f t="shared" si="459"/>
        <v>0</v>
      </c>
    </row>
    <row r="14120" spans="5:10" hidden="1" x14ac:dyDescent="0.25">
      <c r="F14120" s="284" t="s">
        <v>244</v>
      </c>
      <c r="G14120" s="287" t="s">
        <v>245</v>
      </c>
      <c r="J14120" s="560">
        <f t="shared" si="459"/>
        <v>0</v>
      </c>
    </row>
    <row r="14121" spans="5:10" hidden="1" x14ac:dyDescent="0.25">
      <c r="F14121" s="284" t="s">
        <v>246</v>
      </c>
      <c r="G14121" s="598" t="s">
        <v>4996</v>
      </c>
      <c r="J14121" s="560">
        <f t="shared" si="459"/>
        <v>0</v>
      </c>
    </row>
    <row r="14122" spans="5:10" hidden="1" x14ac:dyDescent="0.25">
      <c r="F14122" s="284" t="s">
        <v>247</v>
      </c>
      <c r="G14122" s="598" t="s">
        <v>4995</v>
      </c>
      <c r="J14122" s="560">
        <f t="shared" si="459"/>
        <v>0</v>
      </c>
    </row>
    <row r="14123" spans="5:10" hidden="1" x14ac:dyDescent="0.25">
      <c r="F14123" s="284" t="s">
        <v>248</v>
      </c>
      <c r="G14123" s="287" t="s">
        <v>57</v>
      </c>
      <c r="J14123" s="560">
        <f t="shared" si="459"/>
        <v>0</v>
      </c>
    </row>
    <row r="14124" spans="5:10" hidden="1" x14ac:dyDescent="0.25">
      <c r="F14124" s="284" t="s">
        <v>249</v>
      </c>
      <c r="G14124" s="287" t="s">
        <v>250</v>
      </c>
      <c r="J14124" s="560">
        <f t="shared" si="459"/>
        <v>0</v>
      </c>
    </row>
    <row r="14125" spans="5:10" hidden="1" x14ac:dyDescent="0.25">
      <c r="F14125" s="284" t="s">
        <v>251</v>
      </c>
      <c r="G14125" s="287" t="s">
        <v>252</v>
      </c>
      <c r="J14125" s="560">
        <f t="shared" si="459"/>
        <v>0</v>
      </c>
    </row>
    <row r="14126" spans="5:10" ht="30" hidden="1" x14ac:dyDescent="0.25">
      <c r="F14126" s="284" t="s">
        <v>253</v>
      </c>
      <c r="G14126" s="287" t="s">
        <v>254</v>
      </c>
      <c r="J14126" s="560">
        <f t="shared" si="459"/>
        <v>0</v>
      </c>
    </row>
    <row r="14127" spans="5:10" hidden="1" x14ac:dyDescent="0.25">
      <c r="F14127" s="284" t="s">
        <v>255</v>
      </c>
      <c r="G14127" s="287" t="s">
        <v>256</v>
      </c>
      <c r="J14127" s="560">
        <f t="shared" si="459"/>
        <v>0</v>
      </c>
    </row>
    <row r="14128" spans="5:10" ht="30" hidden="1" x14ac:dyDescent="0.25">
      <c r="F14128" s="284" t="s">
        <v>257</v>
      </c>
      <c r="G14128" s="287" t="s">
        <v>258</v>
      </c>
      <c r="J14128" s="560">
        <f t="shared" si="459"/>
        <v>0</v>
      </c>
    </row>
    <row r="14129" spans="1:25" hidden="1" x14ac:dyDescent="0.25">
      <c r="F14129" s="284" t="s">
        <v>259</v>
      </c>
      <c r="G14129" s="287" t="s">
        <v>260</v>
      </c>
      <c r="J14129" s="560">
        <f t="shared" si="459"/>
        <v>0</v>
      </c>
    </row>
    <row r="14130" spans="1:25" hidden="1" x14ac:dyDescent="0.25">
      <c r="F14130" s="284" t="s">
        <v>261</v>
      </c>
      <c r="G14130" s="287" t="s">
        <v>262</v>
      </c>
      <c r="H14130" s="559"/>
      <c r="I14130" s="560"/>
      <c r="J14130" s="560">
        <f t="shared" si="459"/>
        <v>0</v>
      </c>
    </row>
    <row r="14131" spans="1:25" ht="15.75" hidden="1" collapsed="1" thickBot="1" x14ac:dyDescent="0.3">
      <c r="G14131" s="268" t="s">
        <v>4202</v>
      </c>
      <c r="H14131" s="561">
        <f>SUM(H14115:H14130)</f>
        <v>0</v>
      </c>
      <c r="I14131" s="562">
        <f>SUM(I14116:I14130)</f>
        <v>0</v>
      </c>
      <c r="J14131" s="562">
        <f>SUM(J14115:J14130)</f>
        <v>0</v>
      </c>
    </row>
    <row r="14132" spans="1:25" s="88" customFormat="1" hidden="1" x14ac:dyDescent="0.25">
      <c r="A14132" s="258"/>
      <c r="B14132" s="288"/>
      <c r="C14132" s="294"/>
      <c r="E14132" s="877"/>
      <c r="G14132" s="301"/>
      <c r="H14132" s="572"/>
      <c r="I14132" s="573"/>
      <c r="J14132" s="573"/>
      <c r="K14132" s="505"/>
      <c r="L14132" s="505"/>
      <c r="M14132" s="505"/>
      <c r="N14132" s="505"/>
      <c r="O14132" s="505"/>
      <c r="P14132" s="505"/>
      <c r="Q14132" s="505"/>
      <c r="R14132" s="505"/>
      <c r="S14132" s="505"/>
      <c r="T14132" s="505"/>
      <c r="U14132" s="505"/>
      <c r="V14132" s="505"/>
      <c r="W14132" s="505"/>
      <c r="X14132" s="505"/>
      <c r="Y14132" s="505"/>
    </row>
    <row r="14133" spans="1:25" ht="28.5" hidden="1" x14ac:dyDescent="0.25">
      <c r="A14133" s="481"/>
      <c r="C14133" s="267" t="s">
        <v>4079</v>
      </c>
      <c r="D14133" s="259"/>
      <c r="G14133" s="483" t="s">
        <v>4080</v>
      </c>
    </row>
    <row r="14134" spans="1:25" s="88" customFormat="1" hidden="1" x14ac:dyDescent="0.25">
      <c r="A14134" s="258"/>
      <c r="B14134" s="288"/>
      <c r="C14134" s="294"/>
      <c r="D14134" s="348" t="s">
        <v>3874</v>
      </c>
      <c r="E14134" s="871"/>
      <c r="F14134" s="345"/>
      <c r="G14134" s="346" t="s">
        <v>4239</v>
      </c>
      <c r="H14134" s="572"/>
      <c r="I14134" s="573"/>
      <c r="J14134" s="573"/>
      <c r="K14134" s="505"/>
      <c r="L14134" s="505"/>
      <c r="M14134" s="505"/>
      <c r="N14134" s="505"/>
      <c r="O14134" s="505"/>
      <c r="P14134" s="505"/>
      <c r="Q14134" s="505"/>
      <c r="R14134" s="505"/>
      <c r="S14134" s="505"/>
      <c r="T14134" s="505"/>
      <c r="U14134" s="505"/>
      <c r="V14134" s="505"/>
      <c r="W14134" s="505"/>
      <c r="X14134" s="505"/>
      <c r="Y14134" s="505"/>
    </row>
    <row r="14135" spans="1:25" hidden="1" x14ac:dyDescent="0.25">
      <c r="A14135" s="481"/>
      <c r="F14135" s="485">
        <v>411</v>
      </c>
      <c r="G14135" s="480" t="s">
        <v>4131</v>
      </c>
      <c r="J14135" s="556">
        <f>SUM(H14135:I14135)</f>
        <v>0</v>
      </c>
    </row>
    <row r="14136" spans="1:25" hidden="1" x14ac:dyDescent="0.25">
      <c r="F14136" s="485">
        <v>412</v>
      </c>
      <c r="G14136" s="478" t="s">
        <v>3766</v>
      </c>
      <c r="J14136" s="556">
        <f t="shared" ref="J14136:J14194" si="460">SUM(H14136:I14136)</f>
        <v>0</v>
      </c>
    </row>
    <row r="14137" spans="1:25" hidden="1" x14ac:dyDescent="0.25">
      <c r="F14137" s="485">
        <v>413</v>
      </c>
      <c r="G14137" s="480" t="s">
        <v>4132</v>
      </c>
      <c r="J14137" s="556">
        <f t="shared" si="460"/>
        <v>0</v>
      </c>
    </row>
    <row r="14138" spans="1:25" hidden="1" x14ac:dyDescent="0.25">
      <c r="F14138" s="485">
        <v>414</v>
      </c>
      <c r="G14138" s="480" t="s">
        <v>3769</v>
      </c>
      <c r="J14138" s="556">
        <f t="shared" si="460"/>
        <v>0</v>
      </c>
    </row>
    <row r="14139" spans="1:25" hidden="1" x14ac:dyDescent="0.25">
      <c r="F14139" s="485">
        <v>415</v>
      </c>
      <c r="G14139" s="480" t="s">
        <v>4141</v>
      </c>
      <c r="J14139" s="556">
        <f t="shared" si="460"/>
        <v>0</v>
      </c>
    </row>
    <row r="14140" spans="1:25" hidden="1" x14ac:dyDescent="0.25">
      <c r="F14140" s="485">
        <v>416</v>
      </c>
      <c r="G14140" s="480" t="s">
        <v>4142</v>
      </c>
      <c r="J14140" s="556">
        <f t="shared" si="460"/>
        <v>0</v>
      </c>
    </row>
    <row r="14141" spans="1:25" hidden="1" x14ac:dyDescent="0.25">
      <c r="F14141" s="485">
        <v>417</v>
      </c>
      <c r="G14141" s="480" t="s">
        <v>4143</v>
      </c>
      <c r="J14141" s="556">
        <f t="shared" si="460"/>
        <v>0</v>
      </c>
    </row>
    <row r="14142" spans="1:25" hidden="1" x14ac:dyDescent="0.25">
      <c r="F14142" s="485">
        <v>418</v>
      </c>
      <c r="G14142" s="480" t="s">
        <v>3775</v>
      </c>
      <c r="J14142" s="556">
        <f t="shared" si="460"/>
        <v>0</v>
      </c>
    </row>
    <row r="14143" spans="1:25" hidden="1" x14ac:dyDescent="0.25">
      <c r="F14143" s="485">
        <v>4631</v>
      </c>
      <c r="G14143" s="492" t="s">
        <v>4992</v>
      </c>
      <c r="J14143" s="556">
        <f t="shared" si="460"/>
        <v>0</v>
      </c>
    </row>
    <row r="14144" spans="1:25" hidden="1" x14ac:dyDescent="0.25">
      <c r="F14144" s="485">
        <v>422</v>
      </c>
      <c r="G14144" s="480" t="s">
        <v>3780</v>
      </c>
      <c r="J14144" s="556">
        <f t="shared" si="460"/>
        <v>0</v>
      </c>
    </row>
    <row r="14145" spans="6:10" hidden="1" x14ac:dyDescent="0.25">
      <c r="F14145" s="485">
        <v>4631</v>
      </c>
      <c r="G14145" s="492" t="s">
        <v>4993</v>
      </c>
      <c r="J14145" s="556">
        <f t="shared" si="460"/>
        <v>0</v>
      </c>
    </row>
    <row r="14146" spans="6:10" hidden="1" x14ac:dyDescent="0.25">
      <c r="F14146" s="485">
        <v>424</v>
      </c>
      <c r="G14146" s="480" t="s">
        <v>3783</v>
      </c>
      <c r="J14146" s="556">
        <f t="shared" si="460"/>
        <v>0</v>
      </c>
    </row>
    <row r="14147" spans="6:10" hidden="1" x14ac:dyDescent="0.25">
      <c r="F14147" s="485">
        <v>425</v>
      </c>
      <c r="G14147" s="480" t="s">
        <v>4144</v>
      </c>
      <c r="J14147" s="556">
        <f t="shared" si="460"/>
        <v>0</v>
      </c>
    </row>
    <row r="14148" spans="6:10" hidden="1" x14ac:dyDescent="0.25">
      <c r="F14148" s="485">
        <v>426</v>
      </c>
      <c r="G14148" s="480" t="s">
        <v>3787</v>
      </c>
      <c r="J14148" s="556">
        <f t="shared" si="460"/>
        <v>0</v>
      </c>
    </row>
    <row r="14149" spans="6:10" hidden="1" x14ac:dyDescent="0.25">
      <c r="F14149" s="485">
        <v>431</v>
      </c>
      <c r="G14149" s="480" t="s">
        <v>4145</v>
      </c>
      <c r="J14149" s="556">
        <f t="shared" si="460"/>
        <v>0</v>
      </c>
    </row>
    <row r="14150" spans="6:10" hidden="1" x14ac:dyDescent="0.25">
      <c r="F14150" s="485">
        <v>432</v>
      </c>
      <c r="G14150" s="480" t="s">
        <v>4146</v>
      </c>
      <c r="J14150" s="556">
        <f t="shared" si="460"/>
        <v>0</v>
      </c>
    </row>
    <row r="14151" spans="6:10" hidden="1" x14ac:dyDescent="0.25">
      <c r="F14151" s="485">
        <v>433</v>
      </c>
      <c r="G14151" s="480" t="s">
        <v>4147</v>
      </c>
      <c r="J14151" s="556">
        <f t="shared" si="460"/>
        <v>0</v>
      </c>
    </row>
    <row r="14152" spans="6:10" hidden="1" x14ac:dyDescent="0.25">
      <c r="F14152" s="485">
        <v>434</v>
      </c>
      <c r="G14152" s="480" t="s">
        <v>4148</v>
      </c>
      <c r="J14152" s="556">
        <f t="shared" si="460"/>
        <v>0</v>
      </c>
    </row>
    <row r="14153" spans="6:10" hidden="1" x14ac:dyDescent="0.25">
      <c r="F14153" s="485">
        <v>435</v>
      </c>
      <c r="G14153" s="480" t="s">
        <v>3794</v>
      </c>
      <c r="J14153" s="556">
        <f t="shared" si="460"/>
        <v>0</v>
      </c>
    </row>
    <row r="14154" spans="6:10" hidden="1" x14ac:dyDescent="0.25">
      <c r="F14154" s="485">
        <v>441</v>
      </c>
      <c r="G14154" s="480" t="s">
        <v>4149</v>
      </c>
      <c r="J14154" s="556">
        <f t="shared" si="460"/>
        <v>0</v>
      </c>
    </row>
    <row r="14155" spans="6:10" hidden="1" x14ac:dyDescent="0.25">
      <c r="F14155" s="485">
        <v>442</v>
      </c>
      <c r="G14155" s="480" t="s">
        <v>4150</v>
      </c>
      <c r="J14155" s="556">
        <f t="shared" si="460"/>
        <v>0</v>
      </c>
    </row>
    <row r="14156" spans="6:10" hidden="1" x14ac:dyDescent="0.25">
      <c r="F14156" s="485">
        <v>443</v>
      </c>
      <c r="G14156" s="480" t="s">
        <v>3799</v>
      </c>
      <c r="J14156" s="556">
        <f t="shared" si="460"/>
        <v>0</v>
      </c>
    </row>
    <row r="14157" spans="6:10" hidden="1" x14ac:dyDescent="0.25">
      <c r="F14157" s="485">
        <v>444</v>
      </c>
      <c r="G14157" s="480" t="s">
        <v>3800</v>
      </c>
      <c r="J14157" s="556">
        <f t="shared" si="460"/>
        <v>0</v>
      </c>
    </row>
    <row r="14158" spans="6:10" ht="30" hidden="1" x14ac:dyDescent="0.25">
      <c r="F14158" s="485">
        <v>4511</v>
      </c>
      <c r="G14158" s="263" t="s">
        <v>1690</v>
      </c>
      <c r="J14158" s="556">
        <f t="shared" si="460"/>
        <v>0</v>
      </c>
    </row>
    <row r="14159" spans="6:10" ht="30" hidden="1" x14ac:dyDescent="0.25">
      <c r="F14159" s="485">
        <v>4512</v>
      </c>
      <c r="G14159" s="263" t="s">
        <v>1699</v>
      </c>
      <c r="J14159" s="556">
        <f t="shared" si="460"/>
        <v>0</v>
      </c>
    </row>
    <row r="14160" spans="6:10" hidden="1" x14ac:dyDescent="0.25">
      <c r="F14160" s="485">
        <v>452</v>
      </c>
      <c r="G14160" s="480" t="s">
        <v>4151</v>
      </c>
      <c r="J14160" s="556">
        <f t="shared" si="460"/>
        <v>0</v>
      </c>
    </row>
    <row r="14161" spans="6:10" hidden="1" x14ac:dyDescent="0.25">
      <c r="F14161" s="485">
        <v>453</v>
      </c>
      <c r="G14161" s="480" t="s">
        <v>4152</v>
      </c>
      <c r="J14161" s="556">
        <f t="shared" si="460"/>
        <v>0</v>
      </c>
    </row>
    <row r="14162" spans="6:10" hidden="1" x14ac:dyDescent="0.25">
      <c r="F14162" s="485">
        <v>454</v>
      </c>
      <c r="G14162" s="480" t="s">
        <v>3805</v>
      </c>
      <c r="J14162" s="556">
        <f t="shared" si="460"/>
        <v>0</v>
      </c>
    </row>
    <row r="14163" spans="6:10" hidden="1" x14ac:dyDescent="0.25">
      <c r="F14163" s="485">
        <v>461</v>
      </c>
      <c r="G14163" s="480" t="s">
        <v>4133</v>
      </c>
      <c r="J14163" s="556">
        <f t="shared" si="460"/>
        <v>0</v>
      </c>
    </row>
    <row r="14164" spans="6:10" hidden="1" x14ac:dyDescent="0.25">
      <c r="F14164" s="485">
        <v>462</v>
      </c>
      <c r="G14164" s="480" t="s">
        <v>3808</v>
      </c>
      <c r="J14164" s="556">
        <f t="shared" si="460"/>
        <v>0</v>
      </c>
    </row>
    <row r="14165" spans="6:10" hidden="1" x14ac:dyDescent="0.25">
      <c r="F14165" s="485">
        <v>4631</v>
      </c>
      <c r="G14165" s="480" t="s">
        <v>3809</v>
      </c>
      <c r="J14165" s="556">
        <f t="shared" si="460"/>
        <v>0</v>
      </c>
    </row>
    <row r="14166" spans="6:10" hidden="1" x14ac:dyDescent="0.25">
      <c r="F14166" s="485">
        <v>4632</v>
      </c>
      <c r="G14166" s="480" t="s">
        <v>3810</v>
      </c>
      <c r="J14166" s="556">
        <f t="shared" si="460"/>
        <v>0</v>
      </c>
    </row>
    <row r="14167" spans="6:10" hidden="1" x14ac:dyDescent="0.25">
      <c r="F14167" s="485">
        <v>464</v>
      </c>
      <c r="G14167" s="480" t="s">
        <v>3811</v>
      </c>
      <c r="J14167" s="556">
        <f t="shared" si="460"/>
        <v>0</v>
      </c>
    </row>
    <row r="14168" spans="6:10" hidden="1" x14ac:dyDescent="0.25">
      <c r="F14168" s="485">
        <v>465</v>
      </c>
      <c r="G14168" s="480" t="s">
        <v>4134</v>
      </c>
      <c r="J14168" s="556">
        <f t="shared" si="460"/>
        <v>0</v>
      </c>
    </row>
    <row r="14169" spans="6:10" hidden="1" x14ac:dyDescent="0.25">
      <c r="F14169" s="485">
        <v>472</v>
      </c>
      <c r="G14169" s="480" t="s">
        <v>3815</v>
      </c>
      <c r="J14169" s="556">
        <f t="shared" si="460"/>
        <v>0</v>
      </c>
    </row>
    <row r="14170" spans="6:10" hidden="1" x14ac:dyDescent="0.25">
      <c r="F14170" s="485">
        <v>481</v>
      </c>
      <c r="G14170" s="480" t="s">
        <v>4153</v>
      </c>
      <c r="J14170" s="556">
        <f t="shared" si="460"/>
        <v>0</v>
      </c>
    </row>
    <row r="14171" spans="6:10" hidden="1" x14ac:dyDescent="0.25">
      <c r="F14171" s="485">
        <v>482</v>
      </c>
      <c r="G14171" s="480" t="s">
        <v>4154</v>
      </c>
      <c r="J14171" s="556">
        <f t="shared" si="460"/>
        <v>0</v>
      </c>
    </row>
    <row r="14172" spans="6:10" hidden="1" x14ac:dyDescent="0.25">
      <c r="F14172" s="485">
        <v>483</v>
      </c>
      <c r="G14172" s="482" t="s">
        <v>4155</v>
      </c>
      <c r="J14172" s="556">
        <f t="shared" si="460"/>
        <v>0</v>
      </c>
    </row>
    <row r="14173" spans="6:10" ht="30" hidden="1" x14ac:dyDescent="0.25">
      <c r="F14173" s="485">
        <v>484</v>
      </c>
      <c r="G14173" s="480" t="s">
        <v>4156</v>
      </c>
      <c r="J14173" s="556">
        <f t="shared" si="460"/>
        <v>0</v>
      </c>
    </row>
    <row r="14174" spans="6:10" ht="30" hidden="1" x14ac:dyDescent="0.25">
      <c r="F14174" s="485">
        <v>485</v>
      </c>
      <c r="G14174" s="480" t="s">
        <v>4157</v>
      </c>
      <c r="J14174" s="556">
        <f t="shared" si="460"/>
        <v>0</v>
      </c>
    </row>
    <row r="14175" spans="6:10" ht="30" hidden="1" x14ac:dyDescent="0.25">
      <c r="F14175" s="485">
        <v>489</v>
      </c>
      <c r="G14175" s="480" t="s">
        <v>3823</v>
      </c>
      <c r="J14175" s="556">
        <f t="shared" si="460"/>
        <v>0</v>
      </c>
    </row>
    <row r="14176" spans="6:10" hidden="1" x14ac:dyDescent="0.25">
      <c r="F14176" s="485">
        <v>494</v>
      </c>
      <c r="G14176" s="480" t="s">
        <v>4135</v>
      </c>
      <c r="J14176" s="556">
        <f t="shared" si="460"/>
        <v>0</v>
      </c>
    </row>
    <row r="14177" spans="6:10" ht="30" hidden="1" x14ac:dyDescent="0.25">
      <c r="F14177" s="485">
        <v>495</v>
      </c>
      <c r="G14177" s="480" t="s">
        <v>4136</v>
      </c>
      <c r="J14177" s="556">
        <f t="shared" si="460"/>
        <v>0</v>
      </c>
    </row>
    <row r="14178" spans="6:10" ht="30" hidden="1" x14ac:dyDescent="0.25">
      <c r="F14178" s="485">
        <v>496</v>
      </c>
      <c r="G14178" s="480" t="s">
        <v>4137</v>
      </c>
      <c r="J14178" s="556">
        <f t="shared" si="460"/>
        <v>0</v>
      </c>
    </row>
    <row r="14179" spans="6:10" ht="30" hidden="1" x14ac:dyDescent="0.25">
      <c r="F14179" s="485">
        <v>499</v>
      </c>
      <c r="G14179" s="480" t="s">
        <v>4138</v>
      </c>
      <c r="J14179" s="556">
        <f t="shared" si="460"/>
        <v>0</v>
      </c>
    </row>
    <row r="14180" spans="6:10" hidden="1" x14ac:dyDescent="0.25">
      <c r="F14180" s="485">
        <v>511</v>
      </c>
      <c r="G14180" s="482" t="s">
        <v>4158</v>
      </c>
      <c r="J14180" s="556">
        <f t="shared" si="460"/>
        <v>0</v>
      </c>
    </row>
    <row r="14181" spans="6:10" hidden="1" x14ac:dyDescent="0.25">
      <c r="F14181" s="485">
        <v>512</v>
      </c>
      <c r="G14181" s="482" t="s">
        <v>4159</v>
      </c>
      <c r="J14181" s="556">
        <f t="shared" si="460"/>
        <v>0</v>
      </c>
    </row>
    <row r="14182" spans="6:10" hidden="1" x14ac:dyDescent="0.25">
      <c r="F14182" s="485">
        <v>513</v>
      </c>
      <c r="G14182" s="482" t="s">
        <v>4160</v>
      </c>
      <c r="J14182" s="556">
        <f t="shared" si="460"/>
        <v>0</v>
      </c>
    </row>
    <row r="14183" spans="6:10" hidden="1" x14ac:dyDescent="0.25">
      <c r="F14183" s="485">
        <v>514</v>
      </c>
      <c r="G14183" s="480" t="s">
        <v>4161</v>
      </c>
      <c r="J14183" s="556">
        <f t="shared" si="460"/>
        <v>0</v>
      </c>
    </row>
    <row r="14184" spans="6:10" hidden="1" x14ac:dyDescent="0.25">
      <c r="F14184" s="485">
        <v>515</v>
      </c>
      <c r="G14184" s="480" t="s">
        <v>3834</v>
      </c>
      <c r="J14184" s="556">
        <f t="shared" si="460"/>
        <v>0</v>
      </c>
    </row>
    <row r="14185" spans="6:10" hidden="1" x14ac:dyDescent="0.25">
      <c r="F14185" s="485">
        <v>521</v>
      </c>
      <c r="G14185" s="480" t="s">
        <v>4162</v>
      </c>
      <c r="J14185" s="556">
        <f t="shared" si="460"/>
        <v>0</v>
      </c>
    </row>
    <row r="14186" spans="6:10" hidden="1" x14ac:dyDescent="0.25">
      <c r="F14186" s="485">
        <v>522</v>
      </c>
      <c r="G14186" s="480" t="s">
        <v>4163</v>
      </c>
      <c r="J14186" s="556">
        <f t="shared" si="460"/>
        <v>0</v>
      </c>
    </row>
    <row r="14187" spans="6:10" hidden="1" x14ac:dyDescent="0.25">
      <c r="F14187" s="485">
        <v>523</v>
      </c>
      <c r="G14187" s="480" t="s">
        <v>3839</v>
      </c>
      <c r="J14187" s="556">
        <f t="shared" si="460"/>
        <v>0</v>
      </c>
    </row>
    <row r="14188" spans="6:10" hidden="1" x14ac:dyDescent="0.25">
      <c r="F14188" s="485">
        <v>531</v>
      </c>
      <c r="G14188" s="478" t="s">
        <v>4139</v>
      </c>
      <c r="J14188" s="556">
        <f t="shared" si="460"/>
        <v>0</v>
      </c>
    </row>
    <row r="14189" spans="6:10" hidden="1" x14ac:dyDescent="0.25">
      <c r="F14189" s="485">
        <v>541</v>
      </c>
      <c r="G14189" s="480" t="s">
        <v>4164</v>
      </c>
      <c r="J14189" s="556">
        <f t="shared" si="460"/>
        <v>0</v>
      </c>
    </row>
    <row r="14190" spans="6:10" hidden="1" x14ac:dyDescent="0.25">
      <c r="F14190" s="485">
        <v>542</v>
      </c>
      <c r="G14190" s="480" t="s">
        <v>4165</v>
      </c>
      <c r="J14190" s="556">
        <f t="shared" si="460"/>
        <v>0</v>
      </c>
    </row>
    <row r="14191" spans="6:10" hidden="1" x14ac:dyDescent="0.25">
      <c r="F14191" s="485">
        <v>543</v>
      </c>
      <c r="G14191" s="480" t="s">
        <v>3844</v>
      </c>
      <c r="J14191" s="556">
        <f t="shared" si="460"/>
        <v>0</v>
      </c>
    </row>
    <row r="14192" spans="6:10" ht="30" hidden="1" x14ac:dyDescent="0.25">
      <c r="F14192" s="485">
        <v>551</v>
      </c>
      <c r="G14192" s="480" t="s">
        <v>4140</v>
      </c>
      <c r="J14192" s="556">
        <f t="shared" si="460"/>
        <v>0</v>
      </c>
    </row>
    <row r="14193" spans="5:10" hidden="1" x14ac:dyDescent="0.25">
      <c r="F14193" s="486">
        <v>611</v>
      </c>
      <c r="G14193" s="484" t="s">
        <v>3850</v>
      </c>
      <c r="J14193" s="556">
        <f t="shared" si="460"/>
        <v>0</v>
      </c>
    </row>
    <row r="14194" spans="5:10" hidden="1" x14ac:dyDescent="0.25">
      <c r="F14194" s="486">
        <v>620</v>
      </c>
      <c r="G14194" s="484" t="s">
        <v>88</v>
      </c>
      <c r="J14194" s="556">
        <f t="shared" si="460"/>
        <v>0</v>
      </c>
    </row>
    <row r="14195" spans="5:10" hidden="1" x14ac:dyDescent="0.25">
      <c r="E14195" s="489"/>
      <c r="F14195" s="486"/>
      <c r="G14195" s="342" t="s">
        <v>4301</v>
      </c>
      <c r="H14195" s="557"/>
      <c r="I14195" s="583"/>
      <c r="J14195" s="558"/>
    </row>
    <row r="14196" spans="5:10" hidden="1" x14ac:dyDescent="0.25">
      <c r="E14196" s="693"/>
      <c r="F14196" s="284" t="s">
        <v>234</v>
      </c>
      <c r="G14196" s="287" t="s">
        <v>235</v>
      </c>
      <c r="H14196" s="559">
        <f>SUM(H14135:H14194)</f>
        <v>0</v>
      </c>
      <c r="I14196" s="560"/>
      <c r="J14196" s="560">
        <f>SUM(H14196:I14196)</f>
        <v>0</v>
      </c>
    </row>
    <row r="14197" spans="5:10" hidden="1" x14ac:dyDescent="0.25">
      <c r="F14197" s="284" t="s">
        <v>236</v>
      </c>
      <c r="G14197" s="287" t="s">
        <v>237</v>
      </c>
      <c r="J14197" s="560">
        <f t="shared" ref="J14197:J14211" si="461">SUM(H14197:I14197)</f>
        <v>0</v>
      </c>
    </row>
    <row r="14198" spans="5:10" hidden="1" x14ac:dyDescent="0.25">
      <c r="F14198" s="284" t="s">
        <v>238</v>
      </c>
      <c r="G14198" s="287" t="s">
        <v>239</v>
      </c>
      <c r="J14198" s="560">
        <f t="shared" si="461"/>
        <v>0</v>
      </c>
    </row>
    <row r="14199" spans="5:10" hidden="1" x14ac:dyDescent="0.25">
      <c r="F14199" s="284" t="s">
        <v>240</v>
      </c>
      <c r="G14199" s="287" t="s">
        <v>241</v>
      </c>
      <c r="J14199" s="560">
        <f t="shared" si="461"/>
        <v>0</v>
      </c>
    </row>
    <row r="14200" spans="5:10" hidden="1" x14ac:dyDescent="0.25">
      <c r="F14200" s="284" t="s">
        <v>242</v>
      </c>
      <c r="G14200" s="287" t="s">
        <v>243</v>
      </c>
      <c r="J14200" s="560">
        <f t="shared" si="461"/>
        <v>0</v>
      </c>
    </row>
    <row r="14201" spans="5:10" hidden="1" x14ac:dyDescent="0.25">
      <c r="F14201" s="284" t="s">
        <v>244</v>
      </c>
      <c r="G14201" s="287" t="s">
        <v>245</v>
      </c>
      <c r="J14201" s="560">
        <f t="shared" si="461"/>
        <v>0</v>
      </c>
    </row>
    <row r="14202" spans="5:10" hidden="1" x14ac:dyDescent="0.25">
      <c r="F14202" s="284" t="s">
        <v>246</v>
      </c>
      <c r="G14202" s="598" t="s">
        <v>4996</v>
      </c>
      <c r="J14202" s="560">
        <f t="shared" si="461"/>
        <v>0</v>
      </c>
    </row>
    <row r="14203" spans="5:10" hidden="1" x14ac:dyDescent="0.25">
      <c r="F14203" s="284" t="s">
        <v>247</v>
      </c>
      <c r="G14203" s="598" t="s">
        <v>4995</v>
      </c>
      <c r="J14203" s="560">
        <f t="shared" si="461"/>
        <v>0</v>
      </c>
    </row>
    <row r="14204" spans="5:10" hidden="1" x14ac:dyDescent="0.25">
      <c r="F14204" s="284" t="s">
        <v>248</v>
      </c>
      <c r="G14204" s="287" t="s">
        <v>57</v>
      </c>
      <c r="J14204" s="560">
        <f t="shared" si="461"/>
        <v>0</v>
      </c>
    </row>
    <row r="14205" spans="5:10" hidden="1" x14ac:dyDescent="0.25">
      <c r="F14205" s="284" t="s">
        <v>249</v>
      </c>
      <c r="G14205" s="287" t="s">
        <v>250</v>
      </c>
      <c r="J14205" s="560">
        <f t="shared" si="461"/>
        <v>0</v>
      </c>
    </row>
    <row r="14206" spans="5:10" hidden="1" x14ac:dyDescent="0.25">
      <c r="F14206" s="284" t="s">
        <v>251</v>
      </c>
      <c r="G14206" s="287" t="s">
        <v>252</v>
      </c>
      <c r="J14206" s="560">
        <f t="shared" si="461"/>
        <v>0</v>
      </c>
    </row>
    <row r="14207" spans="5:10" ht="30" hidden="1" x14ac:dyDescent="0.25">
      <c r="F14207" s="284" t="s">
        <v>253</v>
      </c>
      <c r="G14207" s="287" t="s">
        <v>254</v>
      </c>
      <c r="J14207" s="560">
        <f t="shared" si="461"/>
        <v>0</v>
      </c>
    </row>
    <row r="14208" spans="5:10" hidden="1" x14ac:dyDescent="0.25">
      <c r="F14208" s="284" t="s">
        <v>255</v>
      </c>
      <c r="G14208" s="287" t="s">
        <v>256</v>
      </c>
      <c r="J14208" s="560">
        <f t="shared" si="461"/>
        <v>0</v>
      </c>
    </row>
    <row r="14209" spans="5:10" ht="30" hidden="1" x14ac:dyDescent="0.25">
      <c r="F14209" s="284" t="s">
        <v>257</v>
      </c>
      <c r="G14209" s="287" t="s">
        <v>258</v>
      </c>
      <c r="J14209" s="560">
        <f t="shared" si="461"/>
        <v>0</v>
      </c>
    </row>
    <row r="14210" spans="5:10" hidden="1" x14ac:dyDescent="0.25">
      <c r="F14210" s="284" t="s">
        <v>259</v>
      </c>
      <c r="G14210" s="287" t="s">
        <v>260</v>
      </c>
      <c r="J14210" s="560">
        <f t="shared" si="461"/>
        <v>0</v>
      </c>
    </row>
    <row r="14211" spans="5:10" hidden="1" x14ac:dyDescent="0.25">
      <c r="F14211" s="284" t="s">
        <v>261</v>
      </c>
      <c r="G14211" s="287" t="s">
        <v>262</v>
      </c>
      <c r="H14211" s="559"/>
      <c r="I14211" s="560"/>
      <c r="J14211" s="560">
        <f t="shared" si="461"/>
        <v>0</v>
      </c>
    </row>
    <row r="14212" spans="5:10" ht="15.75" hidden="1" thickBot="1" x14ac:dyDescent="0.3">
      <c r="G14212" s="268" t="s">
        <v>4302</v>
      </c>
      <c r="H14212" s="561">
        <f>SUM(H14196:H14211)</f>
        <v>0</v>
      </c>
      <c r="I14212" s="562">
        <f>SUM(I14197:I14211)</f>
        <v>0</v>
      </c>
      <c r="J14212" s="562">
        <f>SUM(J14196:J14211)</f>
        <v>0</v>
      </c>
    </row>
    <row r="14213" spans="5:10" ht="28.5" hidden="1" collapsed="1" x14ac:dyDescent="0.25">
      <c r="E14213" s="489"/>
      <c r="F14213" s="486"/>
      <c r="G14213" s="270" t="s">
        <v>4274</v>
      </c>
      <c r="H14213" s="563"/>
      <c r="I14213" s="584"/>
      <c r="J14213" s="564"/>
    </row>
    <row r="14214" spans="5:10" hidden="1" x14ac:dyDescent="0.25">
      <c r="E14214" s="693"/>
      <c r="F14214" s="284" t="s">
        <v>234</v>
      </c>
      <c r="G14214" s="287" t="s">
        <v>235</v>
      </c>
      <c r="H14214" s="559">
        <f>SUM(H14135:H14194)</f>
        <v>0</v>
      </c>
      <c r="I14214" s="560"/>
      <c r="J14214" s="560">
        <f>SUM(H14214:I14214)</f>
        <v>0</v>
      </c>
    </row>
    <row r="14215" spans="5:10" hidden="1" x14ac:dyDescent="0.25">
      <c r="F14215" s="284" t="s">
        <v>236</v>
      </c>
      <c r="G14215" s="287" t="s">
        <v>237</v>
      </c>
      <c r="J14215" s="560">
        <f t="shared" ref="J14215:J14229" si="462">SUM(H14215:I14215)</f>
        <v>0</v>
      </c>
    </row>
    <row r="14216" spans="5:10" hidden="1" x14ac:dyDescent="0.25">
      <c r="F14216" s="284" t="s">
        <v>238</v>
      </c>
      <c r="G14216" s="287" t="s">
        <v>239</v>
      </c>
      <c r="J14216" s="560">
        <f t="shared" si="462"/>
        <v>0</v>
      </c>
    </row>
    <row r="14217" spans="5:10" hidden="1" x14ac:dyDescent="0.25">
      <c r="F14217" s="284" t="s">
        <v>240</v>
      </c>
      <c r="G14217" s="287" t="s">
        <v>241</v>
      </c>
      <c r="J14217" s="560">
        <f t="shared" si="462"/>
        <v>0</v>
      </c>
    </row>
    <row r="14218" spans="5:10" hidden="1" x14ac:dyDescent="0.25">
      <c r="F14218" s="284" t="s">
        <v>242</v>
      </c>
      <c r="G14218" s="287" t="s">
        <v>243</v>
      </c>
      <c r="J14218" s="560">
        <f t="shared" si="462"/>
        <v>0</v>
      </c>
    </row>
    <row r="14219" spans="5:10" hidden="1" x14ac:dyDescent="0.25">
      <c r="F14219" s="284" t="s">
        <v>244</v>
      </c>
      <c r="G14219" s="287" t="s">
        <v>245</v>
      </c>
      <c r="J14219" s="560">
        <f t="shared" si="462"/>
        <v>0</v>
      </c>
    </row>
    <row r="14220" spans="5:10" hidden="1" x14ac:dyDescent="0.25">
      <c r="F14220" s="284" t="s">
        <v>246</v>
      </c>
      <c r="G14220" s="598" t="s">
        <v>4996</v>
      </c>
      <c r="J14220" s="560">
        <f t="shared" si="462"/>
        <v>0</v>
      </c>
    </row>
    <row r="14221" spans="5:10" hidden="1" x14ac:dyDescent="0.25">
      <c r="F14221" s="284" t="s">
        <v>247</v>
      </c>
      <c r="G14221" s="598" t="s">
        <v>4995</v>
      </c>
      <c r="J14221" s="560">
        <f t="shared" si="462"/>
        <v>0</v>
      </c>
    </row>
    <row r="14222" spans="5:10" hidden="1" x14ac:dyDescent="0.25">
      <c r="F14222" s="284" t="s">
        <v>248</v>
      </c>
      <c r="G14222" s="287" t="s">
        <v>57</v>
      </c>
      <c r="J14222" s="560">
        <f t="shared" si="462"/>
        <v>0</v>
      </c>
    </row>
    <row r="14223" spans="5:10" hidden="1" x14ac:dyDescent="0.25">
      <c r="F14223" s="284" t="s">
        <v>249</v>
      </c>
      <c r="G14223" s="287" t="s">
        <v>250</v>
      </c>
      <c r="J14223" s="560">
        <f t="shared" si="462"/>
        <v>0</v>
      </c>
    </row>
    <row r="14224" spans="5:10" hidden="1" x14ac:dyDescent="0.25">
      <c r="F14224" s="284" t="s">
        <v>251</v>
      </c>
      <c r="G14224" s="287" t="s">
        <v>252</v>
      </c>
      <c r="J14224" s="560">
        <f t="shared" si="462"/>
        <v>0</v>
      </c>
    </row>
    <row r="14225" spans="1:25" ht="30" hidden="1" x14ac:dyDescent="0.25">
      <c r="F14225" s="284" t="s">
        <v>253</v>
      </c>
      <c r="G14225" s="287" t="s">
        <v>254</v>
      </c>
      <c r="J14225" s="560">
        <f t="shared" si="462"/>
        <v>0</v>
      </c>
    </row>
    <row r="14226" spans="1:25" hidden="1" x14ac:dyDescent="0.25">
      <c r="F14226" s="284" t="s">
        <v>255</v>
      </c>
      <c r="G14226" s="287" t="s">
        <v>256</v>
      </c>
      <c r="J14226" s="560">
        <f t="shared" si="462"/>
        <v>0</v>
      </c>
    </row>
    <row r="14227" spans="1:25" ht="30" hidden="1" x14ac:dyDescent="0.25">
      <c r="F14227" s="284" t="s">
        <v>257</v>
      </c>
      <c r="G14227" s="287" t="s">
        <v>258</v>
      </c>
      <c r="J14227" s="560">
        <f t="shared" si="462"/>
        <v>0</v>
      </c>
    </row>
    <row r="14228" spans="1:25" hidden="1" x14ac:dyDescent="0.25">
      <c r="F14228" s="284" t="s">
        <v>259</v>
      </c>
      <c r="G14228" s="287" t="s">
        <v>260</v>
      </c>
      <c r="J14228" s="560">
        <f t="shared" si="462"/>
        <v>0</v>
      </c>
    </row>
    <row r="14229" spans="1:25" hidden="1" x14ac:dyDescent="0.25">
      <c r="F14229" s="284" t="s">
        <v>261</v>
      </c>
      <c r="G14229" s="287" t="s">
        <v>262</v>
      </c>
      <c r="H14229" s="559"/>
      <c r="I14229" s="560"/>
      <c r="J14229" s="560">
        <f t="shared" si="462"/>
        <v>0</v>
      </c>
    </row>
    <row r="14230" spans="1:25" ht="15.75" hidden="1" collapsed="1" thickBot="1" x14ac:dyDescent="0.3">
      <c r="G14230" s="268" t="s">
        <v>4275</v>
      </c>
      <c r="H14230" s="561">
        <f>SUM(H14214:H14229)</f>
        <v>0</v>
      </c>
      <c r="I14230" s="562">
        <f>SUM(I14215:I14229)</f>
        <v>0</v>
      </c>
      <c r="J14230" s="562">
        <f>SUM(J14214:J14229)</f>
        <v>0</v>
      </c>
    </row>
    <row r="14231" spans="1:25" s="88" customFormat="1" hidden="1" x14ac:dyDescent="0.25">
      <c r="A14231" s="258"/>
      <c r="B14231" s="288"/>
      <c r="C14231" s="294"/>
      <c r="E14231" s="877"/>
      <c r="G14231" s="301"/>
      <c r="H14231" s="572"/>
      <c r="I14231" s="573"/>
      <c r="J14231" s="573"/>
      <c r="K14231" s="505"/>
      <c r="L14231" s="505"/>
      <c r="M14231" s="505"/>
      <c r="N14231" s="505"/>
      <c r="O14231" s="505"/>
      <c r="P14231" s="505"/>
      <c r="Q14231" s="505"/>
      <c r="R14231" s="505"/>
      <c r="S14231" s="505"/>
      <c r="T14231" s="505"/>
      <c r="U14231" s="505"/>
      <c r="V14231" s="505"/>
      <c r="W14231" s="505"/>
      <c r="X14231" s="505"/>
      <c r="Y14231" s="505"/>
    </row>
    <row r="14232" spans="1:25" hidden="1" x14ac:dyDescent="0.25">
      <c r="A14232" s="481"/>
      <c r="C14232" s="267" t="s">
        <v>4081</v>
      </c>
      <c r="D14232" s="259"/>
      <c r="G14232" s="483" t="s">
        <v>4082</v>
      </c>
    </row>
    <row r="14233" spans="1:25" s="88" customFormat="1" ht="30" hidden="1" x14ac:dyDescent="0.25">
      <c r="A14233" s="258"/>
      <c r="B14233" s="288"/>
      <c r="C14233" s="334"/>
      <c r="D14233" s="350" t="s">
        <v>3878</v>
      </c>
      <c r="E14233" s="880"/>
      <c r="F14233" s="349"/>
      <c r="G14233" s="333" t="s">
        <v>103</v>
      </c>
      <c r="H14233" s="588"/>
      <c r="I14233" s="571"/>
      <c r="J14233" s="589"/>
      <c r="K14233" s="505"/>
      <c r="L14233" s="505"/>
      <c r="M14233" s="505"/>
      <c r="N14233" s="505"/>
      <c r="O14233" s="505"/>
      <c r="P14233" s="505"/>
      <c r="Q14233" s="505"/>
      <c r="R14233" s="505"/>
      <c r="S14233" s="505"/>
      <c r="T14233" s="505"/>
      <c r="U14233" s="505"/>
      <c r="V14233" s="505"/>
      <c r="W14233" s="505"/>
      <c r="X14233" s="505"/>
      <c r="Y14233" s="505"/>
    </row>
    <row r="14234" spans="1:25" hidden="1" x14ac:dyDescent="0.25">
      <c r="A14234" s="481"/>
      <c r="F14234" s="485">
        <v>411</v>
      </c>
      <c r="G14234" s="480" t="s">
        <v>4131</v>
      </c>
      <c r="J14234" s="556">
        <f>SUM(H14234:I14234)</f>
        <v>0</v>
      </c>
    </row>
    <row r="14235" spans="1:25" hidden="1" x14ac:dyDescent="0.25">
      <c r="F14235" s="485">
        <v>412</v>
      </c>
      <c r="G14235" s="478" t="s">
        <v>3766</v>
      </c>
      <c r="J14235" s="556">
        <f t="shared" ref="J14235:J14293" si="463">SUM(H14235:I14235)</f>
        <v>0</v>
      </c>
    </row>
    <row r="14236" spans="1:25" hidden="1" x14ac:dyDescent="0.25">
      <c r="F14236" s="485">
        <v>413</v>
      </c>
      <c r="G14236" s="480" t="s">
        <v>4132</v>
      </c>
      <c r="J14236" s="556">
        <f t="shared" si="463"/>
        <v>0</v>
      </c>
    </row>
    <row r="14237" spans="1:25" hidden="1" x14ac:dyDescent="0.25">
      <c r="F14237" s="485">
        <v>414</v>
      </c>
      <c r="G14237" s="480" t="s">
        <v>3769</v>
      </c>
      <c r="J14237" s="556">
        <f t="shared" si="463"/>
        <v>0</v>
      </c>
    </row>
    <row r="14238" spans="1:25" hidden="1" x14ac:dyDescent="0.25">
      <c r="F14238" s="485">
        <v>415</v>
      </c>
      <c r="G14238" s="480" t="s">
        <v>4141</v>
      </c>
      <c r="J14238" s="556">
        <f t="shared" si="463"/>
        <v>0</v>
      </c>
    </row>
    <row r="14239" spans="1:25" hidden="1" x14ac:dyDescent="0.25">
      <c r="F14239" s="485">
        <v>416</v>
      </c>
      <c r="G14239" s="480" t="s">
        <v>4142</v>
      </c>
      <c r="J14239" s="556">
        <f t="shared" si="463"/>
        <v>0</v>
      </c>
    </row>
    <row r="14240" spans="1:25" hidden="1" x14ac:dyDescent="0.25">
      <c r="F14240" s="485">
        <v>417</v>
      </c>
      <c r="G14240" s="480" t="s">
        <v>4143</v>
      </c>
      <c r="J14240" s="556">
        <f t="shared" si="463"/>
        <v>0</v>
      </c>
    </row>
    <row r="14241" spans="6:10" hidden="1" x14ac:dyDescent="0.25">
      <c r="F14241" s="485">
        <v>418</v>
      </c>
      <c r="G14241" s="480" t="s">
        <v>3775</v>
      </c>
      <c r="J14241" s="556">
        <f t="shared" si="463"/>
        <v>0</v>
      </c>
    </row>
    <row r="14242" spans="6:10" hidden="1" x14ac:dyDescent="0.25">
      <c r="F14242" s="485">
        <v>421</v>
      </c>
      <c r="G14242" s="480" t="s">
        <v>3779</v>
      </c>
      <c r="J14242" s="556">
        <f t="shared" si="463"/>
        <v>0</v>
      </c>
    </row>
    <row r="14243" spans="6:10" hidden="1" x14ac:dyDescent="0.25">
      <c r="F14243" s="485">
        <v>422</v>
      </c>
      <c r="G14243" s="480" t="s">
        <v>3780</v>
      </c>
      <c r="J14243" s="556">
        <f t="shared" si="463"/>
        <v>0</v>
      </c>
    </row>
    <row r="14244" spans="6:10" hidden="1" x14ac:dyDescent="0.25">
      <c r="F14244" s="485">
        <v>423</v>
      </c>
      <c r="G14244" s="480" t="s">
        <v>3781</v>
      </c>
      <c r="J14244" s="556">
        <f t="shared" si="463"/>
        <v>0</v>
      </c>
    </row>
    <row r="14245" spans="6:10" hidden="1" x14ac:dyDescent="0.25">
      <c r="F14245" s="485">
        <v>424</v>
      </c>
      <c r="G14245" s="480" t="s">
        <v>3783</v>
      </c>
      <c r="J14245" s="556">
        <f t="shared" si="463"/>
        <v>0</v>
      </c>
    </row>
    <row r="14246" spans="6:10" hidden="1" x14ac:dyDescent="0.25">
      <c r="F14246" s="485">
        <v>425</v>
      </c>
      <c r="G14246" s="480" t="s">
        <v>4144</v>
      </c>
      <c r="J14246" s="556">
        <f t="shared" si="463"/>
        <v>0</v>
      </c>
    </row>
    <row r="14247" spans="6:10" hidden="1" x14ac:dyDescent="0.25">
      <c r="F14247" s="485">
        <v>426</v>
      </c>
      <c r="G14247" s="480" t="s">
        <v>3787</v>
      </c>
      <c r="J14247" s="556">
        <f t="shared" si="463"/>
        <v>0</v>
      </c>
    </row>
    <row r="14248" spans="6:10" hidden="1" x14ac:dyDescent="0.25">
      <c r="F14248" s="485">
        <v>431</v>
      </c>
      <c r="G14248" s="480" t="s">
        <v>4145</v>
      </c>
      <c r="J14248" s="556">
        <f t="shared" si="463"/>
        <v>0</v>
      </c>
    </row>
    <row r="14249" spans="6:10" hidden="1" x14ac:dyDescent="0.25">
      <c r="F14249" s="485">
        <v>432</v>
      </c>
      <c r="G14249" s="480" t="s">
        <v>4146</v>
      </c>
      <c r="J14249" s="556">
        <f t="shared" si="463"/>
        <v>0</v>
      </c>
    </row>
    <row r="14250" spans="6:10" hidden="1" x14ac:dyDescent="0.25">
      <c r="F14250" s="485">
        <v>433</v>
      </c>
      <c r="G14250" s="480" t="s">
        <v>4147</v>
      </c>
      <c r="J14250" s="556">
        <f t="shared" si="463"/>
        <v>0</v>
      </c>
    </row>
    <row r="14251" spans="6:10" hidden="1" x14ac:dyDescent="0.25">
      <c r="F14251" s="485">
        <v>434</v>
      </c>
      <c r="G14251" s="480" t="s">
        <v>4148</v>
      </c>
      <c r="J14251" s="556">
        <f t="shared" si="463"/>
        <v>0</v>
      </c>
    </row>
    <row r="14252" spans="6:10" hidden="1" x14ac:dyDescent="0.25">
      <c r="F14252" s="485">
        <v>435</v>
      </c>
      <c r="G14252" s="480" t="s">
        <v>3794</v>
      </c>
      <c r="J14252" s="556">
        <f t="shared" si="463"/>
        <v>0</v>
      </c>
    </row>
    <row r="14253" spans="6:10" hidden="1" x14ac:dyDescent="0.25">
      <c r="F14253" s="485">
        <v>441</v>
      </c>
      <c r="G14253" s="480" t="s">
        <v>4149</v>
      </c>
      <c r="J14253" s="556">
        <f t="shared" si="463"/>
        <v>0</v>
      </c>
    </row>
    <row r="14254" spans="6:10" hidden="1" x14ac:dyDescent="0.25">
      <c r="F14254" s="485">
        <v>442</v>
      </c>
      <c r="G14254" s="480" t="s">
        <v>4150</v>
      </c>
      <c r="J14254" s="556">
        <f t="shared" si="463"/>
        <v>0</v>
      </c>
    </row>
    <row r="14255" spans="6:10" hidden="1" x14ac:dyDescent="0.25">
      <c r="F14255" s="485">
        <v>443</v>
      </c>
      <c r="G14255" s="480" t="s">
        <v>3799</v>
      </c>
      <c r="J14255" s="556">
        <f t="shared" si="463"/>
        <v>0</v>
      </c>
    </row>
    <row r="14256" spans="6:10" hidden="1" x14ac:dyDescent="0.25">
      <c r="F14256" s="485">
        <v>444</v>
      </c>
      <c r="G14256" s="480" t="s">
        <v>3800</v>
      </c>
      <c r="J14256" s="556">
        <f t="shared" si="463"/>
        <v>0</v>
      </c>
    </row>
    <row r="14257" spans="6:10" ht="30" hidden="1" x14ac:dyDescent="0.25">
      <c r="F14257" s="485">
        <v>4511</v>
      </c>
      <c r="G14257" s="263" t="s">
        <v>1690</v>
      </c>
      <c r="J14257" s="556">
        <f t="shared" si="463"/>
        <v>0</v>
      </c>
    </row>
    <row r="14258" spans="6:10" ht="30" hidden="1" x14ac:dyDescent="0.25">
      <c r="F14258" s="485">
        <v>4512</v>
      </c>
      <c r="G14258" s="263" t="s">
        <v>1699</v>
      </c>
      <c r="J14258" s="556">
        <f t="shared" si="463"/>
        <v>0</v>
      </c>
    </row>
    <row r="14259" spans="6:10" hidden="1" x14ac:dyDescent="0.25">
      <c r="F14259" s="485">
        <v>452</v>
      </c>
      <c r="G14259" s="480" t="s">
        <v>4151</v>
      </c>
      <c r="J14259" s="556">
        <f t="shared" si="463"/>
        <v>0</v>
      </c>
    </row>
    <row r="14260" spans="6:10" hidden="1" x14ac:dyDescent="0.25">
      <c r="F14260" s="485">
        <v>453</v>
      </c>
      <c r="G14260" s="480" t="s">
        <v>4152</v>
      </c>
      <c r="J14260" s="556">
        <f t="shared" si="463"/>
        <v>0</v>
      </c>
    </row>
    <row r="14261" spans="6:10" hidden="1" x14ac:dyDescent="0.25">
      <c r="F14261" s="485">
        <v>454</v>
      </c>
      <c r="G14261" s="480" t="s">
        <v>3805</v>
      </c>
      <c r="J14261" s="556">
        <f t="shared" si="463"/>
        <v>0</v>
      </c>
    </row>
    <row r="14262" spans="6:10" hidden="1" x14ac:dyDescent="0.25">
      <c r="F14262" s="485">
        <v>461</v>
      </c>
      <c r="G14262" s="480" t="s">
        <v>4133</v>
      </c>
      <c r="J14262" s="556">
        <f t="shared" si="463"/>
        <v>0</v>
      </c>
    </row>
    <row r="14263" spans="6:10" hidden="1" x14ac:dyDescent="0.25">
      <c r="F14263" s="485">
        <v>462</v>
      </c>
      <c r="G14263" s="480" t="s">
        <v>3808</v>
      </c>
      <c r="J14263" s="556">
        <f t="shared" si="463"/>
        <v>0</v>
      </c>
    </row>
    <row r="14264" spans="6:10" hidden="1" x14ac:dyDescent="0.25">
      <c r="F14264" s="485">
        <v>4631</v>
      </c>
      <c r="G14264" s="480" t="s">
        <v>3809</v>
      </c>
      <c r="J14264" s="556">
        <f t="shared" si="463"/>
        <v>0</v>
      </c>
    </row>
    <row r="14265" spans="6:10" hidden="1" x14ac:dyDescent="0.25">
      <c r="F14265" s="485">
        <v>4632</v>
      </c>
      <c r="G14265" s="480" t="s">
        <v>3810</v>
      </c>
      <c r="J14265" s="556">
        <f t="shared" si="463"/>
        <v>0</v>
      </c>
    </row>
    <row r="14266" spans="6:10" hidden="1" x14ac:dyDescent="0.25">
      <c r="F14266" s="485">
        <v>464</v>
      </c>
      <c r="G14266" s="480" t="s">
        <v>3811</v>
      </c>
      <c r="J14266" s="556">
        <f t="shared" si="463"/>
        <v>0</v>
      </c>
    </row>
    <row r="14267" spans="6:10" hidden="1" x14ac:dyDescent="0.25">
      <c r="F14267" s="485">
        <v>465</v>
      </c>
      <c r="G14267" s="480" t="s">
        <v>4134</v>
      </c>
      <c r="J14267" s="556">
        <f t="shared" si="463"/>
        <v>0</v>
      </c>
    </row>
    <row r="14268" spans="6:10" hidden="1" x14ac:dyDescent="0.25">
      <c r="F14268" s="485">
        <v>472</v>
      </c>
      <c r="G14268" s="480" t="s">
        <v>3815</v>
      </c>
      <c r="J14268" s="556">
        <f t="shared" si="463"/>
        <v>0</v>
      </c>
    </row>
    <row r="14269" spans="6:10" hidden="1" x14ac:dyDescent="0.25">
      <c r="F14269" s="485">
        <v>481</v>
      </c>
      <c r="G14269" s="480" t="s">
        <v>4153</v>
      </c>
      <c r="J14269" s="556">
        <f t="shared" si="463"/>
        <v>0</v>
      </c>
    </row>
    <row r="14270" spans="6:10" hidden="1" x14ac:dyDescent="0.25">
      <c r="F14270" s="485">
        <v>482</v>
      </c>
      <c r="G14270" s="480" t="s">
        <v>4154</v>
      </c>
      <c r="J14270" s="556">
        <f t="shared" si="463"/>
        <v>0</v>
      </c>
    </row>
    <row r="14271" spans="6:10" hidden="1" x14ac:dyDescent="0.25">
      <c r="F14271" s="485">
        <v>483</v>
      </c>
      <c r="G14271" s="482" t="s">
        <v>4155</v>
      </c>
      <c r="J14271" s="556">
        <f t="shared" si="463"/>
        <v>0</v>
      </c>
    </row>
    <row r="14272" spans="6:10" ht="30" hidden="1" x14ac:dyDescent="0.25">
      <c r="F14272" s="485">
        <v>484</v>
      </c>
      <c r="G14272" s="480" t="s">
        <v>4156</v>
      </c>
      <c r="J14272" s="556">
        <f t="shared" si="463"/>
        <v>0</v>
      </c>
    </row>
    <row r="14273" spans="6:10" ht="30" hidden="1" x14ac:dyDescent="0.25">
      <c r="F14273" s="485">
        <v>485</v>
      </c>
      <c r="G14273" s="480" t="s">
        <v>4157</v>
      </c>
      <c r="J14273" s="556">
        <f t="shared" si="463"/>
        <v>0</v>
      </c>
    </row>
    <row r="14274" spans="6:10" ht="30" hidden="1" x14ac:dyDescent="0.25">
      <c r="F14274" s="485">
        <v>489</v>
      </c>
      <c r="G14274" s="480" t="s">
        <v>3823</v>
      </c>
      <c r="J14274" s="556">
        <f t="shared" si="463"/>
        <v>0</v>
      </c>
    </row>
    <row r="14275" spans="6:10" hidden="1" x14ac:dyDescent="0.25">
      <c r="F14275" s="485">
        <v>494</v>
      </c>
      <c r="G14275" s="480" t="s">
        <v>4135</v>
      </c>
      <c r="J14275" s="556">
        <f t="shared" si="463"/>
        <v>0</v>
      </c>
    </row>
    <row r="14276" spans="6:10" ht="30" hidden="1" x14ac:dyDescent="0.25">
      <c r="F14276" s="485">
        <v>495</v>
      </c>
      <c r="G14276" s="480" t="s">
        <v>4136</v>
      </c>
      <c r="J14276" s="556">
        <f t="shared" si="463"/>
        <v>0</v>
      </c>
    </row>
    <row r="14277" spans="6:10" ht="30" hidden="1" x14ac:dyDescent="0.25">
      <c r="F14277" s="485">
        <v>496</v>
      </c>
      <c r="G14277" s="480" t="s">
        <v>4137</v>
      </c>
      <c r="J14277" s="556">
        <f t="shared" si="463"/>
        <v>0</v>
      </c>
    </row>
    <row r="14278" spans="6:10" ht="30" hidden="1" x14ac:dyDescent="0.25">
      <c r="F14278" s="485">
        <v>499</v>
      </c>
      <c r="G14278" s="480" t="s">
        <v>4138</v>
      </c>
      <c r="J14278" s="556">
        <f t="shared" si="463"/>
        <v>0</v>
      </c>
    </row>
    <row r="14279" spans="6:10" hidden="1" x14ac:dyDescent="0.25">
      <c r="F14279" s="485">
        <v>511</v>
      </c>
      <c r="G14279" s="482" t="s">
        <v>4158</v>
      </c>
      <c r="J14279" s="556">
        <f t="shared" si="463"/>
        <v>0</v>
      </c>
    </row>
    <row r="14280" spans="6:10" hidden="1" x14ac:dyDescent="0.25">
      <c r="F14280" s="485">
        <v>512</v>
      </c>
      <c r="G14280" s="482" t="s">
        <v>4159</v>
      </c>
      <c r="J14280" s="556">
        <f t="shared" si="463"/>
        <v>0</v>
      </c>
    </row>
    <row r="14281" spans="6:10" hidden="1" x14ac:dyDescent="0.25">
      <c r="F14281" s="485">
        <v>513</v>
      </c>
      <c r="G14281" s="482" t="s">
        <v>4160</v>
      </c>
      <c r="J14281" s="556">
        <f t="shared" si="463"/>
        <v>0</v>
      </c>
    </row>
    <row r="14282" spans="6:10" hidden="1" x14ac:dyDescent="0.25">
      <c r="F14282" s="485">
        <v>514</v>
      </c>
      <c r="G14282" s="480" t="s">
        <v>4161</v>
      </c>
      <c r="J14282" s="556">
        <f t="shared" si="463"/>
        <v>0</v>
      </c>
    </row>
    <row r="14283" spans="6:10" hidden="1" x14ac:dyDescent="0.25">
      <c r="F14283" s="485">
        <v>515</v>
      </c>
      <c r="G14283" s="480" t="s">
        <v>3834</v>
      </c>
      <c r="J14283" s="556">
        <f t="shared" si="463"/>
        <v>0</v>
      </c>
    </row>
    <row r="14284" spans="6:10" hidden="1" x14ac:dyDescent="0.25">
      <c r="F14284" s="485">
        <v>521</v>
      </c>
      <c r="G14284" s="480" t="s">
        <v>4162</v>
      </c>
      <c r="J14284" s="556">
        <f t="shared" si="463"/>
        <v>0</v>
      </c>
    </row>
    <row r="14285" spans="6:10" hidden="1" x14ac:dyDescent="0.25">
      <c r="F14285" s="485">
        <v>522</v>
      </c>
      <c r="G14285" s="480" t="s">
        <v>4163</v>
      </c>
      <c r="J14285" s="556">
        <f t="shared" si="463"/>
        <v>0</v>
      </c>
    </row>
    <row r="14286" spans="6:10" hidden="1" x14ac:dyDescent="0.25">
      <c r="F14286" s="485">
        <v>523</v>
      </c>
      <c r="G14286" s="480" t="s">
        <v>3839</v>
      </c>
      <c r="J14286" s="556">
        <f t="shared" si="463"/>
        <v>0</v>
      </c>
    </row>
    <row r="14287" spans="6:10" hidden="1" x14ac:dyDescent="0.25">
      <c r="F14287" s="485">
        <v>531</v>
      </c>
      <c r="G14287" s="478" t="s">
        <v>4139</v>
      </c>
      <c r="J14287" s="556">
        <f t="shared" si="463"/>
        <v>0</v>
      </c>
    </row>
    <row r="14288" spans="6:10" hidden="1" x14ac:dyDescent="0.25">
      <c r="F14288" s="485">
        <v>541</v>
      </c>
      <c r="G14288" s="480" t="s">
        <v>4164</v>
      </c>
      <c r="J14288" s="556">
        <f t="shared" si="463"/>
        <v>0</v>
      </c>
    </row>
    <row r="14289" spans="5:10" hidden="1" x14ac:dyDescent="0.25">
      <c r="F14289" s="485">
        <v>542</v>
      </c>
      <c r="G14289" s="480" t="s">
        <v>4165</v>
      </c>
      <c r="J14289" s="556">
        <f t="shared" si="463"/>
        <v>0</v>
      </c>
    </row>
    <row r="14290" spans="5:10" hidden="1" x14ac:dyDescent="0.25">
      <c r="F14290" s="485">
        <v>543</v>
      </c>
      <c r="G14290" s="480" t="s">
        <v>3844</v>
      </c>
      <c r="J14290" s="556">
        <f t="shared" si="463"/>
        <v>0</v>
      </c>
    </row>
    <row r="14291" spans="5:10" ht="30" hidden="1" x14ac:dyDescent="0.25">
      <c r="F14291" s="485">
        <v>551</v>
      </c>
      <c r="G14291" s="480" t="s">
        <v>4140</v>
      </c>
      <c r="J14291" s="556">
        <f t="shared" si="463"/>
        <v>0</v>
      </c>
    </row>
    <row r="14292" spans="5:10" hidden="1" x14ac:dyDescent="0.25">
      <c r="F14292" s="486">
        <v>611</v>
      </c>
      <c r="G14292" s="484" t="s">
        <v>3850</v>
      </c>
      <c r="J14292" s="556">
        <f t="shared" si="463"/>
        <v>0</v>
      </c>
    </row>
    <row r="14293" spans="5:10" hidden="1" x14ac:dyDescent="0.25">
      <c r="F14293" s="486">
        <v>620</v>
      </c>
      <c r="G14293" s="484" t="s">
        <v>88</v>
      </c>
      <c r="J14293" s="556">
        <f t="shared" si="463"/>
        <v>0</v>
      </c>
    </row>
    <row r="14294" spans="5:10" hidden="1" x14ac:dyDescent="0.25">
      <c r="E14294" s="489"/>
      <c r="F14294" s="486"/>
      <c r="G14294" s="342" t="s">
        <v>4303</v>
      </c>
      <c r="H14294" s="557"/>
      <c r="I14294" s="583"/>
      <c r="J14294" s="558"/>
    </row>
    <row r="14295" spans="5:10" hidden="1" x14ac:dyDescent="0.25">
      <c r="E14295" s="693"/>
      <c r="F14295" s="284" t="s">
        <v>234</v>
      </c>
      <c r="G14295" s="287" t="s">
        <v>235</v>
      </c>
      <c r="H14295" s="559">
        <f>SUM(H14234:H14293)</f>
        <v>0</v>
      </c>
      <c r="I14295" s="560"/>
      <c r="J14295" s="560">
        <f>SUM(H14295:I14295)</f>
        <v>0</v>
      </c>
    </row>
    <row r="14296" spans="5:10" hidden="1" x14ac:dyDescent="0.25">
      <c r="F14296" s="284" t="s">
        <v>236</v>
      </c>
      <c r="G14296" s="287" t="s">
        <v>237</v>
      </c>
      <c r="J14296" s="560">
        <f t="shared" ref="J14296:J14310" si="464">SUM(H14296:I14296)</f>
        <v>0</v>
      </c>
    </row>
    <row r="14297" spans="5:10" hidden="1" x14ac:dyDescent="0.25">
      <c r="F14297" s="284" t="s">
        <v>238</v>
      </c>
      <c r="G14297" s="287" t="s">
        <v>239</v>
      </c>
      <c r="J14297" s="560">
        <f t="shared" si="464"/>
        <v>0</v>
      </c>
    </row>
    <row r="14298" spans="5:10" hidden="1" x14ac:dyDescent="0.25">
      <c r="F14298" s="284" t="s">
        <v>240</v>
      </c>
      <c r="G14298" s="287" t="s">
        <v>241</v>
      </c>
      <c r="J14298" s="560">
        <f t="shared" si="464"/>
        <v>0</v>
      </c>
    </row>
    <row r="14299" spans="5:10" hidden="1" x14ac:dyDescent="0.25">
      <c r="F14299" s="284" t="s">
        <v>242</v>
      </c>
      <c r="G14299" s="287" t="s">
        <v>243</v>
      </c>
      <c r="J14299" s="560">
        <f t="shared" si="464"/>
        <v>0</v>
      </c>
    </row>
    <row r="14300" spans="5:10" hidden="1" x14ac:dyDescent="0.25">
      <c r="F14300" s="284" t="s">
        <v>244</v>
      </c>
      <c r="G14300" s="287" t="s">
        <v>245</v>
      </c>
      <c r="J14300" s="560">
        <f t="shared" si="464"/>
        <v>0</v>
      </c>
    </row>
    <row r="14301" spans="5:10" hidden="1" x14ac:dyDescent="0.25">
      <c r="F14301" s="284" t="s">
        <v>246</v>
      </c>
      <c r="G14301" s="598" t="s">
        <v>4996</v>
      </c>
      <c r="J14301" s="560">
        <f t="shared" si="464"/>
        <v>0</v>
      </c>
    </row>
    <row r="14302" spans="5:10" hidden="1" x14ac:dyDescent="0.25">
      <c r="F14302" s="284" t="s">
        <v>247</v>
      </c>
      <c r="G14302" s="598" t="s">
        <v>4995</v>
      </c>
      <c r="J14302" s="560">
        <f t="shared" si="464"/>
        <v>0</v>
      </c>
    </row>
    <row r="14303" spans="5:10" hidden="1" x14ac:dyDescent="0.25">
      <c r="F14303" s="284" t="s">
        <v>248</v>
      </c>
      <c r="G14303" s="287" t="s">
        <v>57</v>
      </c>
      <c r="J14303" s="560">
        <f t="shared" si="464"/>
        <v>0</v>
      </c>
    </row>
    <row r="14304" spans="5:10" hidden="1" x14ac:dyDescent="0.25">
      <c r="F14304" s="284" t="s">
        <v>249</v>
      </c>
      <c r="G14304" s="287" t="s">
        <v>250</v>
      </c>
      <c r="J14304" s="560">
        <f t="shared" si="464"/>
        <v>0</v>
      </c>
    </row>
    <row r="14305" spans="5:10" hidden="1" x14ac:dyDescent="0.25">
      <c r="F14305" s="284" t="s">
        <v>251</v>
      </c>
      <c r="G14305" s="287" t="s">
        <v>252</v>
      </c>
      <c r="J14305" s="560">
        <f t="shared" si="464"/>
        <v>0</v>
      </c>
    </row>
    <row r="14306" spans="5:10" ht="30" hidden="1" x14ac:dyDescent="0.25">
      <c r="F14306" s="284" t="s">
        <v>253</v>
      </c>
      <c r="G14306" s="287" t="s">
        <v>254</v>
      </c>
      <c r="J14306" s="560">
        <f t="shared" si="464"/>
        <v>0</v>
      </c>
    </row>
    <row r="14307" spans="5:10" hidden="1" x14ac:dyDescent="0.25">
      <c r="F14307" s="284" t="s">
        <v>255</v>
      </c>
      <c r="G14307" s="287" t="s">
        <v>256</v>
      </c>
      <c r="J14307" s="560">
        <f t="shared" si="464"/>
        <v>0</v>
      </c>
    </row>
    <row r="14308" spans="5:10" ht="30" hidden="1" x14ac:dyDescent="0.25">
      <c r="F14308" s="284" t="s">
        <v>257</v>
      </c>
      <c r="G14308" s="287" t="s">
        <v>258</v>
      </c>
      <c r="J14308" s="560">
        <f t="shared" si="464"/>
        <v>0</v>
      </c>
    </row>
    <row r="14309" spans="5:10" hidden="1" x14ac:dyDescent="0.25">
      <c r="F14309" s="284" t="s">
        <v>259</v>
      </c>
      <c r="G14309" s="287" t="s">
        <v>260</v>
      </c>
      <c r="J14309" s="560">
        <f t="shared" si="464"/>
        <v>0</v>
      </c>
    </row>
    <row r="14310" spans="5:10" hidden="1" x14ac:dyDescent="0.25">
      <c r="F14310" s="284" t="s">
        <v>261</v>
      </c>
      <c r="G14310" s="287" t="s">
        <v>262</v>
      </c>
      <c r="H14310" s="559"/>
      <c r="I14310" s="560"/>
      <c r="J14310" s="560">
        <f t="shared" si="464"/>
        <v>0</v>
      </c>
    </row>
    <row r="14311" spans="5:10" ht="15.75" hidden="1" thickBot="1" x14ac:dyDescent="0.3">
      <c r="G14311" s="268" t="s">
        <v>4304</v>
      </c>
      <c r="H14311" s="561">
        <f>SUM(H14295:H14310)</f>
        <v>0</v>
      </c>
      <c r="I14311" s="562">
        <f>SUM(I14296:I14310)</f>
        <v>0</v>
      </c>
      <c r="J14311" s="562">
        <f>SUM(J14295:J14310)</f>
        <v>0</v>
      </c>
    </row>
    <row r="14312" spans="5:10" ht="28.5" hidden="1" collapsed="1" x14ac:dyDescent="0.25">
      <c r="E14312" s="489"/>
      <c r="F14312" s="486"/>
      <c r="G14312" s="270" t="s">
        <v>4209</v>
      </c>
      <c r="H14312" s="563"/>
      <c r="I14312" s="584"/>
      <c r="J14312" s="564"/>
    </row>
    <row r="14313" spans="5:10" hidden="1" x14ac:dyDescent="0.25">
      <c r="E14313" s="693"/>
      <c r="F14313" s="284" t="s">
        <v>234</v>
      </c>
      <c r="G14313" s="287" t="s">
        <v>235</v>
      </c>
      <c r="H14313" s="559">
        <f>SUM(H14234:H14293)</f>
        <v>0</v>
      </c>
      <c r="I14313" s="560"/>
      <c r="J14313" s="560">
        <f>SUM(H14313:I14313)</f>
        <v>0</v>
      </c>
    </row>
    <row r="14314" spans="5:10" hidden="1" x14ac:dyDescent="0.25">
      <c r="F14314" s="284" t="s">
        <v>236</v>
      </c>
      <c r="G14314" s="287" t="s">
        <v>237</v>
      </c>
      <c r="J14314" s="560">
        <f t="shared" ref="J14314:J14328" si="465">SUM(H14314:I14314)</f>
        <v>0</v>
      </c>
    </row>
    <row r="14315" spans="5:10" hidden="1" x14ac:dyDescent="0.25">
      <c r="F14315" s="284" t="s">
        <v>238</v>
      </c>
      <c r="G14315" s="287" t="s">
        <v>239</v>
      </c>
      <c r="J14315" s="560">
        <f t="shared" si="465"/>
        <v>0</v>
      </c>
    </row>
    <row r="14316" spans="5:10" hidden="1" x14ac:dyDescent="0.25">
      <c r="F14316" s="284" t="s">
        <v>240</v>
      </c>
      <c r="G14316" s="287" t="s">
        <v>241</v>
      </c>
      <c r="J14316" s="560">
        <f t="shared" si="465"/>
        <v>0</v>
      </c>
    </row>
    <row r="14317" spans="5:10" hidden="1" x14ac:dyDescent="0.25">
      <c r="F14317" s="284" t="s">
        <v>242</v>
      </c>
      <c r="G14317" s="287" t="s">
        <v>243</v>
      </c>
      <c r="J14317" s="560">
        <f t="shared" si="465"/>
        <v>0</v>
      </c>
    </row>
    <row r="14318" spans="5:10" hidden="1" x14ac:dyDescent="0.25">
      <c r="F14318" s="284" t="s">
        <v>244</v>
      </c>
      <c r="G14318" s="287" t="s">
        <v>245</v>
      </c>
      <c r="J14318" s="560">
        <f t="shared" si="465"/>
        <v>0</v>
      </c>
    </row>
    <row r="14319" spans="5:10" hidden="1" x14ac:dyDescent="0.25">
      <c r="F14319" s="284" t="s">
        <v>246</v>
      </c>
      <c r="G14319" s="598" t="s">
        <v>4996</v>
      </c>
      <c r="J14319" s="560">
        <f t="shared" si="465"/>
        <v>0</v>
      </c>
    </row>
    <row r="14320" spans="5:10" hidden="1" x14ac:dyDescent="0.25">
      <c r="F14320" s="284" t="s">
        <v>247</v>
      </c>
      <c r="G14320" s="598" t="s">
        <v>4995</v>
      </c>
      <c r="J14320" s="560">
        <f t="shared" si="465"/>
        <v>0</v>
      </c>
    </row>
    <row r="14321" spans="1:25" hidden="1" x14ac:dyDescent="0.25">
      <c r="F14321" s="284" t="s">
        <v>248</v>
      </c>
      <c r="G14321" s="287" t="s">
        <v>57</v>
      </c>
      <c r="J14321" s="560">
        <f t="shared" si="465"/>
        <v>0</v>
      </c>
    </row>
    <row r="14322" spans="1:25" hidden="1" x14ac:dyDescent="0.25">
      <c r="F14322" s="284" t="s">
        <v>249</v>
      </c>
      <c r="G14322" s="287" t="s">
        <v>250</v>
      </c>
      <c r="J14322" s="560">
        <f t="shared" si="465"/>
        <v>0</v>
      </c>
    </row>
    <row r="14323" spans="1:25" hidden="1" x14ac:dyDescent="0.25">
      <c r="F14323" s="284" t="s">
        <v>251</v>
      </c>
      <c r="G14323" s="287" t="s">
        <v>252</v>
      </c>
      <c r="J14323" s="560">
        <f t="shared" si="465"/>
        <v>0</v>
      </c>
    </row>
    <row r="14324" spans="1:25" ht="30" hidden="1" x14ac:dyDescent="0.25">
      <c r="F14324" s="284" t="s">
        <v>253</v>
      </c>
      <c r="G14324" s="287" t="s">
        <v>254</v>
      </c>
      <c r="J14324" s="560">
        <f t="shared" si="465"/>
        <v>0</v>
      </c>
    </row>
    <row r="14325" spans="1:25" hidden="1" x14ac:dyDescent="0.25">
      <c r="F14325" s="284" t="s">
        <v>255</v>
      </c>
      <c r="G14325" s="287" t="s">
        <v>256</v>
      </c>
      <c r="J14325" s="560">
        <f t="shared" si="465"/>
        <v>0</v>
      </c>
    </row>
    <row r="14326" spans="1:25" ht="30" hidden="1" x14ac:dyDescent="0.25">
      <c r="F14326" s="284" t="s">
        <v>257</v>
      </c>
      <c r="G14326" s="287" t="s">
        <v>258</v>
      </c>
      <c r="J14326" s="560">
        <f t="shared" si="465"/>
        <v>0</v>
      </c>
    </row>
    <row r="14327" spans="1:25" hidden="1" x14ac:dyDescent="0.25">
      <c r="F14327" s="284" t="s">
        <v>259</v>
      </c>
      <c r="G14327" s="287" t="s">
        <v>260</v>
      </c>
      <c r="J14327" s="560">
        <f t="shared" si="465"/>
        <v>0</v>
      </c>
    </row>
    <row r="14328" spans="1:25" hidden="1" x14ac:dyDescent="0.25">
      <c r="F14328" s="284" t="s">
        <v>261</v>
      </c>
      <c r="G14328" s="287" t="s">
        <v>262</v>
      </c>
      <c r="H14328" s="559"/>
      <c r="I14328" s="560"/>
      <c r="J14328" s="560">
        <f t="shared" si="465"/>
        <v>0</v>
      </c>
    </row>
    <row r="14329" spans="1:25" ht="15.75" hidden="1" collapsed="1" thickBot="1" x14ac:dyDescent="0.3">
      <c r="G14329" s="268" t="s">
        <v>4210</v>
      </c>
      <c r="H14329" s="561">
        <f>SUM(H14313:H14328)</f>
        <v>0</v>
      </c>
      <c r="I14329" s="562">
        <f>SUM(I14314:I14328)</f>
        <v>0</v>
      </c>
      <c r="J14329" s="562">
        <f>SUM(J14313:J14328)</f>
        <v>0</v>
      </c>
    </row>
    <row r="14330" spans="1:25" s="88" customFormat="1" hidden="1" x14ac:dyDescent="0.25">
      <c r="A14330" s="258"/>
      <c r="B14330" s="288"/>
      <c r="C14330" s="294"/>
      <c r="E14330" s="877"/>
      <c r="G14330" s="301"/>
      <c r="H14330" s="572"/>
      <c r="I14330" s="573"/>
      <c r="J14330" s="573"/>
      <c r="K14330" s="505"/>
      <c r="L14330" s="505"/>
      <c r="M14330" s="505"/>
      <c r="N14330" s="505"/>
      <c r="O14330" s="505"/>
      <c r="P14330" s="505"/>
      <c r="Q14330" s="505"/>
      <c r="R14330" s="505"/>
      <c r="S14330" s="505"/>
      <c r="T14330" s="505"/>
      <c r="U14330" s="505"/>
      <c r="V14330" s="505"/>
      <c r="W14330" s="505"/>
      <c r="X14330" s="505"/>
      <c r="Y14330" s="505"/>
    </row>
    <row r="14331" spans="1:25" ht="28.5" hidden="1" x14ac:dyDescent="0.25">
      <c r="A14331" s="481"/>
      <c r="C14331" s="267" t="s">
        <v>4083</v>
      </c>
      <c r="D14331" s="259"/>
      <c r="G14331" s="483" t="s">
        <v>4084</v>
      </c>
    </row>
    <row r="14332" spans="1:25" s="88" customFormat="1" ht="30" hidden="1" x14ac:dyDescent="0.25">
      <c r="A14332" s="258"/>
      <c r="B14332" s="288"/>
      <c r="C14332" s="334"/>
      <c r="D14332" s="350" t="s">
        <v>3878</v>
      </c>
      <c r="E14332" s="880"/>
      <c r="F14332" s="349"/>
      <c r="G14332" s="333" t="s">
        <v>103</v>
      </c>
      <c r="H14332" s="588"/>
      <c r="I14332" s="571"/>
      <c r="J14332" s="589"/>
      <c r="K14332" s="505"/>
      <c r="L14332" s="505"/>
      <c r="M14332" s="505"/>
      <c r="N14332" s="505"/>
      <c r="O14332" s="505"/>
      <c r="P14332" s="505"/>
      <c r="Q14332" s="505"/>
      <c r="R14332" s="505"/>
      <c r="S14332" s="505"/>
      <c r="T14332" s="505"/>
      <c r="U14332" s="505"/>
      <c r="V14332" s="505"/>
      <c r="W14332" s="505"/>
      <c r="X14332" s="505"/>
      <c r="Y14332" s="505"/>
    </row>
    <row r="14333" spans="1:25" hidden="1" x14ac:dyDescent="0.25">
      <c r="A14333" s="481"/>
      <c r="F14333" s="485">
        <v>411</v>
      </c>
      <c r="G14333" s="480" t="s">
        <v>4131</v>
      </c>
      <c r="J14333" s="556">
        <f>SUM(H14333:I14333)</f>
        <v>0</v>
      </c>
    </row>
    <row r="14334" spans="1:25" hidden="1" x14ac:dyDescent="0.25">
      <c r="F14334" s="485">
        <v>412</v>
      </c>
      <c r="G14334" s="478" t="s">
        <v>3766</v>
      </c>
      <c r="J14334" s="556">
        <f t="shared" ref="J14334:J14392" si="466">SUM(H14334:I14334)</f>
        <v>0</v>
      </c>
    </row>
    <row r="14335" spans="1:25" hidden="1" x14ac:dyDescent="0.25">
      <c r="F14335" s="485">
        <v>413</v>
      </c>
      <c r="G14335" s="480" t="s">
        <v>4132</v>
      </c>
      <c r="J14335" s="556">
        <f t="shared" si="466"/>
        <v>0</v>
      </c>
    </row>
    <row r="14336" spans="1:25" hidden="1" x14ac:dyDescent="0.25">
      <c r="F14336" s="485">
        <v>414</v>
      </c>
      <c r="G14336" s="480" t="s">
        <v>3769</v>
      </c>
      <c r="J14336" s="556">
        <f t="shared" si="466"/>
        <v>0</v>
      </c>
    </row>
    <row r="14337" spans="6:10" hidden="1" x14ac:dyDescent="0.25">
      <c r="F14337" s="485">
        <v>415</v>
      </c>
      <c r="G14337" s="480" t="s">
        <v>4141</v>
      </c>
      <c r="J14337" s="556">
        <f t="shared" si="466"/>
        <v>0</v>
      </c>
    </row>
    <row r="14338" spans="6:10" hidden="1" x14ac:dyDescent="0.25">
      <c r="F14338" s="485">
        <v>416</v>
      </c>
      <c r="G14338" s="480" t="s">
        <v>4142</v>
      </c>
      <c r="J14338" s="556">
        <f t="shared" si="466"/>
        <v>0</v>
      </c>
    </row>
    <row r="14339" spans="6:10" hidden="1" x14ac:dyDescent="0.25">
      <c r="F14339" s="485">
        <v>417</v>
      </c>
      <c r="G14339" s="480" t="s">
        <v>4143</v>
      </c>
      <c r="J14339" s="556">
        <f t="shared" si="466"/>
        <v>0</v>
      </c>
    </row>
    <row r="14340" spans="6:10" hidden="1" x14ac:dyDescent="0.25">
      <c r="F14340" s="485">
        <v>418</v>
      </c>
      <c r="G14340" s="480" t="s">
        <v>3775</v>
      </c>
      <c r="J14340" s="556">
        <f t="shared" si="466"/>
        <v>0</v>
      </c>
    </row>
    <row r="14341" spans="6:10" hidden="1" x14ac:dyDescent="0.25">
      <c r="F14341" s="485">
        <v>421</v>
      </c>
      <c r="G14341" s="480" t="s">
        <v>3779</v>
      </c>
      <c r="J14341" s="556">
        <f t="shared" si="466"/>
        <v>0</v>
      </c>
    </row>
    <row r="14342" spans="6:10" hidden="1" x14ac:dyDescent="0.25">
      <c r="F14342" s="485">
        <v>422</v>
      </c>
      <c r="G14342" s="480" t="s">
        <v>3780</v>
      </c>
      <c r="J14342" s="556">
        <f t="shared" si="466"/>
        <v>0</v>
      </c>
    </row>
    <row r="14343" spans="6:10" hidden="1" x14ac:dyDescent="0.25">
      <c r="F14343" s="485">
        <v>423</v>
      </c>
      <c r="G14343" s="480" t="s">
        <v>3781</v>
      </c>
      <c r="J14343" s="556">
        <f t="shared" si="466"/>
        <v>0</v>
      </c>
    </row>
    <row r="14344" spans="6:10" hidden="1" x14ac:dyDescent="0.25">
      <c r="F14344" s="485">
        <v>424</v>
      </c>
      <c r="G14344" s="480" t="s">
        <v>3783</v>
      </c>
      <c r="J14344" s="556">
        <f t="shared" si="466"/>
        <v>0</v>
      </c>
    </row>
    <row r="14345" spans="6:10" hidden="1" x14ac:dyDescent="0.25">
      <c r="F14345" s="485">
        <v>425</v>
      </c>
      <c r="G14345" s="480" t="s">
        <v>4144</v>
      </c>
      <c r="J14345" s="556">
        <f t="shared" si="466"/>
        <v>0</v>
      </c>
    </row>
    <row r="14346" spans="6:10" hidden="1" x14ac:dyDescent="0.25">
      <c r="F14346" s="485">
        <v>426</v>
      </c>
      <c r="G14346" s="480" t="s">
        <v>3787</v>
      </c>
      <c r="J14346" s="556">
        <f t="shared" si="466"/>
        <v>0</v>
      </c>
    </row>
    <row r="14347" spans="6:10" hidden="1" x14ac:dyDescent="0.25">
      <c r="F14347" s="485">
        <v>431</v>
      </c>
      <c r="G14347" s="480" t="s">
        <v>4145</v>
      </c>
      <c r="J14347" s="556">
        <f t="shared" si="466"/>
        <v>0</v>
      </c>
    </row>
    <row r="14348" spans="6:10" hidden="1" x14ac:dyDescent="0.25">
      <c r="F14348" s="485">
        <v>432</v>
      </c>
      <c r="G14348" s="480" t="s">
        <v>4146</v>
      </c>
      <c r="J14348" s="556">
        <f t="shared" si="466"/>
        <v>0</v>
      </c>
    </row>
    <row r="14349" spans="6:10" hidden="1" x14ac:dyDescent="0.25">
      <c r="F14349" s="485">
        <v>433</v>
      </c>
      <c r="G14349" s="480" t="s">
        <v>4147</v>
      </c>
      <c r="J14349" s="556">
        <f t="shared" si="466"/>
        <v>0</v>
      </c>
    </row>
    <row r="14350" spans="6:10" hidden="1" x14ac:dyDescent="0.25">
      <c r="F14350" s="485">
        <v>434</v>
      </c>
      <c r="G14350" s="480" t="s">
        <v>4148</v>
      </c>
      <c r="J14350" s="556">
        <f t="shared" si="466"/>
        <v>0</v>
      </c>
    </row>
    <row r="14351" spans="6:10" hidden="1" x14ac:dyDescent="0.25">
      <c r="F14351" s="485">
        <v>435</v>
      </c>
      <c r="G14351" s="480" t="s">
        <v>3794</v>
      </c>
      <c r="J14351" s="556">
        <f t="shared" si="466"/>
        <v>0</v>
      </c>
    </row>
    <row r="14352" spans="6:10" hidden="1" x14ac:dyDescent="0.25">
      <c r="F14352" s="485">
        <v>441</v>
      </c>
      <c r="G14352" s="480" t="s">
        <v>4149</v>
      </c>
      <c r="J14352" s="556">
        <f t="shared" si="466"/>
        <v>0</v>
      </c>
    </row>
    <row r="14353" spans="6:10" hidden="1" x14ac:dyDescent="0.25">
      <c r="F14353" s="485">
        <v>442</v>
      </c>
      <c r="G14353" s="480" t="s">
        <v>4150</v>
      </c>
      <c r="J14353" s="556">
        <f t="shared" si="466"/>
        <v>0</v>
      </c>
    </row>
    <row r="14354" spans="6:10" hidden="1" x14ac:dyDescent="0.25">
      <c r="F14354" s="485">
        <v>443</v>
      </c>
      <c r="G14354" s="480" t="s">
        <v>3799</v>
      </c>
      <c r="J14354" s="556">
        <f t="shared" si="466"/>
        <v>0</v>
      </c>
    </row>
    <row r="14355" spans="6:10" hidden="1" x14ac:dyDescent="0.25">
      <c r="F14355" s="485">
        <v>444</v>
      </c>
      <c r="G14355" s="480" t="s">
        <v>3800</v>
      </c>
      <c r="J14355" s="556">
        <f t="shared" si="466"/>
        <v>0</v>
      </c>
    </row>
    <row r="14356" spans="6:10" ht="30" hidden="1" x14ac:dyDescent="0.25">
      <c r="F14356" s="485">
        <v>4511</v>
      </c>
      <c r="G14356" s="263" t="s">
        <v>1690</v>
      </c>
      <c r="J14356" s="556">
        <f t="shared" si="466"/>
        <v>0</v>
      </c>
    </row>
    <row r="14357" spans="6:10" ht="30" hidden="1" x14ac:dyDescent="0.25">
      <c r="F14357" s="485">
        <v>4512</v>
      </c>
      <c r="G14357" s="263" t="s">
        <v>1699</v>
      </c>
      <c r="J14357" s="556">
        <f t="shared" si="466"/>
        <v>0</v>
      </c>
    </row>
    <row r="14358" spans="6:10" hidden="1" x14ac:dyDescent="0.25">
      <c r="F14358" s="485">
        <v>452</v>
      </c>
      <c r="G14358" s="480" t="s">
        <v>4151</v>
      </c>
      <c r="J14358" s="556">
        <f t="shared" si="466"/>
        <v>0</v>
      </c>
    </row>
    <row r="14359" spans="6:10" hidden="1" x14ac:dyDescent="0.25">
      <c r="F14359" s="485">
        <v>453</v>
      </c>
      <c r="G14359" s="480" t="s">
        <v>4152</v>
      </c>
      <c r="J14359" s="556">
        <f t="shared" si="466"/>
        <v>0</v>
      </c>
    </row>
    <row r="14360" spans="6:10" hidden="1" x14ac:dyDescent="0.25">
      <c r="F14360" s="485">
        <v>454</v>
      </c>
      <c r="G14360" s="480" t="s">
        <v>3805</v>
      </c>
      <c r="J14360" s="556">
        <f t="shared" si="466"/>
        <v>0</v>
      </c>
    </row>
    <row r="14361" spans="6:10" hidden="1" x14ac:dyDescent="0.25">
      <c r="F14361" s="485">
        <v>461</v>
      </c>
      <c r="G14361" s="480" t="s">
        <v>4133</v>
      </c>
      <c r="J14361" s="556">
        <f t="shared" si="466"/>
        <v>0</v>
      </c>
    </row>
    <row r="14362" spans="6:10" hidden="1" x14ac:dyDescent="0.25">
      <c r="F14362" s="485">
        <v>462</v>
      </c>
      <c r="G14362" s="480" t="s">
        <v>3808</v>
      </c>
      <c r="J14362" s="556">
        <f t="shared" si="466"/>
        <v>0</v>
      </c>
    </row>
    <row r="14363" spans="6:10" hidden="1" x14ac:dyDescent="0.25">
      <c r="F14363" s="485">
        <v>4631</v>
      </c>
      <c r="G14363" s="480" t="s">
        <v>3809</v>
      </c>
      <c r="J14363" s="556">
        <f t="shared" si="466"/>
        <v>0</v>
      </c>
    </row>
    <row r="14364" spans="6:10" hidden="1" x14ac:dyDescent="0.25">
      <c r="F14364" s="485">
        <v>4632</v>
      </c>
      <c r="G14364" s="480" t="s">
        <v>3810</v>
      </c>
      <c r="J14364" s="556">
        <f t="shared" si="466"/>
        <v>0</v>
      </c>
    </row>
    <row r="14365" spans="6:10" hidden="1" x14ac:dyDescent="0.25">
      <c r="F14365" s="485">
        <v>464</v>
      </c>
      <c r="G14365" s="480" t="s">
        <v>3811</v>
      </c>
      <c r="J14365" s="556">
        <f t="shared" si="466"/>
        <v>0</v>
      </c>
    </row>
    <row r="14366" spans="6:10" hidden="1" x14ac:dyDescent="0.25">
      <c r="F14366" s="485">
        <v>465</v>
      </c>
      <c r="G14366" s="480" t="s">
        <v>4134</v>
      </c>
      <c r="J14366" s="556">
        <f t="shared" si="466"/>
        <v>0</v>
      </c>
    </row>
    <row r="14367" spans="6:10" hidden="1" x14ac:dyDescent="0.25">
      <c r="F14367" s="485">
        <v>472</v>
      </c>
      <c r="G14367" s="480" t="s">
        <v>3815</v>
      </c>
      <c r="J14367" s="556">
        <f t="shared" si="466"/>
        <v>0</v>
      </c>
    </row>
    <row r="14368" spans="6:10" hidden="1" x14ac:dyDescent="0.25">
      <c r="F14368" s="485">
        <v>481</v>
      </c>
      <c r="G14368" s="480" t="s">
        <v>4153</v>
      </c>
      <c r="J14368" s="556">
        <f t="shared" si="466"/>
        <v>0</v>
      </c>
    </row>
    <row r="14369" spans="6:10" hidden="1" x14ac:dyDescent="0.25">
      <c r="F14369" s="485">
        <v>482</v>
      </c>
      <c r="G14369" s="480" t="s">
        <v>4154</v>
      </c>
      <c r="J14369" s="556">
        <f t="shared" si="466"/>
        <v>0</v>
      </c>
    </row>
    <row r="14370" spans="6:10" hidden="1" x14ac:dyDescent="0.25">
      <c r="F14370" s="485">
        <v>483</v>
      </c>
      <c r="G14370" s="482" t="s">
        <v>4155</v>
      </c>
      <c r="J14370" s="556">
        <f t="shared" si="466"/>
        <v>0</v>
      </c>
    </row>
    <row r="14371" spans="6:10" ht="30" hidden="1" x14ac:dyDescent="0.25">
      <c r="F14371" s="485">
        <v>484</v>
      </c>
      <c r="G14371" s="480" t="s">
        <v>4156</v>
      </c>
      <c r="J14371" s="556">
        <f t="shared" si="466"/>
        <v>0</v>
      </c>
    </row>
    <row r="14372" spans="6:10" ht="30" hidden="1" x14ac:dyDescent="0.25">
      <c r="F14372" s="485">
        <v>485</v>
      </c>
      <c r="G14372" s="480" t="s">
        <v>4157</v>
      </c>
      <c r="J14372" s="556">
        <f t="shared" si="466"/>
        <v>0</v>
      </c>
    </row>
    <row r="14373" spans="6:10" ht="30" hidden="1" x14ac:dyDescent="0.25">
      <c r="F14373" s="485">
        <v>489</v>
      </c>
      <c r="G14373" s="480" t="s">
        <v>3823</v>
      </c>
      <c r="J14373" s="556">
        <f t="shared" si="466"/>
        <v>0</v>
      </c>
    </row>
    <row r="14374" spans="6:10" hidden="1" x14ac:dyDescent="0.25">
      <c r="F14374" s="485">
        <v>494</v>
      </c>
      <c r="G14374" s="480" t="s">
        <v>4135</v>
      </c>
      <c r="J14374" s="556">
        <f t="shared" si="466"/>
        <v>0</v>
      </c>
    </row>
    <row r="14375" spans="6:10" ht="30" hidden="1" x14ac:dyDescent="0.25">
      <c r="F14375" s="485">
        <v>495</v>
      </c>
      <c r="G14375" s="480" t="s">
        <v>4136</v>
      </c>
      <c r="J14375" s="556">
        <f t="shared" si="466"/>
        <v>0</v>
      </c>
    </row>
    <row r="14376" spans="6:10" ht="30" hidden="1" x14ac:dyDescent="0.25">
      <c r="F14376" s="485">
        <v>496</v>
      </c>
      <c r="G14376" s="480" t="s">
        <v>4137</v>
      </c>
      <c r="J14376" s="556">
        <f t="shared" si="466"/>
        <v>0</v>
      </c>
    </row>
    <row r="14377" spans="6:10" ht="30" hidden="1" x14ac:dyDescent="0.25">
      <c r="F14377" s="485">
        <v>499</v>
      </c>
      <c r="G14377" s="480" t="s">
        <v>4138</v>
      </c>
      <c r="J14377" s="556">
        <f t="shared" si="466"/>
        <v>0</v>
      </c>
    </row>
    <row r="14378" spans="6:10" hidden="1" x14ac:dyDescent="0.25">
      <c r="F14378" s="485">
        <v>511</v>
      </c>
      <c r="G14378" s="482" t="s">
        <v>4158</v>
      </c>
      <c r="J14378" s="556">
        <f t="shared" si="466"/>
        <v>0</v>
      </c>
    </row>
    <row r="14379" spans="6:10" hidden="1" x14ac:dyDescent="0.25">
      <c r="F14379" s="485">
        <v>512</v>
      </c>
      <c r="G14379" s="482" t="s">
        <v>4159</v>
      </c>
      <c r="J14379" s="556">
        <f t="shared" si="466"/>
        <v>0</v>
      </c>
    </row>
    <row r="14380" spans="6:10" hidden="1" x14ac:dyDescent="0.25">
      <c r="F14380" s="485">
        <v>513</v>
      </c>
      <c r="G14380" s="482" t="s">
        <v>4160</v>
      </c>
      <c r="J14380" s="556">
        <f t="shared" si="466"/>
        <v>0</v>
      </c>
    </row>
    <row r="14381" spans="6:10" hidden="1" x14ac:dyDescent="0.25">
      <c r="F14381" s="485">
        <v>514</v>
      </c>
      <c r="G14381" s="480" t="s">
        <v>4161</v>
      </c>
      <c r="J14381" s="556">
        <f t="shared" si="466"/>
        <v>0</v>
      </c>
    </row>
    <row r="14382" spans="6:10" hidden="1" x14ac:dyDescent="0.25">
      <c r="F14382" s="485">
        <v>515</v>
      </c>
      <c r="G14382" s="480" t="s">
        <v>3834</v>
      </c>
      <c r="J14382" s="556">
        <f t="shared" si="466"/>
        <v>0</v>
      </c>
    </row>
    <row r="14383" spans="6:10" hidden="1" x14ac:dyDescent="0.25">
      <c r="F14383" s="485">
        <v>521</v>
      </c>
      <c r="G14383" s="480" t="s">
        <v>4162</v>
      </c>
      <c r="J14383" s="556">
        <f t="shared" si="466"/>
        <v>0</v>
      </c>
    </row>
    <row r="14384" spans="6:10" hidden="1" x14ac:dyDescent="0.25">
      <c r="F14384" s="485">
        <v>522</v>
      </c>
      <c r="G14384" s="480" t="s">
        <v>4163</v>
      </c>
      <c r="J14384" s="556">
        <f t="shared" si="466"/>
        <v>0</v>
      </c>
    </row>
    <row r="14385" spans="5:10" hidden="1" x14ac:dyDescent="0.25">
      <c r="F14385" s="485">
        <v>523</v>
      </c>
      <c r="G14385" s="480" t="s">
        <v>3839</v>
      </c>
      <c r="J14385" s="556">
        <f t="shared" si="466"/>
        <v>0</v>
      </c>
    </row>
    <row r="14386" spans="5:10" hidden="1" x14ac:dyDescent="0.25">
      <c r="F14386" s="485">
        <v>531</v>
      </c>
      <c r="G14386" s="478" t="s">
        <v>4139</v>
      </c>
      <c r="J14386" s="556">
        <f t="shared" si="466"/>
        <v>0</v>
      </c>
    </row>
    <row r="14387" spans="5:10" hidden="1" x14ac:dyDescent="0.25">
      <c r="F14387" s="485">
        <v>541</v>
      </c>
      <c r="G14387" s="480" t="s">
        <v>4164</v>
      </c>
      <c r="J14387" s="556">
        <f t="shared" si="466"/>
        <v>0</v>
      </c>
    </row>
    <row r="14388" spans="5:10" hidden="1" x14ac:dyDescent="0.25">
      <c r="F14388" s="485">
        <v>542</v>
      </c>
      <c r="G14388" s="480" t="s">
        <v>4165</v>
      </c>
      <c r="J14388" s="556">
        <f t="shared" si="466"/>
        <v>0</v>
      </c>
    </row>
    <row r="14389" spans="5:10" hidden="1" x14ac:dyDescent="0.25">
      <c r="F14389" s="485">
        <v>543</v>
      </c>
      <c r="G14389" s="480" t="s">
        <v>3844</v>
      </c>
      <c r="J14389" s="556">
        <f t="shared" si="466"/>
        <v>0</v>
      </c>
    </row>
    <row r="14390" spans="5:10" ht="30" hidden="1" x14ac:dyDescent="0.25">
      <c r="F14390" s="485">
        <v>551</v>
      </c>
      <c r="G14390" s="480" t="s">
        <v>4140</v>
      </c>
      <c r="J14390" s="556">
        <f t="shared" si="466"/>
        <v>0</v>
      </c>
    </row>
    <row r="14391" spans="5:10" hidden="1" x14ac:dyDescent="0.25">
      <c r="F14391" s="486">
        <v>611</v>
      </c>
      <c r="G14391" s="484" t="s">
        <v>3850</v>
      </c>
      <c r="J14391" s="556">
        <f t="shared" si="466"/>
        <v>0</v>
      </c>
    </row>
    <row r="14392" spans="5:10" hidden="1" x14ac:dyDescent="0.25">
      <c r="F14392" s="486">
        <v>620</v>
      </c>
      <c r="G14392" s="484" t="s">
        <v>88</v>
      </c>
      <c r="J14392" s="556">
        <f t="shared" si="466"/>
        <v>0</v>
      </c>
    </row>
    <row r="14393" spans="5:10" hidden="1" x14ac:dyDescent="0.25">
      <c r="E14393" s="489"/>
      <c r="F14393" s="486"/>
      <c r="G14393" s="342" t="s">
        <v>4303</v>
      </c>
      <c r="H14393" s="557"/>
      <c r="I14393" s="583"/>
      <c r="J14393" s="558"/>
    </row>
    <row r="14394" spans="5:10" hidden="1" x14ac:dyDescent="0.25">
      <c r="E14394" s="693"/>
      <c r="F14394" s="284" t="s">
        <v>234</v>
      </c>
      <c r="G14394" s="287" t="s">
        <v>235</v>
      </c>
      <c r="H14394" s="559">
        <f>SUM(H14333:H14392)</f>
        <v>0</v>
      </c>
      <c r="I14394" s="560"/>
      <c r="J14394" s="560">
        <f>SUM(H14394:I14394)</f>
        <v>0</v>
      </c>
    </row>
    <row r="14395" spans="5:10" hidden="1" x14ac:dyDescent="0.25">
      <c r="F14395" s="284" t="s">
        <v>236</v>
      </c>
      <c r="G14395" s="287" t="s">
        <v>237</v>
      </c>
      <c r="J14395" s="560">
        <f t="shared" ref="J14395:J14409" si="467">SUM(H14395:I14395)</f>
        <v>0</v>
      </c>
    </row>
    <row r="14396" spans="5:10" hidden="1" x14ac:dyDescent="0.25">
      <c r="F14396" s="284" t="s">
        <v>238</v>
      </c>
      <c r="G14396" s="287" t="s">
        <v>239</v>
      </c>
      <c r="J14396" s="560">
        <f t="shared" si="467"/>
        <v>0</v>
      </c>
    </row>
    <row r="14397" spans="5:10" hidden="1" x14ac:dyDescent="0.25">
      <c r="F14397" s="284" t="s">
        <v>240</v>
      </c>
      <c r="G14397" s="287" t="s">
        <v>241</v>
      </c>
      <c r="J14397" s="560">
        <f t="shared" si="467"/>
        <v>0</v>
      </c>
    </row>
    <row r="14398" spans="5:10" hidden="1" x14ac:dyDescent="0.25">
      <c r="F14398" s="284" t="s">
        <v>242</v>
      </c>
      <c r="G14398" s="287" t="s">
        <v>243</v>
      </c>
      <c r="J14398" s="560">
        <f t="shared" si="467"/>
        <v>0</v>
      </c>
    </row>
    <row r="14399" spans="5:10" hidden="1" x14ac:dyDescent="0.25">
      <c r="F14399" s="284" t="s">
        <v>244</v>
      </c>
      <c r="G14399" s="287" t="s">
        <v>245</v>
      </c>
      <c r="J14399" s="560">
        <f t="shared" si="467"/>
        <v>0</v>
      </c>
    </row>
    <row r="14400" spans="5:10" hidden="1" x14ac:dyDescent="0.25">
      <c r="F14400" s="284" t="s">
        <v>246</v>
      </c>
      <c r="G14400" s="598" t="s">
        <v>4996</v>
      </c>
      <c r="J14400" s="560">
        <f t="shared" si="467"/>
        <v>0</v>
      </c>
    </row>
    <row r="14401" spans="5:10" hidden="1" x14ac:dyDescent="0.25">
      <c r="F14401" s="284" t="s">
        <v>247</v>
      </c>
      <c r="G14401" s="598" t="s">
        <v>4995</v>
      </c>
      <c r="J14401" s="560">
        <f t="shared" si="467"/>
        <v>0</v>
      </c>
    </row>
    <row r="14402" spans="5:10" hidden="1" x14ac:dyDescent="0.25">
      <c r="F14402" s="284" t="s">
        <v>248</v>
      </c>
      <c r="G14402" s="287" t="s">
        <v>57</v>
      </c>
      <c r="J14402" s="560">
        <f t="shared" si="467"/>
        <v>0</v>
      </c>
    </row>
    <row r="14403" spans="5:10" hidden="1" x14ac:dyDescent="0.25">
      <c r="F14403" s="284" t="s">
        <v>249</v>
      </c>
      <c r="G14403" s="287" t="s">
        <v>250</v>
      </c>
      <c r="J14403" s="560">
        <f t="shared" si="467"/>
        <v>0</v>
      </c>
    </row>
    <row r="14404" spans="5:10" hidden="1" x14ac:dyDescent="0.25">
      <c r="F14404" s="284" t="s">
        <v>251</v>
      </c>
      <c r="G14404" s="287" t="s">
        <v>252</v>
      </c>
      <c r="J14404" s="560">
        <f t="shared" si="467"/>
        <v>0</v>
      </c>
    </row>
    <row r="14405" spans="5:10" ht="30" hidden="1" x14ac:dyDescent="0.25">
      <c r="F14405" s="284" t="s">
        <v>253</v>
      </c>
      <c r="G14405" s="287" t="s">
        <v>254</v>
      </c>
      <c r="J14405" s="560">
        <f t="shared" si="467"/>
        <v>0</v>
      </c>
    </row>
    <row r="14406" spans="5:10" hidden="1" x14ac:dyDescent="0.25">
      <c r="F14406" s="284" t="s">
        <v>255</v>
      </c>
      <c r="G14406" s="287" t="s">
        <v>256</v>
      </c>
      <c r="J14406" s="560">
        <f t="shared" si="467"/>
        <v>0</v>
      </c>
    </row>
    <row r="14407" spans="5:10" ht="30" hidden="1" x14ac:dyDescent="0.25">
      <c r="F14407" s="284" t="s">
        <v>257</v>
      </c>
      <c r="G14407" s="287" t="s">
        <v>258</v>
      </c>
      <c r="J14407" s="560">
        <f t="shared" si="467"/>
        <v>0</v>
      </c>
    </row>
    <row r="14408" spans="5:10" hidden="1" x14ac:dyDescent="0.25">
      <c r="F14408" s="284" t="s">
        <v>259</v>
      </c>
      <c r="G14408" s="287" t="s">
        <v>260</v>
      </c>
      <c r="J14408" s="560">
        <f t="shared" si="467"/>
        <v>0</v>
      </c>
    </row>
    <row r="14409" spans="5:10" hidden="1" x14ac:dyDescent="0.25">
      <c r="F14409" s="284" t="s">
        <v>261</v>
      </c>
      <c r="G14409" s="287" t="s">
        <v>262</v>
      </c>
      <c r="H14409" s="559"/>
      <c r="I14409" s="560"/>
      <c r="J14409" s="560">
        <f t="shared" si="467"/>
        <v>0</v>
      </c>
    </row>
    <row r="14410" spans="5:10" ht="15.75" hidden="1" thickBot="1" x14ac:dyDescent="0.3">
      <c r="G14410" s="268" t="s">
        <v>4304</v>
      </c>
      <c r="H14410" s="561">
        <f>SUM(H14394:H14409)</f>
        <v>0</v>
      </c>
      <c r="I14410" s="562">
        <f>SUM(I14395:I14409)</f>
        <v>0</v>
      </c>
      <c r="J14410" s="562">
        <f>SUM(J14394:J14409)</f>
        <v>0</v>
      </c>
    </row>
    <row r="14411" spans="5:10" ht="28.5" hidden="1" collapsed="1" x14ac:dyDescent="0.25">
      <c r="E14411" s="489"/>
      <c r="F14411" s="486"/>
      <c r="G14411" s="270" t="s">
        <v>4381</v>
      </c>
      <c r="H14411" s="563"/>
      <c r="I14411" s="584"/>
      <c r="J14411" s="564"/>
    </row>
    <row r="14412" spans="5:10" hidden="1" x14ac:dyDescent="0.25">
      <c r="E14412" s="693"/>
      <c r="F14412" s="284" t="s">
        <v>234</v>
      </c>
      <c r="G14412" s="287" t="s">
        <v>235</v>
      </c>
      <c r="H14412" s="559">
        <f>SUM(H14333:H14392)</f>
        <v>0</v>
      </c>
      <c r="I14412" s="560"/>
      <c r="J14412" s="560">
        <f>SUM(H14412:I14412)</f>
        <v>0</v>
      </c>
    </row>
    <row r="14413" spans="5:10" hidden="1" x14ac:dyDescent="0.25">
      <c r="F14413" s="284" t="s">
        <v>236</v>
      </c>
      <c r="G14413" s="287" t="s">
        <v>237</v>
      </c>
      <c r="J14413" s="560">
        <f t="shared" ref="J14413:J14427" si="468">SUM(H14413:I14413)</f>
        <v>0</v>
      </c>
    </row>
    <row r="14414" spans="5:10" hidden="1" x14ac:dyDescent="0.25">
      <c r="F14414" s="284" t="s">
        <v>238</v>
      </c>
      <c r="G14414" s="287" t="s">
        <v>239</v>
      </c>
      <c r="J14414" s="560">
        <f t="shared" si="468"/>
        <v>0</v>
      </c>
    </row>
    <row r="14415" spans="5:10" hidden="1" x14ac:dyDescent="0.25">
      <c r="F14415" s="284" t="s">
        <v>240</v>
      </c>
      <c r="G14415" s="287" t="s">
        <v>241</v>
      </c>
      <c r="J14415" s="560">
        <f t="shared" si="468"/>
        <v>0</v>
      </c>
    </row>
    <row r="14416" spans="5:10" hidden="1" x14ac:dyDescent="0.25">
      <c r="F14416" s="284" t="s">
        <v>242</v>
      </c>
      <c r="G14416" s="287" t="s">
        <v>243</v>
      </c>
      <c r="J14416" s="560">
        <f t="shared" si="468"/>
        <v>0</v>
      </c>
    </row>
    <row r="14417" spans="1:25" hidden="1" x14ac:dyDescent="0.25">
      <c r="F14417" s="284" t="s">
        <v>244</v>
      </c>
      <c r="G14417" s="287" t="s">
        <v>245</v>
      </c>
      <c r="J14417" s="560">
        <f t="shared" si="468"/>
        <v>0</v>
      </c>
    </row>
    <row r="14418" spans="1:25" hidden="1" x14ac:dyDescent="0.25">
      <c r="F14418" s="284" t="s">
        <v>246</v>
      </c>
      <c r="G14418" s="598" t="s">
        <v>4996</v>
      </c>
      <c r="J14418" s="560">
        <f t="shared" si="468"/>
        <v>0</v>
      </c>
    </row>
    <row r="14419" spans="1:25" hidden="1" x14ac:dyDescent="0.25">
      <c r="F14419" s="284" t="s">
        <v>247</v>
      </c>
      <c r="G14419" s="598" t="s">
        <v>4995</v>
      </c>
      <c r="J14419" s="560">
        <f t="shared" si="468"/>
        <v>0</v>
      </c>
    </row>
    <row r="14420" spans="1:25" hidden="1" x14ac:dyDescent="0.25">
      <c r="F14420" s="284" t="s">
        <v>248</v>
      </c>
      <c r="G14420" s="287" t="s">
        <v>57</v>
      </c>
      <c r="J14420" s="560">
        <f t="shared" si="468"/>
        <v>0</v>
      </c>
    </row>
    <row r="14421" spans="1:25" hidden="1" x14ac:dyDescent="0.25">
      <c r="F14421" s="284" t="s">
        <v>249</v>
      </c>
      <c r="G14421" s="287" t="s">
        <v>250</v>
      </c>
      <c r="J14421" s="560">
        <f t="shared" si="468"/>
        <v>0</v>
      </c>
    </row>
    <row r="14422" spans="1:25" hidden="1" x14ac:dyDescent="0.25">
      <c r="F14422" s="284" t="s">
        <v>251</v>
      </c>
      <c r="G14422" s="287" t="s">
        <v>252</v>
      </c>
      <c r="J14422" s="560">
        <f t="shared" si="468"/>
        <v>0</v>
      </c>
    </row>
    <row r="14423" spans="1:25" ht="30" hidden="1" x14ac:dyDescent="0.25">
      <c r="F14423" s="284" t="s">
        <v>253</v>
      </c>
      <c r="G14423" s="287" t="s">
        <v>254</v>
      </c>
      <c r="J14423" s="560">
        <f t="shared" si="468"/>
        <v>0</v>
      </c>
    </row>
    <row r="14424" spans="1:25" hidden="1" x14ac:dyDescent="0.25">
      <c r="F14424" s="284" t="s">
        <v>255</v>
      </c>
      <c r="G14424" s="287" t="s">
        <v>256</v>
      </c>
      <c r="J14424" s="560">
        <f t="shared" si="468"/>
        <v>0</v>
      </c>
    </row>
    <row r="14425" spans="1:25" ht="30" hidden="1" x14ac:dyDescent="0.25">
      <c r="F14425" s="284" t="s">
        <v>257</v>
      </c>
      <c r="G14425" s="287" t="s">
        <v>258</v>
      </c>
      <c r="J14425" s="560">
        <f t="shared" si="468"/>
        <v>0</v>
      </c>
    </row>
    <row r="14426" spans="1:25" hidden="1" x14ac:dyDescent="0.25">
      <c r="F14426" s="284" t="s">
        <v>259</v>
      </c>
      <c r="G14426" s="287" t="s">
        <v>260</v>
      </c>
      <c r="J14426" s="560">
        <f t="shared" si="468"/>
        <v>0</v>
      </c>
    </row>
    <row r="14427" spans="1:25" hidden="1" x14ac:dyDescent="0.25">
      <c r="F14427" s="284" t="s">
        <v>261</v>
      </c>
      <c r="G14427" s="287" t="s">
        <v>262</v>
      </c>
      <c r="H14427" s="559"/>
      <c r="I14427" s="560"/>
      <c r="J14427" s="560">
        <f t="shared" si="468"/>
        <v>0</v>
      </c>
    </row>
    <row r="14428" spans="1:25" ht="15.75" hidden="1" collapsed="1" thickBot="1" x14ac:dyDescent="0.3">
      <c r="G14428" s="268" t="s">
        <v>4382</v>
      </c>
      <c r="H14428" s="561">
        <f>SUM(H14412:H14427)</f>
        <v>0</v>
      </c>
      <c r="I14428" s="562">
        <f>SUM(I14413:I14427)</f>
        <v>0</v>
      </c>
      <c r="J14428" s="562">
        <f>SUM(J14412:J14427)</f>
        <v>0</v>
      </c>
    </row>
    <row r="14429" spans="1:25" hidden="1" x14ac:dyDescent="0.25">
      <c r="G14429" s="312"/>
      <c r="H14429" s="565"/>
      <c r="I14429" s="566"/>
      <c r="J14429" s="566"/>
    </row>
    <row r="14430" spans="1:25" hidden="1" x14ac:dyDescent="0.25">
      <c r="C14430" s="267" t="s">
        <v>4085</v>
      </c>
      <c r="D14430" s="259"/>
      <c r="G14430" s="483" t="s">
        <v>4086</v>
      </c>
    </row>
    <row r="14431" spans="1:25" s="88" customFormat="1" ht="30" hidden="1" x14ac:dyDescent="0.25">
      <c r="A14431" s="258"/>
      <c r="B14431" s="288"/>
      <c r="C14431" s="334"/>
      <c r="D14431" s="350" t="s">
        <v>3878</v>
      </c>
      <c r="E14431" s="880"/>
      <c r="F14431" s="349"/>
      <c r="G14431" s="333" t="s">
        <v>103</v>
      </c>
      <c r="H14431" s="588"/>
      <c r="I14431" s="571"/>
      <c r="J14431" s="589"/>
      <c r="K14431" s="505"/>
      <c r="L14431" s="505"/>
      <c r="M14431" s="505"/>
      <c r="N14431" s="505"/>
      <c r="O14431" s="505"/>
      <c r="P14431" s="505"/>
      <c r="Q14431" s="505"/>
      <c r="R14431" s="505"/>
      <c r="S14431" s="505"/>
      <c r="T14431" s="505"/>
      <c r="U14431" s="505"/>
      <c r="V14431" s="505"/>
      <c r="W14431" s="505"/>
      <c r="X14431" s="505"/>
      <c r="Y14431" s="505"/>
    </row>
    <row r="14432" spans="1:25" hidden="1" x14ac:dyDescent="0.25">
      <c r="A14432" s="481"/>
      <c r="F14432" s="485">
        <v>411</v>
      </c>
      <c r="G14432" s="480" t="s">
        <v>4131</v>
      </c>
      <c r="J14432" s="556">
        <f>SUM(H14432:I14432)</f>
        <v>0</v>
      </c>
    </row>
    <row r="14433" spans="6:10" hidden="1" x14ac:dyDescent="0.25">
      <c r="F14433" s="485">
        <v>412</v>
      </c>
      <c r="G14433" s="478" t="s">
        <v>3766</v>
      </c>
      <c r="J14433" s="556">
        <f t="shared" ref="J14433:J14491" si="469">SUM(H14433:I14433)</f>
        <v>0</v>
      </c>
    </row>
    <row r="14434" spans="6:10" hidden="1" x14ac:dyDescent="0.25">
      <c r="F14434" s="485">
        <v>413</v>
      </c>
      <c r="G14434" s="480" t="s">
        <v>4132</v>
      </c>
      <c r="J14434" s="556">
        <f t="shared" si="469"/>
        <v>0</v>
      </c>
    </row>
    <row r="14435" spans="6:10" hidden="1" x14ac:dyDescent="0.25">
      <c r="F14435" s="485">
        <v>414</v>
      </c>
      <c r="G14435" s="480" t="s">
        <v>3769</v>
      </c>
      <c r="J14435" s="556">
        <f t="shared" si="469"/>
        <v>0</v>
      </c>
    </row>
    <row r="14436" spans="6:10" hidden="1" x14ac:dyDescent="0.25">
      <c r="F14436" s="485">
        <v>415</v>
      </c>
      <c r="G14436" s="480" t="s">
        <v>4141</v>
      </c>
      <c r="J14436" s="556">
        <f t="shared" si="469"/>
        <v>0</v>
      </c>
    </row>
    <row r="14437" spans="6:10" hidden="1" x14ac:dyDescent="0.25">
      <c r="F14437" s="485">
        <v>416</v>
      </c>
      <c r="G14437" s="480" t="s">
        <v>4142</v>
      </c>
      <c r="J14437" s="556">
        <f t="shared" si="469"/>
        <v>0</v>
      </c>
    </row>
    <row r="14438" spans="6:10" hidden="1" x14ac:dyDescent="0.25">
      <c r="F14438" s="485">
        <v>417</v>
      </c>
      <c r="G14438" s="480" t="s">
        <v>4143</v>
      </c>
      <c r="J14438" s="556">
        <f t="shared" si="469"/>
        <v>0</v>
      </c>
    </row>
    <row r="14439" spans="6:10" hidden="1" x14ac:dyDescent="0.25">
      <c r="F14439" s="485">
        <v>418</v>
      </c>
      <c r="G14439" s="480" t="s">
        <v>3775</v>
      </c>
      <c r="J14439" s="556">
        <f t="shared" si="469"/>
        <v>0</v>
      </c>
    </row>
    <row r="14440" spans="6:10" hidden="1" x14ac:dyDescent="0.25">
      <c r="F14440" s="485">
        <v>421</v>
      </c>
      <c r="G14440" s="480" t="s">
        <v>3779</v>
      </c>
      <c r="J14440" s="556">
        <f t="shared" si="469"/>
        <v>0</v>
      </c>
    </row>
    <row r="14441" spans="6:10" hidden="1" x14ac:dyDescent="0.25">
      <c r="F14441" s="485">
        <v>422</v>
      </c>
      <c r="G14441" s="480" t="s">
        <v>3780</v>
      </c>
      <c r="J14441" s="556">
        <f t="shared" si="469"/>
        <v>0</v>
      </c>
    </row>
    <row r="14442" spans="6:10" hidden="1" x14ac:dyDescent="0.25">
      <c r="F14442" s="485">
        <v>423</v>
      </c>
      <c r="G14442" s="480" t="s">
        <v>3781</v>
      </c>
      <c r="J14442" s="556">
        <f t="shared" si="469"/>
        <v>0</v>
      </c>
    </row>
    <row r="14443" spans="6:10" hidden="1" x14ac:dyDescent="0.25">
      <c r="F14443" s="485">
        <v>424</v>
      </c>
      <c r="G14443" s="480" t="s">
        <v>3783</v>
      </c>
      <c r="J14443" s="556">
        <f t="shared" si="469"/>
        <v>0</v>
      </c>
    </row>
    <row r="14444" spans="6:10" hidden="1" x14ac:dyDescent="0.25">
      <c r="F14444" s="485">
        <v>425</v>
      </c>
      <c r="G14444" s="480" t="s">
        <v>4144</v>
      </c>
      <c r="J14444" s="556">
        <f t="shared" si="469"/>
        <v>0</v>
      </c>
    </row>
    <row r="14445" spans="6:10" hidden="1" x14ac:dyDescent="0.25">
      <c r="F14445" s="485">
        <v>426</v>
      </c>
      <c r="G14445" s="480" t="s">
        <v>3787</v>
      </c>
      <c r="J14445" s="556">
        <f t="shared" si="469"/>
        <v>0</v>
      </c>
    </row>
    <row r="14446" spans="6:10" hidden="1" x14ac:dyDescent="0.25">
      <c r="F14446" s="485">
        <v>431</v>
      </c>
      <c r="G14446" s="480" t="s">
        <v>4145</v>
      </c>
      <c r="J14446" s="556">
        <f t="shared" si="469"/>
        <v>0</v>
      </c>
    </row>
    <row r="14447" spans="6:10" hidden="1" x14ac:dyDescent="0.25">
      <c r="F14447" s="485">
        <v>432</v>
      </c>
      <c r="G14447" s="480" t="s">
        <v>4146</v>
      </c>
      <c r="J14447" s="556">
        <f t="shared" si="469"/>
        <v>0</v>
      </c>
    </row>
    <row r="14448" spans="6:10" hidden="1" x14ac:dyDescent="0.25">
      <c r="F14448" s="485">
        <v>433</v>
      </c>
      <c r="G14448" s="480" t="s">
        <v>4147</v>
      </c>
      <c r="J14448" s="556">
        <f t="shared" si="469"/>
        <v>0</v>
      </c>
    </row>
    <row r="14449" spans="6:10" hidden="1" x14ac:dyDescent="0.25">
      <c r="F14449" s="485">
        <v>434</v>
      </c>
      <c r="G14449" s="480" t="s">
        <v>4148</v>
      </c>
      <c r="J14449" s="556">
        <f t="shared" si="469"/>
        <v>0</v>
      </c>
    </row>
    <row r="14450" spans="6:10" hidden="1" x14ac:dyDescent="0.25">
      <c r="F14450" s="485">
        <v>435</v>
      </c>
      <c r="G14450" s="480" t="s">
        <v>3794</v>
      </c>
      <c r="J14450" s="556">
        <f t="shared" si="469"/>
        <v>0</v>
      </c>
    </row>
    <row r="14451" spans="6:10" hidden="1" x14ac:dyDescent="0.25">
      <c r="F14451" s="485">
        <v>441</v>
      </c>
      <c r="G14451" s="480" t="s">
        <v>4149</v>
      </c>
      <c r="J14451" s="556">
        <f t="shared" si="469"/>
        <v>0</v>
      </c>
    </row>
    <row r="14452" spans="6:10" hidden="1" x14ac:dyDescent="0.25">
      <c r="F14452" s="485">
        <v>442</v>
      </c>
      <c r="G14452" s="480" t="s">
        <v>4150</v>
      </c>
      <c r="J14452" s="556">
        <f t="shared" si="469"/>
        <v>0</v>
      </c>
    </row>
    <row r="14453" spans="6:10" hidden="1" x14ac:dyDescent="0.25">
      <c r="F14453" s="485">
        <v>443</v>
      </c>
      <c r="G14453" s="480" t="s">
        <v>3799</v>
      </c>
      <c r="J14453" s="556">
        <f t="shared" si="469"/>
        <v>0</v>
      </c>
    </row>
    <row r="14454" spans="6:10" hidden="1" x14ac:dyDescent="0.25">
      <c r="F14454" s="485">
        <v>444</v>
      </c>
      <c r="G14454" s="480" t="s">
        <v>3800</v>
      </c>
      <c r="J14454" s="556">
        <f t="shared" si="469"/>
        <v>0</v>
      </c>
    </row>
    <row r="14455" spans="6:10" ht="30" hidden="1" x14ac:dyDescent="0.25">
      <c r="F14455" s="485">
        <v>4511</v>
      </c>
      <c r="G14455" s="263" t="s">
        <v>1690</v>
      </c>
      <c r="J14455" s="556">
        <f t="shared" si="469"/>
        <v>0</v>
      </c>
    </row>
    <row r="14456" spans="6:10" ht="30" hidden="1" x14ac:dyDescent="0.25">
      <c r="F14456" s="485">
        <v>4512</v>
      </c>
      <c r="G14456" s="263" t="s">
        <v>1699</v>
      </c>
      <c r="J14456" s="556">
        <f t="shared" si="469"/>
        <v>0</v>
      </c>
    </row>
    <row r="14457" spans="6:10" hidden="1" x14ac:dyDescent="0.25">
      <c r="F14457" s="485">
        <v>452</v>
      </c>
      <c r="G14457" s="480" t="s">
        <v>4151</v>
      </c>
      <c r="J14457" s="556">
        <f t="shared" si="469"/>
        <v>0</v>
      </c>
    </row>
    <row r="14458" spans="6:10" hidden="1" x14ac:dyDescent="0.25">
      <c r="F14458" s="485">
        <v>453</v>
      </c>
      <c r="G14458" s="480" t="s">
        <v>4152</v>
      </c>
      <c r="J14458" s="556">
        <f t="shared" si="469"/>
        <v>0</v>
      </c>
    </row>
    <row r="14459" spans="6:10" hidden="1" x14ac:dyDescent="0.25">
      <c r="F14459" s="485">
        <v>454</v>
      </c>
      <c r="G14459" s="480" t="s">
        <v>3805</v>
      </c>
      <c r="J14459" s="556">
        <f t="shared" si="469"/>
        <v>0</v>
      </c>
    </row>
    <row r="14460" spans="6:10" hidden="1" x14ac:dyDescent="0.25">
      <c r="F14460" s="485">
        <v>461</v>
      </c>
      <c r="G14460" s="480" t="s">
        <v>4133</v>
      </c>
      <c r="J14460" s="556">
        <f t="shared" si="469"/>
        <v>0</v>
      </c>
    </row>
    <row r="14461" spans="6:10" hidden="1" x14ac:dyDescent="0.25">
      <c r="F14461" s="485">
        <v>462</v>
      </c>
      <c r="G14461" s="480" t="s">
        <v>3808</v>
      </c>
      <c r="J14461" s="556">
        <f t="shared" si="469"/>
        <v>0</v>
      </c>
    </row>
    <row r="14462" spans="6:10" hidden="1" x14ac:dyDescent="0.25">
      <c r="F14462" s="485">
        <v>4631</v>
      </c>
      <c r="G14462" s="480" t="s">
        <v>3809</v>
      </c>
      <c r="J14462" s="556">
        <f t="shared" si="469"/>
        <v>0</v>
      </c>
    </row>
    <row r="14463" spans="6:10" hidden="1" x14ac:dyDescent="0.25">
      <c r="F14463" s="485">
        <v>4632</v>
      </c>
      <c r="G14463" s="480" t="s">
        <v>3810</v>
      </c>
      <c r="J14463" s="556">
        <f t="shared" si="469"/>
        <v>0</v>
      </c>
    </row>
    <row r="14464" spans="6:10" hidden="1" x14ac:dyDescent="0.25">
      <c r="F14464" s="485">
        <v>464</v>
      </c>
      <c r="G14464" s="480" t="s">
        <v>3811</v>
      </c>
      <c r="J14464" s="556">
        <f t="shared" si="469"/>
        <v>0</v>
      </c>
    </row>
    <row r="14465" spans="6:10" hidden="1" x14ac:dyDescent="0.25">
      <c r="F14465" s="485">
        <v>465</v>
      </c>
      <c r="G14465" s="480" t="s">
        <v>4134</v>
      </c>
      <c r="J14465" s="556">
        <f t="shared" si="469"/>
        <v>0</v>
      </c>
    </row>
    <row r="14466" spans="6:10" hidden="1" x14ac:dyDescent="0.25">
      <c r="F14466" s="485">
        <v>472</v>
      </c>
      <c r="G14466" s="480" t="s">
        <v>3815</v>
      </c>
      <c r="J14466" s="556">
        <f t="shared" si="469"/>
        <v>0</v>
      </c>
    </row>
    <row r="14467" spans="6:10" hidden="1" x14ac:dyDescent="0.25">
      <c r="F14467" s="485">
        <v>481</v>
      </c>
      <c r="G14467" s="480" t="s">
        <v>4153</v>
      </c>
      <c r="J14467" s="556">
        <f t="shared" si="469"/>
        <v>0</v>
      </c>
    </row>
    <row r="14468" spans="6:10" hidden="1" x14ac:dyDescent="0.25">
      <c r="F14468" s="485">
        <v>482</v>
      </c>
      <c r="G14468" s="480" t="s">
        <v>4154</v>
      </c>
      <c r="J14468" s="556">
        <f t="shared" si="469"/>
        <v>0</v>
      </c>
    </row>
    <row r="14469" spans="6:10" hidden="1" x14ac:dyDescent="0.25">
      <c r="F14469" s="485">
        <v>483</v>
      </c>
      <c r="G14469" s="482" t="s">
        <v>4155</v>
      </c>
      <c r="J14469" s="556">
        <f t="shared" si="469"/>
        <v>0</v>
      </c>
    </row>
    <row r="14470" spans="6:10" ht="30" hidden="1" x14ac:dyDescent="0.25">
      <c r="F14470" s="485">
        <v>484</v>
      </c>
      <c r="G14470" s="480" t="s">
        <v>4156</v>
      </c>
      <c r="J14470" s="556">
        <f t="shared" si="469"/>
        <v>0</v>
      </c>
    </row>
    <row r="14471" spans="6:10" ht="30" hidden="1" x14ac:dyDescent="0.25">
      <c r="F14471" s="485">
        <v>485</v>
      </c>
      <c r="G14471" s="480" t="s">
        <v>4157</v>
      </c>
      <c r="J14471" s="556">
        <f t="shared" si="469"/>
        <v>0</v>
      </c>
    </row>
    <row r="14472" spans="6:10" ht="30" hidden="1" x14ac:dyDescent="0.25">
      <c r="F14472" s="485">
        <v>489</v>
      </c>
      <c r="G14472" s="480" t="s">
        <v>3823</v>
      </c>
      <c r="J14472" s="556">
        <f t="shared" si="469"/>
        <v>0</v>
      </c>
    </row>
    <row r="14473" spans="6:10" hidden="1" x14ac:dyDescent="0.25">
      <c r="F14473" s="485">
        <v>494</v>
      </c>
      <c r="G14473" s="480" t="s">
        <v>4135</v>
      </c>
      <c r="J14473" s="556">
        <f t="shared" si="469"/>
        <v>0</v>
      </c>
    </row>
    <row r="14474" spans="6:10" ht="30" hidden="1" x14ac:dyDescent="0.25">
      <c r="F14474" s="485">
        <v>495</v>
      </c>
      <c r="G14474" s="480" t="s">
        <v>4136</v>
      </c>
      <c r="J14474" s="556">
        <f t="shared" si="469"/>
        <v>0</v>
      </c>
    </row>
    <row r="14475" spans="6:10" ht="30" hidden="1" x14ac:dyDescent="0.25">
      <c r="F14475" s="485">
        <v>496</v>
      </c>
      <c r="G14475" s="480" t="s">
        <v>4137</v>
      </c>
      <c r="J14475" s="556">
        <f t="shared" si="469"/>
        <v>0</v>
      </c>
    </row>
    <row r="14476" spans="6:10" ht="30" hidden="1" x14ac:dyDescent="0.25">
      <c r="F14476" s="485">
        <v>499</v>
      </c>
      <c r="G14476" s="480" t="s">
        <v>4138</v>
      </c>
      <c r="J14476" s="556">
        <f t="shared" si="469"/>
        <v>0</v>
      </c>
    </row>
    <row r="14477" spans="6:10" hidden="1" x14ac:dyDescent="0.25">
      <c r="F14477" s="485">
        <v>511</v>
      </c>
      <c r="G14477" s="482" t="s">
        <v>4158</v>
      </c>
      <c r="J14477" s="556">
        <f t="shared" si="469"/>
        <v>0</v>
      </c>
    </row>
    <row r="14478" spans="6:10" hidden="1" x14ac:dyDescent="0.25">
      <c r="F14478" s="485">
        <v>512</v>
      </c>
      <c r="G14478" s="482" t="s">
        <v>4159</v>
      </c>
      <c r="J14478" s="556">
        <f t="shared" si="469"/>
        <v>0</v>
      </c>
    </row>
    <row r="14479" spans="6:10" hidden="1" x14ac:dyDescent="0.25">
      <c r="F14479" s="485">
        <v>513</v>
      </c>
      <c r="G14479" s="482" t="s">
        <v>4160</v>
      </c>
      <c r="J14479" s="556">
        <f t="shared" si="469"/>
        <v>0</v>
      </c>
    </row>
    <row r="14480" spans="6:10" hidden="1" x14ac:dyDescent="0.25">
      <c r="F14480" s="485">
        <v>514</v>
      </c>
      <c r="G14480" s="480" t="s">
        <v>4161</v>
      </c>
      <c r="J14480" s="556">
        <f t="shared" si="469"/>
        <v>0</v>
      </c>
    </row>
    <row r="14481" spans="5:10" hidden="1" x14ac:dyDescent="0.25">
      <c r="F14481" s="485">
        <v>515</v>
      </c>
      <c r="G14481" s="480" t="s">
        <v>3834</v>
      </c>
      <c r="J14481" s="556">
        <f t="shared" si="469"/>
        <v>0</v>
      </c>
    </row>
    <row r="14482" spans="5:10" hidden="1" x14ac:dyDescent="0.25">
      <c r="F14482" s="485">
        <v>521</v>
      </c>
      <c r="G14482" s="480" t="s">
        <v>4162</v>
      </c>
      <c r="J14482" s="556">
        <f t="shared" si="469"/>
        <v>0</v>
      </c>
    </row>
    <row r="14483" spans="5:10" hidden="1" x14ac:dyDescent="0.25">
      <c r="F14483" s="485">
        <v>522</v>
      </c>
      <c r="G14483" s="480" t="s">
        <v>4163</v>
      </c>
      <c r="J14483" s="556">
        <f t="shared" si="469"/>
        <v>0</v>
      </c>
    </row>
    <row r="14484" spans="5:10" hidden="1" x14ac:dyDescent="0.25">
      <c r="F14484" s="485">
        <v>523</v>
      </c>
      <c r="G14484" s="480" t="s">
        <v>3839</v>
      </c>
      <c r="J14484" s="556">
        <f t="shared" si="469"/>
        <v>0</v>
      </c>
    </row>
    <row r="14485" spans="5:10" hidden="1" x14ac:dyDescent="0.25">
      <c r="F14485" s="485">
        <v>531</v>
      </c>
      <c r="G14485" s="478" t="s">
        <v>4139</v>
      </c>
      <c r="J14485" s="556">
        <f t="shared" si="469"/>
        <v>0</v>
      </c>
    </row>
    <row r="14486" spans="5:10" hidden="1" x14ac:dyDescent="0.25">
      <c r="F14486" s="485">
        <v>541</v>
      </c>
      <c r="G14486" s="480" t="s">
        <v>4164</v>
      </c>
      <c r="J14486" s="556">
        <f t="shared" si="469"/>
        <v>0</v>
      </c>
    </row>
    <row r="14487" spans="5:10" hidden="1" x14ac:dyDescent="0.25">
      <c r="F14487" s="485">
        <v>542</v>
      </c>
      <c r="G14487" s="480" t="s">
        <v>4165</v>
      </c>
      <c r="J14487" s="556">
        <f t="shared" si="469"/>
        <v>0</v>
      </c>
    </row>
    <row r="14488" spans="5:10" hidden="1" x14ac:dyDescent="0.25">
      <c r="F14488" s="485">
        <v>543</v>
      </c>
      <c r="G14488" s="480" t="s">
        <v>3844</v>
      </c>
      <c r="J14488" s="556">
        <f t="shared" si="469"/>
        <v>0</v>
      </c>
    </row>
    <row r="14489" spans="5:10" ht="30" hidden="1" x14ac:dyDescent="0.25">
      <c r="F14489" s="485">
        <v>551</v>
      </c>
      <c r="G14489" s="480" t="s">
        <v>4140</v>
      </c>
      <c r="J14489" s="556">
        <f t="shared" si="469"/>
        <v>0</v>
      </c>
    </row>
    <row r="14490" spans="5:10" hidden="1" x14ac:dyDescent="0.25">
      <c r="F14490" s="486">
        <v>611</v>
      </c>
      <c r="G14490" s="484" t="s">
        <v>3850</v>
      </c>
      <c r="J14490" s="556">
        <f t="shared" si="469"/>
        <v>0</v>
      </c>
    </row>
    <row r="14491" spans="5:10" hidden="1" x14ac:dyDescent="0.25">
      <c r="F14491" s="486">
        <v>620</v>
      </c>
      <c r="G14491" s="484" t="s">
        <v>88</v>
      </c>
      <c r="J14491" s="556">
        <f t="shared" si="469"/>
        <v>0</v>
      </c>
    </row>
    <row r="14492" spans="5:10" hidden="1" x14ac:dyDescent="0.25">
      <c r="E14492" s="489"/>
      <c r="F14492" s="486"/>
      <c r="G14492" s="342" t="s">
        <v>4303</v>
      </c>
      <c r="H14492" s="557"/>
      <c r="I14492" s="583"/>
      <c r="J14492" s="558"/>
    </row>
    <row r="14493" spans="5:10" hidden="1" x14ac:dyDescent="0.25">
      <c r="E14493" s="693"/>
      <c r="F14493" s="284" t="s">
        <v>234</v>
      </c>
      <c r="G14493" s="287" t="s">
        <v>235</v>
      </c>
      <c r="H14493" s="559">
        <f>SUM(H14432:H14491)</f>
        <v>0</v>
      </c>
      <c r="I14493" s="560"/>
      <c r="J14493" s="560">
        <f>SUM(H14493:I14493)</f>
        <v>0</v>
      </c>
    </row>
    <row r="14494" spans="5:10" hidden="1" x14ac:dyDescent="0.25">
      <c r="F14494" s="284" t="s">
        <v>236</v>
      </c>
      <c r="G14494" s="287" t="s">
        <v>237</v>
      </c>
      <c r="J14494" s="560">
        <f t="shared" ref="J14494:J14508" si="470">SUM(H14494:I14494)</f>
        <v>0</v>
      </c>
    </row>
    <row r="14495" spans="5:10" hidden="1" x14ac:dyDescent="0.25">
      <c r="F14495" s="284" t="s">
        <v>238</v>
      </c>
      <c r="G14495" s="287" t="s">
        <v>239</v>
      </c>
      <c r="J14495" s="560">
        <f t="shared" si="470"/>
        <v>0</v>
      </c>
    </row>
    <row r="14496" spans="5:10" hidden="1" x14ac:dyDescent="0.25">
      <c r="F14496" s="284" t="s">
        <v>240</v>
      </c>
      <c r="G14496" s="287" t="s">
        <v>241</v>
      </c>
      <c r="J14496" s="560">
        <f t="shared" si="470"/>
        <v>0</v>
      </c>
    </row>
    <row r="14497" spans="5:10" hidden="1" x14ac:dyDescent="0.25">
      <c r="F14497" s="284" t="s">
        <v>242</v>
      </c>
      <c r="G14497" s="287" t="s">
        <v>243</v>
      </c>
      <c r="J14497" s="560">
        <f t="shared" si="470"/>
        <v>0</v>
      </c>
    </row>
    <row r="14498" spans="5:10" hidden="1" x14ac:dyDescent="0.25">
      <c r="F14498" s="284" t="s">
        <v>244</v>
      </c>
      <c r="G14498" s="287" t="s">
        <v>245</v>
      </c>
      <c r="J14498" s="560">
        <f t="shared" si="470"/>
        <v>0</v>
      </c>
    </row>
    <row r="14499" spans="5:10" hidden="1" x14ac:dyDescent="0.25">
      <c r="F14499" s="284" t="s">
        <v>246</v>
      </c>
      <c r="G14499" s="598" t="s">
        <v>4996</v>
      </c>
      <c r="J14499" s="560">
        <f t="shared" si="470"/>
        <v>0</v>
      </c>
    </row>
    <row r="14500" spans="5:10" hidden="1" x14ac:dyDescent="0.25">
      <c r="F14500" s="284" t="s">
        <v>247</v>
      </c>
      <c r="G14500" s="598" t="s">
        <v>4995</v>
      </c>
      <c r="J14500" s="560">
        <f t="shared" si="470"/>
        <v>0</v>
      </c>
    </row>
    <row r="14501" spans="5:10" hidden="1" x14ac:dyDescent="0.25">
      <c r="F14501" s="284" t="s">
        <v>248</v>
      </c>
      <c r="G14501" s="287" t="s">
        <v>57</v>
      </c>
      <c r="J14501" s="560">
        <f t="shared" si="470"/>
        <v>0</v>
      </c>
    </row>
    <row r="14502" spans="5:10" hidden="1" x14ac:dyDescent="0.25">
      <c r="F14502" s="284" t="s">
        <v>249</v>
      </c>
      <c r="G14502" s="287" t="s">
        <v>250</v>
      </c>
      <c r="J14502" s="560">
        <f t="shared" si="470"/>
        <v>0</v>
      </c>
    </row>
    <row r="14503" spans="5:10" hidden="1" x14ac:dyDescent="0.25">
      <c r="F14503" s="284" t="s">
        <v>251</v>
      </c>
      <c r="G14503" s="287" t="s">
        <v>252</v>
      </c>
      <c r="J14503" s="560">
        <f t="shared" si="470"/>
        <v>0</v>
      </c>
    </row>
    <row r="14504" spans="5:10" ht="30" hidden="1" x14ac:dyDescent="0.25">
      <c r="F14504" s="284" t="s">
        <v>253</v>
      </c>
      <c r="G14504" s="287" t="s">
        <v>254</v>
      </c>
      <c r="J14504" s="560">
        <f t="shared" si="470"/>
        <v>0</v>
      </c>
    </row>
    <row r="14505" spans="5:10" hidden="1" x14ac:dyDescent="0.25">
      <c r="F14505" s="284" t="s">
        <v>255</v>
      </c>
      <c r="G14505" s="287" t="s">
        <v>256</v>
      </c>
      <c r="J14505" s="560">
        <f t="shared" si="470"/>
        <v>0</v>
      </c>
    </row>
    <row r="14506" spans="5:10" ht="30" hidden="1" x14ac:dyDescent="0.25">
      <c r="F14506" s="284" t="s">
        <v>257</v>
      </c>
      <c r="G14506" s="287" t="s">
        <v>258</v>
      </c>
      <c r="J14506" s="560">
        <f t="shared" si="470"/>
        <v>0</v>
      </c>
    </row>
    <row r="14507" spans="5:10" hidden="1" x14ac:dyDescent="0.25">
      <c r="F14507" s="284" t="s">
        <v>259</v>
      </c>
      <c r="G14507" s="287" t="s">
        <v>260</v>
      </c>
      <c r="J14507" s="560">
        <f t="shared" si="470"/>
        <v>0</v>
      </c>
    </row>
    <row r="14508" spans="5:10" hidden="1" x14ac:dyDescent="0.25">
      <c r="F14508" s="284" t="s">
        <v>261</v>
      </c>
      <c r="G14508" s="287" t="s">
        <v>262</v>
      </c>
      <c r="H14508" s="559"/>
      <c r="I14508" s="560"/>
      <c r="J14508" s="560">
        <f t="shared" si="470"/>
        <v>0</v>
      </c>
    </row>
    <row r="14509" spans="5:10" ht="15.75" hidden="1" thickBot="1" x14ac:dyDescent="0.3">
      <c r="G14509" s="268" t="s">
        <v>4304</v>
      </c>
      <c r="H14509" s="561">
        <f>SUM(H14493:H14508)</f>
        <v>0</v>
      </c>
      <c r="I14509" s="562">
        <f>SUM(I14494:I14508)</f>
        <v>0</v>
      </c>
      <c r="J14509" s="562">
        <f>SUM(J14493:J14508)</f>
        <v>0</v>
      </c>
    </row>
    <row r="14510" spans="5:10" ht="28.5" hidden="1" collapsed="1" x14ac:dyDescent="0.25">
      <c r="E14510" s="489"/>
      <c r="F14510" s="486"/>
      <c r="G14510" s="270" t="s">
        <v>4211</v>
      </c>
      <c r="H14510" s="563"/>
      <c r="I14510" s="584"/>
      <c r="J14510" s="564"/>
    </row>
    <row r="14511" spans="5:10" hidden="1" x14ac:dyDescent="0.25">
      <c r="E14511" s="693"/>
      <c r="F14511" s="284" t="s">
        <v>234</v>
      </c>
      <c r="G14511" s="287" t="s">
        <v>235</v>
      </c>
      <c r="H14511" s="559">
        <f>SUM(H14432:H14491)</f>
        <v>0</v>
      </c>
      <c r="I14511" s="560"/>
      <c r="J14511" s="560">
        <f>SUM(H14511:I14511)</f>
        <v>0</v>
      </c>
    </row>
    <row r="14512" spans="5:10" hidden="1" x14ac:dyDescent="0.25">
      <c r="F14512" s="284" t="s">
        <v>236</v>
      </c>
      <c r="G14512" s="287" t="s">
        <v>237</v>
      </c>
      <c r="J14512" s="560">
        <f t="shared" ref="J14512:J14526" si="471">SUM(H14512:I14512)</f>
        <v>0</v>
      </c>
    </row>
    <row r="14513" spans="1:25" hidden="1" x14ac:dyDescent="0.25">
      <c r="F14513" s="284" t="s">
        <v>238</v>
      </c>
      <c r="G14513" s="287" t="s">
        <v>239</v>
      </c>
      <c r="J14513" s="560">
        <f t="shared" si="471"/>
        <v>0</v>
      </c>
    </row>
    <row r="14514" spans="1:25" hidden="1" x14ac:dyDescent="0.25">
      <c r="F14514" s="284" t="s">
        <v>240</v>
      </c>
      <c r="G14514" s="287" t="s">
        <v>241</v>
      </c>
      <c r="J14514" s="560">
        <f t="shared" si="471"/>
        <v>0</v>
      </c>
    </row>
    <row r="14515" spans="1:25" hidden="1" x14ac:dyDescent="0.25">
      <c r="F14515" s="284" t="s">
        <v>242</v>
      </c>
      <c r="G14515" s="287" t="s">
        <v>243</v>
      </c>
      <c r="J14515" s="560">
        <f t="shared" si="471"/>
        <v>0</v>
      </c>
    </row>
    <row r="14516" spans="1:25" hidden="1" x14ac:dyDescent="0.25">
      <c r="F14516" s="284" t="s">
        <v>244</v>
      </c>
      <c r="G14516" s="287" t="s">
        <v>245</v>
      </c>
      <c r="J14516" s="560">
        <f t="shared" si="471"/>
        <v>0</v>
      </c>
    </row>
    <row r="14517" spans="1:25" hidden="1" x14ac:dyDescent="0.25">
      <c r="F14517" s="284" t="s">
        <v>246</v>
      </c>
      <c r="G14517" s="598" t="s">
        <v>4996</v>
      </c>
      <c r="J14517" s="560">
        <f t="shared" si="471"/>
        <v>0</v>
      </c>
    </row>
    <row r="14518" spans="1:25" hidden="1" x14ac:dyDescent="0.25">
      <c r="F14518" s="284" t="s">
        <v>247</v>
      </c>
      <c r="G14518" s="598" t="s">
        <v>4995</v>
      </c>
      <c r="J14518" s="560">
        <f t="shared" si="471"/>
        <v>0</v>
      </c>
    </row>
    <row r="14519" spans="1:25" hidden="1" x14ac:dyDescent="0.25">
      <c r="F14519" s="284" t="s">
        <v>248</v>
      </c>
      <c r="G14519" s="287" t="s">
        <v>57</v>
      </c>
      <c r="J14519" s="560">
        <f t="shared" si="471"/>
        <v>0</v>
      </c>
    </row>
    <row r="14520" spans="1:25" hidden="1" x14ac:dyDescent="0.25">
      <c r="F14520" s="284" t="s">
        <v>249</v>
      </c>
      <c r="G14520" s="287" t="s">
        <v>250</v>
      </c>
      <c r="J14520" s="560">
        <f t="shared" si="471"/>
        <v>0</v>
      </c>
    </row>
    <row r="14521" spans="1:25" hidden="1" x14ac:dyDescent="0.25">
      <c r="F14521" s="284" t="s">
        <v>251</v>
      </c>
      <c r="G14521" s="287" t="s">
        <v>252</v>
      </c>
      <c r="J14521" s="560">
        <f t="shared" si="471"/>
        <v>0</v>
      </c>
    </row>
    <row r="14522" spans="1:25" ht="30" hidden="1" x14ac:dyDescent="0.25">
      <c r="F14522" s="284" t="s">
        <v>253</v>
      </c>
      <c r="G14522" s="287" t="s">
        <v>254</v>
      </c>
      <c r="J14522" s="560">
        <f t="shared" si="471"/>
        <v>0</v>
      </c>
    </row>
    <row r="14523" spans="1:25" hidden="1" x14ac:dyDescent="0.25">
      <c r="F14523" s="284" t="s">
        <v>255</v>
      </c>
      <c r="G14523" s="287" t="s">
        <v>256</v>
      </c>
      <c r="J14523" s="560">
        <f t="shared" si="471"/>
        <v>0</v>
      </c>
    </row>
    <row r="14524" spans="1:25" ht="30" hidden="1" x14ac:dyDescent="0.25">
      <c r="F14524" s="284" t="s">
        <v>257</v>
      </c>
      <c r="G14524" s="287" t="s">
        <v>258</v>
      </c>
      <c r="J14524" s="560">
        <f t="shared" si="471"/>
        <v>0</v>
      </c>
    </row>
    <row r="14525" spans="1:25" hidden="1" x14ac:dyDescent="0.25">
      <c r="F14525" s="284" t="s">
        <v>259</v>
      </c>
      <c r="G14525" s="287" t="s">
        <v>260</v>
      </c>
      <c r="J14525" s="560">
        <f t="shared" si="471"/>
        <v>0</v>
      </c>
    </row>
    <row r="14526" spans="1:25" hidden="1" x14ac:dyDescent="0.25">
      <c r="F14526" s="284" t="s">
        <v>261</v>
      </c>
      <c r="G14526" s="287" t="s">
        <v>262</v>
      </c>
      <c r="H14526" s="559"/>
      <c r="I14526" s="560"/>
      <c r="J14526" s="560">
        <f t="shared" si="471"/>
        <v>0</v>
      </c>
    </row>
    <row r="14527" spans="1:25" ht="15.75" hidden="1" collapsed="1" thickBot="1" x14ac:dyDescent="0.3">
      <c r="G14527" s="268" t="s">
        <v>4212</v>
      </c>
      <c r="H14527" s="561">
        <f>SUM(H14511:H14526)</f>
        <v>0</v>
      </c>
      <c r="I14527" s="562">
        <f>SUM(I14512:I14526)</f>
        <v>0</v>
      </c>
      <c r="J14527" s="562">
        <f>SUM(J14511:J14526)</f>
        <v>0</v>
      </c>
    </row>
    <row r="14528" spans="1:25" s="88" customFormat="1" ht="15.75" hidden="1" customHeight="1" x14ac:dyDescent="0.25">
      <c r="A14528" s="258"/>
      <c r="B14528" s="288"/>
      <c r="C14528" s="334"/>
      <c r="D14528" s="286"/>
      <c r="E14528" s="876"/>
      <c r="F14528" s="289"/>
      <c r="G14528" s="479"/>
      <c r="H14528" s="588"/>
      <c r="I14528" s="571"/>
      <c r="J14528" s="589"/>
      <c r="K14528" s="505"/>
      <c r="L14528" s="505"/>
      <c r="M14528" s="505"/>
      <c r="N14528" s="505"/>
      <c r="O14528" s="505"/>
      <c r="P14528" s="505"/>
      <c r="Q14528" s="505"/>
      <c r="R14528" s="505"/>
      <c r="S14528" s="505"/>
      <c r="T14528" s="505"/>
      <c r="U14528" s="505"/>
      <c r="V14528" s="505"/>
      <c r="W14528" s="505"/>
      <c r="X14528" s="505"/>
      <c r="Y14528" s="505"/>
    </row>
    <row r="14529" spans="1:25" s="88" customFormat="1" hidden="1" x14ac:dyDescent="0.25">
      <c r="A14529" s="481"/>
      <c r="B14529" s="288"/>
      <c r="C14529" s="334"/>
      <c r="D14529" s="286"/>
      <c r="E14529" s="876"/>
      <c r="F14529" s="486"/>
      <c r="G14529" s="285" t="s">
        <v>4206</v>
      </c>
      <c r="H14529" s="567"/>
      <c r="I14529" s="585"/>
      <c r="J14529" s="568"/>
      <c r="K14529" s="505"/>
      <c r="L14529" s="505"/>
      <c r="M14529" s="505"/>
      <c r="N14529" s="505"/>
      <c r="O14529" s="505"/>
      <c r="P14529" s="505"/>
      <c r="Q14529" s="505"/>
      <c r="R14529" s="505"/>
      <c r="S14529" s="505"/>
      <c r="T14529" s="505"/>
      <c r="U14529" s="505"/>
      <c r="V14529" s="505"/>
      <c r="W14529" s="505"/>
      <c r="X14529" s="505"/>
      <c r="Y14529" s="505"/>
    </row>
    <row r="14530" spans="1:25" s="88" customFormat="1" hidden="1" x14ac:dyDescent="0.25">
      <c r="A14530" s="481"/>
      <c r="B14530" s="288"/>
      <c r="C14530" s="334"/>
      <c r="D14530" s="286"/>
      <c r="E14530" s="876"/>
      <c r="F14530" s="284" t="s">
        <v>234</v>
      </c>
      <c r="G14530" s="287" t="s">
        <v>235</v>
      </c>
      <c r="H14530" s="559">
        <f>SUM(H14115,H14214,H14313,H14412,H14511)</f>
        <v>0</v>
      </c>
      <c r="I14530" s="560"/>
      <c r="J14530" s="560">
        <f>SUM(H14530:I14530)</f>
        <v>0</v>
      </c>
      <c r="K14530" s="505"/>
      <c r="L14530" s="505"/>
      <c r="M14530" s="505"/>
      <c r="N14530" s="505"/>
      <c r="O14530" s="505"/>
      <c r="P14530" s="505"/>
      <c r="Q14530" s="505"/>
      <c r="R14530" s="505"/>
      <c r="S14530" s="505"/>
      <c r="T14530" s="505"/>
      <c r="U14530" s="505"/>
      <c r="V14530" s="505"/>
      <c r="W14530" s="505"/>
      <c r="X14530" s="505"/>
      <c r="Y14530" s="505"/>
    </row>
    <row r="14531" spans="1:25" s="88" customFormat="1" hidden="1" x14ac:dyDescent="0.25">
      <c r="A14531" s="481"/>
      <c r="B14531" s="288"/>
      <c r="C14531" s="334"/>
      <c r="D14531" s="286"/>
      <c r="E14531" s="876"/>
      <c r="F14531" s="284" t="s">
        <v>236</v>
      </c>
      <c r="G14531" s="287" t="s">
        <v>237</v>
      </c>
      <c r="H14531" s="555"/>
      <c r="I14531" s="556"/>
      <c r="J14531" s="560">
        <f t="shared" ref="J14531:J14545" si="472">SUM(H14531:I14531)</f>
        <v>0</v>
      </c>
      <c r="K14531" s="505"/>
      <c r="L14531" s="505"/>
      <c r="M14531" s="505"/>
      <c r="N14531" s="505"/>
      <c r="O14531" s="505"/>
      <c r="P14531" s="505"/>
      <c r="Q14531" s="505"/>
      <c r="R14531" s="505"/>
      <c r="S14531" s="505"/>
      <c r="T14531" s="505"/>
      <c r="U14531" s="505"/>
      <c r="V14531" s="505"/>
      <c r="W14531" s="505"/>
      <c r="X14531" s="505"/>
      <c r="Y14531" s="505"/>
    </row>
    <row r="14532" spans="1:25" s="88" customFormat="1" hidden="1" x14ac:dyDescent="0.25">
      <c r="A14532" s="481"/>
      <c r="B14532" s="288"/>
      <c r="C14532" s="334"/>
      <c r="D14532" s="286"/>
      <c r="E14532" s="876"/>
      <c r="F14532" s="284" t="s">
        <v>238</v>
      </c>
      <c r="G14532" s="287" t="s">
        <v>239</v>
      </c>
      <c r="H14532" s="555"/>
      <c r="I14532" s="556"/>
      <c r="J14532" s="560">
        <f t="shared" si="472"/>
        <v>0</v>
      </c>
      <c r="K14532" s="505"/>
      <c r="L14532" s="505"/>
      <c r="M14532" s="505"/>
      <c r="N14532" s="505"/>
      <c r="O14532" s="505"/>
      <c r="P14532" s="505"/>
      <c r="Q14532" s="505"/>
      <c r="R14532" s="505"/>
      <c r="S14532" s="505"/>
      <c r="T14532" s="505"/>
      <c r="U14532" s="505"/>
      <c r="V14532" s="505"/>
      <c r="W14532" s="505"/>
      <c r="X14532" s="505"/>
      <c r="Y14532" s="505"/>
    </row>
    <row r="14533" spans="1:25" s="88" customFormat="1" hidden="1" x14ac:dyDescent="0.25">
      <c r="A14533" s="481"/>
      <c r="B14533" s="288"/>
      <c r="C14533" s="334"/>
      <c r="D14533" s="286"/>
      <c r="E14533" s="876"/>
      <c r="F14533" s="284" t="s">
        <v>240</v>
      </c>
      <c r="G14533" s="287" t="s">
        <v>241</v>
      </c>
      <c r="H14533" s="555"/>
      <c r="I14533" s="556"/>
      <c r="J14533" s="560">
        <f t="shared" si="472"/>
        <v>0</v>
      </c>
      <c r="K14533" s="505"/>
      <c r="L14533" s="505"/>
      <c r="M14533" s="505"/>
      <c r="N14533" s="505"/>
      <c r="O14533" s="505"/>
      <c r="P14533" s="505"/>
      <c r="Q14533" s="505"/>
      <c r="R14533" s="505"/>
      <c r="S14533" s="505"/>
      <c r="T14533" s="505"/>
      <c r="U14533" s="505"/>
      <c r="V14533" s="505"/>
      <c r="W14533" s="505"/>
      <c r="X14533" s="505"/>
      <c r="Y14533" s="505"/>
    </row>
    <row r="14534" spans="1:25" s="88" customFormat="1" hidden="1" x14ac:dyDescent="0.25">
      <c r="A14534" s="481"/>
      <c r="B14534" s="288"/>
      <c r="C14534" s="334"/>
      <c r="D14534" s="286"/>
      <c r="E14534" s="876"/>
      <c r="F14534" s="284" t="s">
        <v>242</v>
      </c>
      <c r="G14534" s="287" t="s">
        <v>243</v>
      </c>
      <c r="H14534" s="555"/>
      <c r="I14534" s="556"/>
      <c r="J14534" s="560">
        <f t="shared" si="472"/>
        <v>0</v>
      </c>
      <c r="K14534" s="505"/>
      <c r="L14534" s="505"/>
      <c r="M14534" s="505"/>
      <c r="N14534" s="505"/>
      <c r="O14534" s="505"/>
      <c r="P14534" s="505"/>
      <c r="Q14534" s="505"/>
      <c r="R14534" s="505"/>
      <c r="S14534" s="505"/>
      <c r="T14534" s="505"/>
      <c r="U14534" s="505"/>
      <c r="V14534" s="505"/>
      <c r="W14534" s="505"/>
      <c r="X14534" s="505"/>
      <c r="Y14534" s="505"/>
    </row>
    <row r="14535" spans="1:25" s="88" customFormat="1" hidden="1" x14ac:dyDescent="0.25">
      <c r="A14535" s="481"/>
      <c r="B14535" s="288"/>
      <c r="C14535" s="334"/>
      <c r="D14535" s="286"/>
      <c r="E14535" s="876"/>
      <c r="F14535" s="284" t="s">
        <v>244</v>
      </c>
      <c r="G14535" s="287" t="s">
        <v>245</v>
      </c>
      <c r="H14535" s="555"/>
      <c r="I14535" s="556"/>
      <c r="J14535" s="560">
        <f t="shared" si="472"/>
        <v>0</v>
      </c>
      <c r="K14535" s="505"/>
      <c r="L14535" s="505"/>
      <c r="M14535" s="505"/>
      <c r="N14535" s="505"/>
      <c r="O14535" s="505"/>
      <c r="P14535" s="505"/>
      <c r="Q14535" s="505"/>
      <c r="R14535" s="505"/>
      <c r="S14535" s="505"/>
      <c r="T14535" s="505"/>
      <c r="U14535" s="505"/>
      <c r="V14535" s="505"/>
      <c r="W14535" s="505"/>
      <c r="X14535" s="505"/>
      <c r="Y14535" s="505"/>
    </row>
    <row r="14536" spans="1:25" s="88" customFormat="1" hidden="1" x14ac:dyDescent="0.25">
      <c r="A14536" s="481"/>
      <c r="B14536" s="288"/>
      <c r="C14536" s="334"/>
      <c r="D14536" s="286"/>
      <c r="E14536" s="876"/>
      <c r="F14536" s="284" t="s">
        <v>246</v>
      </c>
      <c r="G14536" s="598" t="s">
        <v>4996</v>
      </c>
      <c r="H14536" s="555"/>
      <c r="I14536" s="556"/>
      <c r="J14536" s="560">
        <f t="shared" si="472"/>
        <v>0</v>
      </c>
      <c r="K14536" s="505"/>
      <c r="L14536" s="505"/>
      <c r="M14536" s="505"/>
      <c r="N14536" s="505"/>
      <c r="O14536" s="505"/>
      <c r="P14536" s="505"/>
      <c r="Q14536" s="505"/>
      <c r="R14536" s="505"/>
      <c r="S14536" s="505"/>
      <c r="T14536" s="505"/>
      <c r="U14536" s="505"/>
      <c r="V14536" s="505"/>
      <c r="W14536" s="505"/>
      <c r="X14536" s="505"/>
      <c r="Y14536" s="505"/>
    </row>
    <row r="14537" spans="1:25" s="88" customFormat="1" hidden="1" x14ac:dyDescent="0.25">
      <c r="A14537" s="481"/>
      <c r="B14537" s="288"/>
      <c r="C14537" s="334"/>
      <c r="D14537" s="286"/>
      <c r="E14537" s="876"/>
      <c r="F14537" s="284" t="s">
        <v>247</v>
      </c>
      <c r="G14537" s="598" t="s">
        <v>4995</v>
      </c>
      <c r="H14537" s="555"/>
      <c r="I14537" s="556"/>
      <c r="J14537" s="560">
        <f t="shared" si="472"/>
        <v>0</v>
      </c>
      <c r="K14537" s="505"/>
      <c r="L14537" s="505"/>
      <c r="M14537" s="505"/>
      <c r="N14537" s="505"/>
      <c r="O14537" s="505"/>
      <c r="P14537" s="505"/>
      <c r="Q14537" s="505"/>
      <c r="R14537" s="505"/>
      <c r="S14537" s="505"/>
      <c r="T14537" s="505"/>
      <c r="U14537" s="505"/>
      <c r="V14537" s="505"/>
      <c r="W14537" s="505"/>
      <c r="X14537" s="505"/>
      <c r="Y14537" s="505"/>
    </row>
    <row r="14538" spans="1:25" s="88" customFormat="1" hidden="1" x14ac:dyDescent="0.25">
      <c r="A14538" s="481"/>
      <c r="B14538" s="288"/>
      <c r="C14538" s="334"/>
      <c r="D14538" s="286"/>
      <c r="E14538" s="876"/>
      <c r="F14538" s="284" t="s">
        <v>248</v>
      </c>
      <c r="G14538" s="287" t="s">
        <v>57</v>
      </c>
      <c r="H14538" s="555"/>
      <c r="I14538" s="556"/>
      <c r="J14538" s="560">
        <f t="shared" si="472"/>
        <v>0</v>
      </c>
      <c r="K14538" s="505"/>
      <c r="L14538" s="505"/>
      <c r="M14538" s="505"/>
      <c r="N14538" s="505"/>
      <c r="O14538" s="505"/>
      <c r="P14538" s="505"/>
      <c r="Q14538" s="505"/>
      <c r="R14538" s="505"/>
      <c r="S14538" s="505"/>
      <c r="T14538" s="505"/>
      <c r="U14538" s="505"/>
      <c r="V14538" s="505"/>
      <c r="W14538" s="505"/>
      <c r="X14538" s="505"/>
      <c r="Y14538" s="505"/>
    </row>
    <row r="14539" spans="1:25" s="88" customFormat="1" hidden="1" x14ac:dyDescent="0.25">
      <c r="A14539" s="481"/>
      <c r="B14539" s="288"/>
      <c r="C14539" s="334"/>
      <c r="D14539" s="286"/>
      <c r="E14539" s="876"/>
      <c r="F14539" s="284" t="s">
        <v>249</v>
      </c>
      <c r="G14539" s="287" t="s">
        <v>250</v>
      </c>
      <c r="H14539" s="555"/>
      <c r="I14539" s="556"/>
      <c r="J14539" s="560">
        <f t="shared" si="472"/>
        <v>0</v>
      </c>
      <c r="K14539" s="505"/>
      <c r="L14539" s="505"/>
      <c r="M14539" s="505"/>
      <c r="N14539" s="505"/>
      <c r="O14539" s="505"/>
      <c r="P14539" s="505"/>
      <c r="Q14539" s="505"/>
      <c r="R14539" s="505"/>
      <c r="S14539" s="505"/>
      <c r="T14539" s="505"/>
      <c r="U14539" s="505"/>
      <c r="V14539" s="505"/>
      <c r="W14539" s="505"/>
      <c r="X14539" s="505"/>
      <c r="Y14539" s="505"/>
    </row>
    <row r="14540" spans="1:25" s="88" customFormat="1" hidden="1" x14ac:dyDescent="0.25">
      <c r="A14540" s="481"/>
      <c r="B14540" s="288"/>
      <c r="C14540" s="334"/>
      <c r="D14540" s="286"/>
      <c r="E14540" s="876"/>
      <c r="F14540" s="284" t="s">
        <v>251</v>
      </c>
      <c r="G14540" s="287" t="s">
        <v>252</v>
      </c>
      <c r="H14540" s="555"/>
      <c r="I14540" s="556"/>
      <c r="J14540" s="560">
        <f t="shared" si="472"/>
        <v>0</v>
      </c>
      <c r="K14540" s="505"/>
      <c r="L14540" s="505"/>
      <c r="M14540" s="505"/>
      <c r="N14540" s="505"/>
      <c r="O14540" s="505"/>
      <c r="P14540" s="505"/>
      <c r="Q14540" s="505"/>
      <c r="R14540" s="505"/>
      <c r="S14540" s="505"/>
      <c r="T14540" s="505"/>
      <c r="U14540" s="505"/>
      <c r="V14540" s="505"/>
      <c r="W14540" s="505"/>
      <c r="X14540" s="505"/>
      <c r="Y14540" s="505"/>
    </row>
    <row r="14541" spans="1:25" s="88" customFormat="1" ht="30" hidden="1" x14ac:dyDescent="0.25">
      <c r="A14541" s="481"/>
      <c r="B14541" s="288"/>
      <c r="C14541" s="334"/>
      <c r="D14541" s="286"/>
      <c r="E14541" s="876"/>
      <c r="F14541" s="284" t="s">
        <v>253</v>
      </c>
      <c r="G14541" s="287" t="s">
        <v>254</v>
      </c>
      <c r="H14541" s="555"/>
      <c r="I14541" s="556"/>
      <c r="J14541" s="560">
        <f t="shared" si="472"/>
        <v>0</v>
      </c>
      <c r="K14541" s="505"/>
      <c r="L14541" s="505"/>
      <c r="M14541" s="505"/>
      <c r="N14541" s="505"/>
      <c r="O14541" s="505"/>
      <c r="P14541" s="505"/>
      <c r="Q14541" s="505"/>
      <c r="R14541" s="505"/>
      <c r="S14541" s="505"/>
      <c r="T14541" s="505"/>
      <c r="U14541" s="505"/>
      <c r="V14541" s="505"/>
      <c r="W14541" s="505"/>
      <c r="X14541" s="505"/>
      <c r="Y14541" s="505"/>
    </row>
    <row r="14542" spans="1:25" s="88" customFormat="1" hidden="1" x14ac:dyDescent="0.25">
      <c r="A14542" s="481"/>
      <c r="B14542" s="288"/>
      <c r="C14542" s="334"/>
      <c r="D14542" s="286"/>
      <c r="E14542" s="876"/>
      <c r="F14542" s="284" t="s">
        <v>255</v>
      </c>
      <c r="G14542" s="287" t="s">
        <v>256</v>
      </c>
      <c r="H14542" s="555"/>
      <c r="I14542" s="556"/>
      <c r="J14542" s="560">
        <f t="shared" si="472"/>
        <v>0</v>
      </c>
      <c r="K14542" s="505"/>
      <c r="L14542" s="505"/>
      <c r="M14542" s="505"/>
      <c r="N14542" s="505"/>
      <c r="O14542" s="505"/>
      <c r="P14542" s="505"/>
      <c r="Q14542" s="505"/>
      <c r="R14542" s="505"/>
      <c r="S14542" s="505"/>
      <c r="T14542" s="505"/>
      <c r="U14542" s="505"/>
      <c r="V14542" s="505"/>
      <c r="W14542" s="505"/>
      <c r="X14542" s="505"/>
      <c r="Y14542" s="505"/>
    </row>
    <row r="14543" spans="1:25" s="88" customFormat="1" ht="30" hidden="1" x14ac:dyDescent="0.25">
      <c r="A14543" s="481"/>
      <c r="B14543" s="288"/>
      <c r="C14543" s="334"/>
      <c r="D14543" s="286"/>
      <c r="E14543" s="876"/>
      <c r="F14543" s="284" t="s">
        <v>257</v>
      </c>
      <c r="G14543" s="287" t="s">
        <v>258</v>
      </c>
      <c r="H14543" s="555"/>
      <c r="I14543" s="556"/>
      <c r="J14543" s="560">
        <f t="shared" si="472"/>
        <v>0</v>
      </c>
      <c r="K14543" s="505"/>
      <c r="L14543" s="505"/>
      <c r="M14543" s="505"/>
      <c r="N14543" s="505"/>
      <c r="O14543" s="505"/>
      <c r="P14543" s="505"/>
      <c r="Q14543" s="505"/>
      <c r="R14543" s="505"/>
      <c r="S14543" s="505"/>
      <c r="T14543" s="505"/>
      <c r="U14543" s="505"/>
      <c r="V14543" s="505"/>
      <c r="W14543" s="505"/>
      <c r="X14543" s="505"/>
      <c r="Y14543" s="505"/>
    </row>
    <row r="14544" spans="1:25" s="88" customFormat="1" hidden="1" x14ac:dyDescent="0.25">
      <c r="A14544" s="481"/>
      <c r="B14544" s="288"/>
      <c r="C14544" s="334"/>
      <c r="D14544" s="286"/>
      <c r="E14544" s="876"/>
      <c r="F14544" s="284" t="s">
        <v>259</v>
      </c>
      <c r="G14544" s="287" t="s">
        <v>260</v>
      </c>
      <c r="H14544" s="555"/>
      <c r="I14544" s="556"/>
      <c r="J14544" s="560">
        <f t="shared" si="472"/>
        <v>0</v>
      </c>
      <c r="K14544" s="505"/>
      <c r="L14544" s="505"/>
      <c r="M14544" s="505"/>
      <c r="N14544" s="505"/>
      <c r="O14544" s="505"/>
      <c r="P14544" s="505"/>
      <c r="Q14544" s="505"/>
      <c r="R14544" s="505"/>
      <c r="S14544" s="505"/>
      <c r="T14544" s="505"/>
      <c r="U14544" s="505"/>
      <c r="V14544" s="505"/>
      <c r="W14544" s="505"/>
      <c r="X14544" s="505"/>
      <c r="Y14544" s="505"/>
    </row>
    <row r="14545" spans="1:25" s="88" customFormat="1" hidden="1" x14ac:dyDescent="0.25">
      <c r="A14545" s="481"/>
      <c r="B14545" s="288"/>
      <c r="C14545" s="334"/>
      <c r="D14545" s="286"/>
      <c r="E14545" s="876"/>
      <c r="F14545" s="284" t="s">
        <v>261</v>
      </c>
      <c r="G14545" s="287" t="s">
        <v>262</v>
      </c>
      <c r="H14545" s="559"/>
      <c r="I14545" s="560"/>
      <c r="J14545" s="560">
        <f t="shared" si="472"/>
        <v>0</v>
      </c>
      <c r="K14545" s="505"/>
      <c r="L14545" s="505"/>
      <c r="M14545" s="505"/>
      <c r="N14545" s="505"/>
      <c r="O14545" s="505"/>
      <c r="P14545" s="505"/>
      <c r="Q14545" s="505"/>
      <c r="R14545" s="505"/>
      <c r="S14545" s="505"/>
      <c r="T14545" s="505"/>
      <c r="U14545" s="505"/>
      <c r="V14545" s="505"/>
      <c r="W14545" s="505"/>
      <c r="X14545" s="505"/>
      <c r="Y14545" s="505"/>
    </row>
    <row r="14546" spans="1:25" s="88" customFormat="1" ht="15.75" hidden="1" thickBot="1" x14ac:dyDescent="0.3">
      <c r="A14546" s="481"/>
      <c r="B14546" s="288"/>
      <c r="C14546" s="334"/>
      <c r="D14546" s="286"/>
      <c r="E14546" s="876"/>
      <c r="F14546" s="258"/>
      <c r="G14546" s="268" t="s">
        <v>4207</v>
      </c>
      <c r="H14546" s="561">
        <f>SUM(H14530:H14545)</f>
        <v>0</v>
      </c>
      <c r="I14546" s="562">
        <f>SUM(I14531:I14545)</f>
        <v>0</v>
      </c>
      <c r="J14546" s="562">
        <f>SUM(J14530:J14545)</f>
        <v>0</v>
      </c>
      <c r="K14546" s="505"/>
      <c r="L14546" s="505"/>
      <c r="M14546" s="505"/>
      <c r="N14546" s="505"/>
      <c r="O14546" s="505"/>
      <c r="P14546" s="505"/>
      <c r="Q14546" s="505"/>
      <c r="R14546" s="505"/>
      <c r="S14546" s="505"/>
      <c r="T14546" s="505"/>
      <c r="U14546" s="505"/>
      <c r="V14546" s="505"/>
      <c r="W14546" s="505"/>
      <c r="X14546" s="505"/>
      <c r="Y14546" s="505"/>
    </row>
    <row r="14547" spans="1:25" hidden="1" x14ac:dyDescent="0.25">
      <c r="A14547" s="481"/>
    </row>
    <row r="14548" spans="1:25" hidden="1" x14ac:dyDescent="0.25">
      <c r="E14548" s="489"/>
      <c r="F14548" s="486"/>
      <c r="G14548" s="285" t="s">
        <v>4375</v>
      </c>
      <c r="H14548" s="567"/>
      <c r="I14548" s="585"/>
      <c r="J14548" s="568"/>
    </row>
    <row r="14549" spans="1:25" hidden="1" x14ac:dyDescent="0.25">
      <c r="E14549" s="693"/>
      <c r="F14549" s="284" t="s">
        <v>234</v>
      </c>
      <c r="G14549" s="287" t="s">
        <v>235</v>
      </c>
      <c r="H14549" s="559">
        <f>SUM(H14530)</f>
        <v>0</v>
      </c>
      <c r="I14549" s="560"/>
      <c r="J14549" s="560">
        <f>SUM(H14549:I14549)</f>
        <v>0</v>
      </c>
    </row>
    <row r="14550" spans="1:25" hidden="1" x14ac:dyDescent="0.25">
      <c r="F14550" s="284" t="s">
        <v>236</v>
      </c>
      <c r="G14550" s="287" t="s">
        <v>237</v>
      </c>
      <c r="J14550" s="560">
        <f t="shared" ref="J14550:J14564" si="473">SUM(H14550:I14550)</f>
        <v>0</v>
      </c>
    </row>
    <row r="14551" spans="1:25" hidden="1" x14ac:dyDescent="0.25">
      <c r="F14551" s="284" t="s">
        <v>238</v>
      </c>
      <c r="G14551" s="287" t="s">
        <v>239</v>
      </c>
      <c r="J14551" s="560">
        <f t="shared" si="473"/>
        <v>0</v>
      </c>
    </row>
    <row r="14552" spans="1:25" hidden="1" x14ac:dyDescent="0.25">
      <c r="F14552" s="284" t="s">
        <v>240</v>
      </c>
      <c r="G14552" s="287" t="s">
        <v>241</v>
      </c>
      <c r="J14552" s="560">
        <f t="shared" si="473"/>
        <v>0</v>
      </c>
    </row>
    <row r="14553" spans="1:25" hidden="1" x14ac:dyDescent="0.25">
      <c r="F14553" s="284" t="s">
        <v>242</v>
      </c>
      <c r="G14553" s="287" t="s">
        <v>243</v>
      </c>
      <c r="J14553" s="560">
        <f t="shared" si="473"/>
        <v>0</v>
      </c>
    </row>
    <row r="14554" spans="1:25" hidden="1" x14ac:dyDescent="0.25">
      <c r="F14554" s="284" t="s">
        <v>244</v>
      </c>
      <c r="G14554" s="287" t="s">
        <v>245</v>
      </c>
      <c r="J14554" s="560">
        <f t="shared" si="473"/>
        <v>0</v>
      </c>
    </row>
    <row r="14555" spans="1:25" hidden="1" x14ac:dyDescent="0.25">
      <c r="F14555" s="284" t="s">
        <v>246</v>
      </c>
      <c r="G14555" s="598" t="s">
        <v>4996</v>
      </c>
      <c r="J14555" s="560">
        <f t="shared" si="473"/>
        <v>0</v>
      </c>
    </row>
    <row r="14556" spans="1:25" hidden="1" x14ac:dyDescent="0.25">
      <c r="F14556" s="284" t="s">
        <v>247</v>
      </c>
      <c r="G14556" s="598" t="s">
        <v>4995</v>
      </c>
      <c r="J14556" s="560">
        <f t="shared" si="473"/>
        <v>0</v>
      </c>
    </row>
    <row r="14557" spans="1:25" hidden="1" x14ac:dyDescent="0.25">
      <c r="F14557" s="284" t="s">
        <v>248</v>
      </c>
      <c r="G14557" s="287" t="s">
        <v>57</v>
      </c>
      <c r="J14557" s="560">
        <f t="shared" si="473"/>
        <v>0</v>
      </c>
    </row>
    <row r="14558" spans="1:25" hidden="1" x14ac:dyDescent="0.25">
      <c r="F14558" s="284" t="s">
        <v>249</v>
      </c>
      <c r="G14558" s="287" t="s">
        <v>250</v>
      </c>
      <c r="J14558" s="560">
        <f t="shared" si="473"/>
        <v>0</v>
      </c>
    </row>
    <row r="14559" spans="1:25" hidden="1" x14ac:dyDescent="0.25">
      <c r="F14559" s="284" t="s">
        <v>251</v>
      </c>
      <c r="G14559" s="287" t="s">
        <v>252</v>
      </c>
      <c r="J14559" s="560">
        <f t="shared" si="473"/>
        <v>0</v>
      </c>
    </row>
    <row r="14560" spans="1:25" ht="30" hidden="1" x14ac:dyDescent="0.25">
      <c r="F14560" s="284" t="s">
        <v>253</v>
      </c>
      <c r="G14560" s="287" t="s">
        <v>254</v>
      </c>
      <c r="J14560" s="560">
        <f t="shared" si="473"/>
        <v>0</v>
      </c>
    </row>
    <row r="14561" spans="1:25" hidden="1" x14ac:dyDescent="0.25">
      <c r="F14561" s="284" t="s">
        <v>255</v>
      </c>
      <c r="G14561" s="287" t="s">
        <v>256</v>
      </c>
      <c r="J14561" s="560">
        <f t="shared" si="473"/>
        <v>0</v>
      </c>
    </row>
    <row r="14562" spans="1:25" ht="30" hidden="1" x14ac:dyDescent="0.25">
      <c r="F14562" s="284" t="s">
        <v>257</v>
      </c>
      <c r="G14562" s="287" t="s">
        <v>258</v>
      </c>
      <c r="J14562" s="560">
        <f t="shared" si="473"/>
        <v>0</v>
      </c>
    </row>
    <row r="14563" spans="1:25" hidden="1" x14ac:dyDescent="0.25">
      <c r="F14563" s="284" t="s">
        <v>259</v>
      </c>
      <c r="G14563" s="287" t="s">
        <v>260</v>
      </c>
      <c r="J14563" s="560">
        <f t="shared" si="473"/>
        <v>0</v>
      </c>
    </row>
    <row r="14564" spans="1:25" hidden="1" x14ac:dyDescent="0.25">
      <c r="F14564" s="284" t="s">
        <v>261</v>
      </c>
      <c r="G14564" s="287" t="s">
        <v>262</v>
      </c>
      <c r="H14564" s="559"/>
      <c r="I14564" s="560"/>
      <c r="J14564" s="560">
        <f t="shared" si="473"/>
        <v>0</v>
      </c>
    </row>
    <row r="14565" spans="1:25" ht="15.75" hidden="1" thickBot="1" x14ac:dyDescent="0.3">
      <c r="G14565" s="268" t="s">
        <v>4376</v>
      </c>
      <c r="H14565" s="561">
        <f>SUM(H14549:H14564)</f>
        <v>0</v>
      </c>
      <c r="I14565" s="562">
        <f>SUM(I14550:I14564)</f>
        <v>0</v>
      </c>
      <c r="J14565" s="562">
        <f>SUM(J14549:J14564)</f>
        <v>0</v>
      </c>
    </row>
    <row r="14566" spans="1:25" hidden="1" x14ac:dyDescent="0.25"/>
    <row r="14567" spans="1:25" ht="28.5" hidden="1" x14ac:dyDescent="0.25">
      <c r="B14567" s="472">
        <v>13</v>
      </c>
      <c r="C14567" s="473"/>
      <c r="D14567" s="474"/>
      <c r="E14567" s="475"/>
      <c r="F14567" s="475"/>
      <c r="G14567" s="476" t="s">
        <v>4273</v>
      </c>
      <c r="H14567" s="587"/>
      <c r="I14567" s="592"/>
      <c r="J14567" s="578"/>
      <c r="K14567" s="501"/>
      <c r="L14567" s="501"/>
      <c r="M14567" s="494"/>
      <c r="N14567" s="505"/>
    </row>
    <row r="14568" spans="1:25" s="88" customFormat="1" hidden="1" x14ac:dyDescent="0.25">
      <c r="A14568" s="473">
        <v>4</v>
      </c>
      <c r="B14568" s="288"/>
      <c r="C14568" s="294" t="s">
        <v>3587</v>
      </c>
      <c r="D14568" s="294"/>
      <c r="E14568" s="879"/>
      <c r="F14568" s="283"/>
      <c r="G14568" s="329" t="s">
        <v>4205</v>
      </c>
      <c r="H14568" s="572"/>
      <c r="I14568" s="573"/>
      <c r="J14568" s="573"/>
      <c r="K14568" s="505"/>
      <c r="L14568" s="505"/>
      <c r="M14568" s="505"/>
      <c r="N14568" s="505"/>
      <c r="O14568" s="505"/>
      <c r="P14568" s="505"/>
      <c r="Q14568" s="505"/>
      <c r="R14568" s="505"/>
      <c r="S14568" s="505"/>
      <c r="T14568" s="505"/>
      <c r="U14568" s="505"/>
      <c r="V14568" s="505"/>
      <c r="W14568" s="505"/>
      <c r="X14568" s="505"/>
      <c r="Y14568" s="505"/>
    </row>
    <row r="14569" spans="1:25" ht="28.5" hidden="1" x14ac:dyDescent="0.25">
      <c r="A14569" s="481"/>
      <c r="C14569" s="267" t="s">
        <v>4079</v>
      </c>
      <c r="D14569" s="259"/>
      <c r="G14569" s="483" t="s">
        <v>4080</v>
      </c>
    </row>
    <row r="14570" spans="1:25" s="88" customFormat="1" hidden="1" x14ac:dyDescent="0.25">
      <c r="A14570" s="258"/>
      <c r="B14570" s="288"/>
      <c r="C14570" s="294"/>
      <c r="D14570" s="348" t="s">
        <v>3874</v>
      </c>
      <c r="E14570" s="871"/>
      <c r="F14570" s="345"/>
      <c r="G14570" s="346" t="s">
        <v>4239</v>
      </c>
      <c r="H14570" s="572"/>
      <c r="I14570" s="573"/>
      <c r="J14570" s="573"/>
      <c r="K14570" s="505"/>
      <c r="L14570" s="505"/>
      <c r="M14570" s="505"/>
      <c r="N14570" s="505"/>
      <c r="O14570" s="505"/>
      <c r="P14570" s="505"/>
      <c r="Q14570" s="505"/>
      <c r="R14570" s="505"/>
      <c r="S14570" s="505"/>
      <c r="T14570" s="505"/>
      <c r="U14570" s="505"/>
      <c r="V14570" s="505"/>
      <c r="W14570" s="505"/>
      <c r="X14570" s="505"/>
      <c r="Y14570" s="505"/>
    </row>
    <row r="14571" spans="1:25" hidden="1" x14ac:dyDescent="0.25">
      <c r="A14571" s="481"/>
      <c r="F14571" s="485">
        <v>411</v>
      </c>
      <c r="G14571" s="480" t="s">
        <v>4131</v>
      </c>
      <c r="J14571" s="556">
        <f>SUM(H14571:I14571)</f>
        <v>0</v>
      </c>
    </row>
    <row r="14572" spans="1:25" hidden="1" x14ac:dyDescent="0.25">
      <c r="F14572" s="485">
        <v>412</v>
      </c>
      <c r="G14572" s="478" t="s">
        <v>3766</v>
      </c>
      <c r="J14572" s="556">
        <f t="shared" ref="J14572:J14630" si="474">SUM(H14572:I14572)</f>
        <v>0</v>
      </c>
    </row>
    <row r="14573" spans="1:25" hidden="1" x14ac:dyDescent="0.25">
      <c r="F14573" s="485">
        <v>413</v>
      </c>
      <c r="G14573" s="480" t="s">
        <v>4132</v>
      </c>
      <c r="J14573" s="556">
        <f t="shared" si="474"/>
        <v>0</v>
      </c>
    </row>
    <row r="14574" spans="1:25" hidden="1" x14ac:dyDescent="0.25">
      <c r="F14574" s="485">
        <v>414</v>
      </c>
      <c r="G14574" s="480" t="s">
        <v>3769</v>
      </c>
      <c r="J14574" s="556">
        <f t="shared" si="474"/>
        <v>0</v>
      </c>
    </row>
    <row r="14575" spans="1:25" hidden="1" x14ac:dyDescent="0.25">
      <c r="F14575" s="485">
        <v>415</v>
      </c>
      <c r="G14575" s="480" t="s">
        <v>4141</v>
      </c>
      <c r="J14575" s="556">
        <f t="shared" si="474"/>
        <v>0</v>
      </c>
    </row>
    <row r="14576" spans="1:25" hidden="1" x14ac:dyDescent="0.25">
      <c r="F14576" s="485">
        <v>416</v>
      </c>
      <c r="G14576" s="480" t="s">
        <v>4142</v>
      </c>
      <c r="J14576" s="556">
        <f t="shared" si="474"/>
        <v>0</v>
      </c>
    </row>
    <row r="14577" spans="6:10" hidden="1" x14ac:dyDescent="0.25">
      <c r="F14577" s="485">
        <v>417</v>
      </c>
      <c r="G14577" s="480" t="s">
        <v>4143</v>
      </c>
      <c r="J14577" s="556">
        <f t="shared" si="474"/>
        <v>0</v>
      </c>
    </row>
    <row r="14578" spans="6:10" hidden="1" x14ac:dyDescent="0.25">
      <c r="F14578" s="485">
        <v>418</v>
      </c>
      <c r="G14578" s="480" t="s">
        <v>3775</v>
      </c>
      <c r="J14578" s="556">
        <f t="shared" si="474"/>
        <v>0</v>
      </c>
    </row>
    <row r="14579" spans="6:10" hidden="1" x14ac:dyDescent="0.25">
      <c r="F14579" s="485">
        <v>421</v>
      </c>
      <c r="G14579" s="480" t="s">
        <v>3779</v>
      </c>
      <c r="J14579" s="556">
        <f t="shared" si="474"/>
        <v>0</v>
      </c>
    </row>
    <row r="14580" spans="6:10" hidden="1" x14ac:dyDescent="0.25">
      <c r="F14580" s="485">
        <v>422</v>
      </c>
      <c r="G14580" s="480" t="s">
        <v>3780</v>
      </c>
      <c r="J14580" s="556">
        <f t="shared" si="474"/>
        <v>0</v>
      </c>
    </row>
    <row r="14581" spans="6:10" hidden="1" x14ac:dyDescent="0.25">
      <c r="F14581" s="485">
        <v>423</v>
      </c>
      <c r="G14581" s="480" t="s">
        <v>3781</v>
      </c>
      <c r="J14581" s="556">
        <f t="shared" si="474"/>
        <v>0</v>
      </c>
    </row>
    <row r="14582" spans="6:10" hidden="1" x14ac:dyDescent="0.25">
      <c r="F14582" s="485">
        <v>424</v>
      </c>
      <c r="G14582" s="480" t="s">
        <v>3783</v>
      </c>
      <c r="J14582" s="556">
        <f t="shared" si="474"/>
        <v>0</v>
      </c>
    </row>
    <row r="14583" spans="6:10" hidden="1" x14ac:dyDescent="0.25">
      <c r="F14583" s="485">
        <v>425</v>
      </c>
      <c r="G14583" s="480" t="s">
        <v>4144</v>
      </c>
      <c r="J14583" s="556">
        <f t="shared" si="474"/>
        <v>0</v>
      </c>
    </row>
    <row r="14584" spans="6:10" hidden="1" x14ac:dyDescent="0.25">
      <c r="F14584" s="485">
        <v>426</v>
      </c>
      <c r="G14584" s="480" t="s">
        <v>3787</v>
      </c>
      <c r="J14584" s="556">
        <f t="shared" si="474"/>
        <v>0</v>
      </c>
    </row>
    <row r="14585" spans="6:10" ht="14.25" hidden="1" customHeight="1" x14ac:dyDescent="0.25">
      <c r="F14585" s="485">
        <v>431</v>
      </c>
      <c r="G14585" s="480" t="s">
        <v>4145</v>
      </c>
      <c r="J14585" s="556">
        <f t="shared" si="474"/>
        <v>0</v>
      </c>
    </row>
    <row r="14586" spans="6:10" hidden="1" x14ac:dyDescent="0.25">
      <c r="F14586" s="485">
        <v>432</v>
      </c>
      <c r="G14586" s="480" t="s">
        <v>4146</v>
      </c>
      <c r="J14586" s="556">
        <f t="shared" si="474"/>
        <v>0</v>
      </c>
    </row>
    <row r="14587" spans="6:10" hidden="1" x14ac:dyDescent="0.25">
      <c r="F14587" s="485">
        <v>433</v>
      </c>
      <c r="G14587" s="480" t="s">
        <v>4147</v>
      </c>
      <c r="J14587" s="556">
        <f t="shared" si="474"/>
        <v>0</v>
      </c>
    </row>
    <row r="14588" spans="6:10" hidden="1" x14ac:dyDescent="0.25">
      <c r="F14588" s="485">
        <v>434</v>
      </c>
      <c r="G14588" s="480" t="s">
        <v>4148</v>
      </c>
      <c r="J14588" s="556">
        <f t="shared" si="474"/>
        <v>0</v>
      </c>
    </row>
    <row r="14589" spans="6:10" hidden="1" x14ac:dyDescent="0.25">
      <c r="F14589" s="485">
        <v>435</v>
      </c>
      <c r="G14589" s="480" t="s">
        <v>3794</v>
      </c>
      <c r="J14589" s="556">
        <f t="shared" si="474"/>
        <v>0</v>
      </c>
    </row>
    <row r="14590" spans="6:10" hidden="1" x14ac:dyDescent="0.25">
      <c r="F14590" s="485">
        <v>441</v>
      </c>
      <c r="G14590" s="480" t="s">
        <v>4149</v>
      </c>
      <c r="J14590" s="556">
        <f t="shared" si="474"/>
        <v>0</v>
      </c>
    </row>
    <row r="14591" spans="6:10" hidden="1" x14ac:dyDescent="0.25">
      <c r="F14591" s="485">
        <v>442</v>
      </c>
      <c r="G14591" s="480" t="s">
        <v>4150</v>
      </c>
      <c r="J14591" s="556">
        <f t="shared" si="474"/>
        <v>0</v>
      </c>
    </row>
    <row r="14592" spans="6:10" hidden="1" x14ac:dyDescent="0.25">
      <c r="F14592" s="485">
        <v>443</v>
      </c>
      <c r="G14592" s="480" t="s">
        <v>3799</v>
      </c>
      <c r="J14592" s="556">
        <f t="shared" si="474"/>
        <v>0</v>
      </c>
    </row>
    <row r="14593" spans="6:10" hidden="1" x14ac:dyDescent="0.25">
      <c r="F14593" s="485">
        <v>444</v>
      </c>
      <c r="G14593" s="480" t="s">
        <v>3800</v>
      </c>
      <c r="J14593" s="556">
        <f t="shared" si="474"/>
        <v>0</v>
      </c>
    </row>
    <row r="14594" spans="6:10" ht="30" hidden="1" x14ac:dyDescent="0.25">
      <c r="F14594" s="485">
        <v>4511</v>
      </c>
      <c r="G14594" s="263" t="s">
        <v>1690</v>
      </c>
      <c r="J14594" s="556">
        <f t="shared" si="474"/>
        <v>0</v>
      </c>
    </row>
    <row r="14595" spans="6:10" ht="30" hidden="1" x14ac:dyDescent="0.25">
      <c r="F14595" s="485">
        <v>4512</v>
      </c>
      <c r="G14595" s="263" t="s">
        <v>1699</v>
      </c>
      <c r="J14595" s="556">
        <f t="shared" si="474"/>
        <v>0</v>
      </c>
    </row>
    <row r="14596" spans="6:10" hidden="1" x14ac:dyDescent="0.25">
      <c r="F14596" s="485">
        <v>452</v>
      </c>
      <c r="G14596" s="480" t="s">
        <v>4151</v>
      </c>
      <c r="J14596" s="556">
        <f t="shared" si="474"/>
        <v>0</v>
      </c>
    </row>
    <row r="14597" spans="6:10" hidden="1" x14ac:dyDescent="0.25">
      <c r="F14597" s="485">
        <v>453</v>
      </c>
      <c r="G14597" s="480" t="s">
        <v>4152</v>
      </c>
      <c r="J14597" s="556">
        <f t="shared" si="474"/>
        <v>0</v>
      </c>
    </row>
    <row r="14598" spans="6:10" hidden="1" x14ac:dyDescent="0.25">
      <c r="F14598" s="485">
        <v>454</v>
      </c>
      <c r="G14598" s="480" t="s">
        <v>3805</v>
      </c>
      <c r="J14598" s="556">
        <f t="shared" si="474"/>
        <v>0</v>
      </c>
    </row>
    <row r="14599" spans="6:10" hidden="1" x14ac:dyDescent="0.25">
      <c r="F14599" s="485">
        <v>461</v>
      </c>
      <c r="G14599" s="480" t="s">
        <v>4133</v>
      </c>
      <c r="J14599" s="556">
        <f t="shared" si="474"/>
        <v>0</v>
      </c>
    </row>
    <row r="14600" spans="6:10" hidden="1" x14ac:dyDescent="0.25">
      <c r="F14600" s="485">
        <v>462</v>
      </c>
      <c r="G14600" s="480" t="s">
        <v>3808</v>
      </c>
      <c r="J14600" s="556">
        <f t="shared" si="474"/>
        <v>0</v>
      </c>
    </row>
    <row r="14601" spans="6:10" hidden="1" x14ac:dyDescent="0.25">
      <c r="F14601" s="485">
        <v>4631</v>
      </c>
      <c r="G14601" s="480" t="s">
        <v>3809</v>
      </c>
      <c r="J14601" s="556">
        <f t="shared" si="474"/>
        <v>0</v>
      </c>
    </row>
    <row r="14602" spans="6:10" hidden="1" x14ac:dyDescent="0.25">
      <c r="F14602" s="485">
        <v>4632</v>
      </c>
      <c r="G14602" s="480" t="s">
        <v>3810</v>
      </c>
      <c r="J14602" s="556">
        <f t="shared" si="474"/>
        <v>0</v>
      </c>
    </row>
    <row r="14603" spans="6:10" hidden="1" x14ac:dyDescent="0.25">
      <c r="F14603" s="485">
        <v>464</v>
      </c>
      <c r="G14603" s="480" t="s">
        <v>3811</v>
      </c>
      <c r="J14603" s="556">
        <f t="shared" si="474"/>
        <v>0</v>
      </c>
    </row>
    <row r="14604" spans="6:10" hidden="1" x14ac:dyDescent="0.25">
      <c r="F14604" s="485">
        <v>465</v>
      </c>
      <c r="G14604" s="480" t="s">
        <v>4134</v>
      </c>
      <c r="J14604" s="556">
        <f t="shared" si="474"/>
        <v>0</v>
      </c>
    </row>
    <row r="14605" spans="6:10" hidden="1" x14ac:dyDescent="0.25">
      <c r="F14605" s="485">
        <v>472</v>
      </c>
      <c r="G14605" s="480" t="s">
        <v>3815</v>
      </c>
      <c r="J14605" s="556">
        <f t="shared" si="474"/>
        <v>0</v>
      </c>
    </row>
    <row r="14606" spans="6:10" hidden="1" x14ac:dyDescent="0.25">
      <c r="F14606" s="485">
        <v>481</v>
      </c>
      <c r="G14606" s="480" t="s">
        <v>4153</v>
      </c>
      <c r="J14606" s="556">
        <f t="shared" si="474"/>
        <v>0</v>
      </c>
    </row>
    <row r="14607" spans="6:10" hidden="1" x14ac:dyDescent="0.25">
      <c r="F14607" s="485">
        <v>482</v>
      </c>
      <c r="G14607" s="480" t="s">
        <v>4154</v>
      </c>
      <c r="J14607" s="556">
        <f t="shared" si="474"/>
        <v>0</v>
      </c>
    </row>
    <row r="14608" spans="6:10" hidden="1" x14ac:dyDescent="0.25">
      <c r="F14608" s="485">
        <v>483</v>
      </c>
      <c r="G14608" s="482" t="s">
        <v>4155</v>
      </c>
      <c r="J14608" s="556">
        <f t="shared" si="474"/>
        <v>0</v>
      </c>
    </row>
    <row r="14609" spans="6:10" ht="30" hidden="1" x14ac:dyDescent="0.25">
      <c r="F14609" s="485">
        <v>484</v>
      </c>
      <c r="G14609" s="480" t="s">
        <v>4156</v>
      </c>
      <c r="J14609" s="556">
        <f t="shared" si="474"/>
        <v>0</v>
      </c>
    </row>
    <row r="14610" spans="6:10" ht="30" hidden="1" x14ac:dyDescent="0.25">
      <c r="F14610" s="485">
        <v>485</v>
      </c>
      <c r="G14610" s="480" t="s">
        <v>4157</v>
      </c>
      <c r="J14610" s="556">
        <f t="shared" si="474"/>
        <v>0</v>
      </c>
    </row>
    <row r="14611" spans="6:10" ht="30" hidden="1" x14ac:dyDescent="0.25">
      <c r="F14611" s="485">
        <v>489</v>
      </c>
      <c r="G14611" s="480" t="s">
        <v>3823</v>
      </c>
      <c r="J14611" s="556">
        <f t="shared" si="474"/>
        <v>0</v>
      </c>
    </row>
    <row r="14612" spans="6:10" hidden="1" x14ac:dyDescent="0.25">
      <c r="F14612" s="485">
        <v>494</v>
      </c>
      <c r="G14612" s="480" t="s">
        <v>4135</v>
      </c>
      <c r="J14612" s="556">
        <f t="shared" si="474"/>
        <v>0</v>
      </c>
    </row>
    <row r="14613" spans="6:10" ht="30" hidden="1" x14ac:dyDescent="0.25">
      <c r="F14613" s="485">
        <v>495</v>
      </c>
      <c r="G14613" s="480" t="s">
        <v>4136</v>
      </c>
      <c r="J14613" s="556">
        <f t="shared" si="474"/>
        <v>0</v>
      </c>
    </row>
    <row r="14614" spans="6:10" ht="30" hidden="1" x14ac:dyDescent="0.25">
      <c r="F14614" s="485">
        <v>496</v>
      </c>
      <c r="G14614" s="480" t="s">
        <v>4137</v>
      </c>
      <c r="J14614" s="556">
        <f t="shared" si="474"/>
        <v>0</v>
      </c>
    </row>
    <row r="14615" spans="6:10" ht="30" hidden="1" x14ac:dyDescent="0.25">
      <c r="F14615" s="485">
        <v>499</v>
      </c>
      <c r="G14615" s="480" t="s">
        <v>4138</v>
      </c>
      <c r="J14615" s="556">
        <f t="shared" si="474"/>
        <v>0</v>
      </c>
    </row>
    <row r="14616" spans="6:10" hidden="1" x14ac:dyDescent="0.25">
      <c r="F14616" s="485">
        <v>511</v>
      </c>
      <c r="G14616" s="482" t="s">
        <v>4158</v>
      </c>
      <c r="J14616" s="556">
        <f t="shared" si="474"/>
        <v>0</v>
      </c>
    </row>
    <row r="14617" spans="6:10" hidden="1" x14ac:dyDescent="0.25">
      <c r="F14617" s="485">
        <v>512</v>
      </c>
      <c r="G14617" s="482" t="s">
        <v>4159</v>
      </c>
      <c r="J14617" s="556">
        <f t="shared" si="474"/>
        <v>0</v>
      </c>
    </row>
    <row r="14618" spans="6:10" hidden="1" x14ac:dyDescent="0.25">
      <c r="F14618" s="485">
        <v>513</v>
      </c>
      <c r="G14618" s="482" t="s">
        <v>4160</v>
      </c>
      <c r="J14618" s="556">
        <f t="shared" si="474"/>
        <v>0</v>
      </c>
    </row>
    <row r="14619" spans="6:10" hidden="1" x14ac:dyDescent="0.25">
      <c r="F14619" s="485">
        <v>514</v>
      </c>
      <c r="G14619" s="480" t="s">
        <v>4161</v>
      </c>
      <c r="J14619" s="556">
        <f t="shared" si="474"/>
        <v>0</v>
      </c>
    </row>
    <row r="14620" spans="6:10" hidden="1" x14ac:dyDescent="0.25">
      <c r="F14620" s="485">
        <v>515</v>
      </c>
      <c r="G14620" s="480" t="s">
        <v>3834</v>
      </c>
      <c r="J14620" s="556">
        <f t="shared" si="474"/>
        <v>0</v>
      </c>
    </row>
    <row r="14621" spans="6:10" hidden="1" x14ac:dyDescent="0.25">
      <c r="F14621" s="485">
        <v>521</v>
      </c>
      <c r="G14621" s="480" t="s">
        <v>4162</v>
      </c>
      <c r="J14621" s="556">
        <f t="shared" si="474"/>
        <v>0</v>
      </c>
    </row>
    <row r="14622" spans="6:10" hidden="1" x14ac:dyDescent="0.25">
      <c r="F14622" s="485">
        <v>522</v>
      </c>
      <c r="G14622" s="480" t="s">
        <v>4163</v>
      </c>
      <c r="J14622" s="556">
        <f t="shared" si="474"/>
        <v>0</v>
      </c>
    </row>
    <row r="14623" spans="6:10" hidden="1" x14ac:dyDescent="0.25">
      <c r="F14623" s="485">
        <v>523</v>
      </c>
      <c r="G14623" s="480" t="s">
        <v>3839</v>
      </c>
      <c r="J14623" s="556">
        <f t="shared" si="474"/>
        <v>0</v>
      </c>
    </row>
    <row r="14624" spans="6:10" hidden="1" x14ac:dyDescent="0.25">
      <c r="F14624" s="485">
        <v>531</v>
      </c>
      <c r="G14624" s="478" t="s">
        <v>4139</v>
      </c>
      <c r="J14624" s="556">
        <f t="shared" si="474"/>
        <v>0</v>
      </c>
    </row>
    <row r="14625" spans="5:10" hidden="1" x14ac:dyDescent="0.25">
      <c r="F14625" s="485">
        <v>541</v>
      </c>
      <c r="G14625" s="480" t="s">
        <v>4164</v>
      </c>
      <c r="J14625" s="556">
        <f t="shared" si="474"/>
        <v>0</v>
      </c>
    </row>
    <row r="14626" spans="5:10" hidden="1" x14ac:dyDescent="0.25">
      <c r="F14626" s="485">
        <v>542</v>
      </c>
      <c r="G14626" s="480" t="s">
        <v>4165</v>
      </c>
      <c r="J14626" s="556">
        <f t="shared" si="474"/>
        <v>0</v>
      </c>
    </row>
    <row r="14627" spans="5:10" hidden="1" x14ac:dyDescent="0.25">
      <c r="F14627" s="485">
        <v>543</v>
      </c>
      <c r="G14627" s="480" t="s">
        <v>3844</v>
      </c>
      <c r="J14627" s="556">
        <f t="shared" si="474"/>
        <v>0</v>
      </c>
    </row>
    <row r="14628" spans="5:10" ht="30" hidden="1" x14ac:dyDescent="0.25">
      <c r="F14628" s="485">
        <v>551</v>
      </c>
      <c r="G14628" s="480" t="s">
        <v>4140</v>
      </c>
      <c r="J14628" s="556">
        <f t="shared" si="474"/>
        <v>0</v>
      </c>
    </row>
    <row r="14629" spans="5:10" hidden="1" x14ac:dyDescent="0.25">
      <c r="F14629" s="486">
        <v>611</v>
      </c>
      <c r="G14629" s="484" t="s">
        <v>3850</v>
      </c>
      <c r="J14629" s="556">
        <f t="shared" si="474"/>
        <v>0</v>
      </c>
    </row>
    <row r="14630" spans="5:10" hidden="1" x14ac:dyDescent="0.25">
      <c r="F14630" s="486">
        <v>620</v>
      </c>
      <c r="G14630" s="484" t="s">
        <v>88</v>
      </c>
      <c r="J14630" s="556">
        <f t="shared" si="474"/>
        <v>0</v>
      </c>
    </row>
    <row r="14631" spans="5:10" hidden="1" x14ac:dyDescent="0.25">
      <c r="E14631" s="489"/>
      <c r="F14631" s="486"/>
      <c r="G14631" s="342" t="s">
        <v>4301</v>
      </c>
      <c r="H14631" s="557"/>
      <c r="I14631" s="583"/>
      <c r="J14631" s="558"/>
    </row>
    <row r="14632" spans="5:10" hidden="1" x14ac:dyDescent="0.25">
      <c r="E14632" s="693"/>
      <c r="F14632" s="284" t="s">
        <v>234</v>
      </c>
      <c r="G14632" s="287" t="s">
        <v>235</v>
      </c>
      <c r="H14632" s="559">
        <f>SUM(H14571:H14630)</f>
        <v>0</v>
      </c>
      <c r="I14632" s="560"/>
      <c r="J14632" s="560">
        <f>SUM(H14632:I14632)</f>
        <v>0</v>
      </c>
    </row>
    <row r="14633" spans="5:10" hidden="1" x14ac:dyDescent="0.25">
      <c r="F14633" s="284" t="s">
        <v>236</v>
      </c>
      <c r="G14633" s="287" t="s">
        <v>237</v>
      </c>
      <c r="J14633" s="560">
        <f t="shared" ref="J14633:J14647" si="475">SUM(H14633:I14633)</f>
        <v>0</v>
      </c>
    </row>
    <row r="14634" spans="5:10" hidden="1" x14ac:dyDescent="0.25">
      <c r="F14634" s="284" t="s">
        <v>238</v>
      </c>
      <c r="G14634" s="287" t="s">
        <v>239</v>
      </c>
      <c r="J14634" s="560">
        <f t="shared" si="475"/>
        <v>0</v>
      </c>
    </row>
    <row r="14635" spans="5:10" hidden="1" x14ac:dyDescent="0.25">
      <c r="F14635" s="284" t="s">
        <v>240</v>
      </c>
      <c r="G14635" s="287" t="s">
        <v>241</v>
      </c>
      <c r="J14635" s="560">
        <f t="shared" si="475"/>
        <v>0</v>
      </c>
    </row>
    <row r="14636" spans="5:10" hidden="1" x14ac:dyDescent="0.25">
      <c r="F14636" s="284" t="s">
        <v>242</v>
      </c>
      <c r="G14636" s="287" t="s">
        <v>243</v>
      </c>
      <c r="J14636" s="560">
        <f t="shared" si="475"/>
        <v>0</v>
      </c>
    </row>
    <row r="14637" spans="5:10" hidden="1" x14ac:dyDescent="0.25">
      <c r="F14637" s="284" t="s">
        <v>244</v>
      </c>
      <c r="G14637" s="287" t="s">
        <v>245</v>
      </c>
      <c r="J14637" s="560">
        <f t="shared" si="475"/>
        <v>0</v>
      </c>
    </row>
    <row r="14638" spans="5:10" hidden="1" x14ac:dyDescent="0.25">
      <c r="F14638" s="284" t="s">
        <v>246</v>
      </c>
      <c r="G14638" s="598" t="s">
        <v>4996</v>
      </c>
      <c r="J14638" s="560">
        <f t="shared" si="475"/>
        <v>0</v>
      </c>
    </row>
    <row r="14639" spans="5:10" hidden="1" x14ac:dyDescent="0.25">
      <c r="F14639" s="284" t="s">
        <v>247</v>
      </c>
      <c r="G14639" s="598" t="s">
        <v>4995</v>
      </c>
      <c r="J14639" s="560">
        <f t="shared" si="475"/>
        <v>0</v>
      </c>
    </row>
    <row r="14640" spans="5:10" hidden="1" x14ac:dyDescent="0.25">
      <c r="F14640" s="284" t="s">
        <v>248</v>
      </c>
      <c r="G14640" s="287" t="s">
        <v>57</v>
      </c>
      <c r="J14640" s="560">
        <f t="shared" si="475"/>
        <v>0</v>
      </c>
    </row>
    <row r="14641" spans="5:10" hidden="1" x14ac:dyDescent="0.25">
      <c r="F14641" s="284" t="s">
        <v>249</v>
      </c>
      <c r="G14641" s="287" t="s">
        <v>250</v>
      </c>
      <c r="J14641" s="560">
        <f t="shared" si="475"/>
        <v>0</v>
      </c>
    </row>
    <row r="14642" spans="5:10" hidden="1" x14ac:dyDescent="0.25">
      <c r="F14642" s="284" t="s">
        <v>251</v>
      </c>
      <c r="G14642" s="287" t="s">
        <v>252</v>
      </c>
      <c r="J14642" s="560">
        <f t="shared" si="475"/>
        <v>0</v>
      </c>
    </row>
    <row r="14643" spans="5:10" ht="30" hidden="1" x14ac:dyDescent="0.25">
      <c r="F14643" s="284" t="s">
        <v>253</v>
      </c>
      <c r="G14643" s="287" t="s">
        <v>254</v>
      </c>
      <c r="J14643" s="560">
        <f t="shared" si="475"/>
        <v>0</v>
      </c>
    </row>
    <row r="14644" spans="5:10" hidden="1" x14ac:dyDescent="0.25">
      <c r="F14644" s="284" t="s">
        <v>255</v>
      </c>
      <c r="G14644" s="287" t="s">
        <v>256</v>
      </c>
      <c r="J14644" s="560">
        <f t="shared" si="475"/>
        <v>0</v>
      </c>
    </row>
    <row r="14645" spans="5:10" ht="30" hidden="1" x14ac:dyDescent="0.25">
      <c r="F14645" s="284" t="s">
        <v>257</v>
      </c>
      <c r="G14645" s="287" t="s">
        <v>258</v>
      </c>
      <c r="J14645" s="560">
        <f t="shared" si="475"/>
        <v>0</v>
      </c>
    </row>
    <row r="14646" spans="5:10" hidden="1" x14ac:dyDescent="0.25">
      <c r="F14646" s="284" t="s">
        <v>259</v>
      </c>
      <c r="G14646" s="287" t="s">
        <v>260</v>
      </c>
      <c r="J14646" s="560">
        <f t="shared" si="475"/>
        <v>0</v>
      </c>
    </row>
    <row r="14647" spans="5:10" hidden="1" x14ac:dyDescent="0.25">
      <c r="F14647" s="284" t="s">
        <v>261</v>
      </c>
      <c r="G14647" s="287" t="s">
        <v>262</v>
      </c>
      <c r="H14647" s="559"/>
      <c r="I14647" s="560"/>
      <c r="J14647" s="560">
        <f t="shared" si="475"/>
        <v>0</v>
      </c>
    </row>
    <row r="14648" spans="5:10" ht="15.75" hidden="1" thickBot="1" x14ac:dyDescent="0.3">
      <c r="G14648" s="268" t="s">
        <v>4302</v>
      </c>
      <c r="H14648" s="561">
        <f>SUM(H14632:H14647)</f>
        <v>0</v>
      </c>
      <c r="I14648" s="562">
        <f>SUM(I14633:I14647)</f>
        <v>0</v>
      </c>
      <c r="J14648" s="562">
        <f>SUM(J14632:J14647)</f>
        <v>0</v>
      </c>
    </row>
    <row r="14649" spans="5:10" ht="28.5" hidden="1" collapsed="1" x14ac:dyDescent="0.25">
      <c r="E14649" s="489"/>
      <c r="F14649" s="486"/>
      <c r="G14649" s="270" t="s">
        <v>4274</v>
      </c>
      <c r="H14649" s="563"/>
      <c r="I14649" s="584"/>
      <c r="J14649" s="564"/>
    </row>
    <row r="14650" spans="5:10" hidden="1" x14ac:dyDescent="0.25">
      <c r="E14650" s="693"/>
      <c r="F14650" s="284" t="s">
        <v>234</v>
      </c>
      <c r="G14650" s="287" t="s">
        <v>235</v>
      </c>
      <c r="H14650" s="559">
        <f>SUM(H14571:H14630)</f>
        <v>0</v>
      </c>
      <c r="I14650" s="560"/>
      <c r="J14650" s="560">
        <f>SUM(H14650:I14650)</f>
        <v>0</v>
      </c>
    </row>
    <row r="14651" spans="5:10" hidden="1" x14ac:dyDescent="0.25">
      <c r="F14651" s="284" t="s">
        <v>236</v>
      </c>
      <c r="G14651" s="287" t="s">
        <v>237</v>
      </c>
      <c r="J14651" s="560">
        <f t="shared" ref="J14651:J14665" si="476">SUM(H14651:I14651)</f>
        <v>0</v>
      </c>
    </row>
    <row r="14652" spans="5:10" hidden="1" x14ac:dyDescent="0.25">
      <c r="F14652" s="284" t="s">
        <v>238</v>
      </c>
      <c r="G14652" s="287" t="s">
        <v>239</v>
      </c>
      <c r="J14652" s="560">
        <f t="shared" si="476"/>
        <v>0</v>
      </c>
    </row>
    <row r="14653" spans="5:10" hidden="1" x14ac:dyDescent="0.25">
      <c r="F14653" s="284" t="s">
        <v>240</v>
      </c>
      <c r="G14653" s="287" t="s">
        <v>241</v>
      </c>
      <c r="J14653" s="560">
        <f t="shared" si="476"/>
        <v>0</v>
      </c>
    </row>
    <row r="14654" spans="5:10" hidden="1" x14ac:dyDescent="0.25">
      <c r="F14654" s="284" t="s">
        <v>242</v>
      </c>
      <c r="G14654" s="287" t="s">
        <v>243</v>
      </c>
      <c r="J14654" s="560">
        <f t="shared" si="476"/>
        <v>0</v>
      </c>
    </row>
    <row r="14655" spans="5:10" hidden="1" x14ac:dyDescent="0.25">
      <c r="F14655" s="284" t="s">
        <v>244</v>
      </c>
      <c r="G14655" s="287" t="s">
        <v>245</v>
      </c>
      <c r="J14655" s="560">
        <f t="shared" si="476"/>
        <v>0</v>
      </c>
    </row>
    <row r="14656" spans="5:10" hidden="1" x14ac:dyDescent="0.25">
      <c r="F14656" s="284" t="s">
        <v>246</v>
      </c>
      <c r="G14656" s="598" t="s">
        <v>4996</v>
      </c>
      <c r="J14656" s="560">
        <f t="shared" si="476"/>
        <v>0</v>
      </c>
    </row>
    <row r="14657" spans="1:25" hidden="1" x14ac:dyDescent="0.25">
      <c r="F14657" s="284" t="s">
        <v>247</v>
      </c>
      <c r="G14657" s="598" t="s">
        <v>4995</v>
      </c>
      <c r="J14657" s="560">
        <f t="shared" si="476"/>
        <v>0</v>
      </c>
    </row>
    <row r="14658" spans="1:25" hidden="1" x14ac:dyDescent="0.25">
      <c r="F14658" s="284" t="s">
        <v>248</v>
      </c>
      <c r="G14658" s="287" t="s">
        <v>57</v>
      </c>
      <c r="J14658" s="560">
        <f t="shared" si="476"/>
        <v>0</v>
      </c>
    </row>
    <row r="14659" spans="1:25" hidden="1" x14ac:dyDescent="0.25">
      <c r="F14659" s="284" t="s">
        <v>249</v>
      </c>
      <c r="G14659" s="287" t="s">
        <v>250</v>
      </c>
      <c r="J14659" s="560">
        <f t="shared" si="476"/>
        <v>0</v>
      </c>
    </row>
    <row r="14660" spans="1:25" hidden="1" x14ac:dyDescent="0.25">
      <c r="F14660" s="284" t="s">
        <v>251</v>
      </c>
      <c r="G14660" s="287" t="s">
        <v>252</v>
      </c>
      <c r="J14660" s="560">
        <f t="shared" si="476"/>
        <v>0</v>
      </c>
    </row>
    <row r="14661" spans="1:25" ht="30" hidden="1" x14ac:dyDescent="0.25">
      <c r="F14661" s="284" t="s">
        <v>253</v>
      </c>
      <c r="G14661" s="287" t="s">
        <v>254</v>
      </c>
      <c r="J14661" s="560">
        <f t="shared" si="476"/>
        <v>0</v>
      </c>
    </row>
    <row r="14662" spans="1:25" hidden="1" x14ac:dyDescent="0.25">
      <c r="F14662" s="284" t="s">
        <v>255</v>
      </c>
      <c r="G14662" s="287" t="s">
        <v>256</v>
      </c>
      <c r="J14662" s="560">
        <f t="shared" si="476"/>
        <v>0</v>
      </c>
    </row>
    <row r="14663" spans="1:25" ht="30" hidden="1" x14ac:dyDescent="0.25">
      <c r="F14663" s="284" t="s">
        <v>257</v>
      </c>
      <c r="G14663" s="287" t="s">
        <v>258</v>
      </c>
      <c r="J14663" s="560">
        <f t="shared" si="476"/>
        <v>0</v>
      </c>
    </row>
    <row r="14664" spans="1:25" hidden="1" x14ac:dyDescent="0.25">
      <c r="F14664" s="284" t="s">
        <v>259</v>
      </c>
      <c r="G14664" s="287" t="s">
        <v>260</v>
      </c>
      <c r="J14664" s="560">
        <f t="shared" si="476"/>
        <v>0</v>
      </c>
    </row>
    <row r="14665" spans="1:25" hidden="1" x14ac:dyDescent="0.25">
      <c r="F14665" s="284" t="s">
        <v>261</v>
      </c>
      <c r="G14665" s="287" t="s">
        <v>262</v>
      </c>
      <c r="H14665" s="559"/>
      <c r="I14665" s="560"/>
      <c r="J14665" s="560">
        <f t="shared" si="476"/>
        <v>0</v>
      </c>
    </row>
    <row r="14666" spans="1:25" ht="15.75" hidden="1" collapsed="1" thickBot="1" x14ac:dyDescent="0.3">
      <c r="G14666" s="268" t="s">
        <v>4275</v>
      </c>
      <c r="H14666" s="561">
        <f>SUM(H14650:H14665)</f>
        <v>0</v>
      </c>
      <c r="I14666" s="562">
        <f>SUM(I14651:I14665)</f>
        <v>0</v>
      </c>
      <c r="J14666" s="562">
        <f>SUM(J14650:J14665)</f>
        <v>0</v>
      </c>
    </row>
    <row r="14667" spans="1:25" hidden="1" x14ac:dyDescent="0.25"/>
    <row r="14668" spans="1:25" ht="28.5" hidden="1" x14ac:dyDescent="0.25">
      <c r="C14668" s="267" t="s">
        <v>4083</v>
      </c>
      <c r="D14668" s="259"/>
      <c r="G14668" s="483" t="s">
        <v>4084</v>
      </c>
    </row>
    <row r="14669" spans="1:25" s="88" customFormat="1" ht="30" hidden="1" x14ac:dyDescent="0.25">
      <c r="A14669" s="258"/>
      <c r="B14669" s="288"/>
      <c r="C14669" s="334"/>
      <c r="D14669" s="350" t="s">
        <v>3878</v>
      </c>
      <c r="E14669" s="880"/>
      <c r="F14669" s="349"/>
      <c r="G14669" s="333" t="s">
        <v>103</v>
      </c>
      <c r="H14669" s="588"/>
      <c r="I14669" s="571"/>
      <c r="J14669" s="589"/>
      <c r="K14669" s="505"/>
      <c r="L14669" s="505"/>
      <c r="M14669" s="505"/>
      <c r="N14669" s="505"/>
      <c r="O14669" s="505"/>
      <c r="P14669" s="505"/>
      <c r="Q14669" s="505"/>
      <c r="R14669" s="505"/>
      <c r="S14669" s="505"/>
      <c r="T14669" s="505"/>
      <c r="U14669" s="505"/>
      <c r="V14669" s="505"/>
      <c r="W14669" s="505"/>
      <c r="X14669" s="505"/>
      <c r="Y14669" s="505"/>
    </row>
    <row r="14670" spans="1:25" hidden="1" x14ac:dyDescent="0.25">
      <c r="A14670" s="481"/>
      <c r="F14670" s="485">
        <v>411</v>
      </c>
      <c r="G14670" s="480" t="s">
        <v>4131</v>
      </c>
      <c r="J14670" s="556">
        <f>SUM(H14670:I14670)</f>
        <v>0</v>
      </c>
    </row>
    <row r="14671" spans="1:25" hidden="1" x14ac:dyDescent="0.25">
      <c r="F14671" s="485">
        <v>412</v>
      </c>
      <c r="G14671" s="478" t="s">
        <v>3766</v>
      </c>
      <c r="J14671" s="556">
        <f t="shared" ref="J14671:J14729" si="477">SUM(H14671:I14671)</f>
        <v>0</v>
      </c>
    </row>
    <row r="14672" spans="1:25" hidden="1" x14ac:dyDescent="0.25">
      <c r="F14672" s="485">
        <v>413</v>
      </c>
      <c r="G14672" s="480" t="s">
        <v>4132</v>
      </c>
      <c r="J14672" s="556">
        <f t="shared" si="477"/>
        <v>0</v>
      </c>
    </row>
    <row r="14673" spans="6:10" hidden="1" x14ac:dyDescent="0.25">
      <c r="F14673" s="485">
        <v>414</v>
      </c>
      <c r="G14673" s="480" t="s">
        <v>3769</v>
      </c>
      <c r="J14673" s="556">
        <f t="shared" si="477"/>
        <v>0</v>
      </c>
    </row>
    <row r="14674" spans="6:10" hidden="1" x14ac:dyDescent="0.25">
      <c r="F14674" s="485">
        <v>415</v>
      </c>
      <c r="G14674" s="480" t="s">
        <v>4141</v>
      </c>
      <c r="J14674" s="556">
        <f t="shared" si="477"/>
        <v>0</v>
      </c>
    </row>
    <row r="14675" spans="6:10" hidden="1" x14ac:dyDescent="0.25">
      <c r="F14675" s="485">
        <v>416</v>
      </c>
      <c r="G14675" s="480" t="s">
        <v>4142</v>
      </c>
      <c r="J14675" s="556">
        <f t="shared" si="477"/>
        <v>0</v>
      </c>
    </row>
    <row r="14676" spans="6:10" hidden="1" x14ac:dyDescent="0.25">
      <c r="F14676" s="485">
        <v>417</v>
      </c>
      <c r="G14676" s="480" t="s">
        <v>4143</v>
      </c>
      <c r="J14676" s="556">
        <f t="shared" si="477"/>
        <v>0</v>
      </c>
    </row>
    <row r="14677" spans="6:10" hidden="1" x14ac:dyDescent="0.25">
      <c r="F14677" s="485">
        <v>418</v>
      </c>
      <c r="G14677" s="480" t="s">
        <v>3775</v>
      </c>
      <c r="J14677" s="556">
        <f t="shared" si="477"/>
        <v>0</v>
      </c>
    </row>
    <row r="14678" spans="6:10" hidden="1" x14ac:dyDescent="0.25">
      <c r="F14678" s="485">
        <v>421</v>
      </c>
      <c r="G14678" s="480" t="s">
        <v>3779</v>
      </c>
      <c r="J14678" s="556">
        <f t="shared" si="477"/>
        <v>0</v>
      </c>
    </row>
    <row r="14679" spans="6:10" hidden="1" x14ac:dyDescent="0.25">
      <c r="F14679" s="485">
        <v>422</v>
      </c>
      <c r="G14679" s="480" t="s">
        <v>3780</v>
      </c>
      <c r="J14679" s="556">
        <f t="shared" si="477"/>
        <v>0</v>
      </c>
    </row>
    <row r="14680" spans="6:10" hidden="1" x14ac:dyDescent="0.25">
      <c r="F14680" s="485">
        <v>423</v>
      </c>
      <c r="G14680" s="480" t="s">
        <v>3781</v>
      </c>
      <c r="J14680" s="556">
        <f t="shared" si="477"/>
        <v>0</v>
      </c>
    </row>
    <row r="14681" spans="6:10" hidden="1" x14ac:dyDescent="0.25">
      <c r="F14681" s="485">
        <v>424</v>
      </c>
      <c r="G14681" s="480" t="s">
        <v>3783</v>
      </c>
      <c r="J14681" s="556">
        <f t="shared" si="477"/>
        <v>0</v>
      </c>
    </row>
    <row r="14682" spans="6:10" hidden="1" x14ac:dyDescent="0.25">
      <c r="F14682" s="485">
        <v>425</v>
      </c>
      <c r="G14682" s="480" t="s">
        <v>4144</v>
      </c>
      <c r="J14682" s="556">
        <f t="shared" si="477"/>
        <v>0</v>
      </c>
    </row>
    <row r="14683" spans="6:10" hidden="1" x14ac:dyDescent="0.25">
      <c r="F14683" s="485">
        <v>426</v>
      </c>
      <c r="G14683" s="480" t="s">
        <v>3787</v>
      </c>
      <c r="J14683" s="556">
        <f t="shared" si="477"/>
        <v>0</v>
      </c>
    </row>
    <row r="14684" spans="6:10" hidden="1" x14ac:dyDescent="0.25">
      <c r="F14684" s="485">
        <v>431</v>
      </c>
      <c r="G14684" s="480" t="s">
        <v>4145</v>
      </c>
      <c r="J14684" s="556">
        <f t="shared" si="477"/>
        <v>0</v>
      </c>
    </row>
    <row r="14685" spans="6:10" hidden="1" x14ac:dyDescent="0.25">
      <c r="F14685" s="485">
        <v>432</v>
      </c>
      <c r="G14685" s="480" t="s">
        <v>4146</v>
      </c>
      <c r="J14685" s="556">
        <f t="shared" si="477"/>
        <v>0</v>
      </c>
    </row>
    <row r="14686" spans="6:10" hidden="1" x14ac:dyDescent="0.25">
      <c r="F14686" s="485">
        <v>433</v>
      </c>
      <c r="G14686" s="480" t="s">
        <v>4147</v>
      </c>
      <c r="J14686" s="556">
        <f t="shared" si="477"/>
        <v>0</v>
      </c>
    </row>
    <row r="14687" spans="6:10" hidden="1" x14ac:dyDescent="0.25">
      <c r="F14687" s="485">
        <v>434</v>
      </c>
      <c r="G14687" s="480" t="s">
        <v>4148</v>
      </c>
      <c r="J14687" s="556">
        <f t="shared" si="477"/>
        <v>0</v>
      </c>
    </row>
    <row r="14688" spans="6:10" hidden="1" x14ac:dyDescent="0.25">
      <c r="F14688" s="485">
        <v>435</v>
      </c>
      <c r="G14688" s="480" t="s">
        <v>3794</v>
      </c>
      <c r="J14688" s="556">
        <f t="shared" si="477"/>
        <v>0</v>
      </c>
    </row>
    <row r="14689" spans="6:10" hidden="1" x14ac:dyDescent="0.25">
      <c r="F14689" s="485">
        <v>441</v>
      </c>
      <c r="G14689" s="480" t="s">
        <v>4149</v>
      </c>
      <c r="J14689" s="556">
        <f t="shared" si="477"/>
        <v>0</v>
      </c>
    </row>
    <row r="14690" spans="6:10" hidden="1" x14ac:dyDescent="0.25">
      <c r="F14690" s="485">
        <v>442</v>
      </c>
      <c r="G14690" s="480" t="s">
        <v>4150</v>
      </c>
      <c r="J14690" s="556">
        <f t="shared" si="477"/>
        <v>0</v>
      </c>
    </row>
    <row r="14691" spans="6:10" hidden="1" x14ac:dyDescent="0.25">
      <c r="F14691" s="485">
        <v>443</v>
      </c>
      <c r="G14691" s="480" t="s">
        <v>3799</v>
      </c>
      <c r="J14691" s="556">
        <f t="shared" si="477"/>
        <v>0</v>
      </c>
    </row>
    <row r="14692" spans="6:10" hidden="1" x14ac:dyDescent="0.25">
      <c r="F14692" s="485">
        <v>444</v>
      </c>
      <c r="G14692" s="480" t="s">
        <v>3800</v>
      </c>
      <c r="J14692" s="556">
        <f t="shared" si="477"/>
        <v>0</v>
      </c>
    </row>
    <row r="14693" spans="6:10" ht="30" hidden="1" x14ac:dyDescent="0.25">
      <c r="F14693" s="485">
        <v>4511</v>
      </c>
      <c r="G14693" s="263" t="s">
        <v>1690</v>
      </c>
      <c r="J14693" s="556">
        <f t="shared" si="477"/>
        <v>0</v>
      </c>
    </row>
    <row r="14694" spans="6:10" ht="30" hidden="1" x14ac:dyDescent="0.25">
      <c r="F14694" s="485">
        <v>4512</v>
      </c>
      <c r="G14694" s="263" t="s">
        <v>1699</v>
      </c>
      <c r="J14694" s="556">
        <f t="shared" si="477"/>
        <v>0</v>
      </c>
    </row>
    <row r="14695" spans="6:10" hidden="1" x14ac:dyDescent="0.25">
      <c r="F14695" s="485">
        <v>452</v>
      </c>
      <c r="G14695" s="480" t="s">
        <v>4151</v>
      </c>
      <c r="J14695" s="556">
        <f t="shared" si="477"/>
        <v>0</v>
      </c>
    </row>
    <row r="14696" spans="6:10" hidden="1" x14ac:dyDescent="0.25">
      <c r="F14696" s="485">
        <v>453</v>
      </c>
      <c r="G14696" s="480" t="s">
        <v>4152</v>
      </c>
      <c r="J14696" s="556">
        <f t="shared" si="477"/>
        <v>0</v>
      </c>
    </row>
    <row r="14697" spans="6:10" hidden="1" x14ac:dyDescent="0.25">
      <c r="F14697" s="485">
        <v>454</v>
      </c>
      <c r="G14697" s="480" t="s">
        <v>3805</v>
      </c>
      <c r="J14697" s="556">
        <f t="shared" si="477"/>
        <v>0</v>
      </c>
    </row>
    <row r="14698" spans="6:10" hidden="1" x14ac:dyDescent="0.25">
      <c r="F14698" s="485">
        <v>461</v>
      </c>
      <c r="G14698" s="480" t="s">
        <v>4133</v>
      </c>
      <c r="J14698" s="556">
        <f t="shared" si="477"/>
        <v>0</v>
      </c>
    </row>
    <row r="14699" spans="6:10" hidden="1" x14ac:dyDescent="0.25">
      <c r="F14699" s="485">
        <v>462</v>
      </c>
      <c r="G14699" s="480" t="s">
        <v>3808</v>
      </c>
      <c r="J14699" s="556">
        <f t="shared" si="477"/>
        <v>0</v>
      </c>
    </row>
    <row r="14700" spans="6:10" hidden="1" x14ac:dyDescent="0.25">
      <c r="F14700" s="485">
        <v>4631</v>
      </c>
      <c r="G14700" s="480" t="s">
        <v>3809</v>
      </c>
      <c r="J14700" s="556">
        <f t="shared" si="477"/>
        <v>0</v>
      </c>
    </row>
    <row r="14701" spans="6:10" hidden="1" x14ac:dyDescent="0.25">
      <c r="F14701" s="485">
        <v>4632</v>
      </c>
      <c r="G14701" s="480" t="s">
        <v>3810</v>
      </c>
      <c r="J14701" s="556">
        <f t="shared" si="477"/>
        <v>0</v>
      </c>
    </row>
    <row r="14702" spans="6:10" hidden="1" x14ac:dyDescent="0.25">
      <c r="F14702" s="485">
        <v>464</v>
      </c>
      <c r="G14702" s="480" t="s">
        <v>3811</v>
      </c>
      <c r="J14702" s="556">
        <f t="shared" si="477"/>
        <v>0</v>
      </c>
    </row>
    <row r="14703" spans="6:10" hidden="1" x14ac:dyDescent="0.25">
      <c r="F14703" s="485">
        <v>465</v>
      </c>
      <c r="G14703" s="480" t="s">
        <v>4134</v>
      </c>
      <c r="J14703" s="556">
        <f t="shared" si="477"/>
        <v>0</v>
      </c>
    </row>
    <row r="14704" spans="6:10" hidden="1" x14ac:dyDescent="0.25">
      <c r="F14704" s="485">
        <v>472</v>
      </c>
      <c r="G14704" s="480" t="s">
        <v>3815</v>
      </c>
      <c r="J14704" s="556">
        <f t="shared" si="477"/>
        <v>0</v>
      </c>
    </row>
    <row r="14705" spans="6:10" hidden="1" x14ac:dyDescent="0.25">
      <c r="F14705" s="485">
        <v>481</v>
      </c>
      <c r="G14705" s="480" t="s">
        <v>4153</v>
      </c>
      <c r="J14705" s="556">
        <f t="shared" si="477"/>
        <v>0</v>
      </c>
    </row>
    <row r="14706" spans="6:10" hidden="1" x14ac:dyDescent="0.25">
      <c r="F14706" s="485">
        <v>482</v>
      </c>
      <c r="G14706" s="480" t="s">
        <v>4154</v>
      </c>
      <c r="J14706" s="556">
        <f t="shared" si="477"/>
        <v>0</v>
      </c>
    </row>
    <row r="14707" spans="6:10" hidden="1" x14ac:dyDescent="0.25">
      <c r="F14707" s="485">
        <v>483</v>
      </c>
      <c r="G14707" s="482" t="s">
        <v>4155</v>
      </c>
      <c r="J14707" s="556">
        <f t="shared" si="477"/>
        <v>0</v>
      </c>
    </row>
    <row r="14708" spans="6:10" ht="30" hidden="1" x14ac:dyDescent="0.25">
      <c r="F14708" s="485">
        <v>484</v>
      </c>
      <c r="G14708" s="480" t="s">
        <v>4156</v>
      </c>
      <c r="J14708" s="556">
        <f t="shared" si="477"/>
        <v>0</v>
      </c>
    </row>
    <row r="14709" spans="6:10" ht="30" hidden="1" x14ac:dyDescent="0.25">
      <c r="F14709" s="485">
        <v>485</v>
      </c>
      <c r="G14709" s="480" t="s">
        <v>4157</v>
      </c>
      <c r="J14709" s="556">
        <f t="shared" si="477"/>
        <v>0</v>
      </c>
    </row>
    <row r="14710" spans="6:10" ht="30" hidden="1" x14ac:dyDescent="0.25">
      <c r="F14710" s="485">
        <v>489</v>
      </c>
      <c r="G14710" s="480" t="s">
        <v>3823</v>
      </c>
      <c r="J14710" s="556">
        <f t="shared" si="477"/>
        <v>0</v>
      </c>
    </row>
    <row r="14711" spans="6:10" hidden="1" x14ac:dyDescent="0.25">
      <c r="F14711" s="485">
        <v>494</v>
      </c>
      <c r="G14711" s="480" t="s">
        <v>4135</v>
      </c>
      <c r="J14711" s="556">
        <f t="shared" si="477"/>
        <v>0</v>
      </c>
    </row>
    <row r="14712" spans="6:10" ht="30" hidden="1" x14ac:dyDescent="0.25">
      <c r="F14712" s="485">
        <v>495</v>
      </c>
      <c r="G14712" s="480" t="s">
        <v>4136</v>
      </c>
      <c r="J14712" s="556">
        <f t="shared" si="477"/>
        <v>0</v>
      </c>
    </row>
    <row r="14713" spans="6:10" ht="30" hidden="1" x14ac:dyDescent="0.25">
      <c r="F14713" s="485">
        <v>496</v>
      </c>
      <c r="G14713" s="480" t="s">
        <v>4137</v>
      </c>
      <c r="J14713" s="556">
        <f t="shared" si="477"/>
        <v>0</v>
      </c>
    </row>
    <row r="14714" spans="6:10" ht="30" hidden="1" x14ac:dyDescent="0.25">
      <c r="F14714" s="485">
        <v>499</v>
      </c>
      <c r="G14714" s="480" t="s">
        <v>4138</v>
      </c>
      <c r="J14714" s="556">
        <f t="shared" si="477"/>
        <v>0</v>
      </c>
    </row>
    <row r="14715" spans="6:10" hidden="1" x14ac:dyDescent="0.25">
      <c r="F14715" s="485">
        <v>511</v>
      </c>
      <c r="G14715" s="482" t="s">
        <v>4158</v>
      </c>
      <c r="J14715" s="556">
        <f t="shared" si="477"/>
        <v>0</v>
      </c>
    </row>
    <row r="14716" spans="6:10" hidden="1" x14ac:dyDescent="0.25">
      <c r="F14716" s="485">
        <v>512</v>
      </c>
      <c r="G14716" s="482" t="s">
        <v>4159</v>
      </c>
      <c r="J14716" s="556">
        <f t="shared" si="477"/>
        <v>0</v>
      </c>
    </row>
    <row r="14717" spans="6:10" hidden="1" x14ac:dyDescent="0.25">
      <c r="F14717" s="485">
        <v>513</v>
      </c>
      <c r="G14717" s="482" t="s">
        <v>4160</v>
      </c>
      <c r="J14717" s="556">
        <f t="shared" si="477"/>
        <v>0</v>
      </c>
    </row>
    <row r="14718" spans="6:10" hidden="1" x14ac:dyDescent="0.25">
      <c r="F14718" s="485">
        <v>514</v>
      </c>
      <c r="G14718" s="480" t="s">
        <v>4161</v>
      </c>
      <c r="J14718" s="556">
        <f t="shared" si="477"/>
        <v>0</v>
      </c>
    </row>
    <row r="14719" spans="6:10" hidden="1" x14ac:dyDescent="0.25">
      <c r="F14719" s="485">
        <v>515</v>
      </c>
      <c r="G14719" s="480" t="s">
        <v>3834</v>
      </c>
      <c r="J14719" s="556">
        <f t="shared" si="477"/>
        <v>0</v>
      </c>
    </row>
    <row r="14720" spans="6:10" hidden="1" x14ac:dyDescent="0.25">
      <c r="F14720" s="485">
        <v>521</v>
      </c>
      <c r="G14720" s="480" t="s">
        <v>4162</v>
      </c>
      <c r="J14720" s="556">
        <f t="shared" si="477"/>
        <v>0</v>
      </c>
    </row>
    <row r="14721" spans="5:10" hidden="1" x14ac:dyDescent="0.25">
      <c r="F14721" s="485">
        <v>522</v>
      </c>
      <c r="G14721" s="480" t="s">
        <v>4163</v>
      </c>
      <c r="J14721" s="556">
        <f t="shared" si="477"/>
        <v>0</v>
      </c>
    </row>
    <row r="14722" spans="5:10" hidden="1" x14ac:dyDescent="0.25">
      <c r="F14722" s="485">
        <v>523</v>
      </c>
      <c r="G14722" s="480" t="s">
        <v>3839</v>
      </c>
      <c r="J14722" s="556">
        <f t="shared" si="477"/>
        <v>0</v>
      </c>
    </row>
    <row r="14723" spans="5:10" hidden="1" x14ac:dyDescent="0.25">
      <c r="F14723" s="485">
        <v>531</v>
      </c>
      <c r="G14723" s="478" t="s">
        <v>4139</v>
      </c>
      <c r="J14723" s="556">
        <f t="shared" si="477"/>
        <v>0</v>
      </c>
    </row>
    <row r="14724" spans="5:10" hidden="1" x14ac:dyDescent="0.25">
      <c r="F14724" s="485">
        <v>541</v>
      </c>
      <c r="G14724" s="480" t="s">
        <v>4164</v>
      </c>
      <c r="J14724" s="556">
        <f t="shared" si="477"/>
        <v>0</v>
      </c>
    </row>
    <row r="14725" spans="5:10" hidden="1" x14ac:dyDescent="0.25">
      <c r="F14725" s="485">
        <v>542</v>
      </c>
      <c r="G14725" s="480" t="s">
        <v>4165</v>
      </c>
      <c r="J14725" s="556">
        <f t="shared" si="477"/>
        <v>0</v>
      </c>
    </row>
    <row r="14726" spans="5:10" hidden="1" x14ac:dyDescent="0.25">
      <c r="F14726" s="485">
        <v>543</v>
      </c>
      <c r="G14726" s="480" t="s">
        <v>3844</v>
      </c>
      <c r="J14726" s="556">
        <f t="shared" si="477"/>
        <v>0</v>
      </c>
    </row>
    <row r="14727" spans="5:10" ht="30" hidden="1" x14ac:dyDescent="0.25">
      <c r="F14727" s="485">
        <v>551</v>
      </c>
      <c r="G14727" s="480" t="s">
        <v>4140</v>
      </c>
      <c r="J14727" s="556">
        <f t="shared" si="477"/>
        <v>0</v>
      </c>
    </row>
    <row r="14728" spans="5:10" hidden="1" x14ac:dyDescent="0.25">
      <c r="F14728" s="486">
        <v>611</v>
      </c>
      <c r="G14728" s="484" t="s">
        <v>3850</v>
      </c>
      <c r="J14728" s="556">
        <f t="shared" si="477"/>
        <v>0</v>
      </c>
    </row>
    <row r="14729" spans="5:10" hidden="1" x14ac:dyDescent="0.25">
      <c r="F14729" s="486">
        <v>620</v>
      </c>
      <c r="G14729" s="484" t="s">
        <v>88</v>
      </c>
      <c r="J14729" s="556">
        <f t="shared" si="477"/>
        <v>0</v>
      </c>
    </row>
    <row r="14730" spans="5:10" hidden="1" x14ac:dyDescent="0.25">
      <c r="E14730" s="489"/>
      <c r="F14730" s="486"/>
      <c r="G14730" s="342" t="s">
        <v>4303</v>
      </c>
      <c r="H14730" s="557"/>
      <c r="I14730" s="583"/>
      <c r="J14730" s="558"/>
    </row>
    <row r="14731" spans="5:10" hidden="1" x14ac:dyDescent="0.25">
      <c r="E14731" s="693"/>
      <c r="F14731" s="284" t="s">
        <v>234</v>
      </c>
      <c r="G14731" s="287" t="s">
        <v>235</v>
      </c>
      <c r="H14731" s="559">
        <f>SUM(H14670:H14729)</f>
        <v>0</v>
      </c>
      <c r="I14731" s="560"/>
      <c r="J14731" s="560">
        <f>SUM(H14731:I14731)</f>
        <v>0</v>
      </c>
    </row>
    <row r="14732" spans="5:10" hidden="1" x14ac:dyDescent="0.25">
      <c r="F14732" s="284" t="s">
        <v>236</v>
      </c>
      <c r="G14732" s="287" t="s">
        <v>237</v>
      </c>
      <c r="J14732" s="560">
        <f t="shared" ref="J14732:J14746" si="478">SUM(H14732:I14732)</f>
        <v>0</v>
      </c>
    </row>
    <row r="14733" spans="5:10" hidden="1" x14ac:dyDescent="0.25">
      <c r="F14733" s="284" t="s">
        <v>238</v>
      </c>
      <c r="G14733" s="287" t="s">
        <v>239</v>
      </c>
      <c r="J14733" s="560">
        <f t="shared" si="478"/>
        <v>0</v>
      </c>
    </row>
    <row r="14734" spans="5:10" hidden="1" x14ac:dyDescent="0.25">
      <c r="F14734" s="284" t="s">
        <v>240</v>
      </c>
      <c r="G14734" s="287" t="s">
        <v>241</v>
      </c>
      <c r="J14734" s="560">
        <f t="shared" si="478"/>
        <v>0</v>
      </c>
    </row>
    <row r="14735" spans="5:10" hidden="1" x14ac:dyDescent="0.25">
      <c r="F14735" s="284" t="s">
        <v>242</v>
      </c>
      <c r="G14735" s="287" t="s">
        <v>243</v>
      </c>
      <c r="J14735" s="560">
        <f t="shared" si="478"/>
        <v>0</v>
      </c>
    </row>
    <row r="14736" spans="5:10" hidden="1" x14ac:dyDescent="0.25">
      <c r="F14736" s="284" t="s">
        <v>244</v>
      </c>
      <c r="G14736" s="287" t="s">
        <v>245</v>
      </c>
      <c r="J14736" s="560">
        <f t="shared" si="478"/>
        <v>0</v>
      </c>
    </row>
    <row r="14737" spans="5:10" hidden="1" x14ac:dyDescent="0.25">
      <c r="F14737" s="284" t="s">
        <v>246</v>
      </c>
      <c r="G14737" s="598" t="s">
        <v>4996</v>
      </c>
      <c r="J14737" s="560">
        <f t="shared" si="478"/>
        <v>0</v>
      </c>
    </row>
    <row r="14738" spans="5:10" hidden="1" x14ac:dyDescent="0.25">
      <c r="F14738" s="284" t="s">
        <v>247</v>
      </c>
      <c r="G14738" s="598" t="s">
        <v>4995</v>
      </c>
      <c r="J14738" s="560">
        <f t="shared" si="478"/>
        <v>0</v>
      </c>
    </row>
    <row r="14739" spans="5:10" hidden="1" x14ac:dyDescent="0.25">
      <c r="F14739" s="284" t="s">
        <v>248</v>
      </c>
      <c r="G14739" s="287" t="s">
        <v>57</v>
      </c>
      <c r="J14739" s="560">
        <f t="shared" si="478"/>
        <v>0</v>
      </c>
    </row>
    <row r="14740" spans="5:10" hidden="1" x14ac:dyDescent="0.25">
      <c r="F14740" s="284" t="s">
        <v>249</v>
      </c>
      <c r="G14740" s="287" t="s">
        <v>250</v>
      </c>
      <c r="J14740" s="560">
        <f t="shared" si="478"/>
        <v>0</v>
      </c>
    </row>
    <row r="14741" spans="5:10" hidden="1" x14ac:dyDescent="0.25">
      <c r="F14741" s="284" t="s">
        <v>251</v>
      </c>
      <c r="G14741" s="287" t="s">
        <v>252</v>
      </c>
      <c r="J14741" s="560">
        <f t="shared" si="478"/>
        <v>0</v>
      </c>
    </row>
    <row r="14742" spans="5:10" ht="30" hidden="1" x14ac:dyDescent="0.25">
      <c r="F14742" s="284" t="s">
        <v>253</v>
      </c>
      <c r="G14742" s="287" t="s">
        <v>254</v>
      </c>
      <c r="J14742" s="560">
        <f t="shared" si="478"/>
        <v>0</v>
      </c>
    </row>
    <row r="14743" spans="5:10" hidden="1" x14ac:dyDescent="0.25">
      <c r="F14743" s="284" t="s">
        <v>255</v>
      </c>
      <c r="G14743" s="287" t="s">
        <v>256</v>
      </c>
      <c r="J14743" s="560">
        <f t="shared" si="478"/>
        <v>0</v>
      </c>
    </row>
    <row r="14744" spans="5:10" ht="30" hidden="1" x14ac:dyDescent="0.25">
      <c r="F14744" s="284" t="s">
        <v>257</v>
      </c>
      <c r="G14744" s="287" t="s">
        <v>258</v>
      </c>
      <c r="J14744" s="560">
        <f t="shared" si="478"/>
        <v>0</v>
      </c>
    </row>
    <row r="14745" spans="5:10" hidden="1" x14ac:dyDescent="0.25">
      <c r="F14745" s="284" t="s">
        <v>259</v>
      </c>
      <c r="G14745" s="287" t="s">
        <v>260</v>
      </c>
      <c r="J14745" s="560">
        <f t="shared" si="478"/>
        <v>0</v>
      </c>
    </row>
    <row r="14746" spans="5:10" hidden="1" x14ac:dyDescent="0.25">
      <c r="F14746" s="284" t="s">
        <v>261</v>
      </c>
      <c r="G14746" s="287" t="s">
        <v>262</v>
      </c>
      <c r="H14746" s="559"/>
      <c r="I14746" s="560"/>
      <c r="J14746" s="560">
        <f t="shared" si="478"/>
        <v>0</v>
      </c>
    </row>
    <row r="14747" spans="5:10" ht="15.75" hidden="1" thickBot="1" x14ac:dyDescent="0.3">
      <c r="G14747" s="268" t="s">
        <v>4304</v>
      </c>
      <c r="H14747" s="561">
        <f>SUM(H14731:H14746)</f>
        <v>0</v>
      </c>
      <c r="I14747" s="562">
        <f>SUM(I14732:I14746)</f>
        <v>0</v>
      </c>
      <c r="J14747" s="562">
        <f>SUM(J14731:J14746)</f>
        <v>0</v>
      </c>
    </row>
    <row r="14748" spans="5:10" ht="28.5" hidden="1" collapsed="1" x14ac:dyDescent="0.25">
      <c r="E14748" s="489"/>
      <c r="F14748" s="486"/>
      <c r="G14748" s="270" t="s">
        <v>4381</v>
      </c>
      <c r="H14748" s="563"/>
      <c r="I14748" s="584"/>
      <c r="J14748" s="564"/>
    </row>
    <row r="14749" spans="5:10" hidden="1" x14ac:dyDescent="0.25">
      <c r="E14749" s="693"/>
      <c r="F14749" s="284" t="s">
        <v>234</v>
      </c>
      <c r="G14749" s="287" t="s">
        <v>235</v>
      </c>
      <c r="H14749" s="559">
        <f>SUM(H14670:H14729)</f>
        <v>0</v>
      </c>
      <c r="I14749" s="560"/>
      <c r="J14749" s="560">
        <f>SUM(H14749:I14749)</f>
        <v>0</v>
      </c>
    </row>
    <row r="14750" spans="5:10" hidden="1" x14ac:dyDescent="0.25">
      <c r="F14750" s="284" t="s">
        <v>236</v>
      </c>
      <c r="G14750" s="287" t="s">
        <v>237</v>
      </c>
      <c r="J14750" s="560">
        <f t="shared" ref="J14750:J14764" si="479">SUM(H14750:I14750)</f>
        <v>0</v>
      </c>
    </row>
    <row r="14751" spans="5:10" hidden="1" x14ac:dyDescent="0.25">
      <c r="F14751" s="284" t="s">
        <v>238</v>
      </c>
      <c r="G14751" s="287" t="s">
        <v>239</v>
      </c>
      <c r="J14751" s="560">
        <f t="shared" si="479"/>
        <v>0</v>
      </c>
    </row>
    <row r="14752" spans="5:10" hidden="1" x14ac:dyDescent="0.25">
      <c r="F14752" s="284" t="s">
        <v>240</v>
      </c>
      <c r="G14752" s="287" t="s">
        <v>241</v>
      </c>
      <c r="J14752" s="560">
        <f t="shared" si="479"/>
        <v>0</v>
      </c>
    </row>
    <row r="14753" spans="1:25" hidden="1" x14ac:dyDescent="0.25">
      <c r="F14753" s="284" t="s">
        <v>242</v>
      </c>
      <c r="G14753" s="287" t="s">
        <v>243</v>
      </c>
      <c r="J14753" s="560">
        <f t="shared" si="479"/>
        <v>0</v>
      </c>
    </row>
    <row r="14754" spans="1:25" hidden="1" x14ac:dyDescent="0.25">
      <c r="F14754" s="284" t="s">
        <v>244</v>
      </c>
      <c r="G14754" s="287" t="s">
        <v>245</v>
      </c>
      <c r="J14754" s="560">
        <f t="shared" si="479"/>
        <v>0</v>
      </c>
    </row>
    <row r="14755" spans="1:25" hidden="1" x14ac:dyDescent="0.25">
      <c r="F14755" s="284" t="s">
        <v>246</v>
      </c>
      <c r="G14755" s="598" t="s">
        <v>4996</v>
      </c>
      <c r="J14755" s="560">
        <f t="shared" si="479"/>
        <v>0</v>
      </c>
    </row>
    <row r="14756" spans="1:25" hidden="1" x14ac:dyDescent="0.25">
      <c r="F14756" s="284" t="s">
        <v>247</v>
      </c>
      <c r="G14756" s="598" t="s">
        <v>4995</v>
      </c>
      <c r="J14756" s="560">
        <f t="shared" si="479"/>
        <v>0</v>
      </c>
    </row>
    <row r="14757" spans="1:25" hidden="1" x14ac:dyDescent="0.25">
      <c r="F14757" s="284" t="s">
        <v>248</v>
      </c>
      <c r="G14757" s="287" t="s">
        <v>57</v>
      </c>
      <c r="J14757" s="560">
        <f t="shared" si="479"/>
        <v>0</v>
      </c>
    </row>
    <row r="14758" spans="1:25" hidden="1" x14ac:dyDescent="0.25">
      <c r="F14758" s="284" t="s">
        <v>249</v>
      </c>
      <c r="G14758" s="287" t="s">
        <v>250</v>
      </c>
      <c r="J14758" s="560">
        <f t="shared" si="479"/>
        <v>0</v>
      </c>
    </row>
    <row r="14759" spans="1:25" hidden="1" x14ac:dyDescent="0.25">
      <c r="F14759" s="284" t="s">
        <v>251</v>
      </c>
      <c r="G14759" s="287" t="s">
        <v>252</v>
      </c>
      <c r="J14759" s="560">
        <f t="shared" si="479"/>
        <v>0</v>
      </c>
    </row>
    <row r="14760" spans="1:25" ht="30" hidden="1" x14ac:dyDescent="0.25">
      <c r="F14760" s="284" t="s">
        <v>253</v>
      </c>
      <c r="G14760" s="287" t="s">
        <v>254</v>
      </c>
      <c r="J14760" s="560">
        <f t="shared" si="479"/>
        <v>0</v>
      </c>
    </row>
    <row r="14761" spans="1:25" hidden="1" x14ac:dyDescent="0.25">
      <c r="F14761" s="284" t="s">
        <v>255</v>
      </c>
      <c r="G14761" s="287" t="s">
        <v>256</v>
      </c>
      <c r="J14761" s="560">
        <f t="shared" si="479"/>
        <v>0</v>
      </c>
    </row>
    <row r="14762" spans="1:25" ht="30" hidden="1" x14ac:dyDescent="0.25">
      <c r="F14762" s="284" t="s">
        <v>257</v>
      </c>
      <c r="G14762" s="287" t="s">
        <v>258</v>
      </c>
      <c r="J14762" s="560">
        <f t="shared" si="479"/>
        <v>0</v>
      </c>
    </row>
    <row r="14763" spans="1:25" hidden="1" x14ac:dyDescent="0.25">
      <c r="F14763" s="284" t="s">
        <v>259</v>
      </c>
      <c r="G14763" s="287" t="s">
        <v>260</v>
      </c>
      <c r="J14763" s="560">
        <f t="shared" si="479"/>
        <v>0</v>
      </c>
    </row>
    <row r="14764" spans="1:25" hidden="1" x14ac:dyDescent="0.25">
      <c r="F14764" s="284" t="s">
        <v>261</v>
      </c>
      <c r="G14764" s="287" t="s">
        <v>262</v>
      </c>
      <c r="H14764" s="559"/>
      <c r="I14764" s="560"/>
      <c r="J14764" s="560">
        <f t="shared" si="479"/>
        <v>0</v>
      </c>
    </row>
    <row r="14765" spans="1:25" ht="15.75" hidden="1" collapsed="1" thickBot="1" x14ac:dyDescent="0.3">
      <c r="G14765" s="268" t="s">
        <v>4382</v>
      </c>
      <c r="H14765" s="561">
        <f>SUM(H14749:H14764)</f>
        <v>0</v>
      </c>
      <c r="I14765" s="562">
        <f>SUM(I14750:I14764)</f>
        <v>0</v>
      </c>
      <c r="J14765" s="562">
        <f>SUM(J14749:J14764)</f>
        <v>0</v>
      </c>
    </row>
    <row r="14766" spans="1:25" hidden="1" x14ac:dyDescent="0.25"/>
    <row r="14767" spans="1:25" s="88" customFormat="1" hidden="1" x14ac:dyDescent="0.25">
      <c r="A14767" s="258"/>
      <c r="B14767" s="288"/>
      <c r="C14767" s="334"/>
      <c r="D14767" s="286"/>
      <c r="E14767" s="876"/>
      <c r="F14767" s="486"/>
      <c r="G14767" s="285" t="s">
        <v>4206</v>
      </c>
      <c r="H14767" s="567"/>
      <c r="I14767" s="585"/>
      <c r="J14767" s="568"/>
      <c r="K14767" s="505"/>
      <c r="L14767" s="505"/>
      <c r="M14767" s="505"/>
      <c r="N14767" s="505"/>
      <c r="O14767" s="505"/>
      <c r="P14767" s="505"/>
      <c r="Q14767" s="505"/>
      <c r="R14767" s="505"/>
      <c r="S14767" s="505"/>
      <c r="T14767" s="505"/>
      <c r="U14767" s="505"/>
      <c r="V14767" s="505"/>
      <c r="W14767" s="505"/>
      <c r="X14767" s="505"/>
      <c r="Y14767" s="505"/>
    </row>
    <row r="14768" spans="1:25" s="88" customFormat="1" hidden="1" x14ac:dyDescent="0.25">
      <c r="A14768" s="481"/>
      <c r="B14768" s="288"/>
      <c r="C14768" s="334"/>
      <c r="D14768" s="286"/>
      <c r="E14768" s="876"/>
      <c r="F14768" s="284" t="s">
        <v>234</v>
      </c>
      <c r="G14768" s="287" t="s">
        <v>235</v>
      </c>
      <c r="H14768" s="559">
        <f>SUM(H14749,H14650,)</f>
        <v>0</v>
      </c>
      <c r="I14768" s="560"/>
      <c r="J14768" s="560">
        <f>SUM(H14768:I14768)</f>
        <v>0</v>
      </c>
      <c r="K14768" s="505"/>
      <c r="L14768" s="505"/>
      <c r="M14768" s="505"/>
      <c r="N14768" s="505"/>
      <c r="O14768" s="505"/>
      <c r="P14768" s="505"/>
      <c r="Q14768" s="505"/>
      <c r="R14768" s="505"/>
      <c r="S14768" s="505"/>
      <c r="T14768" s="505"/>
      <c r="U14768" s="505"/>
      <c r="V14768" s="505"/>
      <c r="W14768" s="505"/>
      <c r="X14768" s="505"/>
      <c r="Y14768" s="505"/>
    </row>
    <row r="14769" spans="1:25" s="88" customFormat="1" hidden="1" x14ac:dyDescent="0.25">
      <c r="A14769" s="481"/>
      <c r="B14769" s="288"/>
      <c r="C14769" s="334"/>
      <c r="D14769" s="286"/>
      <c r="E14769" s="876"/>
      <c r="F14769" s="284" t="s">
        <v>236</v>
      </c>
      <c r="G14769" s="287" t="s">
        <v>237</v>
      </c>
      <c r="H14769" s="555"/>
      <c r="I14769" s="556"/>
      <c r="J14769" s="560">
        <f t="shared" ref="J14769:J14783" si="480">SUM(H14769:I14769)</f>
        <v>0</v>
      </c>
      <c r="K14769" s="505"/>
      <c r="L14769" s="505"/>
      <c r="M14769" s="505"/>
      <c r="N14769" s="505"/>
      <c r="O14769" s="505"/>
      <c r="P14769" s="505"/>
      <c r="Q14769" s="505"/>
      <c r="R14769" s="505"/>
      <c r="S14769" s="505"/>
      <c r="T14769" s="505"/>
      <c r="U14769" s="505"/>
      <c r="V14769" s="505"/>
      <c r="W14769" s="505"/>
      <c r="X14769" s="505"/>
      <c r="Y14769" s="505"/>
    </row>
    <row r="14770" spans="1:25" s="88" customFormat="1" hidden="1" x14ac:dyDescent="0.25">
      <c r="A14770" s="481"/>
      <c r="B14770" s="288"/>
      <c r="C14770" s="334"/>
      <c r="D14770" s="286"/>
      <c r="E14770" s="876"/>
      <c r="F14770" s="284" t="s">
        <v>238</v>
      </c>
      <c r="G14770" s="287" t="s">
        <v>239</v>
      </c>
      <c r="H14770" s="555"/>
      <c r="I14770" s="556"/>
      <c r="J14770" s="560">
        <f t="shared" si="480"/>
        <v>0</v>
      </c>
      <c r="K14770" s="505"/>
      <c r="L14770" s="505"/>
      <c r="M14770" s="505"/>
      <c r="N14770" s="505"/>
      <c r="O14770" s="505"/>
      <c r="P14770" s="505"/>
      <c r="Q14770" s="505"/>
      <c r="R14770" s="505"/>
      <c r="S14770" s="505"/>
      <c r="T14770" s="505"/>
      <c r="U14770" s="505"/>
      <c r="V14770" s="505"/>
      <c r="W14770" s="505"/>
      <c r="X14770" s="505"/>
      <c r="Y14770" s="505"/>
    </row>
    <row r="14771" spans="1:25" s="88" customFormat="1" hidden="1" x14ac:dyDescent="0.25">
      <c r="A14771" s="481"/>
      <c r="B14771" s="288"/>
      <c r="C14771" s="334"/>
      <c r="D14771" s="286"/>
      <c r="E14771" s="876"/>
      <c r="F14771" s="284" t="s">
        <v>240</v>
      </c>
      <c r="G14771" s="287" t="s">
        <v>241</v>
      </c>
      <c r="H14771" s="555"/>
      <c r="I14771" s="556"/>
      <c r="J14771" s="560">
        <f t="shared" si="480"/>
        <v>0</v>
      </c>
      <c r="K14771" s="505"/>
      <c r="L14771" s="505"/>
      <c r="M14771" s="505"/>
      <c r="N14771" s="505"/>
      <c r="O14771" s="505"/>
      <c r="P14771" s="505"/>
      <c r="Q14771" s="505"/>
      <c r="R14771" s="505"/>
      <c r="S14771" s="505"/>
      <c r="T14771" s="505"/>
      <c r="U14771" s="505"/>
      <c r="V14771" s="505"/>
      <c r="W14771" s="505"/>
      <c r="X14771" s="505"/>
      <c r="Y14771" s="505"/>
    </row>
    <row r="14772" spans="1:25" s="88" customFormat="1" hidden="1" x14ac:dyDescent="0.25">
      <c r="A14772" s="481"/>
      <c r="B14772" s="288"/>
      <c r="C14772" s="334"/>
      <c r="D14772" s="286"/>
      <c r="E14772" s="876"/>
      <c r="F14772" s="284" t="s">
        <v>242</v>
      </c>
      <c r="G14772" s="287" t="s">
        <v>243</v>
      </c>
      <c r="H14772" s="555"/>
      <c r="I14772" s="556"/>
      <c r="J14772" s="560">
        <f t="shared" si="480"/>
        <v>0</v>
      </c>
      <c r="K14772" s="505"/>
      <c r="L14772" s="505"/>
      <c r="M14772" s="505"/>
      <c r="N14772" s="505"/>
      <c r="O14772" s="505"/>
      <c r="P14772" s="505"/>
      <c r="Q14772" s="505"/>
      <c r="R14772" s="505"/>
      <c r="S14772" s="505"/>
      <c r="T14772" s="505"/>
      <c r="U14772" s="505"/>
      <c r="V14772" s="505"/>
      <c r="W14772" s="505"/>
      <c r="X14772" s="505"/>
      <c r="Y14772" s="505"/>
    </row>
    <row r="14773" spans="1:25" s="88" customFormat="1" hidden="1" x14ac:dyDescent="0.25">
      <c r="A14773" s="481"/>
      <c r="B14773" s="288"/>
      <c r="C14773" s="334"/>
      <c r="D14773" s="286"/>
      <c r="E14773" s="876"/>
      <c r="F14773" s="284" t="s">
        <v>244</v>
      </c>
      <c r="G14773" s="287" t="s">
        <v>245</v>
      </c>
      <c r="H14773" s="555"/>
      <c r="I14773" s="556"/>
      <c r="J14773" s="560">
        <f t="shared" si="480"/>
        <v>0</v>
      </c>
      <c r="K14773" s="505"/>
      <c r="L14773" s="505"/>
      <c r="M14773" s="505"/>
      <c r="N14773" s="505"/>
      <c r="O14773" s="505"/>
      <c r="P14773" s="505"/>
      <c r="Q14773" s="505"/>
      <c r="R14773" s="505"/>
      <c r="S14773" s="505"/>
      <c r="T14773" s="505"/>
      <c r="U14773" s="505"/>
      <c r="V14773" s="505"/>
      <c r="W14773" s="505"/>
      <c r="X14773" s="505"/>
      <c r="Y14773" s="505"/>
    </row>
    <row r="14774" spans="1:25" s="88" customFormat="1" hidden="1" x14ac:dyDescent="0.25">
      <c r="A14774" s="481"/>
      <c r="B14774" s="288"/>
      <c r="C14774" s="334"/>
      <c r="D14774" s="286"/>
      <c r="E14774" s="876"/>
      <c r="F14774" s="284" t="s">
        <v>246</v>
      </c>
      <c r="G14774" s="598" t="s">
        <v>4996</v>
      </c>
      <c r="H14774" s="555"/>
      <c r="I14774" s="556"/>
      <c r="J14774" s="560">
        <f t="shared" si="480"/>
        <v>0</v>
      </c>
      <c r="K14774" s="505"/>
      <c r="L14774" s="505"/>
      <c r="M14774" s="505"/>
      <c r="N14774" s="505"/>
      <c r="O14774" s="505"/>
      <c r="P14774" s="505"/>
      <c r="Q14774" s="505"/>
      <c r="R14774" s="505"/>
      <c r="S14774" s="505"/>
      <c r="T14774" s="505"/>
      <c r="U14774" s="505"/>
      <c r="V14774" s="505"/>
      <c r="W14774" s="505"/>
      <c r="X14774" s="505"/>
      <c r="Y14774" s="505"/>
    </row>
    <row r="14775" spans="1:25" s="88" customFormat="1" hidden="1" x14ac:dyDescent="0.25">
      <c r="A14775" s="481"/>
      <c r="B14775" s="288"/>
      <c r="C14775" s="334"/>
      <c r="D14775" s="286"/>
      <c r="E14775" s="876"/>
      <c r="F14775" s="284" t="s">
        <v>247</v>
      </c>
      <c r="G14775" s="598" t="s">
        <v>4995</v>
      </c>
      <c r="H14775" s="555"/>
      <c r="I14775" s="556"/>
      <c r="J14775" s="560">
        <f t="shared" si="480"/>
        <v>0</v>
      </c>
      <c r="K14775" s="505"/>
      <c r="L14775" s="505"/>
      <c r="M14775" s="505"/>
      <c r="N14775" s="505"/>
      <c r="O14775" s="505"/>
      <c r="P14775" s="505"/>
      <c r="Q14775" s="505"/>
      <c r="R14775" s="505"/>
      <c r="S14775" s="505"/>
      <c r="T14775" s="505"/>
      <c r="U14775" s="505"/>
      <c r="V14775" s="505"/>
      <c r="W14775" s="505"/>
      <c r="X14775" s="505"/>
      <c r="Y14775" s="505"/>
    </row>
    <row r="14776" spans="1:25" s="88" customFormat="1" hidden="1" x14ac:dyDescent="0.25">
      <c r="A14776" s="481"/>
      <c r="B14776" s="288"/>
      <c r="C14776" s="334"/>
      <c r="D14776" s="286"/>
      <c r="E14776" s="876"/>
      <c r="F14776" s="284" t="s">
        <v>248</v>
      </c>
      <c r="G14776" s="287" t="s">
        <v>57</v>
      </c>
      <c r="H14776" s="555"/>
      <c r="I14776" s="556"/>
      <c r="J14776" s="560">
        <f t="shared" si="480"/>
        <v>0</v>
      </c>
      <c r="K14776" s="505"/>
      <c r="L14776" s="505"/>
      <c r="M14776" s="505"/>
      <c r="N14776" s="505"/>
      <c r="O14776" s="505"/>
      <c r="P14776" s="505"/>
      <c r="Q14776" s="505"/>
      <c r="R14776" s="505"/>
      <c r="S14776" s="505"/>
      <c r="T14776" s="505"/>
      <c r="U14776" s="505"/>
      <c r="V14776" s="505"/>
      <c r="W14776" s="505"/>
      <c r="X14776" s="505"/>
      <c r="Y14776" s="505"/>
    </row>
    <row r="14777" spans="1:25" s="88" customFormat="1" hidden="1" x14ac:dyDescent="0.25">
      <c r="A14777" s="481"/>
      <c r="B14777" s="288"/>
      <c r="C14777" s="334"/>
      <c r="D14777" s="286"/>
      <c r="E14777" s="876"/>
      <c r="F14777" s="284" t="s">
        <v>249</v>
      </c>
      <c r="G14777" s="287" t="s">
        <v>250</v>
      </c>
      <c r="H14777" s="555"/>
      <c r="I14777" s="556"/>
      <c r="J14777" s="560">
        <f t="shared" si="480"/>
        <v>0</v>
      </c>
      <c r="K14777" s="505"/>
      <c r="L14777" s="505"/>
      <c r="M14777" s="505"/>
      <c r="N14777" s="505"/>
      <c r="O14777" s="505"/>
      <c r="P14777" s="505"/>
      <c r="Q14777" s="505"/>
      <c r="R14777" s="505"/>
      <c r="S14777" s="505"/>
      <c r="T14777" s="505"/>
      <c r="U14777" s="505"/>
      <c r="V14777" s="505"/>
      <c r="W14777" s="505"/>
      <c r="X14777" s="505"/>
      <c r="Y14777" s="505"/>
    </row>
    <row r="14778" spans="1:25" s="88" customFormat="1" hidden="1" x14ac:dyDescent="0.25">
      <c r="A14778" s="481"/>
      <c r="B14778" s="288"/>
      <c r="C14778" s="334"/>
      <c r="D14778" s="286"/>
      <c r="E14778" s="876"/>
      <c r="F14778" s="284" t="s">
        <v>251</v>
      </c>
      <c r="G14778" s="287" t="s">
        <v>252</v>
      </c>
      <c r="H14778" s="555"/>
      <c r="I14778" s="556"/>
      <c r="J14778" s="560">
        <f t="shared" si="480"/>
        <v>0</v>
      </c>
      <c r="K14778" s="505"/>
      <c r="L14778" s="505"/>
      <c r="M14778" s="505"/>
      <c r="N14778" s="505"/>
      <c r="O14778" s="505"/>
      <c r="P14778" s="505"/>
      <c r="Q14778" s="505"/>
      <c r="R14778" s="505"/>
      <c r="S14778" s="505"/>
      <c r="T14778" s="505"/>
      <c r="U14778" s="505"/>
      <c r="V14778" s="505"/>
      <c r="W14778" s="505"/>
      <c r="X14778" s="505"/>
      <c r="Y14778" s="505"/>
    </row>
    <row r="14779" spans="1:25" s="88" customFormat="1" ht="30" hidden="1" x14ac:dyDescent="0.25">
      <c r="A14779" s="481"/>
      <c r="B14779" s="288"/>
      <c r="C14779" s="334"/>
      <c r="D14779" s="286"/>
      <c r="E14779" s="876"/>
      <c r="F14779" s="284" t="s">
        <v>253</v>
      </c>
      <c r="G14779" s="287" t="s">
        <v>254</v>
      </c>
      <c r="H14779" s="555"/>
      <c r="I14779" s="556"/>
      <c r="J14779" s="560">
        <f t="shared" si="480"/>
        <v>0</v>
      </c>
      <c r="K14779" s="505"/>
      <c r="L14779" s="505"/>
      <c r="M14779" s="505"/>
      <c r="N14779" s="505"/>
      <c r="O14779" s="505"/>
      <c r="P14779" s="505"/>
      <c r="Q14779" s="505"/>
      <c r="R14779" s="505"/>
      <c r="S14779" s="505"/>
      <c r="T14779" s="505"/>
      <c r="U14779" s="505"/>
      <c r="V14779" s="505"/>
      <c r="W14779" s="505"/>
      <c r="X14779" s="505"/>
      <c r="Y14779" s="505"/>
    </row>
    <row r="14780" spans="1:25" s="88" customFormat="1" hidden="1" x14ac:dyDescent="0.25">
      <c r="A14780" s="481"/>
      <c r="B14780" s="288"/>
      <c r="C14780" s="334"/>
      <c r="D14780" s="286"/>
      <c r="E14780" s="876"/>
      <c r="F14780" s="284" t="s">
        <v>255</v>
      </c>
      <c r="G14780" s="287" t="s">
        <v>256</v>
      </c>
      <c r="H14780" s="555"/>
      <c r="I14780" s="556"/>
      <c r="J14780" s="560">
        <f t="shared" si="480"/>
        <v>0</v>
      </c>
      <c r="K14780" s="505"/>
      <c r="L14780" s="505"/>
      <c r="M14780" s="505"/>
      <c r="N14780" s="505"/>
      <c r="O14780" s="505"/>
      <c r="P14780" s="505"/>
      <c r="Q14780" s="505"/>
      <c r="R14780" s="505"/>
      <c r="S14780" s="505"/>
      <c r="T14780" s="505"/>
      <c r="U14780" s="505"/>
      <c r="V14780" s="505"/>
      <c r="W14780" s="505"/>
      <c r="X14780" s="505"/>
      <c r="Y14780" s="505"/>
    </row>
    <row r="14781" spans="1:25" s="88" customFormat="1" ht="30" hidden="1" x14ac:dyDescent="0.25">
      <c r="A14781" s="481"/>
      <c r="B14781" s="288"/>
      <c r="C14781" s="334"/>
      <c r="D14781" s="286"/>
      <c r="E14781" s="876"/>
      <c r="F14781" s="284" t="s">
        <v>257</v>
      </c>
      <c r="G14781" s="287" t="s">
        <v>258</v>
      </c>
      <c r="H14781" s="555"/>
      <c r="I14781" s="556"/>
      <c r="J14781" s="560">
        <f t="shared" si="480"/>
        <v>0</v>
      </c>
      <c r="K14781" s="505"/>
      <c r="L14781" s="505"/>
      <c r="M14781" s="505"/>
      <c r="N14781" s="505"/>
      <c r="O14781" s="505"/>
      <c r="P14781" s="505"/>
      <c r="Q14781" s="505"/>
      <c r="R14781" s="505"/>
      <c r="S14781" s="505"/>
      <c r="T14781" s="505"/>
      <c r="U14781" s="505"/>
      <c r="V14781" s="505"/>
      <c r="W14781" s="505"/>
      <c r="X14781" s="505"/>
      <c r="Y14781" s="505"/>
    </row>
    <row r="14782" spans="1:25" s="88" customFormat="1" hidden="1" x14ac:dyDescent="0.25">
      <c r="A14782" s="481"/>
      <c r="B14782" s="288"/>
      <c r="C14782" s="334"/>
      <c r="D14782" s="286"/>
      <c r="E14782" s="876"/>
      <c r="F14782" s="284" t="s">
        <v>259</v>
      </c>
      <c r="G14782" s="287" t="s">
        <v>260</v>
      </c>
      <c r="H14782" s="555"/>
      <c r="I14782" s="556"/>
      <c r="J14782" s="560">
        <f t="shared" si="480"/>
        <v>0</v>
      </c>
      <c r="K14782" s="505"/>
      <c r="L14782" s="505"/>
      <c r="M14782" s="505"/>
      <c r="N14782" s="505"/>
      <c r="O14782" s="505"/>
      <c r="P14782" s="505"/>
      <c r="Q14782" s="505"/>
      <c r="R14782" s="505"/>
      <c r="S14782" s="505"/>
      <c r="T14782" s="505"/>
      <c r="U14782" s="505"/>
      <c r="V14782" s="505"/>
      <c r="W14782" s="505"/>
      <c r="X14782" s="505"/>
      <c r="Y14782" s="505"/>
    </row>
    <row r="14783" spans="1:25" s="88" customFormat="1" hidden="1" x14ac:dyDescent="0.25">
      <c r="A14783" s="481"/>
      <c r="B14783" s="288"/>
      <c r="C14783" s="334"/>
      <c r="D14783" s="286"/>
      <c r="E14783" s="876"/>
      <c r="F14783" s="284" t="s">
        <v>261</v>
      </c>
      <c r="G14783" s="287" t="s">
        <v>262</v>
      </c>
      <c r="H14783" s="559"/>
      <c r="I14783" s="560"/>
      <c r="J14783" s="560">
        <f t="shared" si="480"/>
        <v>0</v>
      </c>
      <c r="K14783" s="505"/>
      <c r="L14783" s="505"/>
      <c r="M14783" s="505"/>
      <c r="N14783" s="505"/>
      <c r="O14783" s="505"/>
      <c r="P14783" s="505"/>
      <c r="Q14783" s="505"/>
      <c r="R14783" s="505"/>
      <c r="S14783" s="505"/>
      <c r="T14783" s="505"/>
      <c r="U14783" s="505"/>
      <c r="V14783" s="505"/>
      <c r="W14783" s="505"/>
      <c r="X14783" s="505"/>
      <c r="Y14783" s="505"/>
    </row>
    <row r="14784" spans="1:25" s="88" customFormat="1" ht="15.75" hidden="1" thickBot="1" x14ac:dyDescent="0.3">
      <c r="A14784" s="481"/>
      <c r="B14784" s="288"/>
      <c r="C14784" s="334"/>
      <c r="D14784" s="286"/>
      <c r="E14784" s="876"/>
      <c r="F14784" s="258"/>
      <c r="G14784" s="268" t="s">
        <v>4207</v>
      </c>
      <c r="H14784" s="561">
        <f>SUM(H14768:H14783)</f>
        <v>0</v>
      </c>
      <c r="I14784" s="562">
        <f>SUM(I14769:I14783)</f>
        <v>0</v>
      </c>
      <c r="J14784" s="562">
        <f>SUM(J14768:J14783)</f>
        <v>0</v>
      </c>
      <c r="K14784" s="505"/>
      <c r="L14784" s="505"/>
      <c r="M14784" s="505"/>
      <c r="N14784" s="505"/>
      <c r="O14784" s="505"/>
      <c r="P14784" s="505"/>
      <c r="Q14784" s="505"/>
      <c r="R14784" s="505"/>
      <c r="S14784" s="505"/>
      <c r="T14784" s="505"/>
      <c r="U14784" s="505"/>
      <c r="V14784" s="505"/>
      <c r="W14784" s="505"/>
      <c r="X14784" s="505"/>
      <c r="Y14784" s="505"/>
    </row>
    <row r="14785" spans="1:10" hidden="1" x14ac:dyDescent="0.25">
      <c r="A14785" s="481"/>
    </row>
    <row r="14786" spans="1:10" hidden="1" x14ac:dyDescent="0.25">
      <c r="E14786" s="489"/>
      <c r="F14786" s="486"/>
      <c r="G14786" s="285" t="s">
        <v>4377</v>
      </c>
      <c r="H14786" s="567"/>
      <c r="I14786" s="585"/>
      <c r="J14786" s="568"/>
    </row>
    <row r="14787" spans="1:10" hidden="1" x14ac:dyDescent="0.25">
      <c r="E14787" s="693"/>
      <c r="F14787" s="284" t="s">
        <v>234</v>
      </c>
      <c r="G14787" s="287" t="s">
        <v>235</v>
      </c>
      <c r="H14787" s="559">
        <f>SUM(H14768)</f>
        <v>0</v>
      </c>
      <c r="I14787" s="560"/>
      <c r="J14787" s="560">
        <f>SUM(H14787:I14787)</f>
        <v>0</v>
      </c>
    </row>
    <row r="14788" spans="1:10" hidden="1" x14ac:dyDescent="0.25">
      <c r="F14788" s="284" t="s">
        <v>236</v>
      </c>
      <c r="G14788" s="287" t="s">
        <v>237</v>
      </c>
      <c r="J14788" s="560">
        <f t="shared" ref="J14788:J14802" si="481">SUM(H14788:I14788)</f>
        <v>0</v>
      </c>
    </row>
    <row r="14789" spans="1:10" hidden="1" x14ac:dyDescent="0.25">
      <c r="F14789" s="284" t="s">
        <v>238</v>
      </c>
      <c r="G14789" s="287" t="s">
        <v>239</v>
      </c>
      <c r="J14789" s="560">
        <f t="shared" si="481"/>
        <v>0</v>
      </c>
    </row>
    <row r="14790" spans="1:10" hidden="1" x14ac:dyDescent="0.25">
      <c r="F14790" s="284" t="s">
        <v>240</v>
      </c>
      <c r="G14790" s="287" t="s">
        <v>241</v>
      </c>
      <c r="J14790" s="560">
        <f t="shared" si="481"/>
        <v>0</v>
      </c>
    </row>
    <row r="14791" spans="1:10" hidden="1" x14ac:dyDescent="0.25">
      <c r="F14791" s="284" t="s">
        <v>242</v>
      </c>
      <c r="G14791" s="287" t="s">
        <v>243</v>
      </c>
      <c r="J14791" s="560">
        <f t="shared" si="481"/>
        <v>0</v>
      </c>
    </row>
    <row r="14792" spans="1:10" hidden="1" x14ac:dyDescent="0.25">
      <c r="F14792" s="284" t="s">
        <v>244</v>
      </c>
      <c r="G14792" s="287" t="s">
        <v>245</v>
      </c>
      <c r="J14792" s="560">
        <f t="shared" si="481"/>
        <v>0</v>
      </c>
    </row>
    <row r="14793" spans="1:10" hidden="1" x14ac:dyDescent="0.25">
      <c r="F14793" s="284" t="s">
        <v>246</v>
      </c>
      <c r="G14793" s="598" t="s">
        <v>4996</v>
      </c>
      <c r="J14793" s="560">
        <f t="shared" si="481"/>
        <v>0</v>
      </c>
    </row>
    <row r="14794" spans="1:10" hidden="1" x14ac:dyDescent="0.25">
      <c r="F14794" s="284" t="s">
        <v>247</v>
      </c>
      <c r="G14794" s="598" t="s">
        <v>4995</v>
      </c>
      <c r="J14794" s="560">
        <f t="shared" si="481"/>
        <v>0</v>
      </c>
    </row>
    <row r="14795" spans="1:10" hidden="1" x14ac:dyDescent="0.25">
      <c r="F14795" s="284" t="s">
        <v>248</v>
      </c>
      <c r="G14795" s="287" t="s">
        <v>57</v>
      </c>
      <c r="J14795" s="560">
        <f t="shared" si="481"/>
        <v>0</v>
      </c>
    </row>
    <row r="14796" spans="1:10" hidden="1" x14ac:dyDescent="0.25">
      <c r="F14796" s="284" t="s">
        <v>249</v>
      </c>
      <c r="G14796" s="287" t="s">
        <v>250</v>
      </c>
      <c r="J14796" s="560">
        <f t="shared" si="481"/>
        <v>0</v>
      </c>
    </row>
    <row r="14797" spans="1:10" hidden="1" x14ac:dyDescent="0.25">
      <c r="F14797" s="284" t="s">
        <v>251</v>
      </c>
      <c r="G14797" s="287" t="s">
        <v>252</v>
      </c>
      <c r="J14797" s="560">
        <f t="shared" si="481"/>
        <v>0</v>
      </c>
    </row>
    <row r="14798" spans="1:10" ht="30" hidden="1" x14ac:dyDescent="0.25">
      <c r="F14798" s="284" t="s">
        <v>253</v>
      </c>
      <c r="G14798" s="287" t="s">
        <v>254</v>
      </c>
      <c r="J14798" s="560">
        <f t="shared" si="481"/>
        <v>0</v>
      </c>
    </row>
    <row r="14799" spans="1:10" hidden="1" x14ac:dyDescent="0.25">
      <c r="F14799" s="284" t="s">
        <v>255</v>
      </c>
      <c r="G14799" s="287" t="s">
        <v>256</v>
      </c>
      <c r="J14799" s="560">
        <f t="shared" si="481"/>
        <v>0</v>
      </c>
    </row>
    <row r="14800" spans="1:10" ht="30" hidden="1" x14ac:dyDescent="0.25">
      <c r="F14800" s="284" t="s">
        <v>257</v>
      </c>
      <c r="G14800" s="287" t="s">
        <v>258</v>
      </c>
      <c r="J14800" s="560">
        <f t="shared" si="481"/>
        <v>0</v>
      </c>
    </row>
    <row r="14801" spans="1:25" hidden="1" x14ac:dyDescent="0.25">
      <c r="F14801" s="284" t="s">
        <v>259</v>
      </c>
      <c r="G14801" s="287" t="s">
        <v>260</v>
      </c>
      <c r="J14801" s="560">
        <f t="shared" si="481"/>
        <v>0</v>
      </c>
    </row>
    <row r="14802" spans="1:25" hidden="1" x14ac:dyDescent="0.25">
      <c r="F14802" s="284" t="s">
        <v>261</v>
      </c>
      <c r="G14802" s="287" t="s">
        <v>262</v>
      </c>
      <c r="H14802" s="559"/>
      <c r="I14802" s="560"/>
      <c r="J14802" s="560">
        <f t="shared" si="481"/>
        <v>0</v>
      </c>
    </row>
    <row r="14803" spans="1:25" ht="15.75" hidden="1" thickBot="1" x14ac:dyDescent="0.3">
      <c r="G14803" s="268" t="s">
        <v>4378</v>
      </c>
      <c r="H14803" s="561">
        <f>SUM(H14787:H14802)</f>
        <v>0</v>
      </c>
      <c r="I14803" s="562">
        <f>SUM(I14788:I14802)</f>
        <v>0</v>
      </c>
      <c r="J14803" s="562">
        <f>SUM(J14787:J14802)</f>
        <v>0</v>
      </c>
    </row>
    <row r="14804" spans="1:25" hidden="1" x14ac:dyDescent="0.25">
      <c r="G14804" s="312"/>
      <c r="H14804" s="565"/>
      <c r="I14804" s="566"/>
      <c r="J14804" s="566"/>
    </row>
    <row r="14805" spans="1:25" ht="0.75" hidden="1" customHeight="1" x14ac:dyDescent="0.25">
      <c r="B14805" s="546"/>
      <c r="C14805" s="547"/>
      <c r="D14805" s="546"/>
      <c r="E14805" s="895"/>
      <c r="F14805" s="546"/>
      <c r="G14805" s="548"/>
      <c r="H14805" s="581"/>
      <c r="I14805" s="582"/>
      <c r="J14805" s="582"/>
    </row>
    <row r="14806" spans="1:25" s="88" customFormat="1" x14ac:dyDescent="0.25">
      <c r="A14806" s="546"/>
      <c r="B14806" s="295"/>
      <c r="C14806" s="487"/>
      <c r="D14806" s="295"/>
      <c r="E14806" s="797"/>
      <c r="F14806" s="798"/>
      <c r="G14806" s="285" t="s">
        <v>5348</v>
      </c>
      <c r="H14806" s="567"/>
      <c r="I14806" s="589"/>
      <c r="J14806" s="567"/>
      <c r="K14806" s="505"/>
      <c r="L14806" s="505"/>
      <c r="M14806" s="505"/>
      <c r="N14806" s="505"/>
      <c r="O14806" s="505"/>
      <c r="P14806" s="505"/>
      <c r="Q14806" s="505"/>
      <c r="R14806" s="505"/>
      <c r="S14806" s="505"/>
      <c r="T14806" s="505"/>
      <c r="U14806" s="505"/>
      <c r="V14806" s="505"/>
      <c r="W14806" s="505"/>
      <c r="X14806" s="505"/>
      <c r="Y14806" s="505"/>
    </row>
    <row r="14807" spans="1:25" s="88" customFormat="1" x14ac:dyDescent="0.25">
      <c r="A14807" s="295"/>
      <c r="B14807" s="295"/>
      <c r="C14807" s="487"/>
      <c r="D14807" s="295"/>
      <c r="E14807" s="879"/>
      <c r="F14807" s="799" t="s">
        <v>234</v>
      </c>
      <c r="G14807" s="598" t="s">
        <v>235</v>
      </c>
      <c r="H14807" s="800">
        <f>SUM(H8290,H8151,H7891,H7654,H6599,H6220)</f>
        <v>277236971</v>
      </c>
      <c r="I14807" s="801"/>
      <c r="J14807" s="801">
        <f>SUM(H14807:I14807)</f>
        <v>277236971</v>
      </c>
      <c r="K14807" s="505"/>
      <c r="L14807" s="505"/>
      <c r="M14807" s="505"/>
      <c r="N14807" s="505"/>
      <c r="O14807" s="505"/>
      <c r="P14807" s="505"/>
      <c r="Q14807" s="505"/>
      <c r="R14807" s="505"/>
      <c r="S14807" s="505"/>
      <c r="T14807" s="505"/>
      <c r="U14807" s="505"/>
      <c r="V14807" s="505"/>
      <c r="W14807" s="505"/>
      <c r="X14807" s="505"/>
      <c r="Y14807" s="505"/>
    </row>
    <row r="14808" spans="1:25" s="88" customFormat="1" hidden="1" x14ac:dyDescent="0.25">
      <c r="A14808" s="295"/>
      <c r="B14808" s="295"/>
      <c r="C14808" s="487"/>
      <c r="D14808" s="295"/>
      <c r="E14808" s="889"/>
      <c r="F14808" s="799" t="s">
        <v>236</v>
      </c>
      <c r="G14808" s="598" t="s">
        <v>237</v>
      </c>
      <c r="H14808" s="580"/>
      <c r="I14808" s="571"/>
      <c r="J14808" s="801">
        <f t="shared" ref="J14808:J14822" si="482">SUM(H14808:I14808)</f>
        <v>0</v>
      </c>
      <c r="K14808" s="505"/>
      <c r="L14808" s="505"/>
      <c r="M14808" s="505"/>
      <c r="N14808" s="505"/>
      <c r="O14808" s="505"/>
      <c r="P14808" s="505"/>
      <c r="Q14808" s="505"/>
      <c r="R14808" s="505"/>
      <c r="S14808" s="505"/>
      <c r="T14808" s="505"/>
      <c r="U14808" s="505"/>
      <c r="V14808" s="505"/>
      <c r="W14808" s="505"/>
      <c r="X14808" s="505"/>
      <c r="Y14808" s="505"/>
    </row>
    <row r="14809" spans="1:25" s="88" customFormat="1" hidden="1" x14ac:dyDescent="0.25">
      <c r="A14809" s="295"/>
      <c r="B14809" s="295"/>
      <c r="C14809" s="487"/>
      <c r="D14809" s="295"/>
      <c r="E14809" s="889"/>
      <c r="F14809" s="799" t="s">
        <v>238</v>
      </c>
      <c r="G14809" s="598" t="s">
        <v>239</v>
      </c>
      <c r="H14809" s="580"/>
      <c r="I14809" s="571"/>
      <c r="J14809" s="801">
        <f t="shared" si="482"/>
        <v>0</v>
      </c>
      <c r="K14809" s="505"/>
      <c r="L14809" s="505"/>
      <c r="M14809" s="505"/>
      <c r="N14809" s="505"/>
      <c r="O14809" s="505"/>
      <c r="P14809" s="505"/>
      <c r="Q14809" s="505"/>
      <c r="R14809" s="505"/>
      <c r="S14809" s="505"/>
      <c r="T14809" s="505"/>
      <c r="U14809" s="505"/>
      <c r="V14809" s="505"/>
      <c r="W14809" s="505"/>
      <c r="X14809" s="505"/>
      <c r="Y14809" s="505"/>
    </row>
    <row r="14810" spans="1:25" s="88" customFormat="1" x14ac:dyDescent="0.25">
      <c r="A14810" s="295"/>
      <c r="B14810" s="295"/>
      <c r="C14810" s="487"/>
      <c r="D14810" s="295"/>
      <c r="E14810" s="889"/>
      <c r="F14810" s="799" t="s">
        <v>240</v>
      </c>
      <c r="G14810" s="598" t="s">
        <v>241</v>
      </c>
      <c r="H14810" s="580"/>
      <c r="I14810" s="571">
        <f>SUM(I8154,I6286)</f>
        <v>2845000</v>
      </c>
      <c r="J14810" s="801">
        <f t="shared" si="482"/>
        <v>2845000</v>
      </c>
      <c r="K14810" s="505"/>
      <c r="L14810" s="505"/>
      <c r="M14810" s="505"/>
      <c r="N14810" s="505"/>
      <c r="O14810" s="505"/>
      <c r="P14810" s="505"/>
      <c r="Q14810" s="505"/>
      <c r="R14810" s="505"/>
      <c r="S14810" s="505"/>
      <c r="T14810" s="505"/>
      <c r="U14810" s="505"/>
      <c r="V14810" s="505"/>
      <c r="W14810" s="505"/>
      <c r="X14810" s="505"/>
      <c r="Y14810" s="505"/>
    </row>
    <row r="14811" spans="1:25" s="88" customFormat="1" hidden="1" x14ac:dyDescent="0.25">
      <c r="A14811" s="295"/>
      <c r="B14811" s="295"/>
      <c r="C14811" s="487"/>
      <c r="D14811" s="295"/>
      <c r="E14811" s="889"/>
      <c r="F14811" s="799" t="s">
        <v>242</v>
      </c>
      <c r="G14811" s="598" t="s">
        <v>243</v>
      </c>
      <c r="H14811" s="580"/>
      <c r="I14811" s="571"/>
      <c r="J14811" s="801">
        <f t="shared" si="482"/>
        <v>0</v>
      </c>
      <c r="K14811" s="505"/>
      <c r="L14811" s="505"/>
      <c r="M14811" s="505"/>
      <c r="N14811" s="505"/>
      <c r="O14811" s="505"/>
      <c r="P14811" s="505"/>
      <c r="Q14811" s="505"/>
      <c r="R14811" s="505"/>
      <c r="S14811" s="505"/>
      <c r="T14811" s="505"/>
      <c r="U14811" s="505"/>
      <c r="V14811" s="505"/>
      <c r="W14811" s="505"/>
      <c r="X14811" s="505"/>
      <c r="Y14811" s="505"/>
    </row>
    <row r="14812" spans="1:25" s="88" customFormat="1" hidden="1" x14ac:dyDescent="0.25">
      <c r="A14812" s="295"/>
      <c r="B14812" s="295"/>
      <c r="C14812" s="487"/>
      <c r="D14812" s="295"/>
      <c r="E14812" s="889"/>
      <c r="F14812" s="799" t="s">
        <v>244</v>
      </c>
      <c r="G14812" s="598" t="s">
        <v>245</v>
      </c>
      <c r="H14812" s="580"/>
      <c r="I14812" s="571"/>
      <c r="J14812" s="801">
        <f t="shared" si="482"/>
        <v>0</v>
      </c>
      <c r="K14812" s="505"/>
      <c r="L14812" s="505"/>
      <c r="M14812" s="505"/>
      <c r="N14812" s="505"/>
      <c r="O14812" s="505"/>
      <c r="P14812" s="505"/>
      <c r="Q14812" s="505"/>
      <c r="R14812" s="505"/>
      <c r="S14812" s="505"/>
      <c r="T14812" s="505"/>
      <c r="U14812" s="505"/>
      <c r="V14812" s="505"/>
      <c r="W14812" s="505"/>
      <c r="X14812" s="505"/>
      <c r="Y14812" s="505"/>
    </row>
    <row r="14813" spans="1:25" s="88" customFormat="1" x14ac:dyDescent="0.25">
      <c r="A14813" s="295"/>
      <c r="B14813" s="295"/>
      <c r="C14813" s="487"/>
      <c r="D14813" s="295"/>
      <c r="E14813" s="889"/>
      <c r="F14813" s="799" t="s">
        <v>246</v>
      </c>
      <c r="G14813" s="598" t="s">
        <v>4996</v>
      </c>
      <c r="H14813" s="580"/>
      <c r="I14813" s="571">
        <f>SUM(I8157,I7897,I7660,I6226)</f>
        <v>9283745</v>
      </c>
      <c r="J14813" s="801">
        <f t="shared" si="482"/>
        <v>9283745</v>
      </c>
      <c r="K14813" s="505"/>
      <c r="L14813" s="505"/>
      <c r="M14813" s="505"/>
      <c r="N14813" s="505"/>
      <c r="O14813" s="505"/>
      <c r="P14813" s="505"/>
      <c r="Q14813" s="505"/>
      <c r="R14813" s="505"/>
      <c r="S14813" s="505"/>
      <c r="T14813" s="505"/>
      <c r="U14813" s="505"/>
      <c r="V14813" s="505"/>
      <c r="W14813" s="505"/>
      <c r="X14813" s="505"/>
      <c r="Y14813" s="505"/>
    </row>
    <row r="14814" spans="1:25" s="88" customFormat="1" x14ac:dyDescent="0.25">
      <c r="A14814" s="295"/>
      <c r="B14814" s="295"/>
      <c r="C14814" s="487"/>
      <c r="D14814" s="295"/>
      <c r="E14814" s="889"/>
      <c r="F14814" s="799" t="s">
        <v>247</v>
      </c>
      <c r="G14814" s="598" t="s">
        <v>4995</v>
      </c>
      <c r="H14814" s="580"/>
      <c r="I14814" s="571">
        <f>SUM(I6227,I8297,I7898,I7661,I8158)</f>
        <v>3715528</v>
      </c>
      <c r="J14814" s="801">
        <f t="shared" si="482"/>
        <v>3715528</v>
      </c>
      <c r="K14814" s="505"/>
      <c r="L14814" s="505"/>
      <c r="M14814" s="505"/>
      <c r="N14814" s="505"/>
      <c r="O14814" s="505"/>
      <c r="P14814" s="505"/>
      <c r="Q14814" s="505"/>
      <c r="R14814" s="505"/>
      <c r="S14814" s="505"/>
      <c r="T14814" s="505"/>
      <c r="U14814" s="505"/>
      <c r="V14814" s="505"/>
      <c r="W14814" s="505"/>
      <c r="X14814" s="505"/>
      <c r="Y14814" s="505"/>
    </row>
    <row r="14815" spans="1:25" s="88" customFormat="1" hidden="1" x14ac:dyDescent="0.25">
      <c r="A14815" s="295"/>
      <c r="B14815" s="295"/>
      <c r="C14815" s="487"/>
      <c r="D14815" s="295"/>
      <c r="E14815" s="889"/>
      <c r="F14815" s="799" t="s">
        <v>248</v>
      </c>
      <c r="G14815" s="598" t="s">
        <v>57</v>
      </c>
      <c r="H14815" s="580"/>
      <c r="I14815" s="571"/>
      <c r="J14815" s="801">
        <f t="shared" si="482"/>
        <v>0</v>
      </c>
      <c r="K14815" s="505"/>
      <c r="L14815" s="505"/>
      <c r="M14815" s="505"/>
      <c r="N14815" s="505"/>
      <c r="O14815" s="505"/>
      <c r="P14815" s="505"/>
      <c r="Q14815" s="505"/>
      <c r="R14815" s="505"/>
      <c r="S14815" s="505"/>
      <c r="T14815" s="505"/>
      <c r="U14815" s="505"/>
      <c r="V14815" s="505"/>
      <c r="W14815" s="505"/>
      <c r="X14815" s="505"/>
      <c r="Y14815" s="505"/>
    </row>
    <row r="14816" spans="1:25" s="88" customFormat="1" hidden="1" x14ac:dyDescent="0.25">
      <c r="A14816" s="295"/>
      <c r="B14816" s="295"/>
      <c r="C14816" s="487"/>
      <c r="D14816" s="295"/>
      <c r="E14816" s="889"/>
      <c r="F14816" s="799" t="s">
        <v>249</v>
      </c>
      <c r="G14816" s="598" t="s">
        <v>250</v>
      </c>
      <c r="H14816" s="580"/>
      <c r="I14816" s="571"/>
      <c r="J14816" s="801">
        <f t="shared" si="482"/>
        <v>0</v>
      </c>
      <c r="K14816" s="505"/>
      <c r="L14816" s="505"/>
      <c r="M14816" s="505"/>
      <c r="N14816" s="505"/>
      <c r="O14816" s="505"/>
      <c r="P14816" s="505"/>
      <c r="Q14816" s="505"/>
      <c r="R14816" s="505"/>
      <c r="S14816" s="505"/>
      <c r="T14816" s="505"/>
      <c r="U14816" s="505"/>
      <c r="V14816" s="505"/>
      <c r="W14816" s="505"/>
      <c r="X14816" s="505"/>
      <c r="Y14816" s="505"/>
    </row>
    <row r="14817" spans="1:25" s="88" customFormat="1" hidden="1" x14ac:dyDescent="0.25">
      <c r="A14817" s="295"/>
      <c r="B14817" s="295"/>
      <c r="C14817" s="487"/>
      <c r="D14817" s="295"/>
      <c r="E14817" s="889"/>
      <c r="F14817" s="799" t="s">
        <v>251</v>
      </c>
      <c r="G14817" s="598" t="s">
        <v>252</v>
      </c>
      <c r="H14817" s="580"/>
      <c r="I14817" s="571"/>
      <c r="J14817" s="801">
        <f t="shared" si="482"/>
        <v>0</v>
      </c>
      <c r="K14817" s="505"/>
      <c r="L14817" s="505"/>
      <c r="M14817" s="505"/>
      <c r="N14817" s="505"/>
      <c r="O14817" s="505"/>
      <c r="P14817" s="505"/>
      <c r="Q14817" s="505"/>
      <c r="R14817" s="505"/>
      <c r="S14817" s="505"/>
      <c r="T14817" s="505"/>
      <c r="U14817" s="505"/>
      <c r="V14817" s="505"/>
      <c r="W14817" s="505"/>
      <c r="X14817" s="505"/>
      <c r="Y14817" s="505"/>
    </row>
    <row r="14818" spans="1:25" s="88" customFormat="1" ht="30" hidden="1" x14ac:dyDescent="0.25">
      <c r="A14818" s="295"/>
      <c r="B14818" s="295"/>
      <c r="C14818" s="487"/>
      <c r="D14818" s="295"/>
      <c r="E14818" s="889"/>
      <c r="F14818" s="799" t="s">
        <v>253</v>
      </c>
      <c r="G14818" s="598" t="s">
        <v>254</v>
      </c>
      <c r="H14818" s="580"/>
      <c r="I14818" s="571"/>
      <c r="J14818" s="801">
        <f t="shared" si="482"/>
        <v>0</v>
      </c>
      <c r="K14818" s="505"/>
      <c r="L14818" s="505"/>
      <c r="M14818" s="505"/>
      <c r="N14818" s="505"/>
      <c r="O14818" s="505"/>
      <c r="P14818" s="505"/>
      <c r="Q14818" s="505"/>
      <c r="R14818" s="505"/>
      <c r="S14818" s="505"/>
      <c r="T14818" s="505"/>
      <c r="U14818" s="505"/>
      <c r="V14818" s="505"/>
      <c r="W14818" s="505"/>
      <c r="X14818" s="505"/>
      <c r="Y14818" s="505"/>
    </row>
    <row r="14819" spans="1:25" s="88" customFormat="1" ht="15.75" thickBot="1" x14ac:dyDescent="0.3">
      <c r="A14819" s="295"/>
      <c r="B14819" s="295"/>
      <c r="C14819" s="487"/>
      <c r="D14819" s="295"/>
      <c r="E14819" s="889"/>
      <c r="F14819" s="799" t="s">
        <v>255</v>
      </c>
      <c r="G14819" s="598" t="s">
        <v>256</v>
      </c>
      <c r="H14819" s="571">
        <f>SUM(H8302,H6232)</f>
        <v>103266419</v>
      </c>
      <c r="I14819" s="900">
        <f>SUM(I8163)</f>
        <v>636000</v>
      </c>
      <c r="J14819" s="801">
        <f>SUM(H14819:I14819)</f>
        <v>103902419</v>
      </c>
      <c r="K14819" s="505"/>
      <c r="L14819" s="505"/>
      <c r="M14819" s="505"/>
      <c r="N14819" s="505"/>
      <c r="O14819" s="505"/>
      <c r="P14819" s="505"/>
      <c r="Q14819" s="505"/>
      <c r="R14819" s="505"/>
      <c r="S14819" s="505"/>
      <c r="T14819" s="505"/>
      <c r="U14819" s="505"/>
      <c r="V14819" s="505"/>
      <c r="W14819" s="505"/>
      <c r="X14819" s="505"/>
      <c r="Y14819" s="505"/>
    </row>
    <row r="14820" spans="1:25" s="88" customFormat="1" ht="30" hidden="1" x14ac:dyDescent="0.25">
      <c r="A14820" s="295"/>
      <c r="B14820" s="295"/>
      <c r="C14820" s="487"/>
      <c r="D14820" s="295"/>
      <c r="E14820" s="889"/>
      <c r="F14820" s="799" t="s">
        <v>257</v>
      </c>
      <c r="G14820" s="598" t="s">
        <v>258</v>
      </c>
      <c r="H14820" s="580"/>
      <c r="I14820" s="571"/>
      <c r="J14820" s="801">
        <f t="shared" si="482"/>
        <v>0</v>
      </c>
      <c r="K14820" s="505"/>
      <c r="L14820" s="505"/>
      <c r="M14820" s="505"/>
      <c r="N14820" s="505"/>
      <c r="O14820" s="505"/>
      <c r="P14820" s="505"/>
      <c r="Q14820" s="505"/>
      <c r="R14820" s="505"/>
      <c r="S14820" s="505"/>
      <c r="T14820" s="505"/>
      <c r="U14820" s="505"/>
      <c r="V14820" s="505"/>
      <c r="W14820" s="505"/>
      <c r="X14820" s="505"/>
      <c r="Y14820" s="505"/>
    </row>
    <row r="14821" spans="1:25" s="88" customFormat="1" hidden="1" x14ac:dyDescent="0.25">
      <c r="A14821" s="295"/>
      <c r="B14821" s="295"/>
      <c r="C14821" s="487"/>
      <c r="D14821" s="295"/>
      <c r="E14821" s="889"/>
      <c r="F14821" s="799" t="s">
        <v>259</v>
      </c>
      <c r="G14821" s="598" t="s">
        <v>260</v>
      </c>
      <c r="H14821" s="580"/>
      <c r="I14821" s="571"/>
      <c r="J14821" s="801">
        <f t="shared" si="482"/>
        <v>0</v>
      </c>
      <c r="K14821" s="505"/>
      <c r="L14821" s="505"/>
      <c r="M14821" s="505"/>
      <c r="N14821" s="505"/>
      <c r="O14821" s="505"/>
      <c r="P14821" s="505"/>
      <c r="Q14821" s="505"/>
      <c r="R14821" s="505"/>
      <c r="S14821" s="505"/>
      <c r="T14821" s="505"/>
      <c r="U14821" s="505"/>
      <c r="V14821" s="505"/>
      <c r="W14821" s="505"/>
      <c r="X14821" s="505"/>
      <c r="Y14821" s="505"/>
    </row>
    <row r="14822" spans="1:25" s="88" customFormat="1" ht="15.75" hidden="1" thickBot="1" x14ac:dyDescent="0.3">
      <c r="A14822" s="295"/>
      <c r="B14822" s="295"/>
      <c r="C14822" s="487"/>
      <c r="D14822" s="295"/>
      <c r="E14822" s="889"/>
      <c r="F14822" s="799" t="s">
        <v>261</v>
      </c>
      <c r="G14822" s="598" t="s">
        <v>262</v>
      </c>
      <c r="H14822" s="800"/>
      <c r="I14822" s="801"/>
      <c r="J14822" s="801">
        <f t="shared" si="482"/>
        <v>0</v>
      </c>
      <c r="K14822" s="505"/>
      <c r="L14822" s="505"/>
      <c r="M14822" s="505"/>
      <c r="N14822" s="505"/>
      <c r="O14822" s="505"/>
      <c r="P14822" s="505"/>
      <c r="Q14822" s="505"/>
      <c r="R14822" s="505"/>
      <c r="S14822" s="505"/>
      <c r="T14822" s="505"/>
      <c r="U14822" s="505"/>
      <c r="V14822" s="505"/>
      <c r="W14822" s="505"/>
      <c r="X14822" s="505"/>
      <c r="Y14822" s="505"/>
    </row>
    <row r="14823" spans="1:25" s="88" customFormat="1" ht="14.25" customHeight="1" thickBot="1" x14ac:dyDescent="0.3">
      <c r="A14823" s="295"/>
      <c r="B14823" s="295"/>
      <c r="C14823" s="487"/>
      <c r="D14823" s="295"/>
      <c r="E14823" s="889"/>
      <c r="F14823" s="295"/>
      <c r="G14823" s="802" t="s">
        <v>5349</v>
      </c>
      <c r="H14823" s="803">
        <f>SUM(H14807:H14822)</f>
        <v>380503390</v>
      </c>
      <c r="I14823" s="804">
        <f>SUM(I14810:I14822)</f>
        <v>16480273</v>
      </c>
      <c r="J14823" s="804">
        <f>SUM(J14807:J14822)</f>
        <v>396983663</v>
      </c>
      <c r="K14823" s="505"/>
      <c r="L14823" s="505"/>
      <c r="M14823" s="505"/>
      <c r="N14823" s="505"/>
      <c r="O14823" s="505"/>
      <c r="P14823" s="505"/>
      <c r="Q14823" s="505"/>
      <c r="R14823" s="505"/>
      <c r="S14823" s="505"/>
      <c r="T14823" s="505"/>
      <c r="U14823" s="505"/>
      <c r="V14823" s="505"/>
      <c r="W14823" s="505"/>
      <c r="X14823" s="505"/>
      <c r="Y14823" s="505"/>
    </row>
    <row r="14824" spans="1:25" s="88" customFormat="1" hidden="1" x14ac:dyDescent="0.25">
      <c r="A14824" s="295"/>
      <c r="B14824" s="295"/>
      <c r="C14824" s="487"/>
      <c r="D14824" s="295"/>
      <c r="E14824" s="889"/>
      <c r="F14824" s="295"/>
      <c r="G14824" s="805"/>
      <c r="H14824" s="806"/>
      <c r="I14824" s="807"/>
      <c r="J14824" s="807"/>
      <c r="K14824" s="505"/>
      <c r="L14824" s="505"/>
      <c r="M14824" s="505"/>
      <c r="N14824" s="505"/>
      <c r="O14824" s="505"/>
      <c r="P14824" s="505"/>
      <c r="Q14824" s="505"/>
      <c r="R14824" s="505"/>
      <c r="S14824" s="505"/>
      <c r="T14824" s="505"/>
      <c r="U14824" s="505"/>
      <c r="V14824" s="505"/>
      <c r="W14824" s="505"/>
      <c r="X14824" s="505"/>
      <c r="Y14824" s="505"/>
    </row>
    <row r="14825" spans="1:25" s="88" customFormat="1" hidden="1" x14ac:dyDescent="0.25">
      <c r="A14825" s="295"/>
      <c r="B14825" s="808">
        <v>1</v>
      </c>
      <c r="C14825" s="809"/>
      <c r="D14825" s="810"/>
      <c r="E14825" s="811"/>
      <c r="F14825" s="811"/>
      <c r="G14825" s="812" t="s">
        <v>3660</v>
      </c>
      <c r="H14825" s="813"/>
      <c r="I14825" s="814"/>
      <c r="J14825" s="577"/>
      <c r="K14825" s="494"/>
      <c r="L14825" s="494"/>
      <c r="M14825" s="494"/>
      <c r="N14825" s="505"/>
      <c r="O14825" s="505"/>
      <c r="P14825" s="505"/>
      <c r="Q14825" s="505"/>
      <c r="R14825" s="505"/>
      <c r="S14825" s="505"/>
      <c r="T14825" s="505"/>
      <c r="U14825" s="505"/>
      <c r="V14825" s="505"/>
      <c r="W14825" s="505"/>
      <c r="X14825" s="505"/>
      <c r="Y14825" s="505"/>
    </row>
    <row r="14826" spans="1:25" s="88" customFormat="1" hidden="1" x14ac:dyDescent="0.25">
      <c r="A14826" s="809">
        <v>5</v>
      </c>
      <c r="B14826" s="295"/>
      <c r="C14826" s="796" t="s">
        <v>3599</v>
      </c>
      <c r="D14826" s="795"/>
      <c r="E14826" s="889"/>
      <c r="F14826" s="295"/>
      <c r="G14826" s="483" t="s">
        <v>4166</v>
      </c>
      <c r="H14826" s="580"/>
      <c r="I14826" s="571"/>
      <c r="J14826" s="571"/>
      <c r="K14826" s="505"/>
      <c r="L14826" s="505"/>
      <c r="M14826" s="505"/>
      <c r="N14826" s="505"/>
      <c r="O14826" s="505"/>
      <c r="P14826" s="505"/>
      <c r="Q14826" s="505"/>
      <c r="R14826" s="505"/>
      <c r="S14826" s="505"/>
      <c r="T14826" s="505"/>
      <c r="U14826" s="505"/>
      <c r="V14826" s="505"/>
      <c r="W14826" s="505"/>
      <c r="X14826" s="505"/>
      <c r="Y14826" s="505"/>
    </row>
    <row r="14827" spans="1:25" s="88" customFormat="1" hidden="1" x14ac:dyDescent="0.25">
      <c r="A14827" s="295"/>
      <c r="B14827" s="295"/>
      <c r="C14827" s="796" t="s">
        <v>4105</v>
      </c>
      <c r="D14827" s="795"/>
      <c r="E14827" s="889"/>
      <c r="F14827" s="295"/>
      <c r="G14827" s="815" t="s">
        <v>3662</v>
      </c>
      <c r="H14827" s="580"/>
      <c r="I14827" s="571"/>
      <c r="J14827" s="571"/>
      <c r="K14827" s="505"/>
      <c r="L14827" s="505"/>
      <c r="M14827" s="505"/>
      <c r="N14827" s="505"/>
      <c r="O14827" s="505"/>
      <c r="P14827" s="505"/>
      <c r="Q14827" s="505"/>
      <c r="R14827" s="505"/>
      <c r="S14827" s="505"/>
      <c r="T14827" s="505"/>
      <c r="U14827" s="505"/>
      <c r="V14827" s="505"/>
      <c r="W14827" s="505"/>
      <c r="X14827" s="505"/>
      <c r="Y14827" s="505"/>
    </row>
    <row r="14828" spans="1:25" s="88" customFormat="1" hidden="1" x14ac:dyDescent="0.25">
      <c r="A14828" s="295"/>
      <c r="B14828" s="295"/>
      <c r="C14828" s="796"/>
      <c r="D14828" s="816">
        <v>330</v>
      </c>
      <c r="E14828" s="891"/>
      <c r="F14828" s="816"/>
      <c r="G14828" s="332" t="s">
        <v>130</v>
      </c>
      <c r="H14828" s="580"/>
      <c r="I14828" s="571"/>
      <c r="J14828" s="571"/>
      <c r="K14828" s="505"/>
      <c r="L14828" s="505"/>
      <c r="M14828" s="505"/>
      <c r="N14828" s="505"/>
      <c r="O14828" s="505"/>
      <c r="P14828" s="505"/>
      <c r="Q14828" s="505"/>
      <c r="R14828" s="505"/>
      <c r="S14828" s="505"/>
      <c r="T14828" s="505"/>
      <c r="U14828" s="505"/>
      <c r="V14828" s="505"/>
      <c r="W14828" s="505"/>
      <c r="X14828" s="505"/>
      <c r="Y14828" s="505"/>
    </row>
    <row r="14829" spans="1:25" s="88" customFormat="1" hidden="1" x14ac:dyDescent="0.25">
      <c r="A14829" s="295"/>
      <c r="B14829" s="295"/>
      <c r="C14829" s="487"/>
      <c r="D14829" s="295"/>
      <c r="E14829" s="889"/>
      <c r="F14829" s="817">
        <v>411</v>
      </c>
      <c r="G14829" s="818" t="s">
        <v>4131</v>
      </c>
      <c r="H14829" s="580"/>
      <c r="I14829" s="571"/>
      <c r="J14829" s="571">
        <f>SUM(H14829:I14829)</f>
        <v>0</v>
      </c>
      <c r="K14829" s="505"/>
      <c r="L14829" s="505"/>
      <c r="M14829" s="505"/>
      <c r="N14829" s="505"/>
      <c r="O14829" s="505"/>
      <c r="P14829" s="505"/>
      <c r="Q14829" s="505"/>
      <c r="R14829" s="505"/>
      <c r="S14829" s="505"/>
      <c r="T14829" s="505"/>
      <c r="U14829" s="505"/>
      <c r="V14829" s="505"/>
      <c r="W14829" s="505"/>
      <c r="X14829" s="505"/>
      <c r="Y14829" s="505"/>
    </row>
    <row r="14830" spans="1:25" s="88" customFormat="1" hidden="1" x14ac:dyDescent="0.25">
      <c r="A14830" s="295"/>
      <c r="B14830" s="295"/>
      <c r="C14830" s="487"/>
      <c r="D14830" s="295"/>
      <c r="E14830" s="889"/>
      <c r="F14830" s="817">
        <v>412</v>
      </c>
      <c r="G14830" s="819" t="s">
        <v>3766</v>
      </c>
      <c r="H14830" s="580"/>
      <c r="I14830" s="571"/>
      <c r="J14830" s="571">
        <f t="shared" ref="J14830:J14888" si="483">SUM(H14830:I14830)</f>
        <v>0</v>
      </c>
      <c r="K14830" s="505"/>
      <c r="L14830" s="505"/>
      <c r="M14830" s="505"/>
      <c r="N14830" s="505"/>
      <c r="O14830" s="505"/>
      <c r="P14830" s="505"/>
      <c r="Q14830" s="505"/>
      <c r="R14830" s="505"/>
      <c r="S14830" s="505"/>
      <c r="T14830" s="505"/>
      <c r="U14830" s="505"/>
      <c r="V14830" s="505"/>
      <c r="W14830" s="505"/>
      <c r="X14830" s="505"/>
      <c r="Y14830" s="505"/>
    </row>
    <row r="14831" spans="1:25" s="88" customFormat="1" hidden="1" x14ac:dyDescent="0.25">
      <c r="A14831" s="295"/>
      <c r="B14831" s="295"/>
      <c r="C14831" s="487"/>
      <c r="D14831" s="295"/>
      <c r="E14831" s="889"/>
      <c r="F14831" s="817">
        <v>413</v>
      </c>
      <c r="G14831" s="818" t="s">
        <v>4132</v>
      </c>
      <c r="H14831" s="580"/>
      <c r="I14831" s="571"/>
      <c r="J14831" s="571">
        <f t="shared" si="483"/>
        <v>0</v>
      </c>
      <c r="K14831" s="505"/>
      <c r="L14831" s="505"/>
      <c r="M14831" s="505"/>
      <c r="N14831" s="505"/>
      <c r="O14831" s="505"/>
      <c r="P14831" s="505"/>
      <c r="Q14831" s="505"/>
      <c r="R14831" s="505"/>
      <c r="S14831" s="505"/>
      <c r="T14831" s="505"/>
      <c r="U14831" s="505"/>
      <c r="V14831" s="505"/>
      <c r="W14831" s="505"/>
      <c r="X14831" s="505"/>
      <c r="Y14831" s="505"/>
    </row>
    <row r="14832" spans="1:25" s="88" customFormat="1" hidden="1" x14ac:dyDescent="0.25">
      <c r="A14832" s="295"/>
      <c r="B14832" s="295"/>
      <c r="C14832" s="487"/>
      <c r="D14832" s="295"/>
      <c r="E14832" s="889"/>
      <c r="F14832" s="817">
        <v>414</v>
      </c>
      <c r="G14832" s="818" t="s">
        <v>3769</v>
      </c>
      <c r="H14832" s="580"/>
      <c r="I14832" s="571"/>
      <c r="J14832" s="571">
        <f t="shared" si="483"/>
        <v>0</v>
      </c>
      <c r="K14832" s="505"/>
      <c r="L14832" s="505"/>
      <c r="M14832" s="505"/>
      <c r="N14832" s="505"/>
      <c r="O14832" s="505"/>
      <c r="P14832" s="505"/>
      <c r="Q14832" s="505"/>
      <c r="R14832" s="505"/>
      <c r="S14832" s="505"/>
      <c r="T14832" s="505"/>
      <c r="U14832" s="505"/>
      <c r="V14832" s="505"/>
      <c r="W14832" s="505"/>
      <c r="X14832" s="505"/>
      <c r="Y14832" s="505"/>
    </row>
    <row r="14833" spans="1:25" s="88" customFormat="1" hidden="1" x14ac:dyDescent="0.25">
      <c r="A14833" s="295"/>
      <c r="B14833" s="295"/>
      <c r="C14833" s="487"/>
      <c r="D14833" s="295"/>
      <c r="E14833" s="889"/>
      <c r="F14833" s="817">
        <v>415</v>
      </c>
      <c r="G14833" s="818" t="s">
        <v>4141</v>
      </c>
      <c r="H14833" s="580"/>
      <c r="I14833" s="571"/>
      <c r="J14833" s="571">
        <f t="shared" si="483"/>
        <v>0</v>
      </c>
      <c r="K14833" s="505"/>
      <c r="L14833" s="505"/>
      <c r="M14833" s="505"/>
      <c r="N14833" s="505"/>
      <c r="O14833" s="505"/>
      <c r="P14833" s="505"/>
      <c r="Q14833" s="505"/>
      <c r="R14833" s="505"/>
      <c r="S14833" s="505"/>
      <c r="T14833" s="505"/>
      <c r="U14833" s="505"/>
      <c r="V14833" s="505"/>
      <c r="W14833" s="505"/>
      <c r="X14833" s="505"/>
      <c r="Y14833" s="505"/>
    </row>
    <row r="14834" spans="1:25" s="88" customFormat="1" hidden="1" x14ac:dyDescent="0.25">
      <c r="A14834" s="295"/>
      <c r="B14834" s="295"/>
      <c r="C14834" s="487"/>
      <c r="D14834" s="295"/>
      <c r="E14834" s="889"/>
      <c r="F14834" s="817">
        <v>416</v>
      </c>
      <c r="G14834" s="818" t="s">
        <v>4142</v>
      </c>
      <c r="H14834" s="580"/>
      <c r="I14834" s="571"/>
      <c r="J14834" s="571">
        <f t="shared" si="483"/>
        <v>0</v>
      </c>
      <c r="K14834" s="505"/>
      <c r="L14834" s="505"/>
      <c r="M14834" s="505"/>
      <c r="N14834" s="505"/>
      <c r="O14834" s="505"/>
      <c r="P14834" s="505"/>
      <c r="Q14834" s="505"/>
      <c r="R14834" s="505"/>
      <c r="S14834" s="505"/>
      <c r="T14834" s="505"/>
      <c r="U14834" s="505"/>
      <c r="V14834" s="505"/>
      <c r="W14834" s="505"/>
      <c r="X14834" s="505"/>
      <c r="Y14834" s="505"/>
    </row>
    <row r="14835" spans="1:25" s="88" customFormat="1" hidden="1" x14ac:dyDescent="0.25">
      <c r="A14835" s="295"/>
      <c r="B14835" s="295"/>
      <c r="C14835" s="487"/>
      <c r="D14835" s="295"/>
      <c r="E14835" s="889"/>
      <c r="F14835" s="817">
        <v>417</v>
      </c>
      <c r="G14835" s="818" t="s">
        <v>4143</v>
      </c>
      <c r="H14835" s="580"/>
      <c r="I14835" s="571"/>
      <c r="J14835" s="571">
        <f t="shared" si="483"/>
        <v>0</v>
      </c>
      <c r="K14835" s="505"/>
      <c r="L14835" s="505"/>
      <c r="M14835" s="505"/>
      <c r="N14835" s="505"/>
      <c r="O14835" s="505"/>
      <c r="P14835" s="505"/>
      <c r="Q14835" s="505"/>
      <c r="R14835" s="505"/>
      <c r="S14835" s="505"/>
      <c r="T14835" s="505"/>
      <c r="U14835" s="505"/>
      <c r="V14835" s="505"/>
      <c r="W14835" s="505"/>
      <c r="X14835" s="505"/>
      <c r="Y14835" s="505"/>
    </row>
    <row r="14836" spans="1:25" s="88" customFormat="1" hidden="1" x14ac:dyDescent="0.25">
      <c r="A14836" s="295"/>
      <c r="B14836" s="295"/>
      <c r="C14836" s="487"/>
      <c r="D14836" s="295"/>
      <c r="E14836" s="889"/>
      <c r="F14836" s="817">
        <v>418</v>
      </c>
      <c r="G14836" s="818" t="s">
        <v>3775</v>
      </c>
      <c r="H14836" s="580"/>
      <c r="I14836" s="571"/>
      <c r="J14836" s="571">
        <f t="shared" si="483"/>
        <v>0</v>
      </c>
      <c r="K14836" s="505"/>
      <c r="L14836" s="505"/>
      <c r="M14836" s="505"/>
      <c r="N14836" s="505"/>
      <c r="O14836" s="505"/>
      <c r="P14836" s="505"/>
      <c r="Q14836" s="505"/>
      <c r="R14836" s="505"/>
      <c r="S14836" s="505"/>
      <c r="T14836" s="505"/>
      <c r="U14836" s="505"/>
      <c r="V14836" s="505"/>
      <c r="W14836" s="505"/>
      <c r="X14836" s="505"/>
      <c r="Y14836" s="505"/>
    </row>
    <row r="14837" spans="1:25" s="88" customFormat="1" hidden="1" x14ac:dyDescent="0.25">
      <c r="A14837" s="295"/>
      <c r="B14837" s="295"/>
      <c r="C14837" s="487"/>
      <c r="D14837" s="295"/>
      <c r="E14837" s="889"/>
      <c r="F14837" s="817">
        <v>421</v>
      </c>
      <c r="G14837" s="818" t="s">
        <v>3779</v>
      </c>
      <c r="H14837" s="580"/>
      <c r="I14837" s="571"/>
      <c r="J14837" s="571">
        <f t="shared" si="483"/>
        <v>0</v>
      </c>
      <c r="K14837" s="505"/>
      <c r="L14837" s="505"/>
      <c r="M14837" s="505"/>
      <c r="N14837" s="505"/>
      <c r="O14837" s="505"/>
      <c r="P14837" s="505"/>
      <c r="Q14837" s="505"/>
      <c r="R14837" s="505"/>
      <c r="S14837" s="505"/>
      <c r="T14837" s="505"/>
      <c r="U14837" s="505"/>
      <c r="V14837" s="505"/>
      <c r="W14837" s="505"/>
      <c r="X14837" s="505"/>
      <c r="Y14837" s="505"/>
    </row>
    <row r="14838" spans="1:25" s="88" customFormat="1" hidden="1" x14ac:dyDescent="0.25">
      <c r="A14838" s="295"/>
      <c r="B14838" s="295"/>
      <c r="C14838" s="487"/>
      <c r="D14838" s="295"/>
      <c r="E14838" s="889"/>
      <c r="F14838" s="817">
        <v>422</v>
      </c>
      <c r="G14838" s="818" t="s">
        <v>3780</v>
      </c>
      <c r="H14838" s="580"/>
      <c r="I14838" s="571"/>
      <c r="J14838" s="571">
        <f t="shared" si="483"/>
        <v>0</v>
      </c>
      <c r="K14838" s="505"/>
      <c r="L14838" s="505"/>
      <c r="M14838" s="505"/>
      <c r="N14838" s="505"/>
      <c r="O14838" s="505"/>
      <c r="P14838" s="505"/>
      <c r="Q14838" s="505"/>
      <c r="R14838" s="505"/>
      <c r="S14838" s="505"/>
      <c r="T14838" s="505"/>
      <c r="U14838" s="505"/>
      <c r="V14838" s="505"/>
      <c r="W14838" s="505"/>
      <c r="X14838" s="505"/>
      <c r="Y14838" s="505"/>
    </row>
    <row r="14839" spans="1:25" s="88" customFormat="1" hidden="1" x14ac:dyDescent="0.25">
      <c r="A14839" s="295"/>
      <c r="B14839" s="295"/>
      <c r="C14839" s="487"/>
      <c r="D14839" s="295"/>
      <c r="E14839" s="889"/>
      <c r="F14839" s="817">
        <v>423</v>
      </c>
      <c r="G14839" s="818" t="s">
        <v>3781</v>
      </c>
      <c r="H14839" s="580"/>
      <c r="I14839" s="571"/>
      <c r="J14839" s="571">
        <f t="shared" si="483"/>
        <v>0</v>
      </c>
      <c r="K14839" s="505"/>
      <c r="L14839" s="505"/>
      <c r="M14839" s="505"/>
      <c r="N14839" s="505"/>
      <c r="O14839" s="505"/>
      <c r="P14839" s="505"/>
      <c r="Q14839" s="505"/>
      <c r="R14839" s="505"/>
      <c r="S14839" s="505"/>
      <c r="T14839" s="505"/>
      <c r="U14839" s="505"/>
      <c r="V14839" s="505"/>
      <c r="W14839" s="505"/>
      <c r="X14839" s="505"/>
      <c r="Y14839" s="505"/>
    </row>
    <row r="14840" spans="1:25" s="88" customFormat="1" hidden="1" x14ac:dyDescent="0.25">
      <c r="A14840" s="295"/>
      <c r="B14840" s="295"/>
      <c r="C14840" s="487"/>
      <c r="D14840" s="295"/>
      <c r="E14840" s="889"/>
      <c r="F14840" s="817">
        <v>424</v>
      </c>
      <c r="G14840" s="818" t="s">
        <v>3783</v>
      </c>
      <c r="H14840" s="580"/>
      <c r="I14840" s="571"/>
      <c r="J14840" s="571">
        <f t="shared" si="483"/>
        <v>0</v>
      </c>
      <c r="K14840" s="505"/>
      <c r="L14840" s="505"/>
      <c r="M14840" s="505"/>
      <c r="N14840" s="505"/>
      <c r="O14840" s="505"/>
      <c r="P14840" s="505"/>
      <c r="Q14840" s="505"/>
      <c r="R14840" s="505"/>
      <c r="S14840" s="505"/>
      <c r="T14840" s="505"/>
      <c r="U14840" s="505"/>
      <c r="V14840" s="505"/>
      <c r="W14840" s="505"/>
      <c r="X14840" s="505"/>
      <c r="Y14840" s="505"/>
    </row>
    <row r="14841" spans="1:25" s="88" customFormat="1" hidden="1" x14ac:dyDescent="0.25">
      <c r="A14841" s="295"/>
      <c r="B14841" s="295"/>
      <c r="C14841" s="487"/>
      <c r="D14841" s="295"/>
      <c r="E14841" s="889"/>
      <c r="F14841" s="817">
        <v>425</v>
      </c>
      <c r="G14841" s="818" t="s">
        <v>4144</v>
      </c>
      <c r="H14841" s="580"/>
      <c r="I14841" s="571"/>
      <c r="J14841" s="571">
        <f t="shared" si="483"/>
        <v>0</v>
      </c>
      <c r="K14841" s="505"/>
      <c r="L14841" s="505"/>
      <c r="M14841" s="505"/>
      <c r="N14841" s="505"/>
      <c r="O14841" s="505"/>
      <c r="P14841" s="505"/>
      <c r="Q14841" s="505"/>
      <c r="R14841" s="505"/>
      <c r="S14841" s="505"/>
      <c r="T14841" s="505"/>
      <c r="U14841" s="505"/>
      <c r="V14841" s="505"/>
      <c r="W14841" s="505"/>
      <c r="X14841" s="505"/>
      <c r="Y14841" s="505"/>
    </row>
    <row r="14842" spans="1:25" s="88" customFormat="1" hidden="1" x14ac:dyDescent="0.25">
      <c r="A14842" s="295"/>
      <c r="B14842" s="295"/>
      <c r="C14842" s="487"/>
      <c r="D14842" s="295"/>
      <c r="E14842" s="889"/>
      <c r="F14842" s="817">
        <v>426</v>
      </c>
      <c r="G14842" s="818" t="s">
        <v>3787</v>
      </c>
      <c r="H14842" s="580"/>
      <c r="I14842" s="571"/>
      <c r="J14842" s="571">
        <f t="shared" si="483"/>
        <v>0</v>
      </c>
      <c r="K14842" s="505"/>
      <c r="L14842" s="505"/>
      <c r="M14842" s="505"/>
      <c r="N14842" s="505"/>
      <c r="O14842" s="505"/>
      <c r="P14842" s="505"/>
      <c r="Q14842" s="505"/>
      <c r="R14842" s="505"/>
      <c r="S14842" s="505"/>
      <c r="T14842" s="505"/>
      <c r="U14842" s="505"/>
      <c r="V14842" s="505"/>
      <c r="W14842" s="505"/>
      <c r="X14842" s="505"/>
      <c r="Y14842" s="505"/>
    </row>
    <row r="14843" spans="1:25" s="88" customFormat="1" hidden="1" x14ac:dyDescent="0.25">
      <c r="A14843" s="295"/>
      <c r="B14843" s="295"/>
      <c r="C14843" s="487"/>
      <c r="D14843" s="295"/>
      <c r="E14843" s="889"/>
      <c r="F14843" s="817">
        <v>431</v>
      </c>
      <c r="G14843" s="818" t="s">
        <v>4145</v>
      </c>
      <c r="H14843" s="580"/>
      <c r="I14843" s="571"/>
      <c r="J14843" s="571">
        <f t="shared" si="483"/>
        <v>0</v>
      </c>
      <c r="K14843" s="505"/>
      <c r="L14843" s="505"/>
      <c r="M14843" s="505"/>
      <c r="N14843" s="505"/>
      <c r="O14843" s="505"/>
      <c r="P14843" s="505"/>
      <c r="Q14843" s="505"/>
      <c r="R14843" s="505"/>
      <c r="S14843" s="505"/>
      <c r="T14843" s="505"/>
      <c r="U14843" s="505"/>
      <c r="V14843" s="505"/>
      <c r="W14843" s="505"/>
      <c r="X14843" s="505"/>
      <c r="Y14843" s="505"/>
    </row>
    <row r="14844" spans="1:25" s="88" customFormat="1" hidden="1" x14ac:dyDescent="0.25">
      <c r="A14844" s="295"/>
      <c r="B14844" s="295"/>
      <c r="C14844" s="487"/>
      <c r="D14844" s="295"/>
      <c r="E14844" s="889"/>
      <c r="F14844" s="817">
        <v>432</v>
      </c>
      <c r="G14844" s="818" t="s">
        <v>4146</v>
      </c>
      <c r="H14844" s="580"/>
      <c r="I14844" s="571"/>
      <c r="J14844" s="571">
        <f t="shared" si="483"/>
        <v>0</v>
      </c>
      <c r="K14844" s="505"/>
      <c r="L14844" s="505"/>
      <c r="M14844" s="505"/>
      <c r="N14844" s="505"/>
      <c r="O14844" s="505"/>
      <c r="P14844" s="505"/>
      <c r="Q14844" s="505"/>
      <c r="R14844" s="505"/>
      <c r="S14844" s="505"/>
      <c r="T14844" s="505"/>
      <c r="U14844" s="505"/>
      <c r="V14844" s="505"/>
      <c r="W14844" s="505"/>
      <c r="X14844" s="505"/>
      <c r="Y14844" s="505"/>
    </row>
    <row r="14845" spans="1:25" s="88" customFormat="1" hidden="1" x14ac:dyDescent="0.25">
      <c r="A14845" s="295"/>
      <c r="B14845" s="295"/>
      <c r="C14845" s="487"/>
      <c r="D14845" s="295"/>
      <c r="E14845" s="889"/>
      <c r="F14845" s="817">
        <v>433</v>
      </c>
      <c r="G14845" s="818" t="s">
        <v>4147</v>
      </c>
      <c r="H14845" s="580"/>
      <c r="I14845" s="571"/>
      <c r="J14845" s="571">
        <f t="shared" si="483"/>
        <v>0</v>
      </c>
      <c r="K14845" s="505"/>
      <c r="L14845" s="505"/>
      <c r="M14845" s="505"/>
      <c r="N14845" s="505"/>
      <c r="O14845" s="505"/>
      <c r="P14845" s="505"/>
      <c r="Q14845" s="505"/>
      <c r="R14845" s="505"/>
      <c r="S14845" s="505"/>
      <c r="T14845" s="505"/>
      <c r="U14845" s="505"/>
      <c r="V14845" s="505"/>
      <c r="W14845" s="505"/>
      <c r="X14845" s="505"/>
      <c r="Y14845" s="505"/>
    </row>
    <row r="14846" spans="1:25" s="88" customFormat="1" hidden="1" x14ac:dyDescent="0.25">
      <c r="A14846" s="295"/>
      <c r="B14846" s="295"/>
      <c r="C14846" s="487"/>
      <c r="D14846" s="295"/>
      <c r="E14846" s="889"/>
      <c r="F14846" s="817">
        <v>434</v>
      </c>
      <c r="G14846" s="818" t="s">
        <v>4148</v>
      </c>
      <c r="H14846" s="580"/>
      <c r="I14846" s="571"/>
      <c r="J14846" s="571">
        <f t="shared" si="483"/>
        <v>0</v>
      </c>
      <c r="K14846" s="505"/>
      <c r="L14846" s="505"/>
      <c r="M14846" s="505"/>
      <c r="N14846" s="505"/>
      <c r="O14846" s="505"/>
      <c r="P14846" s="505"/>
      <c r="Q14846" s="505"/>
      <c r="R14846" s="505"/>
      <c r="S14846" s="505"/>
      <c r="T14846" s="505"/>
      <c r="U14846" s="505"/>
      <c r="V14846" s="505"/>
      <c r="W14846" s="505"/>
      <c r="X14846" s="505"/>
      <c r="Y14846" s="505"/>
    </row>
    <row r="14847" spans="1:25" s="88" customFormat="1" hidden="1" x14ac:dyDescent="0.25">
      <c r="A14847" s="295"/>
      <c r="B14847" s="295"/>
      <c r="C14847" s="487"/>
      <c r="D14847" s="295"/>
      <c r="E14847" s="889"/>
      <c r="F14847" s="817">
        <v>435</v>
      </c>
      <c r="G14847" s="818" t="s">
        <v>3794</v>
      </c>
      <c r="H14847" s="580"/>
      <c r="I14847" s="571"/>
      <c r="J14847" s="571">
        <f t="shared" si="483"/>
        <v>0</v>
      </c>
      <c r="K14847" s="505"/>
      <c r="L14847" s="505"/>
      <c r="M14847" s="505"/>
      <c r="N14847" s="505"/>
      <c r="O14847" s="505"/>
      <c r="P14847" s="505"/>
      <c r="Q14847" s="505"/>
      <c r="R14847" s="505"/>
      <c r="S14847" s="505"/>
      <c r="T14847" s="505"/>
      <c r="U14847" s="505"/>
      <c r="V14847" s="505"/>
      <c r="W14847" s="505"/>
      <c r="X14847" s="505"/>
      <c r="Y14847" s="505"/>
    </row>
    <row r="14848" spans="1:25" s="88" customFormat="1" hidden="1" x14ac:dyDescent="0.25">
      <c r="A14848" s="295"/>
      <c r="B14848" s="295"/>
      <c r="C14848" s="487"/>
      <c r="D14848" s="295"/>
      <c r="E14848" s="889"/>
      <c r="F14848" s="817">
        <v>441</v>
      </c>
      <c r="G14848" s="818" t="s">
        <v>4149</v>
      </c>
      <c r="H14848" s="580"/>
      <c r="I14848" s="571"/>
      <c r="J14848" s="571">
        <f t="shared" si="483"/>
        <v>0</v>
      </c>
      <c r="K14848" s="505"/>
      <c r="L14848" s="505"/>
      <c r="M14848" s="505"/>
      <c r="N14848" s="505"/>
      <c r="O14848" s="505"/>
      <c r="P14848" s="505"/>
      <c r="Q14848" s="505"/>
      <c r="R14848" s="505"/>
      <c r="S14848" s="505"/>
      <c r="T14848" s="505"/>
      <c r="U14848" s="505"/>
      <c r="V14848" s="505"/>
      <c r="W14848" s="505"/>
      <c r="X14848" s="505"/>
      <c r="Y14848" s="505"/>
    </row>
    <row r="14849" spans="1:25" s="88" customFormat="1" hidden="1" x14ac:dyDescent="0.25">
      <c r="A14849" s="295"/>
      <c r="B14849" s="295"/>
      <c r="C14849" s="487"/>
      <c r="D14849" s="295"/>
      <c r="E14849" s="889"/>
      <c r="F14849" s="817">
        <v>442</v>
      </c>
      <c r="G14849" s="818" t="s">
        <v>4150</v>
      </c>
      <c r="H14849" s="580"/>
      <c r="I14849" s="571"/>
      <c r="J14849" s="571">
        <f t="shared" si="483"/>
        <v>0</v>
      </c>
      <c r="K14849" s="505"/>
      <c r="L14849" s="505"/>
      <c r="M14849" s="505"/>
      <c r="N14849" s="505"/>
      <c r="O14849" s="505"/>
      <c r="P14849" s="505"/>
      <c r="Q14849" s="505"/>
      <c r="R14849" s="505"/>
      <c r="S14849" s="505"/>
      <c r="T14849" s="505"/>
      <c r="U14849" s="505"/>
      <c r="V14849" s="505"/>
      <c r="W14849" s="505"/>
      <c r="X14849" s="505"/>
      <c r="Y14849" s="505"/>
    </row>
    <row r="14850" spans="1:25" s="88" customFormat="1" hidden="1" x14ac:dyDescent="0.25">
      <c r="A14850" s="295"/>
      <c r="B14850" s="295"/>
      <c r="C14850" s="487"/>
      <c r="D14850" s="295"/>
      <c r="E14850" s="889"/>
      <c r="F14850" s="817">
        <v>443</v>
      </c>
      <c r="G14850" s="818" t="s">
        <v>3799</v>
      </c>
      <c r="H14850" s="580"/>
      <c r="I14850" s="571"/>
      <c r="J14850" s="571">
        <f t="shared" si="483"/>
        <v>0</v>
      </c>
      <c r="K14850" s="505"/>
      <c r="L14850" s="505"/>
      <c r="M14850" s="505"/>
      <c r="N14850" s="505"/>
      <c r="O14850" s="505"/>
      <c r="P14850" s="505"/>
      <c r="Q14850" s="505"/>
      <c r="R14850" s="505"/>
      <c r="S14850" s="505"/>
      <c r="T14850" s="505"/>
      <c r="U14850" s="505"/>
      <c r="V14850" s="505"/>
      <c r="W14850" s="505"/>
      <c r="X14850" s="505"/>
      <c r="Y14850" s="505"/>
    </row>
    <row r="14851" spans="1:25" s="88" customFormat="1" hidden="1" x14ac:dyDescent="0.25">
      <c r="A14851" s="295"/>
      <c r="B14851" s="295"/>
      <c r="C14851" s="487"/>
      <c r="D14851" s="295"/>
      <c r="E14851" s="889"/>
      <c r="F14851" s="817">
        <v>444</v>
      </c>
      <c r="G14851" s="818" t="s">
        <v>3800</v>
      </c>
      <c r="H14851" s="580"/>
      <c r="I14851" s="571"/>
      <c r="J14851" s="571">
        <f t="shared" si="483"/>
        <v>0</v>
      </c>
      <c r="K14851" s="505"/>
      <c r="L14851" s="505"/>
      <c r="M14851" s="505"/>
      <c r="N14851" s="505"/>
      <c r="O14851" s="505"/>
      <c r="P14851" s="505"/>
      <c r="Q14851" s="505"/>
      <c r="R14851" s="505"/>
      <c r="S14851" s="505"/>
      <c r="T14851" s="505"/>
      <c r="U14851" s="505"/>
      <c r="V14851" s="505"/>
      <c r="W14851" s="505"/>
      <c r="X14851" s="505"/>
      <c r="Y14851" s="505"/>
    </row>
    <row r="14852" spans="1:25" s="88" customFormat="1" ht="30" hidden="1" x14ac:dyDescent="0.25">
      <c r="A14852" s="295"/>
      <c r="B14852" s="295"/>
      <c r="C14852" s="487"/>
      <c r="D14852" s="295"/>
      <c r="E14852" s="889"/>
      <c r="F14852" s="817">
        <v>4511</v>
      </c>
      <c r="G14852" s="820" t="s">
        <v>1690</v>
      </c>
      <c r="H14852" s="580"/>
      <c r="I14852" s="571"/>
      <c r="J14852" s="571">
        <f t="shared" si="483"/>
        <v>0</v>
      </c>
      <c r="K14852" s="505"/>
      <c r="L14852" s="505"/>
      <c r="M14852" s="505"/>
      <c r="N14852" s="505"/>
      <c r="O14852" s="505"/>
      <c r="P14852" s="505"/>
      <c r="Q14852" s="505"/>
      <c r="R14852" s="505"/>
      <c r="S14852" s="505"/>
      <c r="T14852" s="505"/>
      <c r="U14852" s="505"/>
      <c r="V14852" s="505"/>
      <c r="W14852" s="505"/>
      <c r="X14852" s="505"/>
      <c r="Y14852" s="505"/>
    </row>
    <row r="14853" spans="1:25" s="88" customFormat="1" ht="19.5" hidden="1" customHeight="1" x14ac:dyDescent="0.25">
      <c r="A14853" s="295"/>
      <c r="B14853" s="295"/>
      <c r="C14853" s="487"/>
      <c r="D14853" s="295"/>
      <c r="E14853" s="889"/>
      <c r="F14853" s="817">
        <v>4512</v>
      </c>
      <c r="G14853" s="820" t="s">
        <v>1699</v>
      </c>
      <c r="H14853" s="580"/>
      <c r="I14853" s="571"/>
      <c r="J14853" s="571">
        <f t="shared" si="483"/>
        <v>0</v>
      </c>
      <c r="K14853" s="505"/>
      <c r="L14853" s="505"/>
      <c r="M14853" s="505"/>
      <c r="N14853" s="505"/>
      <c r="O14853" s="505"/>
      <c r="P14853" s="505"/>
      <c r="Q14853" s="505"/>
      <c r="R14853" s="505"/>
      <c r="S14853" s="505"/>
      <c r="T14853" s="505"/>
      <c r="U14853" s="505"/>
      <c r="V14853" s="505"/>
      <c r="W14853" s="505"/>
      <c r="X14853" s="505"/>
      <c r="Y14853" s="505"/>
    </row>
    <row r="14854" spans="1:25" s="88" customFormat="1" hidden="1" x14ac:dyDescent="0.25">
      <c r="A14854" s="295"/>
      <c r="B14854" s="295"/>
      <c r="C14854" s="487"/>
      <c r="D14854" s="295"/>
      <c r="E14854" s="889"/>
      <c r="F14854" s="817">
        <v>452</v>
      </c>
      <c r="G14854" s="818" t="s">
        <v>4151</v>
      </c>
      <c r="H14854" s="580"/>
      <c r="I14854" s="571"/>
      <c r="J14854" s="571">
        <f t="shared" si="483"/>
        <v>0</v>
      </c>
      <c r="K14854" s="505"/>
      <c r="L14854" s="505"/>
      <c r="M14854" s="505"/>
      <c r="N14854" s="505"/>
      <c r="O14854" s="505"/>
      <c r="P14854" s="505"/>
      <c r="Q14854" s="505"/>
      <c r="R14854" s="505"/>
      <c r="S14854" s="505"/>
      <c r="T14854" s="505"/>
      <c r="U14854" s="505"/>
      <c r="V14854" s="505"/>
      <c r="W14854" s="505"/>
      <c r="X14854" s="505"/>
      <c r="Y14854" s="505"/>
    </row>
    <row r="14855" spans="1:25" s="88" customFormat="1" hidden="1" x14ac:dyDescent="0.25">
      <c r="A14855" s="295"/>
      <c r="B14855" s="295"/>
      <c r="C14855" s="487"/>
      <c r="D14855" s="295"/>
      <c r="E14855" s="889"/>
      <c r="F14855" s="817">
        <v>453</v>
      </c>
      <c r="G14855" s="818" t="s">
        <v>4152</v>
      </c>
      <c r="H14855" s="580"/>
      <c r="I14855" s="571"/>
      <c r="J14855" s="571">
        <f t="shared" si="483"/>
        <v>0</v>
      </c>
      <c r="K14855" s="505"/>
      <c r="L14855" s="505"/>
      <c r="M14855" s="505"/>
      <c r="N14855" s="505"/>
      <c r="O14855" s="505"/>
      <c r="P14855" s="505"/>
      <c r="Q14855" s="505"/>
      <c r="R14855" s="505"/>
      <c r="S14855" s="505"/>
      <c r="T14855" s="505"/>
      <c r="U14855" s="505"/>
      <c r="V14855" s="505"/>
      <c r="W14855" s="505"/>
      <c r="X14855" s="505"/>
      <c r="Y14855" s="505"/>
    </row>
    <row r="14856" spans="1:25" s="88" customFormat="1" hidden="1" x14ac:dyDescent="0.25">
      <c r="A14856" s="295"/>
      <c r="B14856" s="295"/>
      <c r="C14856" s="487"/>
      <c r="D14856" s="295"/>
      <c r="E14856" s="889"/>
      <c r="F14856" s="817">
        <v>454</v>
      </c>
      <c r="G14856" s="818" t="s">
        <v>3805</v>
      </c>
      <c r="H14856" s="580"/>
      <c r="I14856" s="571"/>
      <c r="J14856" s="571">
        <f t="shared" si="483"/>
        <v>0</v>
      </c>
      <c r="K14856" s="505"/>
      <c r="L14856" s="505"/>
      <c r="M14856" s="505"/>
      <c r="N14856" s="505"/>
      <c r="O14856" s="505"/>
      <c r="P14856" s="505"/>
      <c r="Q14856" s="505"/>
      <c r="R14856" s="505"/>
      <c r="S14856" s="505"/>
      <c r="T14856" s="505"/>
      <c r="U14856" s="505"/>
      <c r="V14856" s="505"/>
      <c r="W14856" s="505"/>
      <c r="X14856" s="505"/>
      <c r="Y14856" s="505"/>
    </row>
    <row r="14857" spans="1:25" s="88" customFormat="1" hidden="1" x14ac:dyDescent="0.25">
      <c r="A14857" s="295"/>
      <c r="B14857" s="295"/>
      <c r="C14857" s="487"/>
      <c r="D14857" s="295"/>
      <c r="E14857" s="889"/>
      <c r="F14857" s="817">
        <v>461</v>
      </c>
      <c r="G14857" s="818" t="s">
        <v>4133</v>
      </c>
      <c r="H14857" s="580"/>
      <c r="I14857" s="571"/>
      <c r="J14857" s="571">
        <f t="shared" si="483"/>
        <v>0</v>
      </c>
      <c r="K14857" s="505"/>
      <c r="L14857" s="505"/>
      <c r="M14857" s="505"/>
      <c r="N14857" s="505"/>
      <c r="O14857" s="505"/>
      <c r="P14857" s="505"/>
      <c r="Q14857" s="505"/>
      <c r="R14857" s="505"/>
      <c r="S14857" s="505"/>
      <c r="T14857" s="505"/>
      <c r="U14857" s="505"/>
      <c r="V14857" s="505"/>
      <c r="W14857" s="505"/>
      <c r="X14857" s="505"/>
      <c r="Y14857" s="505"/>
    </row>
    <row r="14858" spans="1:25" s="88" customFormat="1" hidden="1" x14ac:dyDescent="0.25">
      <c r="A14858" s="295"/>
      <c r="B14858" s="295"/>
      <c r="C14858" s="487"/>
      <c r="D14858" s="295"/>
      <c r="E14858" s="889"/>
      <c r="F14858" s="817">
        <v>462</v>
      </c>
      <c r="G14858" s="818" t="s">
        <v>3808</v>
      </c>
      <c r="H14858" s="580"/>
      <c r="I14858" s="571"/>
      <c r="J14858" s="571">
        <f t="shared" si="483"/>
        <v>0</v>
      </c>
      <c r="K14858" s="505"/>
      <c r="L14858" s="505"/>
      <c r="M14858" s="505"/>
      <c r="N14858" s="505"/>
      <c r="O14858" s="505"/>
      <c r="P14858" s="505"/>
      <c r="Q14858" s="505"/>
      <c r="R14858" s="505"/>
      <c r="S14858" s="505"/>
      <c r="T14858" s="505"/>
      <c r="U14858" s="505"/>
      <c r="V14858" s="505"/>
      <c r="W14858" s="505"/>
      <c r="X14858" s="505"/>
      <c r="Y14858" s="505"/>
    </row>
    <row r="14859" spans="1:25" s="88" customFormat="1" hidden="1" x14ac:dyDescent="0.25">
      <c r="A14859" s="295"/>
      <c r="B14859" s="295"/>
      <c r="C14859" s="487"/>
      <c r="D14859" s="295"/>
      <c r="E14859" s="889"/>
      <c r="F14859" s="817">
        <v>4631</v>
      </c>
      <c r="G14859" s="818" t="s">
        <v>3809</v>
      </c>
      <c r="H14859" s="580"/>
      <c r="I14859" s="571"/>
      <c r="J14859" s="571">
        <f t="shared" si="483"/>
        <v>0</v>
      </c>
      <c r="K14859" s="505"/>
      <c r="L14859" s="505"/>
      <c r="M14859" s="505"/>
      <c r="N14859" s="505"/>
      <c r="O14859" s="505"/>
      <c r="P14859" s="505"/>
      <c r="Q14859" s="505"/>
      <c r="R14859" s="505"/>
      <c r="S14859" s="505"/>
      <c r="T14859" s="505"/>
      <c r="U14859" s="505"/>
      <c r="V14859" s="505"/>
      <c r="W14859" s="505"/>
      <c r="X14859" s="505"/>
      <c r="Y14859" s="505"/>
    </row>
    <row r="14860" spans="1:25" s="88" customFormat="1" hidden="1" x14ac:dyDescent="0.25">
      <c r="A14860" s="295"/>
      <c r="B14860" s="295"/>
      <c r="C14860" s="487"/>
      <c r="D14860" s="295"/>
      <c r="E14860" s="889"/>
      <c r="F14860" s="817">
        <v>4632</v>
      </c>
      <c r="G14860" s="818" t="s">
        <v>3810</v>
      </c>
      <c r="H14860" s="580"/>
      <c r="I14860" s="571"/>
      <c r="J14860" s="571">
        <f t="shared" si="483"/>
        <v>0</v>
      </c>
      <c r="K14860" s="505"/>
      <c r="L14860" s="505"/>
      <c r="M14860" s="505"/>
      <c r="N14860" s="505"/>
      <c r="O14860" s="505"/>
      <c r="P14860" s="505"/>
      <c r="Q14860" s="505"/>
      <c r="R14860" s="505"/>
      <c r="S14860" s="505"/>
      <c r="T14860" s="505"/>
      <c r="U14860" s="505"/>
      <c r="V14860" s="505"/>
      <c r="W14860" s="505"/>
      <c r="X14860" s="505"/>
      <c r="Y14860" s="505"/>
    </row>
    <row r="14861" spans="1:25" s="88" customFormat="1" hidden="1" x14ac:dyDescent="0.25">
      <c r="A14861" s="295"/>
      <c r="B14861" s="295"/>
      <c r="C14861" s="487"/>
      <c r="D14861" s="295"/>
      <c r="E14861" s="889"/>
      <c r="F14861" s="817">
        <v>464</v>
      </c>
      <c r="G14861" s="818" t="s">
        <v>3811</v>
      </c>
      <c r="H14861" s="580"/>
      <c r="I14861" s="571"/>
      <c r="J14861" s="571">
        <f t="shared" si="483"/>
        <v>0</v>
      </c>
      <c r="K14861" s="505"/>
      <c r="L14861" s="505"/>
      <c r="M14861" s="505"/>
      <c r="N14861" s="505"/>
      <c r="O14861" s="505"/>
      <c r="P14861" s="505"/>
      <c r="Q14861" s="505"/>
      <c r="R14861" s="505"/>
      <c r="S14861" s="505"/>
      <c r="T14861" s="505"/>
      <c r="U14861" s="505"/>
      <c r="V14861" s="505"/>
      <c r="W14861" s="505"/>
      <c r="X14861" s="505"/>
      <c r="Y14861" s="505"/>
    </row>
    <row r="14862" spans="1:25" s="88" customFormat="1" hidden="1" x14ac:dyDescent="0.25">
      <c r="A14862" s="295"/>
      <c r="B14862" s="295"/>
      <c r="C14862" s="487"/>
      <c r="D14862" s="295"/>
      <c r="E14862" s="889"/>
      <c r="F14862" s="817">
        <v>465</v>
      </c>
      <c r="G14862" s="818" t="s">
        <v>4134</v>
      </c>
      <c r="H14862" s="580"/>
      <c r="I14862" s="571"/>
      <c r="J14862" s="571">
        <f t="shared" si="483"/>
        <v>0</v>
      </c>
      <c r="K14862" s="505"/>
      <c r="L14862" s="505"/>
      <c r="M14862" s="505"/>
      <c r="N14862" s="505"/>
      <c r="O14862" s="505"/>
      <c r="P14862" s="505"/>
      <c r="Q14862" s="505"/>
      <c r="R14862" s="505"/>
      <c r="S14862" s="505"/>
      <c r="T14862" s="505"/>
      <c r="U14862" s="505"/>
      <c r="V14862" s="505"/>
      <c r="W14862" s="505"/>
      <c r="X14862" s="505"/>
      <c r="Y14862" s="505"/>
    </row>
    <row r="14863" spans="1:25" s="88" customFormat="1" hidden="1" x14ac:dyDescent="0.25">
      <c r="A14863" s="295"/>
      <c r="B14863" s="295"/>
      <c r="C14863" s="487"/>
      <c r="D14863" s="295"/>
      <c r="E14863" s="889"/>
      <c r="F14863" s="817">
        <v>472</v>
      </c>
      <c r="G14863" s="818" t="s">
        <v>3815</v>
      </c>
      <c r="H14863" s="580"/>
      <c r="I14863" s="571"/>
      <c r="J14863" s="571">
        <f t="shared" si="483"/>
        <v>0</v>
      </c>
      <c r="K14863" s="505"/>
      <c r="L14863" s="505"/>
      <c r="M14863" s="505"/>
      <c r="N14863" s="505"/>
      <c r="O14863" s="505"/>
      <c r="P14863" s="505"/>
      <c r="Q14863" s="505"/>
      <c r="R14863" s="505"/>
      <c r="S14863" s="505"/>
      <c r="T14863" s="505"/>
      <c r="U14863" s="505"/>
      <c r="V14863" s="505"/>
      <c r="W14863" s="505"/>
      <c r="X14863" s="505"/>
      <c r="Y14863" s="505"/>
    </row>
    <row r="14864" spans="1:25" s="88" customFormat="1" hidden="1" x14ac:dyDescent="0.25">
      <c r="A14864" s="295"/>
      <c r="B14864" s="295"/>
      <c r="C14864" s="487"/>
      <c r="D14864" s="295"/>
      <c r="E14864" s="889"/>
      <c r="F14864" s="817">
        <v>481</v>
      </c>
      <c r="G14864" s="818" t="s">
        <v>4153</v>
      </c>
      <c r="H14864" s="580"/>
      <c r="I14864" s="571"/>
      <c r="J14864" s="571">
        <f t="shared" si="483"/>
        <v>0</v>
      </c>
      <c r="K14864" s="505"/>
      <c r="L14864" s="505"/>
      <c r="M14864" s="505"/>
      <c r="N14864" s="505"/>
      <c r="O14864" s="505"/>
      <c r="P14864" s="505"/>
      <c r="Q14864" s="505"/>
      <c r="R14864" s="505"/>
      <c r="S14864" s="505"/>
      <c r="T14864" s="505"/>
      <c r="U14864" s="505"/>
      <c r="V14864" s="505"/>
      <c r="W14864" s="505"/>
      <c r="X14864" s="505"/>
      <c r="Y14864" s="505"/>
    </row>
    <row r="14865" spans="1:25" s="88" customFormat="1" hidden="1" x14ac:dyDescent="0.25">
      <c r="A14865" s="295"/>
      <c r="B14865" s="295"/>
      <c r="C14865" s="487"/>
      <c r="D14865" s="295"/>
      <c r="E14865" s="889"/>
      <c r="F14865" s="817">
        <v>482</v>
      </c>
      <c r="G14865" s="818" t="s">
        <v>4154</v>
      </c>
      <c r="H14865" s="580"/>
      <c r="I14865" s="571"/>
      <c r="J14865" s="571">
        <f t="shared" si="483"/>
        <v>0</v>
      </c>
      <c r="K14865" s="505"/>
      <c r="L14865" s="505"/>
      <c r="M14865" s="505"/>
      <c r="N14865" s="505"/>
      <c r="O14865" s="505"/>
      <c r="P14865" s="505"/>
      <c r="Q14865" s="505"/>
      <c r="R14865" s="505"/>
      <c r="S14865" s="505"/>
      <c r="T14865" s="505"/>
      <c r="U14865" s="505"/>
      <c r="V14865" s="505"/>
      <c r="W14865" s="505"/>
      <c r="X14865" s="505"/>
      <c r="Y14865" s="505"/>
    </row>
    <row r="14866" spans="1:25" s="88" customFormat="1" hidden="1" x14ac:dyDescent="0.25">
      <c r="A14866" s="295"/>
      <c r="B14866" s="295"/>
      <c r="C14866" s="487"/>
      <c r="D14866" s="295"/>
      <c r="E14866" s="889"/>
      <c r="F14866" s="817">
        <v>483</v>
      </c>
      <c r="G14866" s="821" t="s">
        <v>4155</v>
      </c>
      <c r="H14866" s="580"/>
      <c r="I14866" s="571"/>
      <c r="J14866" s="571">
        <f t="shared" si="483"/>
        <v>0</v>
      </c>
      <c r="K14866" s="505"/>
      <c r="L14866" s="505"/>
      <c r="M14866" s="505"/>
      <c r="N14866" s="505"/>
      <c r="O14866" s="505"/>
      <c r="P14866" s="505"/>
      <c r="Q14866" s="505"/>
      <c r="R14866" s="505"/>
      <c r="S14866" s="505"/>
      <c r="T14866" s="505"/>
      <c r="U14866" s="505"/>
      <c r="V14866" s="505"/>
      <c r="W14866" s="505"/>
      <c r="X14866" s="505"/>
      <c r="Y14866" s="505"/>
    </row>
    <row r="14867" spans="1:25" s="88" customFormat="1" ht="30" hidden="1" x14ac:dyDescent="0.25">
      <c r="A14867" s="295"/>
      <c r="B14867" s="295"/>
      <c r="C14867" s="487"/>
      <c r="D14867" s="295"/>
      <c r="E14867" s="889"/>
      <c r="F14867" s="817">
        <v>484</v>
      </c>
      <c r="G14867" s="818" t="s">
        <v>4156</v>
      </c>
      <c r="H14867" s="580"/>
      <c r="I14867" s="571"/>
      <c r="J14867" s="571">
        <f t="shared" si="483"/>
        <v>0</v>
      </c>
      <c r="K14867" s="505"/>
      <c r="L14867" s="505"/>
      <c r="M14867" s="505"/>
      <c r="N14867" s="505"/>
      <c r="O14867" s="505"/>
      <c r="P14867" s="505"/>
      <c r="Q14867" s="505"/>
      <c r="R14867" s="505"/>
      <c r="S14867" s="505"/>
      <c r="T14867" s="505"/>
      <c r="U14867" s="505"/>
      <c r="V14867" s="505"/>
      <c r="W14867" s="505"/>
      <c r="X14867" s="505"/>
      <c r="Y14867" s="505"/>
    </row>
    <row r="14868" spans="1:25" s="88" customFormat="1" ht="30" hidden="1" x14ac:dyDescent="0.25">
      <c r="A14868" s="295"/>
      <c r="B14868" s="295"/>
      <c r="C14868" s="487"/>
      <c r="D14868" s="295"/>
      <c r="E14868" s="889"/>
      <c r="F14868" s="817">
        <v>485</v>
      </c>
      <c r="G14868" s="818" t="s">
        <v>4157</v>
      </c>
      <c r="H14868" s="580"/>
      <c r="I14868" s="571"/>
      <c r="J14868" s="571">
        <f t="shared" si="483"/>
        <v>0</v>
      </c>
      <c r="K14868" s="505"/>
      <c r="L14868" s="505"/>
      <c r="M14868" s="505"/>
      <c r="N14868" s="505"/>
      <c r="O14868" s="505"/>
      <c r="P14868" s="505"/>
      <c r="Q14868" s="505"/>
      <c r="R14868" s="505"/>
      <c r="S14868" s="505"/>
      <c r="T14868" s="505"/>
      <c r="U14868" s="505"/>
      <c r="V14868" s="505"/>
      <c r="W14868" s="505"/>
      <c r="X14868" s="505"/>
      <c r="Y14868" s="505"/>
    </row>
    <row r="14869" spans="1:25" s="88" customFormat="1" ht="30" hidden="1" x14ac:dyDescent="0.25">
      <c r="A14869" s="295"/>
      <c r="B14869" s="295"/>
      <c r="C14869" s="487"/>
      <c r="D14869" s="295"/>
      <c r="E14869" s="889"/>
      <c r="F14869" s="817">
        <v>489</v>
      </c>
      <c r="G14869" s="818" t="s">
        <v>3823</v>
      </c>
      <c r="H14869" s="580"/>
      <c r="I14869" s="571"/>
      <c r="J14869" s="571">
        <f t="shared" si="483"/>
        <v>0</v>
      </c>
      <c r="K14869" s="505"/>
      <c r="L14869" s="505"/>
      <c r="M14869" s="505"/>
      <c r="N14869" s="505"/>
      <c r="O14869" s="505"/>
      <c r="P14869" s="505"/>
      <c r="Q14869" s="505"/>
      <c r="R14869" s="505"/>
      <c r="S14869" s="505"/>
      <c r="T14869" s="505"/>
      <c r="U14869" s="505"/>
      <c r="V14869" s="505"/>
      <c r="W14869" s="505"/>
      <c r="X14869" s="505"/>
      <c r="Y14869" s="505"/>
    </row>
    <row r="14870" spans="1:25" s="88" customFormat="1" hidden="1" x14ac:dyDescent="0.25">
      <c r="A14870" s="295"/>
      <c r="B14870" s="295"/>
      <c r="C14870" s="487"/>
      <c r="D14870" s="295"/>
      <c r="E14870" s="889"/>
      <c r="F14870" s="817">
        <v>494</v>
      </c>
      <c r="G14870" s="818" t="s">
        <v>4135</v>
      </c>
      <c r="H14870" s="580"/>
      <c r="I14870" s="571"/>
      <c r="J14870" s="571">
        <f t="shared" si="483"/>
        <v>0</v>
      </c>
      <c r="K14870" s="505"/>
      <c r="L14870" s="505"/>
      <c r="M14870" s="505"/>
      <c r="N14870" s="505"/>
      <c r="O14870" s="505"/>
      <c r="P14870" s="505"/>
      <c r="Q14870" s="505"/>
      <c r="R14870" s="505"/>
      <c r="S14870" s="505"/>
      <c r="T14870" s="505"/>
      <c r="U14870" s="505"/>
      <c r="V14870" s="505"/>
      <c r="W14870" s="505"/>
      <c r="X14870" s="505"/>
      <c r="Y14870" s="505"/>
    </row>
    <row r="14871" spans="1:25" s="88" customFormat="1" ht="30" hidden="1" x14ac:dyDescent="0.25">
      <c r="A14871" s="295"/>
      <c r="B14871" s="295"/>
      <c r="C14871" s="487"/>
      <c r="D14871" s="295"/>
      <c r="E14871" s="889"/>
      <c r="F14871" s="817">
        <v>495</v>
      </c>
      <c r="G14871" s="818" t="s">
        <v>4136</v>
      </c>
      <c r="H14871" s="580"/>
      <c r="I14871" s="571"/>
      <c r="J14871" s="571">
        <f t="shared" si="483"/>
        <v>0</v>
      </c>
      <c r="K14871" s="505"/>
      <c r="L14871" s="505"/>
      <c r="M14871" s="505"/>
      <c r="N14871" s="505"/>
      <c r="O14871" s="505"/>
      <c r="P14871" s="505"/>
      <c r="Q14871" s="505"/>
      <c r="R14871" s="505"/>
      <c r="S14871" s="505"/>
      <c r="T14871" s="505"/>
      <c r="U14871" s="505"/>
      <c r="V14871" s="505"/>
      <c r="W14871" s="505"/>
      <c r="X14871" s="505"/>
      <c r="Y14871" s="505"/>
    </row>
    <row r="14872" spans="1:25" s="88" customFormat="1" ht="30" hidden="1" x14ac:dyDescent="0.25">
      <c r="A14872" s="295"/>
      <c r="B14872" s="295"/>
      <c r="C14872" s="487"/>
      <c r="D14872" s="295"/>
      <c r="E14872" s="889"/>
      <c r="F14872" s="817">
        <v>496</v>
      </c>
      <c r="G14872" s="818" t="s">
        <v>4137</v>
      </c>
      <c r="H14872" s="580"/>
      <c r="I14872" s="571"/>
      <c r="J14872" s="571">
        <f t="shared" si="483"/>
        <v>0</v>
      </c>
      <c r="K14872" s="505"/>
      <c r="L14872" s="505"/>
      <c r="M14872" s="505"/>
      <c r="N14872" s="505"/>
      <c r="O14872" s="505"/>
      <c r="P14872" s="505"/>
      <c r="Q14872" s="505"/>
      <c r="R14872" s="505"/>
      <c r="S14872" s="505"/>
      <c r="T14872" s="505"/>
      <c r="U14872" s="505"/>
      <c r="V14872" s="505"/>
      <c r="W14872" s="505"/>
      <c r="X14872" s="505"/>
      <c r="Y14872" s="505"/>
    </row>
    <row r="14873" spans="1:25" s="88" customFormat="1" ht="30" hidden="1" x14ac:dyDescent="0.25">
      <c r="A14873" s="295"/>
      <c r="B14873" s="295"/>
      <c r="C14873" s="487"/>
      <c r="D14873" s="295"/>
      <c r="E14873" s="889"/>
      <c r="F14873" s="817">
        <v>499</v>
      </c>
      <c r="G14873" s="818" t="s">
        <v>4138</v>
      </c>
      <c r="H14873" s="580"/>
      <c r="I14873" s="571"/>
      <c r="J14873" s="571">
        <f t="shared" si="483"/>
        <v>0</v>
      </c>
      <c r="K14873" s="505"/>
      <c r="L14873" s="505"/>
      <c r="M14873" s="505"/>
      <c r="N14873" s="505"/>
      <c r="O14873" s="505"/>
      <c r="P14873" s="505"/>
      <c r="Q14873" s="505"/>
      <c r="R14873" s="505"/>
      <c r="S14873" s="505"/>
      <c r="T14873" s="505"/>
      <c r="U14873" s="505"/>
      <c r="V14873" s="505"/>
      <c r="W14873" s="505"/>
      <c r="X14873" s="505"/>
      <c r="Y14873" s="505"/>
    </row>
    <row r="14874" spans="1:25" s="88" customFormat="1" hidden="1" x14ac:dyDescent="0.25">
      <c r="A14874" s="295"/>
      <c r="B14874" s="295"/>
      <c r="C14874" s="487"/>
      <c r="D14874" s="295"/>
      <c r="E14874" s="889"/>
      <c r="F14874" s="817">
        <v>511</v>
      </c>
      <c r="G14874" s="821" t="s">
        <v>4158</v>
      </c>
      <c r="H14874" s="580"/>
      <c r="I14874" s="571"/>
      <c r="J14874" s="571">
        <f t="shared" si="483"/>
        <v>0</v>
      </c>
      <c r="K14874" s="505"/>
      <c r="L14874" s="505"/>
      <c r="M14874" s="505"/>
      <c r="N14874" s="505"/>
      <c r="O14874" s="505"/>
      <c r="P14874" s="505"/>
      <c r="Q14874" s="505"/>
      <c r="R14874" s="505"/>
      <c r="S14874" s="505"/>
      <c r="T14874" s="505"/>
      <c r="U14874" s="505"/>
      <c r="V14874" s="505"/>
      <c r="W14874" s="505"/>
      <c r="X14874" s="505"/>
      <c r="Y14874" s="505"/>
    </row>
    <row r="14875" spans="1:25" s="88" customFormat="1" hidden="1" x14ac:dyDescent="0.25">
      <c r="A14875" s="295"/>
      <c r="B14875" s="295"/>
      <c r="C14875" s="487"/>
      <c r="D14875" s="295"/>
      <c r="E14875" s="889"/>
      <c r="F14875" s="817">
        <v>512</v>
      </c>
      <c r="G14875" s="821" t="s">
        <v>4159</v>
      </c>
      <c r="H14875" s="580"/>
      <c r="I14875" s="571"/>
      <c r="J14875" s="571">
        <f t="shared" si="483"/>
        <v>0</v>
      </c>
      <c r="K14875" s="505"/>
      <c r="L14875" s="505"/>
      <c r="M14875" s="505"/>
      <c r="N14875" s="505"/>
      <c r="O14875" s="505"/>
      <c r="P14875" s="505"/>
      <c r="Q14875" s="505"/>
      <c r="R14875" s="505"/>
      <c r="S14875" s="505"/>
      <c r="T14875" s="505"/>
      <c r="U14875" s="505"/>
      <c r="V14875" s="505"/>
      <c r="W14875" s="505"/>
      <c r="X14875" s="505"/>
      <c r="Y14875" s="505"/>
    </row>
    <row r="14876" spans="1:25" s="88" customFormat="1" hidden="1" x14ac:dyDescent="0.25">
      <c r="A14876" s="295"/>
      <c r="B14876" s="295"/>
      <c r="C14876" s="487"/>
      <c r="D14876" s="295"/>
      <c r="E14876" s="889"/>
      <c r="F14876" s="817">
        <v>513</v>
      </c>
      <c r="G14876" s="821" t="s">
        <v>4160</v>
      </c>
      <c r="H14876" s="580"/>
      <c r="I14876" s="571"/>
      <c r="J14876" s="571">
        <f t="shared" si="483"/>
        <v>0</v>
      </c>
      <c r="K14876" s="505"/>
      <c r="L14876" s="505"/>
      <c r="M14876" s="505"/>
      <c r="N14876" s="505"/>
      <c r="O14876" s="505"/>
      <c r="P14876" s="505"/>
      <c r="Q14876" s="505"/>
      <c r="R14876" s="505"/>
      <c r="S14876" s="505"/>
      <c r="T14876" s="505"/>
      <c r="U14876" s="505"/>
      <c r="V14876" s="505"/>
      <c r="W14876" s="505"/>
      <c r="X14876" s="505"/>
      <c r="Y14876" s="505"/>
    </row>
    <row r="14877" spans="1:25" s="88" customFormat="1" hidden="1" x14ac:dyDescent="0.25">
      <c r="A14877" s="295"/>
      <c r="B14877" s="295"/>
      <c r="C14877" s="487"/>
      <c r="D14877" s="295"/>
      <c r="E14877" s="889"/>
      <c r="F14877" s="817">
        <v>514</v>
      </c>
      <c r="G14877" s="818" t="s">
        <v>4161</v>
      </c>
      <c r="H14877" s="580"/>
      <c r="I14877" s="571"/>
      <c r="J14877" s="571">
        <f t="shared" si="483"/>
        <v>0</v>
      </c>
      <c r="K14877" s="505"/>
      <c r="L14877" s="505"/>
      <c r="M14877" s="505"/>
      <c r="N14877" s="505"/>
      <c r="O14877" s="505"/>
      <c r="P14877" s="505"/>
      <c r="Q14877" s="505"/>
      <c r="R14877" s="505"/>
      <c r="S14877" s="505"/>
      <c r="T14877" s="505"/>
      <c r="U14877" s="505"/>
      <c r="V14877" s="505"/>
      <c r="W14877" s="505"/>
      <c r="X14877" s="505"/>
      <c r="Y14877" s="505"/>
    </row>
    <row r="14878" spans="1:25" s="88" customFormat="1" hidden="1" x14ac:dyDescent="0.25">
      <c r="A14878" s="295"/>
      <c r="B14878" s="295"/>
      <c r="C14878" s="487"/>
      <c r="D14878" s="295"/>
      <c r="E14878" s="889"/>
      <c r="F14878" s="817">
        <v>515</v>
      </c>
      <c r="G14878" s="818" t="s">
        <v>3834</v>
      </c>
      <c r="H14878" s="580"/>
      <c r="I14878" s="571"/>
      <c r="J14878" s="571">
        <f t="shared" si="483"/>
        <v>0</v>
      </c>
      <c r="K14878" s="505"/>
      <c r="L14878" s="505"/>
      <c r="M14878" s="505"/>
      <c r="N14878" s="505"/>
      <c r="O14878" s="505"/>
      <c r="P14878" s="505"/>
      <c r="Q14878" s="505"/>
      <c r="R14878" s="505"/>
      <c r="S14878" s="505"/>
      <c r="T14878" s="505"/>
      <c r="U14878" s="505"/>
      <c r="V14878" s="505"/>
      <c r="W14878" s="505"/>
      <c r="X14878" s="505"/>
      <c r="Y14878" s="505"/>
    </row>
    <row r="14879" spans="1:25" s="88" customFormat="1" hidden="1" x14ac:dyDescent="0.25">
      <c r="A14879" s="295"/>
      <c r="B14879" s="295"/>
      <c r="C14879" s="487"/>
      <c r="D14879" s="295"/>
      <c r="E14879" s="889"/>
      <c r="F14879" s="817">
        <v>521</v>
      </c>
      <c r="G14879" s="818" t="s">
        <v>4162</v>
      </c>
      <c r="H14879" s="580"/>
      <c r="I14879" s="571"/>
      <c r="J14879" s="571">
        <f t="shared" si="483"/>
        <v>0</v>
      </c>
      <c r="K14879" s="505"/>
      <c r="L14879" s="505"/>
      <c r="M14879" s="505"/>
      <c r="N14879" s="505"/>
      <c r="O14879" s="505"/>
      <c r="P14879" s="505"/>
      <c r="Q14879" s="505"/>
      <c r="R14879" s="505"/>
      <c r="S14879" s="505"/>
      <c r="T14879" s="505"/>
      <c r="U14879" s="505"/>
      <c r="V14879" s="505"/>
      <c r="W14879" s="505"/>
      <c r="X14879" s="505"/>
      <c r="Y14879" s="505"/>
    </row>
    <row r="14880" spans="1:25" s="88" customFormat="1" hidden="1" x14ac:dyDescent="0.25">
      <c r="A14880" s="295"/>
      <c r="B14880" s="295"/>
      <c r="C14880" s="487"/>
      <c r="D14880" s="295"/>
      <c r="E14880" s="889"/>
      <c r="F14880" s="817">
        <v>522</v>
      </c>
      <c r="G14880" s="818" t="s">
        <v>4163</v>
      </c>
      <c r="H14880" s="580"/>
      <c r="I14880" s="571"/>
      <c r="J14880" s="571">
        <f t="shared" si="483"/>
        <v>0</v>
      </c>
      <c r="K14880" s="505"/>
      <c r="L14880" s="505"/>
      <c r="M14880" s="505"/>
      <c r="N14880" s="505"/>
      <c r="O14880" s="505"/>
      <c r="P14880" s="505"/>
      <c r="Q14880" s="505"/>
      <c r="R14880" s="505"/>
      <c r="S14880" s="505"/>
      <c r="T14880" s="505"/>
      <c r="U14880" s="505"/>
      <c r="V14880" s="505"/>
      <c r="W14880" s="505"/>
      <c r="X14880" s="505"/>
      <c r="Y14880" s="505"/>
    </row>
    <row r="14881" spans="1:25" s="88" customFormat="1" hidden="1" x14ac:dyDescent="0.25">
      <c r="A14881" s="295"/>
      <c r="B14881" s="295"/>
      <c r="C14881" s="487"/>
      <c r="D14881" s="295"/>
      <c r="E14881" s="889"/>
      <c r="F14881" s="817">
        <v>523</v>
      </c>
      <c r="G14881" s="818" t="s">
        <v>3839</v>
      </c>
      <c r="H14881" s="580"/>
      <c r="I14881" s="571"/>
      <c r="J14881" s="571">
        <f t="shared" si="483"/>
        <v>0</v>
      </c>
      <c r="K14881" s="505"/>
      <c r="L14881" s="505"/>
      <c r="M14881" s="505"/>
      <c r="N14881" s="505"/>
      <c r="O14881" s="505"/>
      <c r="P14881" s="505"/>
      <c r="Q14881" s="505"/>
      <c r="R14881" s="505"/>
      <c r="S14881" s="505"/>
      <c r="T14881" s="505"/>
      <c r="U14881" s="505"/>
      <c r="V14881" s="505"/>
      <c r="W14881" s="505"/>
      <c r="X14881" s="505"/>
      <c r="Y14881" s="505"/>
    </row>
    <row r="14882" spans="1:25" s="88" customFormat="1" hidden="1" x14ac:dyDescent="0.25">
      <c r="A14882" s="295"/>
      <c r="B14882" s="295"/>
      <c r="C14882" s="487"/>
      <c r="D14882" s="295"/>
      <c r="E14882" s="889"/>
      <c r="F14882" s="817">
        <v>531</v>
      </c>
      <c r="G14882" s="819" t="s">
        <v>4139</v>
      </c>
      <c r="H14882" s="580"/>
      <c r="I14882" s="571"/>
      <c r="J14882" s="571">
        <f t="shared" si="483"/>
        <v>0</v>
      </c>
      <c r="K14882" s="505"/>
      <c r="L14882" s="505"/>
      <c r="M14882" s="505"/>
      <c r="N14882" s="505"/>
      <c r="O14882" s="505"/>
      <c r="P14882" s="505"/>
      <c r="Q14882" s="505"/>
      <c r="R14882" s="505"/>
      <c r="S14882" s="505"/>
      <c r="T14882" s="505"/>
      <c r="U14882" s="505"/>
      <c r="V14882" s="505"/>
      <c r="W14882" s="505"/>
      <c r="X14882" s="505"/>
      <c r="Y14882" s="505"/>
    </row>
    <row r="14883" spans="1:25" s="88" customFormat="1" hidden="1" x14ac:dyDescent="0.25">
      <c r="A14883" s="295"/>
      <c r="B14883" s="295"/>
      <c r="C14883" s="487"/>
      <c r="D14883" s="295"/>
      <c r="E14883" s="889"/>
      <c r="F14883" s="817">
        <v>541</v>
      </c>
      <c r="G14883" s="818" t="s">
        <v>4164</v>
      </c>
      <c r="H14883" s="580"/>
      <c r="I14883" s="571"/>
      <c r="J14883" s="571">
        <f t="shared" si="483"/>
        <v>0</v>
      </c>
      <c r="K14883" s="505"/>
      <c r="L14883" s="505"/>
      <c r="M14883" s="505"/>
      <c r="N14883" s="505"/>
      <c r="O14883" s="505"/>
      <c r="P14883" s="505"/>
      <c r="Q14883" s="505"/>
      <c r="R14883" s="505"/>
      <c r="S14883" s="505"/>
      <c r="T14883" s="505"/>
      <c r="U14883" s="505"/>
      <c r="V14883" s="505"/>
      <c r="W14883" s="505"/>
      <c r="X14883" s="505"/>
      <c r="Y14883" s="505"/>
    </row>
    <row r="14884" spans="1:25" s="88" customFormat="1" hidden="1" x14ac:dyDescent="0.25">
      <c r="A14884" s="295"/>
      <c r="B14884" s="295"/>
      <c r="C14884" s="487"/>
      <c r="D14884" s="295"/>
      <c r="E14884" s="889"/>
      <c r="F14884" s="817">
        <v>542</v>
      </c>
      <c r="G14884" s="818" t="s">
        <v>4165</v>
      </c>
      <c r="H14884" s="580"/>
      <c r="I14884" s="571"/>
      <c r="J14884" s="571">
        <f t="shared" si="483"/>
        <v>0</v>
      </c>
      <c r="K14884" s="505"/>
      <c r="L14884" s="505"/>
      <c r="M14884" s="505"/>
      <c r="N14884" s="505"/>
      <c r="O14884" s="505"/>
      <c r="P14884" s="505"/>
      <c r="Q14884" s="505"/>
      <c r="R14884" s="505"/>
      <c r="S14884" s="505"/>
      <c r="T14884" s="505"/>
      <c r="U14884" s="505"/>
      <c r="V14884" s="505"/>
      <c r="W14884" s="505"/>
      <c r="X14884" s="505"/>
      <c r="Y14884" s="505"/>
    </row>
    <row r="14885" spans="1:25" s="88" customFormat="1" hidden="1" x14ac:dyDescent="0.25">
      <c r="A14885" s="295"/>
      <c r="B14885" s="295"/>
      <c r="C14885" s="487"/>
      <c r="D14885" s="295"/>
      <c r="E14885" s="889"/>
      <c r="F14885" s="817">
        <v>543</v>
      </c>
      <c r="G14885" s="818" t="s">
        <v>3844</v>
      </c>
      <c r="H14885" s="580"/>
      <c r="I14885" s="571"/>
      <c r="J14885" s="571">
        <f t="shared" si="483"/>
        <v>0</v>
      </c>
      <c r="K14885" s="505"/>
      <c r="L14885" s="505"/>
      <c r="M14885" s="505"/>
      <c r="N14885" s="505"/>
      <c r="O14885" s="505"/>
      <c r="P14885" s="505"/>
      <c r="Q14885" s="505"/>
      <c r="R14885" s="505"/>
      <c r="S14885" s="505"/>
      <c r="T14885" s="505"/>
      <c r="U14885" s="505"/>
      <c r="V14885" s="505"/>
      <c r="W14885" s="505"/>
      <c r="X14885" s="505"/>
      <c r="Y14885" s="505"/>
    </row>
    <row r="14886" spans="1:25" s="88" customFormat="1" ht="30" hidden="1" x14ac:dyDescent="0.25">
      <c r="A14886" s="295"/>
      <c r="B14886" s="295"/>
      <c r="C14886" s="487"/>
      <c r="D14886" s="295"/>
      <c r="E14886" s="889"/>
      <c r="F14886" s="817">
        <v>551</v>
      </c>
      <c r="G14886" s="818" t="s">
        <v>4140</v>
      </c>
      <c r="H14886" s="580"/>
      <c r="I14886" s="571"/>
      <c r="J14886" s="571">
        <f t="shared" si="483"/>
        <v>0</v>
      </c>
      <c r="K14886" s="505"/>
      <c r="L14886" s="505"/>
      <c r="M14886" s="505"/>
      <c r="N14886" s="505"/>
      <c r="O14886" s="505"/>
      <c r="P14886" s="505"/>
      <c r="Q14886" s="505"/>
      <c r="R14886" s="505"/>
      <c r="S14886" s="505"/>
      <c r="T14886" s="505"/>
      <c r="U14886" s="505"/>
      <c r="V14886" s="505"/>
      <c r="W14886" s="505"/>
      <c r="X14886" s="505"/>
      <c r="Y14886" s="505"/>
    </row>
    <row r="14887" spans="1:25" s="88" customFormat="1" hidden="1" x14ac:dyDescent="0.25">
      <c r="A14887" s="295"/>
      <c r="B14887" s="295"/>
      <c r="C14887" s="487"/>
      <c r="D14887" s="295"/>
      <c r="E14887" s="889"/>
      <c r="F14887" s="798">
        <v>611</v>
      </c>
      <c r="G14887" s="822" t="s">
        <v>3850</v>
      </c>
      <c r="H14887" s="580"/>
      <c r="I14887" s="571"/>
      <c r="J14887" s="571">
        <f t="shared" si="483"/>
        <v>0</v>
      </c>
      <c r="K14887" s="505"/>
      <c r="L14887" s="505"/>
      <c r="M14887" s="505"/>
      <c r="N14887" s="505"/>
      <c r="O14887" s="505"/>
      <c r="P14887" s="505"/>
      <c r="Q14887" s="505"/>
      <c r="R14887" s="505"/>
      <c r="S14887" s="505"/>
      <c r="T14887" s="505"/>
      <c r="U14887" s="505"/>
      <c r="V14887" s="505"/>
      <c r="W14887" s="505"/>
      <c r="X14887" s="505"/>
      <c r="Y14887" s="505"/>
    </row>
    <row r="14888" spans="1:25" s="88" customFormat="1" hidden="1" x14ac:dyDescent="0.25">
      <c r="A14888" s="295"/>
      <c r="B14888" s="295"/>
      <c r="C14888" s="487"/>
      <c r="D14888" s="295"/>
      <c r="E14888" s="889"/>
      <c r="F14888" s="798">
        <v>620</v>
      </c>
      <c r="G14888" s="822" t="s">
        <v>88</v>
      </c>
      <c r="H14888" s="580"/>
      <c r="I14888" s="571"/>
      <c r="J14888" s="571">
        <f t="shared" si="483"/>
        <v>0</v>
      </c>
      <c r="K14888" s="505"/>
      <c r="L14888" s="505"/>
      <c r="M14888" s="505"/>
      <c r="N14888" s="505"/>
      <c r="O14888" s="505"/>
      <c r="P14888" s="505"/>
      <c r="Q14888" s="505"/>
      <c r="R14888" s="505"/>
      <c r="S14888" s="505"/>
      <c r="T14888" s="505"/>
      <c r="U14888" s="505"/>
      <c r="V14888" s="505"/>
      <c r="W14888" s="505"/>
      <c r="X14888" s="505"/>
      <c r="Y14888" s="505"/>
    </row>
    <row r="14889" spans="1:25" s="88" customFormat="1" hidden="1" x14ac:dyDescent="0.25">
      <c r="A14889" s="295"/>
      <c r="B14889" s="295"/>
      <c r="C14889" s="487"/>
      <c r="D14889" s="295"/>
      <c r="E14889" s="797"/>
      <c r="F14889" s="798"/>
      <c r="G14889" s="343" t="s">
        <v>4288</v>
      </c>
      <c r="H14889" s="557"/>
      <c r="I14889" s="823"/>
      <c r="J14889" s="557"/>
      <c r="K14889" s="505"/>
      <c r="L14889" s="505"/>
      <c r="M14889" s="505"/>
      <c r="N14889" s="505"/>
      <c r="O14889" s="505"/>
      <c r="P14889" s="505"/>
      <c r="Q14889" s="505"/>
      <c r="R14889" s="505"/>
      <c r="S14889" s="505"/>
      <c r="T14889" s="505"/>
      <c r="U14889" s="505"/>
      <c r="V14889" s="505"/>
      <c r="W14889" s="505"/>
      <c r="X14889" s="505"/>
      <c r="Y14889" s="505"/>
    </row>
    <row r="14890" spans="1:25" s="88" customFormat="1" hidden="1" x14ac:dyDescent="0.25">
      <c r="A14890" s="295"/>
      <c r="B14890" s="295"/>
      <c r="C14890" s="487"/>
      <c r="D14890" s="295"/>
      <c r="E14890" s="879"/>
      <c r="F14890" s="799" t="s">
        <v>234</v>
      </c>
      <c r="G14890" s="598" t="s">
        <v>235</v>
      </c>
      <c r="H14890" s="800">
        <f>SUM(H14829:H14888)</f>
        <v>0</v>
      </c>
      <c r="I14890" s="801"/>
      <c r="J14890" s="801">
        <f t="shared" ref="J14890:J14905" si="484">SUM(H14890:I14890)</f>
        <v>0</v>
      </c>
      <c r="K14890" s="505"/>
      <c r="L14890" s="505"/>
      <c r="M14890" s="505"/>
      <c r="N14890" s="505"/>
      <c r="O14890" s="505"/>
      <c r="P14890" s="505"/>
      <c r="Q14890" s="505"/>
      <c r="R14890" s="505"/>
      <c r="S14890" s="505"/>
      <c r="T14890" s="505"/>
      <c r="U14890" s="505"/>
      <c r="V14890" s="505"/>
      <c r="W14890" s="505"/>
      <c r="X14890" s="505"/>
      <c r="Y14890" s="505"/>
    </row>
    <row r="14891" spans="1:25" s="88" customFormat="1" hidden="1" x14ac:dyDescent="0.25">
      <c r="A14891" s="295"/>
      <c r="B14891" s="295"/>
      <c r="C14891" s="487"/>
      <c r="D14891" s="295"/>
      <c r="E14891" s="889"/>
      <c r="F14891" s="799" t="s">
        <v>236</v>
      </c>
      <c r="G14891" s="598" t="s">
        <v>237</v>
      </c>
      <c r="H14891" s="580"/>
      <c r="I14891" s="571"/>
      <c r="J14891" s="801">
        <f t="shared" si="484"/>
        <v>0</v>
      </c>
      <c r="K14891" s="505"/>
      <c r="L14891" s="505"/>
      <c r="M14891" s="505"/>
      <c r="N14891" s="505"/>
      <c r="O14891" s="505"/>
      <c r="P14891" s="505"/>
      <c r="Q14891" s="505"/>
      <c r="R14891" s="505"/>
      <c r="S14891" s="505"/>
      <c r="T14891" s="505"/>
      <c r="U14891" s="505"/>
      <c r="V14891" s="505"/>
      <c r="W14891" s="505"/>
      <c r="X14891" s="505"/>
      <c r="Y14891" s="505"/>
    </row>
    <row r="14892" spans="1:25" s="88" customFormat="1" hidden="1" x14ac:dyDescent="0.25">
      <c r="A14892" s="295"/>
      <c r="B14892" s="295"/>
      <c r="C14892" s="487"/>
      <c r="D14892" s="295"/>
      <c r="E14892" s="889"/>
      <c r="F14892" s="799" t="s">
        <v>238</v>
      </c>
      <c r="G14892" s="598" t="s">
        <v>239</v>
      </c>
      <c r="H14892" s="580"/>
      <c r="I14892" s="571"/>
      <c r="J14892" s="801">
        <f t="shared" si="484"/>
        <v>0</v>
      </c>
      <c r="K14892" s="505"/>
      <c r="L14892" s="505"/>
      <c r="M14892" s="505"/>
      <c r="N14892" s="505"/>
      <c r="O14892" s="505"/>
      <c r="P14892" s="505"/>
      <c r="Q14892" s="505"/>
      <c r="R14892" s="505"/>
      <c r="S14892" s="505"/>
      <c r="T14892" s="505"/>
      <c r="U14892" s="505"/>
      <c r="V14892" s="505"/>
      <c r="W14892" s="505"/>
      <c r="X14892" s="505"/>
      <c r="Y14892" s="505"/>
    </row>
    <row r="14893" spans="1:25" s="88" customFormat="1" hidden="1" x14ac:dyDescent="0.25">
      <c r="A14893" s="295"/>
      <c r="B14893" s="295"/>
      <c r="C14893" s="487"/>
      <c r="D14893" s="295"/>
      <c r="E14893" s="889"/>
      <c r="F14893" s="799" t="s">
        <v>240</v>
      </c>
      <c r="G14893" s="598" t="s">
        <v>241</v>
      </c>
      <c r="H14893" s="580"/>
      <c r="I14893" s="571"/>
      <c r="J14893" s="801">
        <f t="shared" si="484"/>
        <v>0</v>
      </c>
      <c r="K14893" s="505"/>
      <c r="L14893" s="505"/>
      <c r="M14893" s="505"/>
      <c r="N14893" s="505"/>
      <c r="O14893" s="505"/>
      <c r="P14893" s="505"/>
      <c r="Q14893" s="505"/>
      <c r="R14893" s="505"/>
      <c r="S14893" s="505"/>
      <c r="T14893" s="505"/>
      <c r="U14893" s="505"/>
      <c r="V14893" s="505"/>
      <c r="W14893" s="505"/>
      <c r="X14893" s="505"/>
      <c r="Y14893" s="505"/>
    </row>
    <row r="14894" spans="1:25" s="88" customFormat="1" hidden="1" x14ac:dyDescent="0.25">
      <c r="A14894" s="295"/>
      <c r="B14894" s="295"/>
      <c r="C14894" s="487"/>
      <c r="D14894" s="295"/>
      <c r="E14894" s="889"/>
      <c r="F14894" s="799" t="s">
        <v>242</v>
      </c>
      <c r="G14894" s="598" t="s">
        <v>243</v>
      </c>
      <c r="H14894" s="580"/>
      <c r="I14894" s="571"/>
      <c r="J14894" s="801">
        <f t="shared" si="484"/>
        <v>0</v>
      </c>
      <c r="K14894" s="505"/>
      <c r="L14894" s="505"/>
      <c r="M14894" s="505"/>
      <c r="N14894" s="505"/>
      <c r="O14894" s="505"/>
      <c r="P14894" s="505"/>
      <c r="Q14894" s="505"/>
      <c r="R14894" s="505"/>
      <c r="S14894" s="505"/>
      <c r="T14894" s="505"/>
      <c r="U14894" s="505"/>
      <c r="V14894" s="505"/>
      <c r="W14894" s="505"/>
      <c r="X14894" s="505"/>
      <c r="Y14894" s="505"/>
    </row>
    <row r="14895" spans="1:25" s="88" customFormat="1" hidden="1" x14ac:dyDescent="0.25">
      <c r="A14895" s="295"/>
      <c r="B14895" s="295"/>
      <c r="C14895" s="487"/>
      <c r="D14895" s="295"/>
      <c r="E14895" s="889"/>
      <c r="F14895" s="799" t="s">
        <v>244</v>
      </c>
      <c r="G14895" s="598" t="s">
        <v>245</v>
      </c>
      <c r="H14895" s="580"/>
      <c r="I14895" s="571"/>
      <c r="J14895" s="801">
        <f t="shared" si="484"/>
        <v>0</v>
      </c>
      <c r="K14895" s="505"/>
      <c r="L14895" s="505"/>
      <c r="M14895" s="505"/>
      <c r="N14895" s="505"/>
      <c r="O14895" s="505"/>
      <c r="P14895" s="505"/>
      <c r="Q14895" s="505"/>
      <c r="R14895" s="505"/>
      <c r="S14895" s="505"/>
      <c r="T14895" s="505"/>
      <c r="U14895" s="505"/>
      <c r="V14895" s="505"/>
      <c r="W14895" s="505"/>
      <c r="X14895" s="505"/>
      <c r="Y14895" s="505"/>
    </row>
    <row r="14896" spans="1:25" s="88" customFormat="1" hidden="1" x14ac:dyDescent="0.25">
      <c r="A14896" s="295"/>
      <c r="B14896" s="295"/>
      <c r="C14896" s="487"/>
      <c r="D14896" s="295"/>
      <c r="E14896" s="889"/>
      <c r="F14896" s="799" t="s">
        <v>246</v>
      </c>
      <c r="G14896" s="598" t="s">
        <v>4996</v>
      </c>
      <c r="H14896" s="580"/>
      <c r="I14896" s="571"/>
      <c r="J14896" s="801">
        <f t="shared" si="484"/>
        <v>0</v>
      </c>
      <c r="K14896" s="505"/>
      <c r="L14896" s="505"/>
      <c r="M14896" s="505"/>
      <c r="N14896" s="505"/>
      <c r="O14896" s="505"/>
      <c r="P14896" s="505"/>
      <c r="Q14896" s="505"/>
      <c r="R14896" s="505"/>
      <c r="S14896" s="505"/>
      <c r="T14896" s="505"/>
      <c r="U14896" s="505"/>
      <c r="V14896" s="505"/>
      <c r="W14896" s="505"/>
      <c r="X14896" s="505"/>
      <c r="Y14896" s="505"/>
    </row>
    <row r="14897" spans="1:25" s="88" customFormat="1" hidden="1" x14ac:dyDescent="0.25">
      <c r="A14897" s="295"/>
      <c r="B14897" s="295"/>
      <c r="C14897" s="487"/>
      <c r="D14897" s="295"/>
      <c r="E14897" s="889"/>
      <c r="F14897" s="799" t="s">
        <v>247</v>
      </c>
      <c r="G14897" s="598" t="s">
        <v>4995</v>
      </c>
      <c r="H14897" s="580"/>
      <c r="I14897" s="571"/>
      <c r="J14897" s="801">
        <f t="shared" si="484"/>
        <v>0</v>
      </c>
      <c r="K14897" s="505"/>
      <c r="L14897" s="505"/>
      <c r="M14897" s="505"/>
      <c r="N14897" s="505"/>
      <c r="O14897" s="505"/>
      <c r="P14897" s="505"/>
      <c r="Q14897" s="505"/>
      <c r="R14897" s="505"/>
      <c r="S14897" s="505"/>
      <c r="T14897" s="505"/>
      <c r="U14897" s="505"/>
      <c r="V14897" s="505"/>
      <c r="W14897" s="505"/>
      <c r="X14897" s="505"/>
      <c r="Y14897" s="505"/>
    </row>
    <row r="14898" spans="1:25" s="88" customFormat="1" hidden="1" x14ac:dyDescent="0.25">
      <c r="A14898" s="295"/>
      <c r="B14898" s="295"/>
      <c r="C14898" s="487"/>
      <c r="D14898" s="295"/>
      <c r="E14898" s="889"/>
      <c r="F14898" s="799" t="s">
        <v>248</v>
      </c>
      <c r="G14898" s="598" t="s">
        <v>57</v>
      </c>
      <c r="H14898" s="580"/>
      <c r="I14898" s="571"/>
      <c r="J14898" s="801">
        <f t="shared" si="484"/>
        <v>0</v>
      </c>
      <c r="K14898" s="505"/>
      <c r="L14898" s="505"/>
      <c r="M14898" s="505"/>
      <c r="N14898" s="505"/>
      <c r="O14898" s="505"/>
      <c r="P14898" s="505"/>
      <c r="Q14898" s="505"/>
      <c r="R14898" s="505"/>
      <c r="S14898" s="505"/>
      <c r="T14898" s="505"/>
      <c r="U14898" s="505"/>
      <c r="V14898" s="505"/>
      <c r="W14898" s="505"/>
      <c r="X14898" s="505"/>
      <c r="Y14898" s="505"/>
    </row>
    <row r="14899" spans="1:25" s="88" customFormat="1" hidden="1" x14ac:dyDescent="0.25">
      <c r="A14899" s="295"/>
      <c r="B14899" s="295"/>
      <c r="C14899" s="487"/>
      <c r="D14899" s="295"/>
      <c r="E14899" s="889"/>
      <c r="F14899" s="799" t="s">
        <v>249</v>
      </c>
      <c r="G14899" s="598" t="s">
        <v>250</v>
      </c>
      <c r="H14899" s="580"/>
      <c r="I14899" s="571"/>
      <c r="J14899" s="801">
        <f t="shared" si="484"/>
        <v>0</v>
      </c>
      <c r="K14899" s="505"/>
      <c r="L14899" s="505"/>
      <c r="M14899" s="505"/>
      <c r="N14899" s="505"/>
      <c r="O14899" s="505"/>
      <c r="P14899" s="505"/>
      <c r="Q14899" s="505"/>
      <c r="R14899" s="505"/>
      <c r="S14899" s="505"/>
      <c r="T14899" s="505"/>
      <c r="U14899" s="505"/>
      <c r="V14899" s="505"/>
      <c r="W14899" s="505"/>
      <c r="X14899" s="505"/>
      <c r="Y14899" s="505"/>
    </row>
    <row r="14900" spans="1:25" s="88" customFormat="1" hidden="1" x14ac:dyDescent="0.25">
      <c r="A14900" s="295"/>
      <c r="B14900" s="295"/>
      <c r="C14900" s="487"/>
      <c r="D14900" s="295"/>
      <c r="E14900" s="889"/>
      <c r="F14900" s="799" t="s">
        <v>251</v>
      </c>
      <c r="G14900" s="598" t="s">
        <v>252</v>
      </c>
      <c r="H14900" s="580"/>
      <c r="I14900" s="571"/>
      <c r="J14900" s="801">
        <f t="shared" si="484"/>
        <v>0</v>
      </c>
      <c r="K14900" s="505"/>
      <c r="L14900" s="505"/>
      <c r="M14900" s="505"/>
      <c r="N14900" s="505"/>
      <c r="O14900" s="505"/>
      <c r="P14900" s="505"/>
      <c r="Q14900" s="505"/>
      <c r="R14900" s="505"/>
      <c r="S14900" s="505"/>
      <c r="T14900" s="505"/>
      <c r="U14900" s="505"/>
      <c r="V14900" s="505"/>
      <c r="W14900" s="505"/>
      <c r="X14900" s="505"/>
      <c r="Y14900" s="505"/>
    </row>
    <row r="14901" spans="1:25" s="88" customFormat="1" ht="30" hidden="1" x14ac:dyDescent="0.25">
      <c r="A14901" s="295"/>
      <c r="B14901" s="295"/>
      <c r="C14901" s="487"/>
      <c r="D14901" s="295"/>
      <c r="E14901" s="889"/>
      <c r="F14901" s="799" t="s">
        <v>253</v>
      </c>
      <c r="G14901" s="598" t="s">
        <v>254</v>
      </c>
      <c r="H14901" s="580"/>
      <c r="I14901" s="571"/>
      <c r="J14901" s="801">
        <f t="shared" si="484"/>
        <v>0</v>
      </c>
      <c r="K14901" s="505"/>
      <c r="L14901" s="505"/>
      <c r="M14901" s="505"/>
      <c r="N14901" s="505"/>
      <c r="O14901" s="505"/>
      <c r="P14901" s="505"/>
      <c r="Q14901" s="505"/>
      <c r="R14901" s="505"/>
      <c r="S14901" s="505"/>
      <c r="T14901" s="505"/>
      <c r="U14901" s="505"/>
      <c r="V14901" s="505"/>
      <c r="W14901" s="505"/>
      <c r="X14901" s="505"/>
      <c r="Y14901" s="505"/>
    </row>
    <row r="14902" spans="1:25" s="88" customFormat="1" hidden="1" x14ac:dyDescent="0.25">
      <c r="A14902" s="295"/>
      <c r="B14902" s="295"/>
      <c r="C14902" s="487"/>
      <c r="D14902" s="295"/>
      <c r="E14902" s="889"/>
      <c r="F14902" s="799" t="s">
        <v>255</v>
      </c>
      <c r="G14902" s="598" t="s">
        <v>256</v>
      </c>
      <c r="H14902" s="580"/>
      <c r="I14902" s="571"/>
      <c r="J14902" s="801">
        <f t="shared" si="484"/>
        <v>0</v>
      </c>
      <c r="K14902" s="505"/>
      <c r="L14902" s="505"/>
      <c r="M14902" s="505"/>
      <c r="N14902" s="505"/>
      <c r="O14902" s="505"/>
      <c r="P14902" s="505"/>
      <c r="Q14902" s="505"/>
      <c r="R14902" s="505"/>
      <c r="S14902" s="505"/>
      <c r="T14902" s="505"/>
      <c r="U14902" s="505"/>
      <c r="V14902" s="505"/>
      <c r="W14902" s="505"/>
      <c r="X14902" s="505"/>
      <c r="Y14902" s="505"/>
    </row>
    <row r="14903" spans="1:25" s="88" customFormat="1" ht="30" hidden="1" x14ac:dyDescent="0.25">
      <c r="A14903" s="295"/>
      <c r="B14903" s="295"/>
      <c r="C14903" s="487"/>
      <c r="D14903" s="295"/>
      <c r="E14903" s="889"/>
      <c r="F14903" s="799" t="s">
        <v>257</v>
      </c>
      <c r="G14903" s="598" t="s">
        <v>258</v>
      </c>
      <c r="H14903" s="580"/>
      <c r="I14903" s="571"/>
      <c r="J14903" s="801">
        <f t="shared" si="484"/>
        <v>0</v>
      </c>
      <c r="K14903" s="505"/>
      <c r="L14903" s="505"/>
      <c r="M14903" s="505"/>
      <c r="N14903" s="505"/>
      <c r="O14903" s="505"/>
      <c r="P14903" s="505"/>
      <c r="Q14903" s="505"/>
      <c r="R14903" s="505"/>
      <c r="S14903" s="505"/>
      <c r="T14903" s="505"/>
      <c r="U14903" s="505"/>
      <c r="V14903" s="505"/>
      <c r="W14903" s="505"/>
      <c r="X14903" s="505"/>
      <c r="Y14903" s="505"/>
    </row>
    <row r="14904" spans="1:25" s="88" customFormat="1" hidden="1" x14ac:dyDescent="0.25">
      <c r="A14904" s="295"/>
      <c r="B14904" s="295"/>
      <c r="C14904" s="487"/>
      <c r="D14904" s="295"/>
      <c r="E14904" s="889"/>
      <c r="F14904" s="799" t="s">
        <v>259</v>
      </c>
      <c r="G14904" s="598" t="s">
        <v>260</v>
      </c>
      <c r="H14904" s="580"/>
      <c r="I14904" s="571"/>
      <c r="J14904" s="801">
        <f t="shared" si="484"/>
        <v>0</v>
      </c>
      <c r="K14904" s="505"/>
      <c r="L14904" s="505"/>
      <c r="M14904" s="505"/>
      <c r="N14904" s="505"/>
      <c r="O14904" s="505"/>
      <c r="P14904" s="505"/>
      <c r="Q14904" s="505"/>
      <c r="R14904" s="505"/>
      <c r="S14904" s="505"/>
      <c r="T14904" s="505"/>
      <c r="U14904" s="505"/>
      <c r="V14904" s="505"/>
      <c r="W14904" s="505"/>
      <c r="X14904" s="505"/>
      <c r="Y14904" s="505"/>
    </row>
    <row r="14905" spans="1:25" s="88" customFormat="1" hidden="1" x14ac:dyDescent="0.25">
      <c r="A14905" s="295"/>
      <c r="B14905" s="295"/>
      <c r="C14905" s="487"/>
      <c r="D14905" s="295"/>
      <c r="E14905" s="889"/>
      <c r="F14905" s="799" t="s">
        <v>261</v>
      </c>
      <c r="G14905" s="598" t="s">
        <v>262</v>
      </c>
      <c r="H14905" s="800"/>
      <c r="I14905" s="801"/>
      <c r="J14905" s="801">
        <f t="shared" si="484"/>
        <v>0</v>
      </c>
      <c r="K14905" s="505"/>
      <c r="L14905" s="505"/>
      <c r="M14905" s="505"/>
      <c r="N14905" s="505"/>
      <c r="O14905" s="505"/>
      <c r="P14905" s="505"/>
      <c r="Q14905" s="505"/>
      <c r="R14905" s="505"/>
      <c r="S14905" s="505"/>
      <c r="T14905" s="505"/>
      <c r="U14905" s="505"/>
      <c r="V14905" s="505"/>
      <c r="W14905" s="505"/>
      <c r="X14905" s="505"/>
      <c r="Y14905" s="505"/>
    </row>
    <row r="14906" spans="1:25" s="88" customFormat="1" ht="15.75" hidden="1" thickBot="1" x14ac:dyDescent="0.3">
      <c r="A14906" s="295"/>
      <c r="B14906" s="295"/>
      <c r="C14906" s="487"/>
      <c r="D14906" s="295"/>
      <c r="E14906" s="889"/>
      <c r="F14906" s="295"/>
      <c r="G14906" s="802" t="s">
        <v>4235</v>
      </c>
      <c r="H14906" s="803">
        <f>SUM(H14890:H14905)</f>
        <v>0</v>
      </c>
      <c r="I14906" s="804">
        <f>SUM(I14891:I14905)</f>
        <v>0</v>
      </c>
      <c r="J14906" s="804">
        <f>SUM(J14890:J14905)</f>
        <v>0</v>
      </c>
      <c r="K14906" s="505"/>
      <c r="L14906" s="505"/>
      <c r="M14906" s="505"/>
      <c r="N14906" s="505"/>
      <c r="O14906" s="505"/>
      <c r="P14906" s="505"/>
      <c r="Q14906" s="505"/>
      <c r="R14906" s="505"/>
      <c r="S14906" s="505"/>
      <c r="T14906" s="505"/>
      <c r="U14906" s="505"/>
      <c r="V14906" s="505"/>
      <c r="W14906" s="505"/>
      <c r="X14906" s="505"/>
      <c r="Y14906" s="505"/>
    </row>
    <row r="14907" spans="1:25" s="88" customFormat="1" ht="28.5" hidden="1" collapsed="1" x14ac:dyDescent="0.25">
      <c r="A14907" s="295"/>
      <c r="B14907" s="295"/>
      <c r="C14907" s="487"/>
      <c r="D14907" s="295"/>
      <c r="E14907" s="797"/>
      <c r="F14907" s="798"/>
      <c r="G14907" s="270" t="s">
        <v>4379</v>
      </c>
      <c r="H14907" s="563"/>
      <c r="I14907" s="824"/>
      <c r="J14907" s="825"/>
      <c r="K14907" s="505"/>
      <c r="L14907" s="505"/>
      <c r="M14907" s="505"/>
      <c r="N14907" s="505"/>
      <c r="O14907" s="505"/>
      <c r="P14907" s="505"/>
      <c r="Q14907" s="505"/>
      <c r="R14907" s="505"/>
      <c r="S14907" s="505"/>
      <c r="T14907" s="505"/>
      <c r="U14907" s="505"/>
      <c r="V14907" s="505"/>
      <c r="W14907" s="505"/>
      <c r="X14907" s="505"/>
      <c r="Y14907" s="505"/>
    </row>
    <row r="14908" spans="1:25" s="88" customFormat="1" hidden="1" x14ac:dyDescent="0.25">
      <c r="A14908" s="295"/>
      <c r="B14908" s="295"/>
      <c r="C14908" s="487"/>
      <c r="D14908" s="295"/>
      <c r="E14908" s="879"/>
      <c r="F14908" s="799" t="s">
        <v>234</v>
      </c>
      <c r="G14908" s="598" t="s">
        <v>235</v>
      </c>
      <c r="H14908" s="800">
        <f>SUM(H14829:H14888)</f>
        <v>0</v>
      </c>
      <c r="I14908" s="801"/>
      <c r="J14908" s="801">
        <f>SUM(H14908:I14908)</f>
        <v>0</v>
      </c>
      <c r="K14908" s="505"/>
      <c r="L14908" s="505"/>
      <c r="M14908" s="505"/>
      <c r="N14908" s="505"/>
      <c r="O14908" s="505"/>
      <c r="P14908" s="505"/>
      <c r="Q14908" s="505"/>
      <c r="R14908" s="505"/>
      <c r="S14908" s="505"/>
      <c r="T14908" s="505"/>
      <c r="U14908" s="505"/>
      <c r="V14908" s="505"/>
      <c r="W14908" s="505"/>
      <c r="X14908" s="505"/>
      <c r="Y14908" s="505"/>
    </row>
    <row r="14909" spans="1:25" s="88" customFormat="1" hidden="1" x14ac:dyDescent="0.25">
      <c r="A14909" s="295"/>
      <c r="B14909" s="295"/>
      <c r="C14909" s="487"/>
      <c r="D14909" s="295"/>
      <c r="E14909" s="889"/>
      <c r="F14909" s="799" t="s">
        <v>236</v>
      </c>
      <c r="G14909" s="598" t="s">
        <v>237</v>
      </c>
      <c r="H14909" s="580"/>
      <c r="I14909" s="571"/>
      <c r="J14909" s="801">
        <f t="shared" ref="J14909:J14923" si="485">SUM(H14909:I14909)</f>
        <v>0</v>
      </c>
      <c r="K14909" s="505"/>
      <c r="L14909" s="505"/>
      <c r="M14909" s="505"/>
      <c r="N14909" s="505"/>
      <c r="O14909" s="505"/>
      <c r="P14909" s="505"/>
      <c r="Q14909" s="505"/>
      <c r="R14909" s="505"/>
      <c r="S14909" s="505"/>
      <c r="T14909" s="505"/>
      <c r="U14909" s="505"/>
      <c r="V14909" s="505"/>
      <c r="W14909" s="505"/>
      <c r="X14909" s="505"/>
      <c r="Y14909" s="505"/>
    </row>
    <row r="14910" spans="1:25" s="88" customFormat="1" hidden="1" x14ac:dyDescent="0.25">
      <c r="A14910" s="295"/>
      <c r="B14910" s="295"/>
      <c r="C14910" s="487"/>
      <c r="D14910" s="295"/>
      <c r="E14910" s="889"/>
      <c r="F14910" s="799" t="s">
        <v>238</v>
      </c>
      <c r="G14910" s="598" t="s">
        <v>239</v>
      </c>
      <c r="H14910" s="580"/>
      <c r="I14910" s="571"/>
      <c r="J14910" s="801">
        <f t="shared" si="485"/>
        <v>0</v>
      </c>
      <c r="K14910" s="505"/>
      <c r="L14910" s="505"/>
      <c r="M14910" s="505"/>
      <c r="N14910" s="505"/>
      <c r="O14910" s="505"/>
      <c r="P14910" s="505"/>
      <c r="Q14910" s="505"/>
      <c r="R14910" s="505"/>
      <c r="S14910" s="505"/>
      <c r="T14910" s="505"/>
      <c r="U14910" s="505"/>
      <c r="V14910" s="505"/>
      <c r="W14910" s="505"/>
      <c r="X14910" s="505"/>
      <c r="Y14910" s="505"/>
    </row>
    <row r="14911" spans="1:25" s="88" customFormat="1" hidden="1" x14ac:dyDescent="0.25">
      <c r="A14911" s="295"/>
      <c r="B14911" s="295"/>
      <c r="C14911" s="487"/>
      <c r="D14911" s="295"/>
      <c r="E14911" s="889"/>
      <c r="F14911" s="799" t="s">
        <v>240</v>
      </c>
      <c r="G14911" s="598" t="s">
        <v>241</v>
      </c>
      <c r="H14911" s="580"/>
      <c r="I14911" s="571"/>
      <c r="J14911" s="801">
        <f t="shared" si="485"/>
        <v>0</v>
      </c>
      <c r="K14911" s="505"/>
      <c r="L14911" s="505"/>
      <c r="M14911" s="505"/>
      <c r="N14911" s="505"/>
      <c r="O14911" s="505"/>
      <c r="P14911" s="505"/>
      <c r="Q14911" s="505"/>
      <c r="R14911" s="505"/>
      <c r="S14911" s="505"/>
      <c r="T14911" s="505"/>
      <c r="U14911" s="505"/>
      <c r="V14911" s="505"/>
      <c r="W14911" s="505"/>
      <c r="X14911" s="505"/>
      <c r="Y14911" s="505"/>
    </row>
    <row r="14912" spans="1:25" s="88" customFormat="1" hidden="1" x14ac:dyDescent="0.25">
      <c r="A14912" s="295"/>
      <c r="B14912" s="295"/>
      <c r="C14912" s="487"/>
      <c r="D14912" s="295"/>
      <c r="E14912" s="889"/>
      <c r="F14912" s="799" t="s">
        <v>242</v>
      </c>
      <c r="G14912" s="598" t="s">
        <v>243</v>
      </c>
      <c r="H14912" s="580"/>
      <c r="I14912" s="571"/>
      <c r="J14912" s="801">
        <f t="shared" si="485"/>
        <v>0</v>
      </c>
      <c r="K14912" s="505"/>
      <c r="L14912" s="505"/>
      <c r="M14912" s="505"/>
      <c r="N14912" s="505"/>
      <c r="O14912" s="505"/>
      <c r="P14912" s="505"/>
      <c r="Q14912" s="505"/>
      <c r="R14912" s="505"/>
      <c r="S14912" s="505"/>
      <c r="T14912" s="505"/>
      <c r="U14912" s="505"/>
      <c r="V14912" s="505"/>
      <c r="W14912" s="505"/>
      <c r="X14912" s="505"/>
      <c r="Y14912" s="505"/>
    </row>
    <row r="14913" spans="1:25" s="88" customFormat="1" hidden="1" x14ac:dyDescent="0.25">
      <c r="A14913" s="295"/>
      <c r="B14913" s="295"/>
      <c r="C14913" s="487"/>
      <c r="D14913" s="295"/>
      <c r="E14913" s="889"/>
      <c r="F14913" s="799" t="s">
        <v>244</v>
      </c>
      <c r="G14913" s="598" t="s">
        <v>245</v>
      </c>
      <c r="H14913" s="580"/>
      <c r="I14913" s="571"/>
      <c r="J14913" s="801">
        <f t="shared" si="485"/>
        <v>0</v>
      </c>
      <c r="K14913" s="505"/>
      <c r="L14913" s="505"/>
      <c r="M14913" s="505"/>
      <c r="N14913" s="505"/>
      <c r="O14913" s="505"/>
      <c r="P14913" s="505"/>
      <c r="Q14913" s="505"/>
      <c r="R14913" s="505"/>
      <c r="S14913" s="505"/>
      <c r="T14913" s="505"/>
      <c r="U14913" s="505"/>
      <c r="V14913" s="505"/>
      <c r="W14913" s="505"/>
      <c r="X14913" s="505"/>
      <c r="Y14913" s="505"/>
    </row>
    <row r="14914" spans="1:25" s="88" customFormat="1" hidden="1" x14ac:dyDescent="0.25">
      <c r="A14914" s="295"/>
      <c r="B14914" s="295"/>
      <c r="C14914" s="487"/>
      <c r="D14914" s="295"/>
      <c r="E14914" s="889"/>
      <c r="F14914" s="799" t="s">
        <v>246</v>
      </c>
      <c r="G14914" s="598" t="s">
        <v>4996</v>
      </c>
      <c r="H14914" s="580"/>
      <c r="I14914" s="571"/>
      <c r="J14914" s="801">
        <f t="shared" si="485"/>
        <v>0</v>
      </c>
      <c r="K14914" s="505"/>
      <c r="L14914" s="505"/>
      <c r="M14914" s="505"/>
      <c r="N14914" s="505"/>
      <c r="O14914" s="505"/>
      <c r="P14914" s="505"/>
      <c r="Q14914" s="505"/>
      <c r="R14914" s="505"/>
      <c r="S14914" s="505"/>
      <c r="T14914" s="505"/>
      <c r="U14914" s="505"/>
      <c r="V14914" s="505"/>
      <c r="W14914" s="505"/>
      <c r="X14914" s="505"/>
      <c r="Y14914" s="505"/>
    </row>
    <row r="14915" spans="1:25" s="88" customFormat="1" hidden="1" x14ac:dyDescent="0.25">
      <c r="A14915" s="295"/>
      <c r="B14915" s="295"/>
      <c r="C14915" s="487"/>
      <c r="D14915" s="295"/>
      <c r="E14915" s="889"/>
      <c r="F14915" s="799" t="s">
        <v>247</v>
      </c>
      <c r="G14915" s="598" t="s">
        <v>4995</v>
      </c>
      <c r="H14915" s="580"/>
      <c r="I14915" s="571"/>
      <c r="J14915" s="801">
        <f t="shared" si="485"/>
        <v>0</v>
      </c>
      <c r="K14915" s="505"/>
      <c r="L14915" s="505"/>
      <c r="M14915" s="505"/>
      <c r="N14915" s="505"/>
      <c r="O14915" s="505"/>
      <c r="P14915" s="505"/>
      <c r="Q14915" s="505"/>
      <c r="R14915" s="505"/>
      <c r="S14915" s="505"/>
      <c r="T14915" s="505"/>
      <c r="U14915" s="505"/>
      <c r="V14915" s="505"/>
      <c r="W14915" s="505"/>
      <c r="X14915" s="505"/>
      <c r="Y14915" s="505"/>
    </row>
    <row r="14916" spans="1:25" s="88" customFormat="1" hidden="1" x14ac:dyDescent="0.25">
      <c r="A14916" s="295"/>
      <c r="B14916" s="295"/>
      <c r="C14916" s="487"/>
      <c r="D14916" s="295"/>
      <c r="E14916" s="889"/>
      <c r="F14916" s="799" t="s">
        <v>248</v>
      </c>
      <c r="G14916" s="598" t="s">
        <v>57</v>
      </c>
      <c r="H14916" s="580"/>
      <c r="I14916" s="571"/>
      <c r="J14916" s="801">
        <f t="shared" si="485"/>
        <v>0</v>
      </c>
      <c r="K14916" s="505"/>
      <c r="L14916" s="505"/>
      <c r="M14916" s="505"/>
      <c r="N14916" s="505"/>
      <c r="O14916" s="505"/>
      <c r="P14916" s="505"/>
      <c r="Q14916" s="505"/>
      <c r="R14916" s="505"/>
      <c r="S14916" s="505"/>
      <c r="T14916" s="505"/>
      <c r="U14916" s="505"/>
      <c r="V14916" s="505"/>
      <c r="W14916" s="505"/>
      <c r="X14916" s="505"/>
      <c r="Y14916" s="505"/>
    </row>
    <row r="14917" spans="1:25" s="88" customFormat="1" hidden="1" x14ac:dyDescent="0.25">
      <c r="A14917" s="295"/>
      <c r="B14917" s="295"/>
      <c r="C14917" s="487"/>
      <c r="D14917" s="295"/>
      <c r="E14917" s="889"/>
      <c r="F14917" s="799" t="s">
        <v>249</v>
      </c>
      <c r="G14917" s="598" t="s">
        <v>250</v>
      </c>
      <c r="H14917" s="580"/>
      <c r="I14917" s="571"/>
      <c r="J14917" s="801">
        <f t="shared" si="485"/>
        <v>0</v>
      </c>
      <c r="K14917" s="505"/>
      <c r="L14917" s="505"/>
      <c r="M14917" s="505"/>
      <c r="N14917" s="505"/>
      <c r="O14917" s="505"/>
      <c r="P14917" s="505"/>
      <c r="Q14917" s="505"/>
      <c r="R14917" s="505"/>
      <c r="S14917" s="505"/>
      <c r="T14917" s="505"/>
      <c r="U14917" s="505"/>
      <c r="V14917" s="505"/>
      <c r="W14917" s="505"/>
      <c r="X14917" s="505"/>
      <c r="Y14917" s="505"/>
    </row>
    <row r="14918" spans="1:25" s="88" customFormat="1" hidden="1" x14ac:dyDescent="0.25">
      <c r="A14918" s="295"/>
      <c r="B14918" s="295"/>
      <c r="C14918" s="487"/>
      <c r="D14918" s="295"/>
      <c r="E14918" s="889"/>
      <c r="F14918" s="799" t="s">
        <v>251</v>
      </c>
      <c r="G14918" s="598" t="s">
        <v>252</v>
      </c>
      <c r="H14918" s="580"/>
      <c r="I14918" s="571"/>
      <c r="J14918" s="801">
        <f t="shared" si="485"/>
        <v>0</v>
      </c>
      <c r="K14918" s="505"/>
      <c r="L14918" s="505"/>
      <c r="M14918" s="505"/>
      <c r="N14918" s="505"/>
      <c r="O14918" s="505"/>
      <c r="P14918" s="505"/>
      <c r="Q14918" s="505"/>
      <c r="R14918" s="505"/>
      <c r="S14918" s="505"/>
      <c r="T14918" s="505"/>
      <c r="U14918" s="505"/>
      <c r="V14918" s="505"/>
      <c r="W14918" s="505"/>
      <c r="X14918" s="505"/>
      <c r="Y14918" s="505"/>
    </row>
    <row r="14919" spans="1:25" s="88" customFormat="1" ht="30" hidden="1" x14ac:dyDescent="0.25">
      <c r="A14919" s="295"/>
      <c r="B14919" s="295"/>
      <c r="C14919" s="487"/>
      <c r="D14919" s="295"/>
      <c r="E14919" s="889"/>
      <c r="F14919" s="799" t="s">
        <v>253</v>
      </c>
      <c r="G14919" s="598" t="s">
        <v>254</v>
      </c>
      <c r="H14919" s="580"/>
      <c r="I14919" s="571"/>
      <c r="J14919" s="801">
        <f t="shared" si="485"/>
        <v>0</v>
      </c>
      <c r="K14919" s="505"/>
      <c r="L14919" s="505"/>
      <c r="M14919" s="505"/>
      <c r="N14919" s="505"/>
      <c r="O14919" s="505"/>
      <c r="P14919" s="505"/>
      <c r="Q14919" s="505"/>
      <c r="R14919" s="505"/>
      <c r="S14919" s="505"/>
      <c r="T14919" s="505"/>
      <c r="U14919" s="505"/>
      <c r="V14919" s="505"/>
      <c r="W14919" s="505"/>
      <c r="X14919" s="505"/>
      <c r="Y14919" s="505"/>
    </row>
    <row r="14920" spans="1:25" s="88" customFormat="1" hidden="1" x14ac:dyDescent="0.25">
      <c r="A14920" s="295"/>
      <c r="B14920" s="295"/>
      <c r="C14920" s="487"/>
      <c r="D14920" s="295"/>
      <c r="E14920" s="889"/>
      <c r="F14920" s="799" t="s">
        <v>255</v>
      </c>
      <c r="G14920" s="598" t="s">
        <v>256</v>
      </c>
      <c r="H14920" s="580"/>
      <c r="I14920" s="571"/>
      <c r="J14920" s="801">
        <f t="shared" si="485"/>
        <v>0</v>
      </c>
      <c r="K14920" s="505"/>
      <c r="L14920" s="505"/>
      <c r="M14920" s="505"/>
      <c r="N14920" s="505"/>
      <c r="O14920" s="505"/>
      <c r="P14920" s="505"/>
      <c r="Q14920" s="505"/>
      <c r="R14920" s="505"/>
      <c r="S14920" s="505"/>
      <c r="T14920" s="505"/>
      <c r="U14920" s="505"/>
      <c r="V14920" s="505"/>
      <c r="W14920" s="505"/>
      <c r="X14920" s="505"/>
      <c r="Y14920" s="505"/>
    </row>
    <row r="14921" spans="1:25" s="88" customFormat="1" ht="30" hidden="1" x14ac:dyDescent="0.25">
      <c r="A14921" s="295"/>
      <c r="B14921" s="295"/>
      <c r="C14921" s="487"/>
      <c r="D14921" s="295"/>
      <c r="E14921" s="889"/>
      <c r="F14921" s="799" t="s">
        <v>257</v>
      </c>
      <c r="G14921" s="598" t="s">
        <v>258</v>
      </c>
      <c r="H14921" s="580"/>
      <c r="I14921" s="571"/>
      <c r="J14921" s="801">
        <f t="shared" si="485"/>
        <v>0</v>
      </c>
      <c r="K14921" s="505"/>
      <c r="L14921" s="505"/>
      <c r="M14921" s="505"/>
      <c r="N14921" s="505"/>
      <c r="O14921" s="505"/>
      <c r="P14921" s="505"/>
      <c r="Q14921" s="505"/>
      <c r="R14921" s="505"/>
      <c r="S14921" s="505"/>
      <c r="T14921" s="505"/>
      <c r="U14921" s="505"/>
      <c r="V14921" s="505"/>
      <c r="W14921" s="505"/>
      <c r="X14921" s="505"/>
      <c r="Y14921" s="505"/>
    </row>
    <row r="14922" spans="1:25" s="88" customFormat="1" hidden="1" x14ac:dyDescent="0.25">
      <c r="A14922" s="295"/>
      <c r="B14922" s="295"/>
      <c r="C14922" s="487"/>
      <c r="D14922" s="295"/>
      <c r="E14922" s="889"/>
      <c r="F14922" s="799" t="s">
        <v>259</v>
      </c>
      <c r="G14922" s="598" t="s">
        <v>260</v>
      </c>
      <c r="H14922" s="580"/>
      <c r="I14922" s="571"/>
      <c r="J14922" s="801">
        <f t="shared" si="485"/>
        <v>0</v>
      </c>
      <c r="K14922" s="505"/>
      <c r="L14922" s="505"/>
      <c r="M14922" s="505"/>
      <c r="N14922" s="505"/>
      <c r="O14922" s="505"/>
      <c r="P14922" s="505"/>
      <c r="Q14922" s="505"/>
      <c r="R14922" s="505"/>
      <c r="S14922" s="505"/>
      <c r="T14922" s="505"/>
      <c r="U14922" s="505"/>
      <c r="V14922" s="505"/>
      <c r="W14922" s="505"/>
      <c r="X14922" s="505"/>
      <c r="Y14922" s="505"/>
    </row>
    <row r="14923" spans="1:25" s="88" customFormat="1" hidden="1" x14ac:dyDescent="0.25">
      <c r="A14923" s="295"/>
      <c r="B14923" s="295"/>
      <c r="C14923" s="487"/>
      <c r="D14923" s="295"/>
      <c r="E14923" s="889"/>
      <c r="F14923" s="799" t="s">
        <v>261</v>
      </c>
      <c r="G14923" s="598" t="s">
        <v>262</v>
      </c>
      <c r="H14923" s="800"/>
      <c r="I14923" s="801"/>
      <c r="J14923" s="801">
        <f t="shared" si="485"/>
        <v>0</v>
      </c>
      <c r="K14923" s="505"/>
      <c r="L14923" s="505"/>
      <c r="M14923" s="505"/>
      <c r="N14923" s="505"/>
      <c r="O14923" s="505"/>
      <c r="P14923" s="505"/>
      <c r="Q14923" s="505"/>
      <c r="R14923" s="505"/>
      <c r="S14923" s="505"/>
      <c r="T14923" s="505"/>
      <c r="U14923" s="505"/>
      <c r="V14923" s="505"/>
      <c r="W14923" s="505"/>
      <c r="X14923" s="505"/>
      <c r="Y14923" s="505"/>
    </row>
    <row r="14924" spans="1:25" s="88" customFormat="1" ht="15.75" hidden="1" collapsed="1" thickBot="1" x14ac:dyDescent="0.3">
      <c r="A14924" s="295"/>
      <c r="B14924" s="295"/>
      <c r="C14924" s="487"/>
      <c r="D14924" s="295"/>
      <c r="E14924" s="889"/>
      <c r="F14924" s="295"/>
      <c r="G14924" s="802" t="s">
        <v>4380</v>
      </c>
      <c r="H14924" s="803">
        <f>SUM(H14908:H14923)</f>
        <v>0</v>
      </c>
      <c r="I14924" s="804">
        <f>SUM(I14909:I14923)</f>
        <v>0</v>
      </c>
      <c r="J14924" s="804">
        <f>SUM(J14908:J14923)</f>
        <v>0</v>
      </c>
      <c r="K14924" s="505"/>
      <c r="L14924" s="505"/>
      <c r="M14924" s="505"/>
      <c r="N14924" s="505"/>
      <c r="O14924" s="505"/>
      <c r="P14924" s="505"/>
      <c r="Q14924" s="505"/>
      <c r="R14924" s="505"/>
      <c r="S14924" s="505"/>
      <c r="T14924" s="505"/>
      <c r="U14924" s="505"/>
      <c r="V14924" s="505"/>
      <c r="W14924" s="505"/>
      <c r="X14924" s="505"/>
      <c r="Y14924" s="505"/>
    </row>
    <row r="14925" spans="1:25" s="88" customFormat="1" hidden="1" x14ac:dyDescent="0.25">
      <c r="A14925" s="295"/>
      <c r="B14925" s="295"/>
      <c r="C14925" s="487"/>
      <c r="D14925" s="295"/>
      <c r="E14925" s="889"/>
      <c r="F14925" s="295"/>
      <c r="G14925" s="819"/>
      <c r="H14925" s="580"/>
      <c r="I14925" s="571"/>
      <c r="J14925" s="571"/>
      <c r="K14925" s="505"/>
      <c r="L14925" s="505"/>
      <c r="M14925" s="505"/>
      <c r="N14925" s="505"/>
      <c r="O14925" s="505"/>
      <c r="P14925" s="505"/>
      <c r="Q14925" s="505"/>
      <c r="R14925" s="505"/>
      <c r="S14925" s="505"/>
      <c r="T14925" s="505"/>
      <c r="U14925" s="505"/>
      <c r="V14925" s="505"/>
      <c r="W14925" s="505"/>
      <c r="X14925" s="505"/>
      <c r="Y14925" s="505"/>
    </row>
    <row r="14926" spans="1:25" s="88" customFormat="1" hidden="1" x14ac:dyDescent="0.25">
      <c r="A14926" s="295"/>
      <c r="B14926" s="288"/>
      <c r="C14926" s="334"/>
      <c r="D14926" s="286"/>
      <c r="E14926" s="876"/>
      <c r="F14926" s="798"/>
      <c r="G14926" s="285" t="s">
        <v>4167</v>
      </c>
      <c r="H14926" s="567"/>
      <c r="I14926" s="589"/>
      <c r="J14926" s="567"/>
      <c r="K14926" s="505"/>
      <c r="L14926" s="505"/>
      <c r="M14926" s="505"/>
      <c r="N14926" s="505"/>
      <c r="O14926" s="505"/>
      <c r="P14926" s="505"/>
      <c r="Q14926" s="505"/>
      <c r="R14926" s="505"/>
      <c r="S14926" s="505"/>
      <c r="T14926" s="505"/>
      <c r="U14926" s="505"/>
      <c r="V14926" s="505"/>
      <c r="W14926" s="505"/>
      <c r="X14926" s="505"/>
      <c r="Y14926" s="505"/>
    </row>
    <row r="14927" spans="1:25" s="88" customFormat="1" hidden="1" x14ac:dyDescent="0.25">
      <c r="A14927" s="481"/>
      <c r="B14927" s="288"/>
      <c r="C14927" s="334"/>
      <c r="D14927" s="286"/>
      <c r="E14927" s="876"/>
      <c r="F14927" s="799" t="s">
        <v>234</v>
      </c>
      <c r="G14927" s="598" t="s">
        <v>235</v>
      </c>
      <c r="H14927" s="800">
        <f>SUM(H14908)</f>
        <v>0</v>
      </c>
      <c r="I14927" s="801"/>
      <c r="J14927" s="801">
        <f>SUM(H14927:I14927)</f>
        <v>0</v>
      </c>
      <c r="K14927" s="505"/>
      <c r="L14927" s="505"/>
      <c r="M14927" s="505"/>
      <c r="N14927" s="505"/>
      <c r="O14927" s="505"/>
      <c r="P14927" s="505"/>
      <c r="Q14927" s="505"/>
      <c r="R14927" s="505"/>
      <c r="S14927" s="505"/>
      <c r="T14927" s="505"/>
      <c r="U14927" s="505"/>
      <c r="V14927" s="505"/>
      <c r="W14927" s="505"/>
      <c r="X14927" s="505"/>
      <c r="Y14927" s="505"/>
    </row>
    <row r="14928" spans="1:25" s="88" customFormat="1" hidden="1" x14ac:dyDescent="0.25">
      <c r="A14928" s="481"/>
      <c r="B14928" s="288"/>
      <c r="C14928" s="334"/>
      <c r="D14928" s="286"/>
      <c r="E14928" s="876"/>
      <c r="F14928" s="799" t="s">
        <v>236</v>
      </c>
      <c r="G14928" s="598" t="s">
        <v>237</v>
      </c>
      <c r="H14928" s="580"/>
      <c r="I14928" s="571"/>
      <c r="J14928" s="801">
        <f t="shared" ref="J14928:J14942" si="486">SUM(H14928:I14928)</f>
        <v>0</v>
      </c>
      <c r="K14928" s="505"/>
      <c r="L14928" s="505"/>
      <c r="M14928" s="505"/>
      <c r="N14928" s="505"/>
      <c r="O14928" s="505"/>
      <c r="P14928" s="505"/>
      <c r="Q14928" s="505"/>
      <c r="R14928" s="505"/>
      <c r="S14928" s="505"/>
      <c r="T14928" s="505"/>
      <c r="U14928" s="505"/>
      <c r="V14928" s="505"/>
      <c r="W14928" s="505"/>
      <c r="X14928" s="505"/>
      <c r="Y14928" s="505"/>
    </row>
    <row r="14929" spans="1:25" s="88" customFormat="1" hidden="1" x14ac:dyDescent="0.25">
      <c r="A14929" s="481"/>
      <c r="B14929" s="288"/>
      <c r="C14929" s="334"/>
      <c r="D14929" s="286"/>
      <c r="E14929" s="876"/>
      <c r="F14929" s="799" t="s">
        <v>238</v>
      </c>
      <c r="G14929" s="598" t="s">
        <v>239</v>
      </c>
      <c r="H14929" s="580"/>
      <c r="I14929" s="571"/>
      <c r="J14929" s="801">
        <f t="shared" si="486"/>
        <v>0</v>
      </c>
      <c r="K14929" s="505"/>
      <c r="L14929" s="505"/>
      <c r="M14929" s="505"/>
      <c r="N14929" s="505"/>
      <c r="O14929" s="505"/>
      <c r="P14929" s="505"/>
      <c r="Q14929" s="505"/>
      <c r="R14929" s="505"/>
      <c r="S14929" s="505"/>
      <c r="T14929" s="505"/>
      <c r="U14929" s="505"/>
      <c r="V14929" s="505"/>
      <c r="W14929" s="505"/>
      <c r="X14929" s="505"/>
      <c r="Y14929" s="505"/>
    </row>
    <row r="14930" spans="1:25" s="88" customFormat="1" hidden="1" x14ac:dyDescent="0.25">
      <c r="A14930" s="481"/>
      <c r="B14930" s="288"/>
      <c r="C14930" s="334"/>
      <c r="D14930" s="286"/>
      <c r="E14930" s="876"/>
      <c r="F14930" s="799" t="s">
        <v>240</v>
      </c>
      <c r="G14930" s="598" t="s">
        <v>241</v>
      </c>
      <c r="H14930" s="580"/>
      <c r="I14930" s="571"/>
      <c r="J14930" s="801">
        <f t="shared" si="486"/>
        <v>0</v>
      </c>
      <c r="K14930" s="505"/>
      <c r="L14930" s="505"/>
      <c r="M14930" s="505"/>
      <c r="N14930" s="505"/>
      <c r="O14930" s="505"/>
      <c r="P14930" s="505"/>
      <c r="Q14930" s="505"/>
      <c r="R14930" s="505"/>
      <c r="S14930" s="505"/>
      <c r="T14930" s="505"/>
      <c r="U14930" s="505"/>
      <c r="V14930" s="505"/>
      <c r="W14930" s="505"/>
      <c r="X14930" s="505"/>
      <c r="Y14930" s="505"/>
    </row>
    <row r="14931" spans="1:25" s="88" customFormat="1" hidden="1" x14ac:dyDescent="0.25">
      <c r="A14931" s="481"/>
      <c r="B14931" s="288"/>
      <c r="C14931" s="334"/>
      <c r="D14931" s="286"/>
      <c r="E14931" s="876"/>
      <c r="F14931" s="799" t="s">
        <v>242</v>
      </c>
      <c r="G14931" s="598" t="s">
        <v>243</v>
      </c>
      <c r="H14931" s="580"/>
      <c r="I14931" s="571"/>
      <c r="J14931" s="801">
        <f t="shared" si="486"/>
        <v>0</v>
      </c>
      <c r="K14931" s="505"/>
      <c r="L14931" s="505"/>
      <c r="M14931" s="505"/>
      <c r="N14931" s="505"/>
      <c r="O14931" s="505"/>
      <c r="P14931" s="505"/>
      <c r="Q14931" s="505"/>
      <c r="R14931" s="505"/>
      <c r="S14931" s="505"/>
      <c r="T14931" s="505"/>
      <c r="U14931" s="505"/>
      <c r="V14931" s="505"/>
      <c r="W14931" s="505"/>
      <c r="X14931" s="505"/>
      <c r="Y14931" s="505"/>
    </row>
    <row r="14932" spans="1:25" s="88" customFormat="1" hidden="1" x14ac:dyDescent="0.25">
      <c r="A14932" s="481"/>
      <c r="B14932" s="288"/>
      <c r="C14932" s="334"/>
      <c r="D14932" s="286"/>
      <c r="E14932" s="876"/>
      <c r="F14932" s="799" t="s">
        <v>244</v>
      </c>
      <c r="G14932" s="598" t="s">
        <v>245</v>
      </c>
      <c r="H14932" s="580"/>
      <c r="I14932" s="571"/>
      <c r="J14932" s="801">
        <f t="shared" si="486"/>
        <v>0</v>
      </c>
      <c r="K14932" s="505"/>
      <c r="L14932" s="505"/>
      <c r="M14932" s="505"/>
      <c r="N14932" s="505"/>
      <c r="O14932" s="505"/>
      <c r="P14932" s="505"/>
      <c r="Q14932" s="505"/>
      <c r="R14932" s="505"/>
      <c r="S14932" s="505"/>
      <c r="T14932" s="505"/>
      <c r="U14932" s="505"/>
      <c r="V14932" s="505"/>
      <c r="W14932" s="505"/>
      <c r="X14932" s="505"/>
      <c r="Y14932" s="505"/>
    </row>
    <row r="14933" spans="1:25" s="88" customFormat="1" hidden="1" x14ac:dyDescent="0.25">
      <c r="A14933" s="481"/>
      <c r="B14933" s="288"/>
      <c r="C14933" s="334"/>
      <c r="D14933" s="286"/>
      <c r="E14933" s="876"/>
      <c r="F14933" s="799" t="s">
        <v>246</v>
      </c>
      <c r="G14933" s="598" t="s">
        <v>4996</v>
      </c>
      <c r="H14933" s="580"/>
      <c r="I14933" s="571"/>
      <c r="J14933" s="801">
        <f t="shared" si="486"/>
        <v>0</v>
      </c>
      <c r="K14933" s="505"/>
      <c r="L14933" s="505"/>
      <c r="M14933" s="505"/>
      <c r="N14933" s="505"/>
      <c r="O14933" s="505"/>
      <c r="P14933" s="505"/>
      <c r="Q14933" s="505"/>
      <c r="R14933" s="505"/>
      <c r="S14933" s="505"/>
      <c r="T14933" s="505"/>
      <c r="U14933" s="505"/>
      <c r="V14933" s="505"/>
      <c r="W14933" s="505"/>
      <c r="X14933" s="505"/>
      <c r="Y14933" s="505"/>
    </row>
    <row r="14934" spans="1:25" s="88" customFormat="1" hidden="1" x14ac:dyDescent="0.25">
      <c r="A14934" s="481"/>
      <c r="B14934" s="288"/>
      <c r="C14934" s="334"/>
      <c r="D14934" s="286"/>
      <c r="E14934" s="876"/>
      <c r="F14934" s="799" t="s">
        <v>247</v>
      </c>
      <c r="G14934" s="598" t="s">
        <v>4995</v>
      </c>
      <c r="H14934" s="580"/>
      <c r="I14934" s="571"/>
      <c r="J14934" s="801">
        <f t="shared" si="486"/>
        <v>0</v>
      </c>
      <c r="K14934" s="505"/>
      <c r="L14934" s="505"/>
      <c r="M14934" s="505"/>
      <c r="N14934" s="505"/>
      <c r="O14934" s="505"/>
      <c r="P14934" s="505"/>
      <c r="Q14934" s="505"/>
      <c r="R14934" s="505"/>
      <c r="S14934" s="505"/>
      <c r="T14934" s="505"/>
      <c r="U14934" s="505"/>
      <c r="V14934" s="505"/>
      <c r="W14934" s="505"/>
      <c r="X14934" s="505"/>
      <c r="Y14934" s="505"/>
    </row>
    <row r="14935" spans="1:25" s="88" customFormat="1" hidden="1" x14ac:dyDescent="0.25">
      <c r="A14935" s="481"/>
      <c r="B14935" s="288"/>
      <c r="C14935" s="334"/>
      <c r="D14935" s="286"/>
      <c r="E14935" s="876"/>
      <c r="F14935" s="799" t="s">
        <v>248</v>
      </c>
      <c r="G14935" s="598" t="s">
        <v>57</v>
      </c>
      <c r="H14935" s="580"/>
      <c r="I14935" s="571"/>
      <c r="J14935" s="801">
        <f t="shared" si="486"/>
        <v>0</v>
      </c>
      <c r="K14935" s="505"/>
      <c r="L14935" s="505"/>
      <c r="M14935" s="505"/>
      <c r="N14935" s="505"/>
      <c r="O14935" s="505"/>
      <c r="P14935" s="505"/>
      <c r="Q14935" s="505"/>
      <c r="R14935" s="505"/>
      <c r="S14935" s="505"/>
      <c r="T14935" s="505"/>
      <c r="U14935" s="505"/>
      <c r="V14935" s="505"/>
      <c r="W14935" s="505"/>
      <c r="X14935" s="505"/>
      <c r="Y14935" s="505"/>
    </row>
    <row r="14936" spans="1:25" s="88" customFormat="1" hidden="1" x14ac:dyDescent="0.25">
      <c r="A14936" s="481"/>
      <c r="B14936" s="288"/>
      <c r="C14936" s="334"/>
      <c r="D14936" s="286"/>
      <c r="E14936" s="876"/>
      <c r="F14936" s="799" t="s">
        <v>249</v>
      </c>
      <c r="G14936" s="598" t="s">
        <v>250</v>
      </c>
      <c r="H14936" s="580"/>
      <c r="I14936" s="571"/>
      <c r="J14936" s="801">
        <f t="shared" si="486"/>
        <v>0</v>
      </c>
      <c r="K14936" s="505"/>
      <c r="L14936" s="505"/>
      <c r="M14936" s="505"/>
      <c r="N14936" s="505"/>
      <c r="O14936" s="505"/>
      <c r="P14936" s="505"/>
      <c r="Q14936" s="505"/>
      <c r="R14936" s="505"/>
      <c r="S14936" s="505"/>
      <c r="T14936" s="505"/>
      <c r="U14936" s="505"/>
      <c r="V14936" s="505"/>
      <c r="W14936" s="505"/>
      <c r="X14936" s="505"/>
      <c r="Y14936" s="505"/>
    </row>
    <row r="14937" spans="1:25" s="88" customFormat="1" hidden="1" x14ac:dyDescent="0.25">
      <c r="A14937" s="481"/>
      <c r="B14937" s="288"/>
      <c r="C14937" s="334"/>
      <c r="D14937" s="286"/>
      <c r="E14937" s="876"/>
      <c r="F14937" s="799" t="s">
        <v>251</v>
      </c>
      <c r="G14937" s="598" t="s">
        <v>252</v>
      </c>
      <c r="H14937" s="580"/>
      <c r="I14937" s="571"/>
      <c r="J14937" s="801">
        <f t="shared" si="486"/>
        <v>0</v>
      </c>
      <c r="K14937" s="505"/>
      <c r="L14937" s="505"/>
      <c r="M14937" s="505"/>
      <c r="N14937" s="505"/>
      <c r="O14937" s="505"/>
      <c r="P14937" s="505"/>
      <c r="Q14937" s="505"/>
      <c r="R14937" s="505"/>
      <c r="S14937" s="505"/>
      <c r="T14937" s="505"/>
      <c r="U14937" s="505"/>
      <c r="V14937" s="505"/>
      <c r="W14937" s="505"/>
      <c r="X14937" s="505"/>
      <c r="Y14937" s="505"/>
    </row>
    <row r="14938" spans="1:25" s="88" customFormat="1" ht="30" hidden="1" x14ac:dyDescent="0.25">
      <c r="A14938" s="481"/>
      <c r="B14938" s="288"/>
      <c r="C14938" s="334"/>
      <c r="D14938" s="286"/>
      <c r="E14938" s="876"/>
      <c r="F14938" s="799" t="s">
        <v>253</v>
      </c>
      <c r="G14938" s="598" t="s">
        <v>254</v>
      </c>
      <c r="H14938" s="580"/>
      <c r="I14938" s="571"/>
      <c r="J14938" s="801">
        <f t="shared" si="486"/>
        <v>0</v>
      </c>
      <c r="K14938" s="505"/>
      <c r="L14938" s="505"/>
      <c r="M14938" s="505"/>
      <c r="N14938" s="505"/>
      <c r="O14938" s="505"/>
      <c r="P14938" s="505"/>
      <c r="Q14938" s="505"/>
      <c r="R14938" s="505"/>
      <c r="S14938" s="505"/>
      <c r="T14938" s="505"/>
      <c r="U14938" s="505"/>
      <c r="V14938" s="505"/>
      <c r="W14938" s="505"/>
      <c r="X14938" s="505"/>
      <c r="Y14938" s="505"/>
    </row>
    <row r="14939" spans="1:25" s="88" customFormat="1" hidden="1" x14ac:dyDescent="0.25">
      <c r="A14939" s="481"/>
      <c r="B14939" s="288"/>
      <c r="C14939" s="334"/>
      <c r="D14939" s="286"/>
      <c r="E14939" s="876"/>
      <c r="F14939" s="799" t="s">
        <v>255</v>
      </c>
      <c r="G14939" s="598" t="s">
        <v>256</v>
      </c>
      <c r="H14939" s="580"/>
      <c r="I14939" s="571"/>
      <c r="J14939" s="801">
        <f t="shared" si="486"/>
        <v>0</v>
      </c>
      <c r="K14939" s="505"/>
      <c r="L14939" s="505"/>
      <c r="M14939" s="505"/>
      <c r="N14939" s="505"/>
      <c r="O14939" s="505"/>
      <c r="P14939" s="505"/>
      <c r="Q14939" s="505"/>
      <c r="R14939" s="505"/>
      <c r="S14939" s="505"/>
      <c r="T14939" s="505"/>
      <c r="U14939" s="505"/>
      <c r="V14939" s="505"/>
      <c r="W14939" s="505"/>
      <c r="X14939" s="505"/>
      <c r="Y14939" s="505"/>
    </row>
    <row r="14940" spans="1:25" s="88" customFormat="1" ht="30" hidden="1" x14ac:dyDescent="0.25">
      <c r="A14940" s="481"/>
      <c r="B14940" s="288"/>
      <c r="C14940" s="334"/>
      <c r="D14940" s="286"/>
      <c r="E14940" s="876"/>
      <c r="F14940" s="799" t="s">
        <v>257</v>
      </c>
      <c r="G14940" s="598" t="s">
        <v>258</v>
      </c>
      <c r="H14940" s="580"/>
      <c r="I14940" s="571"/>
      <c r="J14940" s="801">
        <f t="shared" si="486"/>
        <v>0</v>
      </c>
      <c r="K14940" s="505"/>
      <c r="L14940" s="505"/>
      <c r="M14940" s="505"/>
      <c r="N14940" s="505"/>
      <c r="O14940" s="505"/>
      <c r="P14940" s="505"/>
      <c r="Q14940" s="505"/>
      <c r="R14940" s="505"/>
      <c r="S14940" s="505"/>
      <c r="T14940" s="505"/>
      <c r="U14940" s="505"/>
      <c r="V14940" s="505"/>
      <c r="W14940" s="505"/>
      <c r="X14940" s="505"/>
      <c r="Y14940" s="505"/>
    </row>
    <row r="14941" spans="1:25" s="88" customFormat="1" hidden="1" x14ac:dyDescent="0.25">
      <c r="A14941" s="481"/>
      <c r="B14941" s="288"/>
      <c r="C14941" s="334"/>
      <c r="D14941" s="286"/>
      <c r="E14941" s="876"/>
      <c r="F14941" s="799" t="s">
        <v>259</v>
      </c>
      <c r="G14941" s="598" t="s">
        <v>260</v>
      </c>
      <c r="H14941" s="580"/>
      <c r="I14941" s="571"/>
      <c r="J14941" s="801">
        <f t="shared" si="486"/>
        <v>0</v>
      </c>
      <c r="K14941" s="505"/>
      <c r="L14941" s="505"/>
      <c r="M14941" s="505"/>
      <c r="N14941" s="505"/>
      <c r="O14941" s="505"/>
      <c r="P14941" s="505"/>
      <c r="Q14941" s="505"/>
      <c r="R14941" s="505"/>
      <c r="S14941" s="505"/>
      <c r="T14941" s="505"/>
      <c r="U14941" s="505"/>
      <c r="V14941" s="505"/>
      <c r="W14941" s="505"/>
      <c r="X14941" s="505"/>
      <c r="Y14941" s="505"/>
    </row>
    <row r="14942" spans="1:25" s="88" customFormat="1" hidden="1" x14ac:dyDescent="0.25">
      <c r="A14942" s="481"/>
      <c r="B14942" s="288"/>
      <c r="C14942" s="334"/>
      <c r="D14942" s="286"/>
      <c r="E14942" s="876"/>
      <c r="F14942" s="799" t="s">
        <v>261</v>
      </c>
      <c r="G14942" s="598" t="s">
        <v>262</v>
      </c>
      <c r="H14942" s="800"/>
      <c r="I14942" s="801"/>
      <c r="J14942" s="801">
        <f t="shared" si="486"/>
        <v>0</v>
      </c>
      <c r="K14942" s="505"/>
      <c r="L14942" s="505"/>
      <c r="M14942" s="505"/>
      <c r="N14942" s="505"/>
      <c r="O14942" s="505"/>
      <c r="P14942" s="505"/>
      <c r="Q14942" s="505"/>
      <c r="R14942" s="505"/>
      <c r="S14942" s="505"/>
      <c r="T14942" s="505"/>
      <c r="U14942" s="505"/>
      <c r="V14942" s="505"/>
      <c r="W14942" s="505"/>
      <c r="X14942" s="505"/>
      <c r="Y14942" s="505"/>
    </row>
    <row r="14943" spans="1:25" s="88" customFormat="1" ht="15.75" hidden="1" thickBot="1" x14ac:dyDescent="0.3">
      <c r="A14943" s="481"/>
      <c r="B14943" s="288"/>
      <c r="C14943" s="334"/>
      <c r="D14943" s="286"/>
      <c r="E14943" s="876"/>
      <c r="F14943" s="295"/>
      <c r="G14943" s="802" t="s">
        <v>4168</v>
      </c>
      <c r="H14943" s="803">
        <f>SUM(H14927:H14942)</f>
        <v>0</v>
      </c>
      <c r="I14943" s="804">
        <f>SUM(I14928:I14942)</f>
        <v>0</v>
      </c>
      <c r="J14943" s="804">
        <f>SUM(J14927:J14942)</f>
        <v>0</v>
      </c>
      <c r="K14943" s="505"/>
      <c r="L14943" s="505"/>
      <c r="M14943" s="505"/>
      <c r="N14943" s="505"/>
      <c r="O14943" s="505"/>
      <c r="P14943" s="505"/>
      <c r="Q14943" s="505"/>
      <c r="R14943" s="505"/>
      <c r="S14943" s="505"/>
      <c r="T14943" s="505"/>
      <c r="U14943" s="505"/>
      <c r="V14943" s="505"/>
      <c r="W14943" s="505"/>
      <c r="X14943" s="505"/>
      <c r="Y14943" s="505"/>
    </row>
    <row r="14944" spans="1:25" s="88" customFormat="1" hidden="1" x14ac:dyDescent="0.25">
      <c r="A14944" s="481"/>
      <c r="B14944" s="295"/>
      <c r="C14944" s="487"/>
      <c r="D14944" s="295"/>
      <c r="E14944" s="889"/>
      <c r="F14944" s="295"/>
      <c r="G14944" s="826"/>
      <c r="H14944" s="580"/>
      <c r="I14944" s="571"/>
      <c r="J14944" s="571"/>
      <c r="K14944" s="505"/>
      <c r="L14944" s="505"/>
      <c r="M14944" s="505"/>
      <c r="N14944" s="505"/>
      <c r="O14944" s="505"/>
      <c r="P14944" s="505"/>
      <c r="Q14944" s="505"/>
      <c r="R14944" s="505"/>
      <c r="S14944" s="505"/>
      <c r="T14944" s="505"/>
      <c r="U14944" s="505"/>
      <c r="V14944" s="505"/>
      <c r="W14944" s="505"/>
      <c r="X14944" s="505"/>
      <c r="Y14944" s="505"/>
    </row>
    <row r="14945" spans="1:25" s="88" customFormat="1" hidden="1" x14ac:dyDescent="0.25">
      <c r="A14945" s="295"/>
      <c r="B14945" s="295"/>
      <c r="C14945" s="487"/>
      <c r="D14945" s="295"/>
      <c r="E14945" s="797"/>
      <c r="F14945" s="798"/>
      <c r="G14945" s="285" t="s">
        <v>4170</v>
      </c>
      <c r="H14945" s="567"/>
      <c r="I14945" s="589"/>
      <c r="J14945" s="567"/>
      <c r="K14945" s="505"/>
      <c r="L14945" s="505"/>
      <c r="M14945" s="505"/>
      <c r="N14945" s="505"/>
      <c r="O14945" s="505"/>
      <c r="P14945" s="505"/>
      <c r="Q14945" s="505"/>
      <c r="R14945" s="505"/>
      <c r="S14945" s="505"/>
      <c r="T14945" s="505"/>
      <c r="U14945" s="505"/>
      <c r="V14945" s="505"/>
      <c r="W14945" s="505"/>
      <c r="X14945" s="505"/>
      <c r="Y14945" s="505"/>
    </row>
    <row r="14946" spans="1:25" s="88" customFormat="1" hidden="1" x14ac:dyDescent="0.25">
      <c r="A14946" s="295"/>
      <c r="B14946" s="295"/>
      <c r="C14946" s="487"/>
      <c r="D14946" s="295"/>
      <c r="E14946" s="879"/>
      <c r="F14946" s="799" t="s">
        <v>234</v>
      </c>
      <c r="G14946" s="598" t="s">
        <v>235</v>
      </c>
      <c r="H14946" s="800">
        <f>SUM(H14927)</f>
        <v>0</v>
      </c>
      <c r="I14946" s="801"/>
      <c r="J14946" s="801">
        <f>SUM(H14946:I14946)</f>
        <v>0</v>
      </c>
      <c r="K14946" s="505"/>
      <c r="L14946" s="505"/>
      <c r="M14946" s="505"/>
      <c r="N14946" s="505"/>
      <c r="O14946" s="505"/>
      <c r="P14946" s="505"/>
      <c r="Q14946" s="505"/>
      <c r="R14946" s="505"/>
      <c r="S14946" s="505"/>
      <c r="T14946" s="505"/>
      <c r="U14946" s="505"/>
      <c r="V14946" s="505"/>
      <c r="W14946" s="505"/>
      <c r="X14946" s="505"/>
      <c r="Y14946" s="505"/>
    </row>
    <row r="14947" spans="1:25" s="88" customFormat="1" hidden="1" x14ac:dyDescent="0.25">
      <c r="A14947" s="295"/>
      <c r="B14947" s="295"/>
      <c r="C14947" s="487"/>
      <c r="D14947" s="295"/>
      <c r="E14947" s="889"/>
      <c r="F14947" s="799" t="s">
        <v>236</v>
      </c>
      <c r="G14947" s="598" t="s">
        <v>237</v>
      </c>
      <c r="H14947" s="580"/>
      <c r="I14947" s="571"/>
      <c r="J14947" s="801">
        <f t="shared" ref="J14947:J14961" si="487">SUM(H14947:I14947)</f>
        <v>0</v>
      </c>
      <c r="K14947" s="505"/>
      <c r="L14947" s="505"/>
      <c r="M14947" s="505"/>
      <c r="N14947" s="505"/>
      <c r="O14947" s="505"/>
      <c r="P14947" s="505"/>
      <c r="Q14947" s="505"/>
      <c r="R14947" s="505"/>
      <c r="S14947" s="505"/>
      <c r="T14947" s="505"/>
      <c r="U14947" s="505"/>
      <c r="V14947" s="505"/>
      <c r="W14947" s="505"/>
      <c r="X14947" s="505"/>
      <c r="Y14947" s="505"/>
    </row>
    <row r="14948" spans="1:25" s="88" customFormat="1" hidden="1" x14ac:dyDescent="0.25">
      <c r="A14948" s="295"/>
      <c r="B14948" s="295"/>
      <c r="C14948" s="487"/>
      <c r="D14948" s="295"/>
      <c r="E14948" s="889"/>
      <c r="F14948" s="799" t="s">
        <v>238</v>
      </c>
      <c r="G14948" s="598" t="s">
        <v>239</v>
      </c>
      <c r="H14948" s="580"/>
      <c r="I14948" s="571"/>
      <c r="J14948" s="801">
        <f t="shared" si="487"/>
        <v>0</v>
      </c>
      <c r="K14948" s="505"/>
      <c r="L14948" s="505"/>
      <c r="M14948" s="505"/>
      <c r="N14948" s="505"/>
      <c r="O14948" s="505"/>
      <c r="P14948" s="505"/>
      <c r="Q14948" s="505"/>
      <c r="R14948" s="505"/>
      <c r="S14948" s="505"/>
      <c r="T14948" s="505"/>
      <c r="U14948" s="505"/>
      <c r="V14948" s="505"/>
      <c r="W14948" s="505"/>
      <c r="X14948" s="505"/>
      <c r="Y14948" s="505"/>
    </row>
    <row r="14949" spans="1:25" s="88" customFormat="1" hidden="1" x14ac:dyDescent="0.25">
      <c r="A14949" s="295"/>
      <c r="B14949" s="295"/>
      <c r="C14949" s="487"/>
      <c r="D14949" s="295"/>
      <c r="E14949" s="889"/>
      <c r="F14949" s="799" t="s">
        <v>240</v>
      </c>
      <c r="G14949" s="598" t="s">
        <v>241</v>
      </c>
      <c r="H14949" s="580"/>
      <c r="I14949" s="571"/>
      <c r="J14949" s="801">
        <f t="shared" si="487"/>
        <v>0</v>
      </c>
      <c r="K14949" s="505"/>
      <c r="L14949" s="505"/>
      <c r="M14949" s="505"/>
      <c r="N14949" s="505"/>
      <c r="O14949" s="505"/>
      <c r="P14949" s="505"/>
      <c r="Q14949" s="505"/>
      <c r="R14949" s="505"/>
      <c r="S14949" s="505"/>
      <c r="T14949" s="505"/>
      <c r="U14949" s="505"/>
      <c r="V14949" s="505"/>
      <c r="W14949" s="505"/>
      <c r="X14949" s="505"/>
      <c r="Y14949" s="505"/>
    </row>
    <row r="14950" spans="1:25" s="88" customFormat="1" hidden="1" x14ac:dyDescent="0.25">
      <c r="A14950" s="295"/>
      <c r="B14950" s="295"/>
      <c r="C14950" s="487"/>
      <c r="D14950" s="295"/>
      <c r="E14950" s="889"/>
      <c r="F14950" s="799" t="s">
        <v>242</v>
      </c>
      <c r="G14950" s="598" t="s">
        <v>243</v>
      </c>
      <c r="H14950" s="580"/>
      <c r="I14950" s="571"/>
      <c r="J14950" s="801">
        <f t="shared" si="487"/>
        <v>0</v>
      </c>
      <c r="K14950" s="505"/>
      <c r="L14950" s="505"/>
      <c r="M14950" s="505"/>
      <c r="N14950" s="505"/>
      <c r="O14950" s="505"/>
      <c r="P14950" s="505"/>
      <c r="Q14950" s="505"/>
      <c r="R14950" s="505"/>
      <c r="S14950" s="505"/>
      <c r="T14950" s="505"/>
      <c r="U14950" s="505"/>
      <c r="V14950" s="505"/>
      <c r="W14950" s="505"/>
      <c r="X14950" s="505"/>
      <c r="Y14950" s="505"/>
    </row>
    <row r="14951" spans="1:25" s="88" customFormat="1" hidden="1" x14ac:dyDescent="0.25">
      <c r="A14951" s="295"/>
      <c r="B14951" s="295"/>
      <c r="C14951" s="487"/>
      <c r="D14951" s="295"/>
      <c r="E14951" s="889"/>
      <c r="F14951" s="799" t="s">
        <v>244</v>
      </c>
      <c r="G14951" s="598" t="s">
        <v>245</v>
      </c>
      <c r="H14951" s="580"/>
      <c r="I14951" s="571"/>
      <c r="J14951" s="801">
        <f t="shared" si="487"/>
        <v>0</v>
      </c>
      <c r="K14951" s="505"/>
      <c r="L14951" s="505"/>
      <c r="M14951" s="505"/>
      <c r="N14951" s="505"/>
      <c r="O14951" s="505"/>
      <c r="P14951" s="505"/>
      <c r="Q14951" s="505"/>
      <c r="R14951" s="505"/>
      <c r="S14951" s="505"/>
      <c r="T14951" s="505"/>
      <c r="U14951" s="505"/>
      <c r="V14951" s="505"/>
      <c r="W14951" s="505"/>
      <c r="X14951" s="505"/>
      <c r="Y14951" s="505"/>
    </row>
    <row r="14952" spans="1:25" s="88" customFormat="1" hidden="1" x14ac:dyDescent="0.25">
      <c r="A14952" s="295"/>
      <c r="B14952" s="295"/>
      <c r="C14952" s="487"/>
      <c r="D14952" s="295"/>
      <c r="E14952" s="889"/>
      <c r="F14952" s="799" t="s">
        <v>246</v>
      </c>
      <c r="G14952" s="598" t="s">
        <v>4996</v>
      </c>
      <c r="H14952" s="580"/>
      <c r="I14952" s="571"/>
      <c r="J14952" s="801">
        <f t="shared" si="487"/>
        <v>0</v>
      </c>
      <c r="K14952" s="505"/>
      <c r="L14952" s="505"/>
      <c r="M14952" s="505"/>
      <c r="N14952" s="505"/>
      <c r="O14952" s="505"/>
      <c r="P14952" s="505"/>
      <c r="Q14952" s="505"/>
      <c r="R14952" s="505"/>
      <c r="S14952" s="505"/>
      <c r="T14952" s="505"/>
      <c r="U14952" s="505"/>
      <c r="V14952" s="505"/>
      <c r="W14952" s="505"/>
      <c r="X14952" s="505"/>
      <c r="Y14952" s="505"/>
    </row>
    <row r="14953" spans="1:25" s="88" customFormat="1" hidden="1" x14ac:dyDescent="0.25">
      <c r="A14953" s="295"/>
      <c r="B14953" s="295"/>
      <c r="C14953" s="487"/>
      <c r="D14953" s="295"/>
      <c r="E14953" s="889"/>
      <c r="F14953" s="799" t="s">
        <v>247</v>
      </c>
      <c r="G14953" s="598" t="s">
        <v>4995</v>
      </c>
      <c r="H14953" s="580"/>
      <c r="I14953" s="571"/>
      <c r="J14953" s="801">
        <f t="shared" si="487"/>
        <v>0</v>
      </c>
      <c r="K14953" s="505"/>
      <c r="L14953" s="505"/>
      <c r="M14953" s="505"/>
      <c r="N14953" s="505"/>
      <c r="O14953" s="505"/>
      <c r="P14953" s="505"/>
      <c r="Q14953" s="505"/>
      <c r="R14953" s="505"/>
      <c r="S14953" s="505"/>
      <c r="T14953" s="505"/>
      <c r="U14953" s="505"/>
      <c r="V14953" s="505"/>
      <c r="W14953" s="505"/>
      <c r="X14953" s="505"/>
      <c r="Y14953" s="505"/>
    </row>
    <row r="14954" spans="1:25" s="88" customFormat="1" hidden="1" x14ac:dyDescent="0.25">
      <c r="A14954" s="295"/>
      <c r="B14954" s="295"/>
      <c r="C14954" s="487"/>
      <c r="D14954" s="295"/>
      <c r="E14954" s="889"/>
      <c r="F14954" s="799" t="s">
        <v>248</v>
      </c>
      <c r="G14954" s="598" t="s">
        <v>57</v>
      </c>
      <c r="H14954" s="580"/>
      <c r="I14954" s="571"/>
      <c r="J14954" s="801">
        <f t="shared" si="487"/>
        <v>0</v>
      </c>
      <c r="K14954" s="505"/>
      <c r="L14954" s="505"/>
      <c r="M14954" s="505"/>
      <c r="N14954" s="505"/>
      <c r="O14954" s="505"/>
      <c r="P14954" s="505"/>
      <c r="Q14954" s="505"/>
      <c r="R14954" s="505"/>
      <c r="S14954" s="505"/>
      <c r="T14954" s="505"/>
      <c r="U14954" s="505"/>
      <c r="V14954" s="505"/>
      <c r="W14954" s="505"/>
      <c r="X14954" s="505"/>
      <c r="Y14954" s="505"/>
    </row>
    <row r="14955" spans="1:25" s="88" customFormat="1" hidden="1" x14ac:dyDescent="0.25">
      <c r="A14955" s="295"/>
      <c r="B14955" s="295"/>
      <c r="C14955" s="487"/>
      <c r="D14955" s="295"/>
      <c r="E14955" s="889"/>
      <c r="F14955" s="799" t="s">
        <v>249</v>
      </c>
      <c r="G14955" s="598" t="s">
        <v>250</v>
      </c>
      <c r="H14955" s="580"/>
      <c r="I14955" s="571"/>
      <c r="J14955" s="801">
        <f t="shared" si="487"/>
        <v>0</v>
      </c>
      <c r="K14955" s="505"/>
      <c r="L14955" s="505"/>
      <c r="M14955" s="505"/>
      <c r="N14955" s="505"/>
      <c r="O14955" s="505"/>
      <c r="P14955" s="505"/>
      <c r="Q14955" s="505"/>
      <c r="R14955" s="505"/>
      <c r="S14955" s="505"/>
      <c r="T14955" s="505"/>
      <c r="U14955" s="505"/>
      <c r="V14955" s="505"/>
      <c r="W14955" s="505"/>
      <c r="X14955" s="505"/>
      <c r="Y14955" s="505"/>
    </row>
    <row r="14956" spans="1:25" s="88" customFormat="1" hidden="1" x14ac:dyDescent="0.25">
      <c r="A14956" s="295"/>
      <c r="B14956" s="295"/>
      <c r="C14956" s="487"/>
      <c r="D14956" s="295"/>
      <c r="E14956" s="889"/>
      <c r="F14956" s="799" t="s">
        <v>251</v>
      </c>
      <c r="G14956" s="598" t="s">
        <v>252</v>
      </c>
      <c r="H14956" s="580"/>
      <c r="I14956" s="571"/>
      <c r="J14956" s="801">
        <f t="shared" si="487"/>
        <v>0</v>
      </c>
      <c r="K14956" s="505"/>
      <c r="L14956" s="505"/>
      <c r="M14956" s="505"/>
      <c r="N14956" s="505"/>
      <c r="O14956" s="505"/>
      <c r="P14956" s="505"/>
      <c r="Q14956" s="505"/>
      <c r="R14956" s="505"/>
      <c r="S14956" s="505"/>
      <c r="T14956" s="505"/>
      <c r="U14956" s="505"/>
      <c r="V14956" s="505"/>
      <c r="W14956" s="505"/>
      <c r="X14956" s="505"/>
      <c r="Y14956" s="505"/>
    </row>
    <row r="14957" spans="1:25" s="88" customFormat="1" ht="30" hidden="1" x14ac:dyDescent="0.25">
      <c r="A14957" s="295"/>
      <c r="B14957" s="295"/>
      <c r="C14957" s="487"/>
      <c r="D14957" s="295"/>
      <c r="E14957" s="889"/>
      <c r="F14957" s="799" t="s">
        <v>253</v>
      </c>
      <c r="G14957" s="598" t="s">
        <v>254</v>
      </c>
      <c r="H14957" s="580"/>
      <c r="I14957" s="571"/>
      <c r="J14957" s="801">
        <f t="shared" si="487"/>
        <v>0</v>
      </c>
      <c r="K14957" s="505"/>
      <c r="L14957" s="505"/>
      <c r="M14957" s="505"/>
      <c r="N14957" s="505"/>
      <c r="O14957" s="505"/>
      <c r="P14957" s="505"/>
      <c r="Q14957" s="505"/>
      <c r="R14957" s="505"/>
      <c r="S14957" s="505"/>
      <c r="T14957" s="505"/>
      <c r="U14957" s="505"/>
      <c r="V14957" s="505"/>
      <c r="W14957" s="505"/>
      <c r="X14957" s="505"/>
      <c r="Y14957" s="505"/>
    </row>
    <row r="14958" spans="1:25" s="88" customFormat="1" hidden="1" x14ac:dyDescent="0.25">
      <c r="A14958" s="295"/>
      <c r="B14958" s="295"/>
      <c r="C14958" s="487"/>
      <c r="D14958" s="295"/>
      <c r="E14958" s="889"/>
      <c r="F14958" s="799" t="s">
        <v>255</v>
      </c>
      <c r="G14958" s="598" t="s">
        <v>256</v>
      </c>
      <c r="H14958" s="580"/>
      <c r="I14958" s="571"/>
      <c r="J14958" s="801">
        <f t="shared" si="487"/>
        <v>0</v>
      </c>
      <c r="K14958" s="505"/>
      <c r="L14958" s="505"/>
      <c r="M14958" s="505"/>
      <c r="N14958" s="505"/>
      <c r="O14958" s="505"/>
      <c r="P14958" s="505"/>
      <c r="Q14958" s="505"/>
      <c r="R14958" s="505"/>
      <c r="S14958" s="505"/>
      <c r="T14958" s="505"/>
      <c r="U14958" s="505"/>
      <c r="V14958" s="505"/>
      <c r="W14958" s="505"/>
      <c r="X14958" s="505"/>
      <c r="Y14958" s="505"/>
    </row>
    <row r="14959" spans="1:25" s="88" customFormat="1" ht="30" hidden="1" x14ac:dyDescent="0.25">
      <c r="A14959" s="295"/>
      <c r="B14959" s="295"/>
      <c r="C14959" s="487"/>
      <c r="D14959" s="295"/>
      <c r="E14959" s="889"/>
      <c r="F14959" s="799" t="s">
        <v>257</v>
      </c>
      <c r="G14959" s="598" t="s">
        <v>258</v>
      </c>
      <c r="H14959" s="580"/>
      <c r="I14959" s="571"/>
      <c r="J14959" s="801">
        <f t="shared" si="487"/>
        <v>0</v>
      </c>
      <c r="K14959" s="505"/>
      <c r="L14959" s="505"/>
      <c r="M14959" s="505"/>
      <c r="N14959" s="505"/>
      <c r="O14959" s="505"/>
      <c r="P14959" s="505"/>
      <c r="Q14959" s="505"/>
      <c r="R14959" s="505"/>
      <c r="S14959" s="505"/>
      <c r="T14959" s="505"/>
      <c r="U14959" s="505"/>
      <c r="V14959" s="505"/>
      <c r="W14959" s="505"/>
      <c r="X14959" s="505"/>
      <c r="Y14959" s="505"/>
    </row>
    <row r="14960" spans="1:25" s="88" customFormat="1" hidden="1" x14ac:dyDescent="0.25">
      <c r="A14960" s="295"/>
      <c r="B14960" s="295"/>
      <c r="C14960" s="487"/>
      <c r="D14960" s="295"/>
      <c r="E14960" s="889"/>
      <c r="F14960" s="799" t="s">
        <v>259</v>
      </c>
      <c r="G14960" s="598" t="s">
        <v>260</v>
      </c>
      <c r="H14960" s="580"/>
      <c r="I14960" s="571"/>
      <c r="J14960" s="801">
        <f t="shared" si="487"/>
        <v>0</v>
      </c>
      <c r="K14960" s="505"/>
      <c r="L14960" s="505"/>
      <c r="M14960" s="505"/>
      <c r="N14960" s="505"/>
      <c r="O14960" s="505"/>
      <c r="P14960" s="505"/>
      <c r="Q14960" s="505"/>
      <c r="R14960" s="505"/>
      <c r="S14960" s="505"/>
      <c r="T14960" s="505"/>
      <c r="U14960" s="505"/>
      <c r="V14960" s="505"/>
      <c r="W14960" s="505"/>
      <c r="X14960" s="505"/>
      <c r="Y14960" s="505"/>
    </row>
    <row r="14961" spans="1:25" s="88" customFormat="1" hidden="1" x14ac:dyDescent="0.25">
      <c r="A14961" s="295"/>
      <c r="B14961" s="295"/>
      <c r="C14961" s="487"/>
      <c r="D14961" s="295"/>
      <c r="E14961" s="889"/>
      <c r="F14961" s="799" t="s">
        <v>261</v>
      </c>
      <c r="G14961" s="598" t="s">
        <v>262</v>
      </c>
      <c r="H14961" s="800"/>
      <c r="I14961" s="801"/>
      <c r="J14961" s="801">
        <f t="shared" si="487"/>
        <v>0</v>
      </c>
      <c r="K14961" s="505"/>
      <c r="L14961" s="505"/>
      <c r="M14961" s="505"/>
      <c r="N14961" s="505"/>
      <c r="O14961" s="505"/>
      <c r="P14961" s="505"/>
      <c r="Q14961" s="505"/>
      <c r="R14961" s="505"/>
      <c r="S14961" s="505"/>
      <c r="T14961" s="505"/>
      <c r="U14961" s="505"/>
      <c r="V14961" s="505"/>
      <c r="W14961" s="505"/>
      <c r="X14961" s="505"/>
      <c r="Y14961" s="505"/>
    </row>
    <row r="14962" spans="1:25" s="88" customFormat="1" ht="15.75" hidden="1" thickBot="1" x14ac:dyDescent="0.3">
      <c r="A14962" s="295"/>
      <c r="B14962" s="295"/>
      <c r="C14962" s="487"/>
      <c r="D14962" s="295"/>
      <c r="E14962" s="889"/>
      <c r="F14962" s="295"/>
      <c r="G14962" s="802" t="s">
        <v>4171</v>
      </c>
      <c r="H14962" s="803">
        <f>SUM(H14946:H14961)</f>
        <v>0</v>
      </c>
      <c r="I14962" s="804">
        <f>SUM(I14947:I14961)</f>
        <v>0</v>
      </c>
      <c r="J14962" s="804">
        <f>SUM(J14946:J14961)</f>
        <v>0</v>
      </c>
      <c r="K14962" s="505"/>
      <c r="L14962" s="505"/>
      <c r="M14962" s="505"/>
      <c r="N14962" s="505"/>
      <c r="O14962" s="505"/>
      <c r="P14962" s="505"/>
      <c r="Q14962" s="505"/>
      <c r="R14962" s="505"/>
      <c r="S14962" s="505"/>
      <c r="T14962" s="505"/>
      <c r="U14962" s="505"/>
      <c r="V14962" s="505"/>
      <c r="W14962" s="505"/>
      <c r="X14962" s="505"/>
      <c r="Y14962" s="505"/>
    </row>
    <row r="14963" spans="1:25" s="88" customFormat="1" hidden="1" x14ac:dyDescent="0.25">
      <c r="A14963" s="295"/>
      <c r="B14963" s="295"/>
      <c r="C14963" s="487"/>
      <c r="D14963" s="295"/>
      <c r="E14963" s="889"/>
      <c r="F14963" s="295"/>
      <c r="G14963" s="826"/>
      <c r="H14963" s="580"/>
      <c r="I14963" s="571"/>
      <c r="J14963" s="571"/>
      <c r="K14963" s="505"/>
      <c r="L14963" s="505"/>
      <c r="M14963" s="505"/>
      <c r="N14963" s="505"/>
      <c r="O14963" s="505"/>
      <c r="P14963" s="505"/>
      <c r="Q14963" s="505"/>
      <c r="R14963" s="505"/>
      <c r="S14963" s="505"/>
      <c r="T14963" s="505"/>
      <c r="U14963" s="505"/>
      <c r="V14963" s="505"/>
      <c r="W14963" s="505"/>
      <c r="X14963" s="505"/>
      <c r="Y14963" s="505"/>
    </row>
    <row r="14964" spans="1:25" s="88" customFormat="1" hidden="1" x14ac:dyDescent="0.25">
      <c r="A14964" s="295"/>
      <c r="B14964" s="295"/>
      <c r="C14964" s="487"/>
      <c r="D14964" s="295"/>
      <c r="E14964" s="797"/>
      <c r="F14964" s="798"/>
      <c r="G14964" s="285" t="s">
        <v>4276</v>
      </c>
      <c r="H14964" s="567"/>
      <c r="I14964" s="589"/>
      <c r="J14964" s="567"/>
      <c r="K14964" s="505"/>
      <c r="L14964" s="505"/>
      <c r="M14964" s="505"/>
      <c r="N14964" s="505"/>
      <c r="O14964" s="505"/>
      <c r="P14964" s="505"/>
      <c r="Q14964" s="505"/>
      <c r="R14964" s="505"/>
      <c r="S14964" s="505"/>
      <c r="T14964" s="505"/>
      <c r="U14964" s="505"/>
      <c r="V14964" s="505"/>
      <c r="W14964" s="505"/>
      <c r="X14964" s="505"/>
      <c r="Y14964" s="505"/>
    </row>
    <row r="14965" spans="1:25" s="88" customFormat="1" hidden="1" x14ac:dyDescent="0.25">
      <c r="A14965" s="295"/>
      <c r="B14965" s="295"/>
      <c r="C14965" s="487"/>
      <c r="D14965" s="295"/>
      <c r="E14965" s="879"/>
      <c r="F14965" s="799" t="s">
        <v>234</v>
      </c>
      <c r="G14965" s="598" t="s">
        <v>235</v>
      </c>
      <c r="H14965" s="800">
        <f>SUM(H14946)</f>
        <v>0</v>
      </c>
      <c r="I14965" s="801"/>
      <c r="J14965" s="801">
        <f>SUM(H14965:I14965)</f>
        <v>0</v>
      </c>
      <c r="K14965" s="505"/>
      <c r="L14965" s="505"/>
      <c r="M14965" s="505"/>
      <c r="N14965" s="505"/>
      <c r="O14965" s="505"/>
      <c r="P14965" s="505"/>
      <c r="Q14965" s="505"/>
      <c r="R14965" s="505"/>
      <c r="S14965" s="505"/>
      <c r="T14965" s="505"/>
      <c r="U14965" s="505"/>
      <c r="V14965" s="505"/>
      <c r="W14965" s="505"/>
      <c r="X14965" s="505"/>
      <c r="Y14965" s="505"/>
    </row>
    <row r="14966" spans="1:25" s="88" customFormat="1" hidden="1" x14ac:dyDescent="0.25">
      <c r="A14966" s="295"/>
      <c r="B14966" s="295"/>
      <c r="C14966" s="487"/>
      <c r="D14966" s="295"/>
      <c r="E14966" s="889"/>
      <c r="F14966" s="799" t="s">
        <v>236</v>
      </c>
      <c r="G14966" s="598" t="s">
        <v>237</v>
      </c>
      <c r="H14966" s="580"/>
      <c r="I14966" s="571"/>
      <c r="J14966" s="801">
        <f t="shared" ref="J14966:J14980" si="488">SUM(H14966:I14966)</f>
        <v>0</v>
      </c>
      <c r="K14966" s="505"/>
      <c r="L14966" s="505"/>
      <c r="M14966" s="505"/>
      <c r="N14966" s="505"/>
      <c r="O14966" s="505"/>
      <c r="P14966" s="505"/>
      <c r="Q14966" s="505"/>
      <c r="R14966" s="505"/>
      <c r="S14966" s="505"/>
      <c r="T14966" s="505"/>
      <c r="U14966" s="505"/>
      <c r="V14966" s="505"/>
      <c r="W14966" s="505"/>
      <c r="X14966" s="505"/>
      <c r="Y14966" s="505"/>
    </row>
    <row r="14967" spans="1:25" s="88" customFormat="1" hidden="1" x14ac:dyDescent="0.25">
      <c r="A14967" s="295"/>
      <c r="B14967" s="295"/>
      <c r="C14967" s="487"/>
      <c r="D14967" s="295"/>
      <c r="E14967" s="889"/>
      <c r="F14967" s="799" t="s">
        <v>238</v>
      </c>
      <c r="G14967" s="598" t="s">
        <v>239</v>
      </c>
      <c r="H14967" s="580"/>
      <c r="I14967" s="571"/>
      <c r="J14967" s="801">
        <f t="shared" si="488"/>
        <v>0</v>
      </c>
      <c r="K14967" s="505"/>
      <c r="L14967" s="505"/>
      <c r="M14967" s="505"/>
      <c r="N14967" s="505"/>
      <c r="O14967" s="505"/>
      <c r="P14967" s="505"/>
      <c r="Q14967" s="505"/>
      <c r="R14967" s="505"/>
      <c r="S14967" s="505"/>
      <c r="T14967" s="505"/>
      <c r="U14967" s="505"/>
      <c r="V14967" s="505"/>
      <c r="W14967" s="505"/>
      <c r="X14967" s="505"/>
      <c r="Y14967" s="505"/>
    </row>
    <row r="14968" spans="1:25" s="88" customFormat="1" hidden="1" x14ac:dyDescent="0.25">
      <c r="A14968" s="295"/>
      <c r="B14968" s="295"/>
      <c r="C14968" s="487"/>
      <c r="D14968" s="295"/>
      <c r="E14968" s="889"/>
      <c r="F14968" s="799" t="s">
        <v>240</v>
      </c>
      <c r="G14968" s="598" t="s">
        <v>241</v>
      </c>
      <c r="H14968" s="580"/>
      <c r="I14968" s="571"/>
      <c r="J14968" s="801">
        <f t="shared" si="488"/>
        <v>0</v>
      </c>
      <c r="K14968" s="505"/>
      <c r="L14968" s="505"/>
      <c r="M14968" s="505"/>
      <c r="N14968" s="505"/>
      <c r="O14968" s="505"/>
      <c r="P14968" s="505"/>
      <c r="Q14968" s="505"/>
      <c r="R14968" s="505"/>
      <c r="S14968" s="505"/>
      <c r="T14968" s="505"/>
      <c r="U14968" s="505"/>
      <c r="V14968" s="505"/>
      <c r="W14968" s="505"/>
      <c r="X14968" s="505"/>
      <c r="Y14968" s="505"/>
    </row>
    <row r="14969" spans="1:25" s="88" customFormat="1" hidden="1" x14ac:dyDescent="0.25">
      <c r="A14969" s="295"/>
      <c r="B14969" s="295"/>
      <c r="C14969" s="487"/>
      <c r="D14969" s="295"/>
      <c r="E14969" s="889"/>
      <c r="F14969" s="799" t="s">
        <v>242</v>
      </c>
      <c r="G14969" s="598" t="s">
        <v>243</v>
      </c>
      <c r="H14969" s="580"/>
      <c r="I14969" s="571"/>
      <c r="J14969" s="801">
        <f t="shared" si="488"/>
        <v>0</v>
      </c>
      <c r="K14969" s="505"/>
      <c r="L14969" s="505"/>
      <c r="M14969" s="505"/>
      <c r="N14969" s="505"/>
      <c r="O14969" s="505"/>
      <c r="P14969" s="505"/>
      <c r="Q14969" s="505"/>
      <c r="R14969" s="505"/>
      <c r="S14969" s="505"/>
      <c r="T14969" s="505"/>
      <c r="U14969" s="505"/>
      <c r="V14969" s="505"/>
      <c r="W14969" s="505"/>
      <c r="X14969" s="505"/>
      <c r="Y14969" s="505"/>
    </row>
    <row r="14970" spans="1:25" s="88" customFormat="1" hidden="1" x14ac:dyDescent="0.25">
      <c r="A14970" s="295"/>
      <c r="B14970" s="295"/>
      <c r="C14970" s="487"/>
      <c r="D14970" s="295"/>
      <c r="E14970" s="889"/>
      <c r="F14970" s="799" t="s">
        <v>244</v>
      </c>
      <c r="G14970" s="598" t="s">
        <v>245</v>
      </c>
      <c r="H14970" s="580"/>
      <c r="I14970" s="571"/>
      <c r="J14970" s="801">
        <f t="shared" si="488"/>
        <v>0</v>
      </c>
      <c r="K14970" s="505"/>
      <c r="L14970" s="505"/>
      <c r="M14970" s="505"/>
      <c r="N14970" s="505"/>
      <c r="O14970" s="505"/>
      <c r="P14970" s="505"/>
      <c r="Q14970" s="505"/>
      <c r="R14970" s="505"/>
      <c r="S14970" s="505"/>
      <c r="T14970" s="505"/>
      <c r="U14970" s="505"/>
      <c r="V14970" s="505"/>
      <c r="W14970" s="505"/>
      <c r="X14970" s="505"/>
      <c r="Y14970" s="505"/>
    </row>
    <row r="14971" spans="1:25" s="88" customFormat="1" hidden="1" x14ac:dyDescent="0.25">
      <c r="A14971" s="295"/>
      <c r="B14971" s="295"/>
      <c r="C14971" s="487"/>
      <c r="D14971" s="295"/>
      <c r="E14971" s="889"/>
      <c r="F14971" s="799" t="s">
        <v>246</v>
      </c>
      <c r="G14971" s="598" t="s">
        <v>4996</v>
      </c>
      <c r="H14971" s="580"/>
      <c r="I14971" s="571"/>
      <c r="J14971" s="801">
        <f t="shared" si="488"/>
        <v>0</v>
      </c>
      <c r="K14971" s="505"/>
      <c r="L14971" s="505"/>
      <c r="M14971" s="505"/>
      <c r="N14971" s="505"/>
      <c r="O14971" s="505"/>
      <c r="P14971" s="505"/>
      <c r="Q14971" s="505"/>
      <c r="R14971" s="505"/>
      <c r="S14971" s="505"/>
      <c r="T14971" s="505"/>
      <c r="U14971" s="505"/>
      <c r="V14971" s="505"/>
      <c r="W14971" s="505"/>
      <c r="X14971" s="505"/>
      <c r="Y14971" s="505"/>
    </row>
    <row r="14972" spans="1:25" s="88" customFormat="1" hidden="1" x14ac:dyDescent="0.25">
      <c r="A14972" s="295"/>
      <c r="B14972" s="295"/>
      <c r="C14972" s="487"/>
      <c r="D14972" s="295"/>
      <c r="E14972" s="889"/>
      <c r="F14972" s="799" t="s">
        <v>247</v>
      </c>
      <c r="G14972" s="598" t="s">
        <v>4995</v>
      </c>
      <c r="H14972" s="580"/>
      <c r="I14972" s="571"/>
      <c r="J14972" s="801">
        <f t="shared" si="488"/>
        <v>0</v>
      </c>
      <c r="K14972" s="505"/>
      <c r="L14972" s="505"/>
      <c r="M14972" s="505"/>
      <c r="N14972" s="505"/>
      <c r="O14972" s="505"/>
      <c r="P14972" s="505"/>
      <c r="Q14972" s="505"/>
      <c r="R14972" s="505"/>
      <c r="S14972" s="505"/>
      <c r="T14972" s="505"/>
      <c r="U14972" s="505"/>
      <c r="V14972" s="505"/>
      <c r="W14972" s="505"/>
      <c r="X14972" s="505"/>
      <c r="Y14972" s="505"/>
    </row>
    <row r="14973" spans="1:25" s="88" customFormat="1" hidden="1" x14ac:dyDescent="0.25">
      <c r="A14973" s="295"/>
      <c r="B14973" s="295"/>
      <c r="C14973" s="487"/>
      <c r="D14973" s="295"/>
      <c r="E14973" s="889"/>
      <c r="F14973" s="799" t="s">
        <v>248</v>
      </c>
      <c r="G14973" s="598" t="s">
        <v>57</v>
      </c>
      <c r="H14973" s="580"/>
      <c r="I14973" s="571"/>
      <c r="J14973" s="801">
        <f t="shared" si="488"/>
        <v>0</v>
      </c>
      <c r="K14973" s="505"/>
      <c r="L14973" s="505"/>
      <c r="M14973" s="505"/>
      <c r="N14973" s="505"/>
      <c r="O14973" s="505"/>
      <c r="P14973" s="505"/>
      <c r="Q14973" s="505"/>
      <c r="R14973" s="505"/>
      <c r="S14973" s="505"/>
      <c r="T14973" s="505"/>
      <c r="U14973" s="505"/>
      <c r="V14973" s="505"/>
      <c r="W14973" s="505"/>
      <c r="X14973" s="505"/>
      <c r="Y14973" s="505"/>
    </row>
    <row r="14974" spans="1:25" s="88" customFormat="1" hidden="1" x14ac:dyDescent="0.25">
      <c r="A14974" s="295"/>
      <c r="B14974" s="295"/>
      <c r="C14974" s="487"/>
      <c r="D14974" s="295"/>
      <c r="E14974" s="889"/>
      <c r="F14974" s="799" t="s">
        <v>249</v>
      </c>
      <c r="G14974" s="598" t="s">
        <v>250</v>
      </c>
      <c r="H14974" s="580"/>
      <c r="I14974" s="571"/>
      <c r="J14974" s="801">
        <f t="shared" si="488"/>
        <v>0</v>
      </c>
      <c r="K14974" s="505"/>
      <c r="L14974" s="505"/>
      <c r="M14974" s="505"/>
      <c r="N14974" s="505"/>
      <c r="O14974" s="505"/>
      <c r="P14974" s="505"/>
      <c r="Q14974" s="505"/>
      <c r="R14974" s="505"/>
      <c r="S14974" s="505"/>
      <c r="T14974" s="505"/>
      <c r="U14974" s="505"/>
      <c r="V14974" s="505"/>
      <c r="W14974" s="505"/>
      <c r="X14974" s="505"/>
      <c r="Y14974" s="505"/>
    </row>
    <row r="14975" spans="1:25" s="88" customFormat="1" hidden="1" x14ac:dyDescent="0.25">
      <c r="A14975" s="295"/>
      <c r="B14975" s="295"/>
      <c r="C14975" s="487"/>
      <c r="D14975" s="295"/>
      <c r="E14975" s="889"/>
      <c r="F14975" s="799" t="s">
        <v>251</v>
      </c>
      <c r="G14975" s="598" t="s">
        <v>252</v>
      </c>
      <c r="H14975" s="580"/>
      <c r="I14975" s="571"/>
      <c r="J14975" s="801">
        <f t="shared" si="488"/>
        <v>0</v>
      </c>
      <c r="K14975" s="505"/>
      <c r="L14975" s="505"/>
      <c r="M14975" s="505"/>
      <c r="N14975" s="505"/>
      <c r="O14975" s="505"/>
      <c r="P14975" s="505"/>
      <c r="Q14975" s="505"/>
      <c r="R14975" s="505"/>
      <c r="S14975" s="505"/>
      <c r="T14975" s="505"/>
      <c r="U14975" s="505"/>
      <c r="V14975" s="505"/>
      <c r="W14975" s="505"/>
      <c r="X14975" s="505"/>
      <c r="Y14975" s="505"/>
    </row>
    <row r="14976" spans="1:25" s="88" customFormat="1" ht="30" hidden="1" x14ac:dyDescent="0.25">
      <c r="A14976" s="295"/>
      <c r="B14976" s="295"/>
      <c r="C14976" s="487"/>
      <c r="D14976" s="295"/>
      <c r="E14976" s="889"/>
      <c r="F14976" s="799" t="s">
        <v>253</v>
      </c>
      <c r="G14976" s="598" t="s">
        <v>254</v>
      </c>
      <c r="H14976" s="580"/>
      <c r="I14976" s="571"/>
      <c r="J14976" s="801">
        <f t="shared" si="488"/>
        <v>0</v>
      </c>
      <c r="K14976" s="505"/>
      <c r="L14976" s="505"/>
      <c r="M14976" s="505"/>
      <c r="N14976" s="505"/>
      <c r="O14976" s="505"/>
      <c r="P14976" s="505"/>
      <c r="Q14976" s="505"/>
      <c r="R14976" s="505"/>
      <c r="S14976" s="505"/>
      <c r="T14976" s="505"/>
      <c r="U14976" s="505"/>
      <c r="V14976" s="505"/>
      <c r="W14976" s="505"/>
      <c r="X14976" s="505"/>
      <c r="Y14976" s="505"/>
    </row>
    <row r="14977" spans="1:25" s="88" customFormat="1" hidden="1" x14ac:dyDescent="0.25">
      <c r="A14977" s="295"/>
      <c r="B14977" s="295"/>
      <c r="C14977" s="487"/>
      <c r="D14977" s="295"/>
      <c r="E14977" s="889"/>
      <c r="F14977" s="799" t="s">
        <v>255</v>
      </c>
      <c r="G14977" s="598" t="s">
        <v>256</v>
      </c>
      <c r="H14977" s="580"/>
      <c r="I14977" s="571"/>
      <c r="J14977" s="801">
        <f t="shared" si="488"/>
        <v>0</v>
      </c>
      <c r="K14977" s="505"/>
      <c r="L14977" s="505"/>
      <c r="M14977" s="505"/>
      <c r="N14977" s="505"/>
      <c r="O14977" s="505"/>
      <c r="P14977" s="505"/>
      <c r="Q14977" s="505"/>
      <c r="R14977" s="505"/>
      <c r="S14977" s="505"/>
      <c r="T14977" s="505"/>
      <c r="U14977" s="505"/>
      <c r="V14977" s="505"/>
      <c r="W14977" s="505"/>
      <c r="X14977" s="505"/>
      <c r="Y14977" s="505"/>
    </row>
    <row r="14978" spans="1:25" s="88" customFormat="1" ht="30" hidden="1" x14ac:dyDescent="0.25">
      <c r="A14978" s="295"/>
      <c r="B14978" s="295"/>
      <c r="C14978" s="487"/>
      <c r="D14978" s="295"/>
      <c r="E14978" s="889"/>
      <c r="F14978" s="799" t="s">
        <v>257</v>
      </c>
      <c r="G14978" s="598" t="s">
        <v>258</v>
      </c>
      <c r="H14978" s="580"/>
      <c r="I14978" s="571"/>
      <c r="J14978" s="801">
        <f t="shared" si="488"/>
        <v>0</v>
      </c>
      <c r="K14978" s="505"/>
      <c r="L14978" s="505"/>
      <c r="M14978" s="505"/>
      <c r="N14978" s="505"/>
      <c r="O14978" s="505"/>
      <c r="P14978" s="505"/>
      <c r="Q14978" s="505"/>
      <c r="R14978" s="505"/>
      <c r="S14978" s="505"/>
      <c r="T14978" s="505"/>
      <c r="U14978" s="505"/>
      <c r="V14978" s="505"/>
      <c r="W14978" s="505"/>
      <c r="X14978" s="505"/>
      <c r="Y14978" s="505"/>
    </row>
    <row r="14979" spans="1:25" s="88" customFormat="1" hidden="1" x14ac:dyDescent="0.25">
      <c r="A14979" s="295"/>
      <c r="B14979" s="295"/>
      <c r="C14979" s="487"/>
      <c r="D14979" s="295"/>
      <c r="E14979" s="889"/>
      <c r="F14979" s="799" t="s">
        <v>259</v>
      </c>
      <c r="G14979" s="598" t="s">
        <v>260</v>
      </c>
      <c r="H14979" s="580"/>
      <c r="I14979" s="571"/>
      <c r="J14979" s="801">
        <f t="shared" si="488"/>
        <v>0</v>
      </c>
      <c r="K14979" s="505"/>
      <c r="L14979" s="505"/>
      <c r="M14979" s="505"/>
      <c r="N14979" s="505"/>
      <c r="O14979" s="505"/>
      <c r="P14979" s="505"/>
      <c r="Q14979" s="505"/>
      <c r="R14979" s="505"/>
      <c r="S14979" s="505"/>
      <c r="T14979" s="505"/>
      <c r="U14979" s="505"/>
      <c r="V14979" s="505"/>
      <c r="W14979" s="505"/>
      <c r="X14979" s="505"/>
      <c r="Y14979" s="505"/>
    </row>
    <row r="14980" spans="1:25" s="88" customFormat="1" hidden="1" x14ac:dyDescent="0.25">
      <c r="A14980" s="295"/>
      <c r="B14980" s="295"/>
      <c r="C14980" s="487"/>
      <c r="D14980" s="295"/>
      <c r="E14980" s="889"/>
      <c r="F14980" s="799" t="s">
        <v>261</v>
      </c>
      <c r="G14980" s="598" t="s">
        <v>262</v>
      </c>
      <c r="H14980" s="800"/>
      <c r="I14980" s="801"/>
      <c r="J14980" s="801">
        <f t="shared" si="488"/>
        <v>0</v>
      </c>
      <c r="K14980" s="505"/>
      <c r="L14980" s="505"/>
      <c r="M14980" s="505"/>
      <c r="N14980" s="505"/>
      <c r="O14980" s="505"/>
      <c r="P14980" s="505"/>
      <c r="Q14980" s="505"/>
      <c r="R14980" s="505"/>
      <c r="S14980" s="505"/>
      <c r="T14980" s="505"/>
      <c r="U14980" s="505"/>
      <c r="V14980" s="505"/>
      <c r="W14980" s="505"/>
      <c r="X14980" s="505"/>
      <c r="Y14980" s="505"/>
    </row>
    <row r="14981" spans="1:25" s="88" customFormat="1" ht="15.75" hidden="1" thickBot="1" x14ac:dyDescent="0.3">
      <c r="A14981" s="295"/>
      <c r="B14981" s="295"/>
      <c r="C14981" s="487"/>
      <c r="D14981" s="295"/>
      <c r="E14981" s="889"/>
      <c r="F14981" s="295"/>
      <c r="G14981" s="802" t="s">
        <v>4388</v>
      </c>
      <c r="H14981" s="803">
        <f>SUM(H14965:H14980)</f>
        <v>0</v>
      </c>
      <c r="I14981" s="804">
        <f>SUM(I14966:I14980)</f>
        <v>0</v>
      </c>
      <c r="J14981" s="804">
        <f>SUM(J14965:J14980)</f>
        <v>0</v>
      </c>
      <c r="K14981" s="505"/>
      <c r="L14981" s="505"/>
      <c r="M14981" s="505"/>
      <c r="N14981" s="505"/>
      <c r="O14981" s="505"/>
      <c r="P14981" s="505"/>
      <c r="Q14981" s="505"/>
      <c r="R14981" s="505"/>
      <c r="S14981" s="505"/>
      <c r="T14981" s="505"/>
      <c r="U14981" s="505"/>
      <c r="V14981" s="505"/>
      <c r="W14981" s="505"/>
      <c r="X14981" s="505"/>
      <c r="Y14981" s="505"/>
    </row>
    <row r="14982" spans="1:25" s="88" customFormat="1" hidden="1" x14ac:dyDescent="0.25">
      <c r="A14982" s="295"/>
      <c r="B14982" s="295"/>
      <c r="C14982" s="487"/>
      <c r="D14982" s="295"/>
      <c r="E14982" s="889"/>
      <c r="F14982" s="295"/>
      <c r="G14982" s="826"/>
      <c r="H14982" s="580"/>
      <c r="I14982" s="571"/>
      <c r="J14982" s="571"/>
      <c r="K14982" s="505"/>
      <c r="L14982" s="505"/>
      <c r="M14982" s="505"/>
      <c r="N14982" s="505"/>
      <c r="O14982" s="505"/>
      <c r="P14982" s="505"/>
      <c r="Q14982" s="505"/>
      <c r="R14982" s="505"/>
      <c r="S14982" s="505"/>
      <c r="T14982" s="505"/>
      <c r="U14982" s="505"/>
      <c r="V14982" s="505"/>
      <c r="W14982" s="505"/>
      <c r="X14982" s="505"/>
      <c r="Y14982" s="505"/>
    </row>
    <row r="14983" spans="1:25" s="88" customFormat="1" hidden="1" x14ac:dyDescent="0.25">
      <c r="A14983" s="295"/>
      <c r="B14983" s="295"/>
      <c r="C14983" s="487"/>
      <c r="D14983" s="295"/>
      <c r="E14983" s="889"/>
      <c r="F14983" s="295"/>
      <c r="G14983" s="826"/>
      <c r="H14983" s="580"/>
      <c r="I14983" s="571"/>
      <c r="J14983" s="571"/>
      <c r="K14983" s="505"/>
      <c r="L14983" s="505"/>
      <c r="M14983" s="505"/>
      <c r="N14983" s="505"/>
      <c r="O14983" s="505"/>
      <c r="P14983" s="505"/>
      <c r="Q14983" s="505"/>
      <c r="R14983" s="505"/>
      <c r="S14983" s="505"/>
      <c r="T14983" s="505"/>
      <c r="U14983" s="505"/>
      <c r="V14983" s="505"/>
      <c r="W14983" s="505"/>
      <c r="X14983" s="505"/>
      <c r="Y14983" s="505"/>
    </row>
    <row r="14984" spans="1:25" s="88" customFormat="1" x14ac:dyDescent="0.25">
      <c r="A14984" s="295"/>
      <c r="B14984" s="295"/>
      <c r="C14984" s="487"/>
      <c r="D14984" s="295"/>
      <c r="E14984" s="797"/>
      <c r="F14984" s="798"/>
      <c r="G14984" s="285" t="s">
        <v>5350</v>
      </c>
      <c r="H14984" s="567"/>
      <c r="I14984" s="589"/>
      <c r="J14984" s="567"/>
      <c r="K14984" s="505"/>
      <c r="L14984" s="505"/>
      <c r="M14984" s="505"/>
      <c r="N14984" s="505"/>
      <c r="O14984" s="505"/>
      <c r="P14984" s="505"/>
      <c r="Q14984" s="505"/>
      <c r="R14984" s="505"/>
      <c r="S14984" s="505"/>
      <c r="T14984" s="505"/>
      <c r="U14984" s="505"/>
      <c r="V14984" s="505"/>
      <c r="W14984" s="505"/>
      <c r="X14984" s="505"/>
      <c r="Y14984" s="505"/>
    </row>
    <row r="14985" spans="1:25" s="88" customFormat="1" x14ac:dyDescent="0.25">
      <c r="A14985" s="295"/>
      <c r="B14985" s="295"/>
      <c r="C14985" s="487"/>
      <c r="D14985" s="295"/>
      <c r="E14985" s="879"/>
      <c r="F14985" s="799" t="s">
        <v>234</v>
      </c>
      <c r="G14985" s="598" t="s">
        <v>235</v>
      </c>
      <c r="H14985" s="800">
        <f>SUM(H14807,H996,H835,H707,H544)</f>
        <v>293987171</v>
      </c>
      <c r="I14985" s="801"/>
      <c r="J14985" s="801">
        <f>SUM(H14985:I14985)</f>
        <v>293987171</v>
      </c>
      <c r="K14985" s="505"/>
      <c r="L14985" s="505"/>
      <c r="M14985" s="505"/>
      <c r="N14985" s="505"/>
      <c r="O14985" s="505"/>
      <c r="P14985" s="505"/>
      <c r="Q14985" s="505"/>
      <c r="R14985" s="505"/>
      <c r="S14985" s="505"/>
      <c r="T14985" s="505"/>
      <c r="U14985" s="505"/>
      <c r="V14985" s="505"/>
      <c r="W14985" s="505"/>
      <c r="X14985" s="505"/>
      <c r="Y14985" s="505"/>
    </row>
    <row r="14986" spans="1:25" s="88" customFormat="1" hidden="1" x14ac:dyDescent="0.25">
      <c r="A14986" s="295"/>
      <c r="B14986" s="295"/>
      <c r="C14986" s="487"/>
      <c r="D14986" s="295"/>
      <c r="E14986" s="889"/>
      <c r="F14986" s="799" t="s">
        <v>236</v>
      </c>
      <c r="G14986" s="598" t="s">
        <v>237</v>
      </c>
      <c r="H14986" s="580"/>
      <c r="I14986" s="571"/>
      <c r="J14986" s="801">
        <f t="shared" ref="J14986:J15000" si="489">SUM(H14986:I14986)</f>
        <v>0</v>
      </c>
      <c r="K14986" s="505"/>
      <c r="L14986" s="505"/>
      <c r="M14986" s="505"/>
      <c r="N14986" s="505"/>
      <c r="O14986" s="505"/>
      <c r="P14986" s="505"/>
      <c r="Q14986" s="505"/>
      <c r="R14986" s="505"/>
      <c r="S14986" s="505"/>
      <c r="T14986" s="505"/>
      <c r="U14986" s="505"/>
      <c r="V14986" s="505"/>
      <c r="W14986" s="505"/>
      <c r="X14986" s="505"/>
      <c r="Y14986" s="505"/>
    </row>
    <row r="14987" spans="1:25" s="88" customFormat="1" hidden="1" x14ac:dyDescent="0.25">
      <c r="A14987" s="295"/>
      <c r="B14987" s="295"/>
      <c r="C14987" s="487"/>
      <c r="D14987" s="295"/>
      <c r="E14987" s="889"/>
      <c r="F14987" s="799" t="s">
        <v>238</v>
      </c>
      <c r="G14987" s="598" t="s">
        <v>239</v>
      </c>
      <c r="H14987" s="580"/>
      <c r="I14987" s="571"/>
      <c r="J14987" s="801">
        <f t="shared" si="489"/>
        <v>0</v>
      </c>
      <c r="K14987" s="505"/>
      <c r="L14987" s="505"/>
      <c r="M14987" s="505"/>
      <c r="N14987" s="505"/>
      <c r="O14987" s="505"/>
      <c r="P14987" s="505"/>
      <c r="Q14987" s="505"/>
      <c r="R14987" s="505"/>
      <c r="S14987" s="505"/>
      <c r="T14987" s="505"/>
      <c r="U14987" s="505"/>
      <c r="V14987" s="505"/>
      <c r="W14987" s="505"/>
      <c r="X14987" s="505"/>
      <c r="Y14987" s="505"/>
    </row>
    <row r="14988" spans="1:25" s="88" customFormat="1" x14ac:dyDescent="0.25">
      <c r="A14988" s="295"/>
      <c r="B14988" s="295"/>
      <c r="C14988" s="487"/>
      <c r="D14988" s="295"/>
      <c r="E14988" s="889"/>
      <c r="F14988" s="799" t="s">
        <v>240</v>
      </c>
      <c r="G14988" s="598" t="s">
        <v>241</v>
      </c>
      <c r="H14988" s="580"/>
      <c r="I14988" s="571">
        <f>SUM(I14810)</f>
        <v>2845000</v>
      </c>
      <c r="J14988" s="801">
        <f t="shared" si="489"/>
        <v>2845000</v>
      </c>
      <c r="K14988" s="505"/>
      <c r="L14988" s="505"/>
      <c r="M14988" s="505"/>
      <c r="N14988" s="505"/>
      <c r="O14988" s="505"/>
      <c r="P14988" s="505"/>
      <c r="Q14988" s="505"/>
      <c r="R14988" s="505"/>
      <c r="S14988" s="505"/>
      <c r="T14988" s="505"/>
      <c r="U14988" s="505"/>
      <c r="V14988" s="505"/>
      <c r="W14988" s="505"/>
      <c r="X14988" s="505"/>
      <c r="Y14988" s="505"/>
    </row>
    <row r="14989" spans="1:25" s="88" customFormat="1" hidden="1" x14ac:dyDescent="0.25">
      <c r="A14989" s="295"/>
      <c r="B14989" s="295"/>
      <c r="C14989" s="487"/>
      <c r="D14989" s="295"/>
      <c r="E14989" s="889"/>
      <c r="F14989" s="799" t="s">
        <v>242</v>
      </c>
      <c r="G14989" s="598" t="s">
        <v>243</v>
      </c>
      <c r="H14989" s="580"/>
      <c r="I14989" s="571"/>
      <c r="J14989" s="801">
        <f t="shared" si="489"/>
        <v>0</v>
      </c>
      <c r="K14989" s="505"/>
      <c r="L14989" s="505"/>
      <c r="M14989" s="505"/>
      <c r="N14989" s="505"/>
      <c r="O14989" s="505"/>
      <c r="P14989" s="505"/>
      <c r="Q14989" s="505"/>
      <c r="R14989" s="505"/>
      <c r="S14989" s="505"/>
      <c r="T14989" s="505"/>
      <c r="U14989" s="505"/>
      <c r="V14989" s="505"/>
      <c r="W14989" s="505"/>
      <c r="X14989" s="505"/>
      <c r="Y14989" s="505"/>
    </row>
    <row r="14990" spans="1:25" s="88" customFormat="1" hidden="1" x14ac:dyDescent="0.25">
      <c r="A14990" s="295"/>
      <c r="B14990" s="295"/>
      <c r="C14990" s="487"/>
      <c r="D14990" s="295"/>
      <c r="E14990" s="889"/>
      <c r="F14990" s="799" t="s">
        <v>244</v>
      </c>
      <c r="G14990" s="598" t="s">
        <v>245</v>
      </c>
      <c r="H14990" s="580"/>
      <c r="I14990" s="571"/>
      <c r="J14990" s="801">
        <f t="shared" si="489"/>
        <v>0</v>
      </c>
      <c r="K14990" s="505"/>
      <c r="L14990" s="505"/>
      <c r="M14990" s="505"/>
      <c r="N14990" s="505"/>
      <c r="O14990" s="505"/>
      <c r="P14990" s="505"/>
      <c r="Q14990" s="505"/>
      <c r="R14990" s="505"/>
      <c r="S14990" s="505"/>
      <c r="T14990" s="505"/>
      <c r="U14990" s="505"/>
      <c r="V14990" s="505"/>
      <c r="W14990" s="505"/>
      <c r="X14990" s="505"/>
      <c r="Y14990" s="505"/>
    </row>
    <row r="14991" spans="1:25" s="88" customFormat="1" x14ac:dyDescent="0.25">
      <c r="A14991" s="295"/>
      <c r="B14991" s="295"/>
      <c r="C14991" s="487"/>
      <c r="D14991" s="295"/>
      <c r="E14991" s="889"/>
      <c r="F14991" s="799" t="s">
        <v>246</v>
      </c>
      <c r="G14991" s="598" t="s">
        <v>4996</v>
      </c>
      <c r="H14991" s="580"/>
      <c r="I14991" s="571">
        <f>SUM(I14813)</f>
        <v>9283745</v>
      </c>
      <c r="J14991" s="801">
        <f t="shared" si="489"/>
        <v>9283745</v>
      </c>
      <c r="K14991" s="505"/>
      <c r="L14991" s="505"/>
      <c r="M14991" s="505"/>
      <c r="N14991" s="505"/>
      <c r="O14991" s="505"/>
      <c r="P14991" s="505"/>
      <c r="Q14991" s="505"/>
      <c r="R14991" s="505"/>
      <c r="S14991" s="505"/>
      <c r="T14991" s="505"/>
      <c r="U14991" s="505"/>
      <c r="V14991" s="505"/>
      <c r="W14991" s="505"/>
      <c r="X14991" s="505"/>
      <c r="Y14991" s="505"/>
    </row>
    <row r="14992" spans="1:25" s="88" customFormat="1" x14ac:dyDescent="0.25">
      <c r="A14992" s="295"/>
      <c r="B14992" s="295"/>
      <c r="C14992" s="487"/>
      <c r="D14992" s="295"/>
      <c r="E14992" s="889"/>
      <c r="F14992" s="799" t="s">
        <v>247</v>
      </c>
      <c r="G14992" s="598" t="s">
        <v>4995</v>
      </c>
      <c r="H14992" s="580"/>
      <c r="I14992" s="571">
        <f>SUM(I14814)</f>
        <v>3715528</v>
      </c>
      <c r="J14992" s="801">
        <f t="shared" si="489"/>
        <v>3715528</v>
      </c>
      <c r="K14992" s="505"/>
      <c r="L14992" s="505"/>
      <c r="M14992" s="505"/>
      <c r="N14992" s="505"/>
      <c r="O14992" s="505"/>
      <c r="P14992" s="505"/>
      <c r="Q14992" s="505"/>
      <c r="R14992" s="505"/>
      <c r="S14992" s="505"/>
      <c r="T14992" s="505"/>
      <c r="U14992" s="505"/>
      <c r="V14992" s="505"/>
      <c r="W14992" s="505"/>
      <c r="X14992" s="505"/>
      <c r="Y14992" s="505"/>
    </row>
    <row r="14993" spans="1:25" s="88" customFormat="1" hidden="1" x14ac:dyDescent="0.25">
      <c r="A14993" s="295"/>
      <c r="B14993" s="295"/>
      <c r="C14993" s="487"/>
      <c r="D14993" s="295"/>
      <c r="E14993" s="889"/>
      <c r="F14993" s="799" t="s">
        <v>248</v>
      </c>
      <c r="G14993" s="598" t="s">
        <v>57</v>
      </c>
      <c r="H14993" s="580"/>
      <c r="I14993" s="571"/>
      <c r="J14993" s="801">
        <f t="shared" si="489"/>
        <v>0</v>
      </c>
      <c r="K14993" s="505"/>
      <c r="L14993" s="505"/>
      <c r="M14993" s="505"/>
      <c r="N14993" s="505"/>
      <c r="O14993" s="505"/>
      <c r="P14993" s="505"/>
      <c r="Q14993" s="505"/>
      <c r="R14993" s="505"/>
      <c r="S14993" s="505"/>
      <c r="T14993" s="505"/>
      <c r="U14993" s="505"/>
      <c r="V14993" s="505"/>
      <c r="W14993" s="505"/>
      <c r="X14993" s="505"/>
      <c r="Y14993" s="505"/>
    </row>
    <row r="14994" spans="1:25" s="88" customFormat="1" hidden="1" x14ac:dyDescent="0.25">
      <c r="A14994" s="295"/>
      <c r="B14994" s="295"/>
      <c r="C14994" s="487"/>
      <c r="D14994" s="295"/>
      <c r="E14994" s="889"/>
      <c r="F14994" s="799" t="s">
        <v>249</v>
      </c>
      <c r="G14994" s="598" t="s">
        <v>250</v>
      </c>
      <c r="H14994" s="580"/>
      <c r="I14994" s="571"/>
      <c r="J14994" s="801">
        <f t="shared" si="489"/>
        <v>0</v>
      </c>
      <c r="K14994" s="505"/>
      <c r="L14994" s="505"/>
      <c r="M14994" s="505"/>
      <c r="N14994" s="505"/>
      <c r="O14994" s="505"/>
      <c r="P14994" s="505"/>
      <c r="Q14994" s="505"/>
      <c r="R14994" s="505"/>
      <c r="S14994" s="505"/>
      <c r="T14994" s="505"/>
      <c r="U14994" s="505"/>
      <c r="V14994" s="505"/>
      <c r="W14994" s="505"/>
      <c r="X14994" s="505"/>
      <c r="Y14994" s="505"/>
    </row>
    <row r="14995" spans="1:25" s="88" customFormat="1" hidden="1" x14ac:dyDescent="0.25">
      <c r="A14995" s="295"/>
      <c r="B14995" s="295"/>
      <c r="C14995" s="487"/>
      <c r="D14995" s="295"/>
      <c r="E14995" s="889"/>
      <c r="F14995" s="799" t="s">
        <v>251</v>
      </c>
      <c r="G14995" s="598" t="s">
        <v>252</v>
      </c>
      <c r="H14995" s="580"/>
      <c r="I14995" s="571"/>
      <c r="J14995" s="801">
        <f t="shared" si="489"/>
        <v>0</v>
      </c>
      <c r="K14995" s="505"/>
      <c r="L14995" s="505"/>
      <c r="M14995" s="505"/>
      <c r="N14995" s="505"/>
      <c r="O14995" s="505"/>
      <c r="P14995" s="505"/>
      <c r="Q14995" s="505"/>
      <c r="R14995" s="505"/>
      <c r="S14995" s="505"/>
      <c r="T14995" s="505"/>
      <c r="U14995" s="505"/>
      <c r="V14995" s="505"/>
      <c r="W14995" s="505"/>
      <c r="X14995" s="505"/>
      <c r="Y14995" s="505"/>
    </row>
    <row r="14996" spans="1:25" s="88" customFormat="1" ht="30" hidden="1" x14ac:dyDescent="0.25">
      <c r="A14996" s="295"/>
      <c r="B14996" s="295"/>
      <c r="C14996" s="487"/>
      <c r="D14996" s="295"/>
      <c r="E14996" s="889"/>
      <c r="F14996" s="799" t="s">
        <v>253</v>
      </c>
      <c r="G14996" s="598" t="s">
        <v>254</v>
      </c>
      <c r="H14996" s="580"/>
      <c r="I14996" s="571"/>
      <c r="J14996" s="801">
        <f t="shared" si="489"/>
        <v>0</v>
      </c>
      <c r="K14996" s="505"/>
      <c r="L14996" s="505"/>
      <c r="M14996" s="505"/>
      <c r="N14996" s="505"/>
      <c r="O14996" s="505"/>
      <c r="P14996" s="505"/>
      <c r="Q14996" s="505"/>
      <c r="R14996" s="505"/>
      <c r="S14996" s="505"/>
      <c r="T14996" s="505"/>
      <c r="U14996" s="505"/>
      <c r="V14996" s="505"/>
      <c r="W14996" s="505"/>
      <c r="X14996" s="505"/>
      <c r="Y14996" s="505"/>
    </row>
    <row r="14997" spans="1:25" s="88" customFormat="1" ht="15.75" thickBot="1" x14ac:dyDescent="0.3">
      <c r="A14997" s="295"/>
      <c r="B14997" s="295"/>
      <c r="C14997" s="487"/>
      <c r="D14997" s="295"/>
      <c r="E14997" s="889"/>
      <c r="F14997" s="799" t="s">
        <v>255</v>
      </c>
      <c r="G14997" s="598" t="s">
        <v>256</v>
      </c>
      <c r="H14997" s="571">
        <f>SUM(H14819)</f>
        <v>103266419</v>
      </c>
      <c r="I14997" s="900">
        <f>SUM(I14819)</f>
        <v>636000</v>
      </c>
      <c r="J14997" s="801">
        <f>SUM(H14997:I14997)</f>
        <v>103902419</v>
      </c>
      <c r="K14997" s="505"/>
      <c r="L14997" s="505"/>
      <c r="M14997" s="505"/>
      <c r="N14997" s="505"/>
      <c r="O14997" s="505"/>
      <c r="P14997" s="505"/>
      <c r="Q14997" s="505"/>
      <c r="R14997" s="505"/>
      <c r="S14997" s="505"/>
      <c r="T14997" s="505"/>
      <c r="U14997" s="505"/>
      <c r="V14997" s="505"/>
      <c r="W14997" s="505"/>
      <c r="X14997" s="505"/>
      <c r="Y14997" s="505"/>
    </row>
    <row r="14998" spans="1:25" s="88" customFormat="1" ht="30" hidden="1" x14ac:dyDescent="0.25">
      <c r="A14998" s="295"/>
      <c r="B14998" s="295"/>
      <c r="C14998" s="487"/>
      <c r="D14998" s="295"/>
      <c r="E14998" s="889"/>
      <c r="F14998" s="799" t="s">
        <v>257</v>
      </c>
      <c r="G14998" s="598" t="s">
        <v>258</v>
      </c>
      <c r="H14998" s="580"/>
      <c r="I14998" s="571"/>
      <c r="J14998" s="801">
        <f t="shared" si="489"/>
        <v>0</v>
      </c>
      <c r="K14998" s="505"/>
      <c r="L14998" s="505"/>
      <c r="M14998" s="505"/>
      <c r="N14998" s="505"/>
      <c r="O14998" s="505"/>
      <c r="P14998" s="505"/>
      <c r="Q14998" s="505"/>
      <c r="R14998" s="505"/>
      <c r="S14998" s="505"/>
      <c r="T14998" s="505"/>
      <c r="U14998" s="505"/>
      <c r="V14998" s="505"/>
      <c r="W14998" s="505"/>
      <c r="X14998" s="505"/>
      <c r="Y14998" s="505"/>
    </row>
    <row r="14999" spans="1:25" s="88" customFormat="1" hidden="1" x14ac:dyDescent="0.25">
      <c r="A14999" s="295"/>
      <c r="B14999" s="295"/>
      <c r="C14999" s="487"/>
      <c r="D14999" s="295"/>
      <c r="E14999" s="889"/>
      <c r="F14999" s="799" t="s">
        <v>259</v>
      </c>
      <c r="G14999" s="598" t="s">
        <v>260</v>
      </c>
      <c r="H14999" s="580"/>
      <c r="I14999" s="571"/>
      <c r="J14999" s="801">
        <f t="shared" si="489"/>
        <v>0</v>
      </c>
      <c r="K14999" s="505"/>
      <c r="L14999" s="505"/>
      <c r="M14999" s="505"/>
      <c r="N14999" s="505"/>
      <c r="O14999" s="505"/>
      <c r="P14999" s="505"/>
      <c r="Q14999" s="505"/>
      <c r="R14999" s="505"/>
      <c r="S14999" s="505"/>
      <c r="T14999" s="505"/>
      <c r="U14999" s="505"/>
      <c r="V14999" s="505"/>
      <c r="W14999" s="505"/>
      <c r="X14999" s="505"/>
      <c r="Y14999" s="505"/>
    </row>
    <row r="15000" spans="1:25" s="88" customFormat="1" ht="15.75" hidden="1" thickBot="1" x14ac:dyDescent="0.3">
      <c r="A15000" s="295"/>
      <c r="B15000" s="295"/>
      <c r="C15000" s="487"/>
      <c r="D15000" s="295"/>
      <c r="E15000" s="889"/>
      <c r="F15000" s="799" t="s">
        <v>261</v>
      </c>
      <c r="G15000" s="598" t="s">
        <v>262</v>
      </c>
      <c r="H15000" s="800"/>
      <c r="I15000" s="801"/>
      <c r="J15000" s="801">
        <f t="shared" si="489"/>
        <v>0</v>
      </c>
      <c r="K15000" s="505"/>
      <c r="L15000" s="505"/>
      <c r="M15000" s="505"/>
      <c r="N15000" s="505"/>
      <c r="O15000" s="505"/>
      <c r="P15000" s="505"/>
      <c r="Q15000" s="505"/>
      <c r="R15000" s="505"/>
      <c r="S15000" s="505"/>
      <c r="T15000" s="505"/>
      <c r="U15000" s="505"/>
      <c r="V15000" s="505"/>
      <c r="W15000" s="505"/>
      <c r="X15000" s="505"/>
      <c r="Y15000" s="505"/>
    </row>
    <row r="15001" spans="1:25" s="88" customFormat="1" ht="15.75" thickBot="1" x14ac:dyDescent="0.3">
      <c r="A15001" s="295"/>
      <c r="B15001" s="295"/>
      <c r="C15001" s="487"/>
      <c r="D15001" s="295"/>
      <c r="E15001" s="889"/>
      <c r="F15001" s="295"/>
      <c r="G15001" s="802" t="s">
        <v>5351</v>
      </c>
      <c r="H15001" s="803">
        <f>SUM(H14985:H15000)</f>
        <v>397253590</v>
      </c>
      <c r="I15001" s="804">
        <f>SUM(I14988:I15000)</f>
        <v>16480273</v>
      </c>
      <c r="J15001" s="804">
        <f>SUM(J14985:J15000)</f>
        <v>413733863</v>
      </c>
      <c r="K15001" s="505"/>
      <c r="L15001" s="505"/>
      <c r="M15001" s="505"/>
      <c r="N15001" s="505"/>
      <c r="O15001" s="505"/>
      <c r="P15001" s="505"/>
      <c r="Q15001" s="505"/>
      <c r="R15001" s="505"/>
      <c r="S15001" s="505"/>
      <c r="T15001" s="505"/>
      <c r="U15001" s="505"/>
      <c r="V15001" s="505"/>
      <c r="W15001" s="505"/>
      <c r="X15001" s="505"/>
      <c r="Y15001" s="505"/>
    </row>
    <row r="15002" spans="1:25" s="88" customFormat="1" x14ac:dyDescent="0.25">
      <c r="A15002" s="295"/>
      <c r="B15002" s="295"/>
      <c r="C15002" s="487"/>
      <c r="D15002" s="295"/>
      <c r="E15002" s="889"/>
      <c r="F15002" s="295"/>
      <c r="G15002" s="805"/>
      <c r="H15002" s="806"/>
      <c r="I15002" s="807"/>
      <c r="J15002" s="807"/>
      <c r="K15002" s="505"/>
      <c r="L15002" s="505"/>
      <c r="M15002" s="505"/>
      <c r="N15002" s="505"/>
      <c r="O15002" s="505"/>
      <c r="P15002" s="505"/>
      <c r="Q15002" s="505"/>
      <c r="R15002" s="505"/>
      <c r="S15002" s="505"/>
      <c r="T15002" s="505"/>
      <c r="U15002" s="505"/>
      <c r="V15002" s="505"/>
      <c r="W15002" s="505"/>
      <c r="X15002" s="505"/>
      <c r="Y15002" s="505"/>
    </row>
    <row r="15003" spans="1:25" s="88" customFormat="1" x14ac:dyDescent="0.25">
      <c r="A15003" s="295"/>
      <c r="B15003" s="295"/>
      <c r="C15003" s="487"/>
      <c r="D15003" s="295"/>
      <c r="E15003" s="889"/>
      <c r="F15003" s="295"/>
      <c r="G15003" s="826"/>
      <c r="H15003" s="580"/>
      <c r="I15003" s="571"/>
      <c r="J15003" s="571"/>
      <c r="K15003" s="505"/>
      <c r="L15003" s="505"/>
      <c r="M15003" s="505"/>
      <c r="N15003" s="505"/>
      <c r="O15003" s="505"/>
      <c r="P15003" s="505"/>
      <c r="Q15003" s="505"/>
      <c r="R15003" s="505"/>
      <c r="S15003" s="505"/>
      <c r="T15003" s="505"/>
      <c r="U15003" s="505"/>
      <c r="V15003" s="505"/>
      <c r="W15003" s="505"/>
      <c r="X15003" s="505"/>
      <c r="Y15003" s="505"/>
    </row>
    <row r="15004" spans="1:25" s="1064" customFormat="1" x14ac:dyDescent="0.25">
      <c r="A15004" s="262"/>
      <c r="B15004" s="1063"/>
      <c r="C15004" s="1063"/>
      <c r="D15004" s="1063"/>
      <c r="E15004" s="1063"/>
      <c r="F15004" s="1063"/>
      <c r="G15004" s="1063"/>
      <c r="H15004" s="1063"/>
      <c r="I15004" s="1063"/>
      <c r="J15004" s="1063"/>
    </row>
    <row r="15005" spans="1:25" s="1064" customFormat="1" ht="15.75" customHeight="1" x14ac:dyDescent="0.25">
      <c r="A15005" s="262"/>
      <c r="B15005" s="1063"/>
      <c r="C15005" s="1063"/>
      <c r="D15005" s="1063"/>
      <c r="E15005" s="1063"/>
      <c r="F15005" s="1063"/>
      <c r="G15005" s="1063"/>
      <c r="H15005" s="1063"/>
      <c r="I15005" s="1063"/>
      <c r="J15005" s="1063"/>
    </row>
    <row r="15006" spans="1:25" s="1064" customFormat="1" x14ac:dyDescent="0.25">
      <c r="A15006" s="262"/>
      <c r="B15006" s="1063"/>
      <c r="C15006" s="1063"/>
      <c r="D15006" s="1063"/>
      <c r="E15006" s="1063"/>
      <c r="F15006" s="1063"/>
      <c r="G15006" s="1063"/>
      <c r="H15006" s="1063"/>
      <c r="I15006" s="1063"/>
      <c r="J15006" s="1063"/>
    </row>
    <row r="15007" spans="1:25" s="1064" customFormat="1" x14ac:dyDescent="0.25">
      <c r="A15007" s="262"/>
      <c r="B15007" s="1063"/>
      <c r="C15007" s="1063"/>
      <c r="D15007" s="1063"/>
      <c r="E15007" s="1063"/>
      <c r="F15007" s="1063"/>
      <c r="G15007" s="1063"/>
      <c r="H15007" s="1063"/>
      <c r="I15007" s="1063"/>
      <c r="J15007" s="1063"/>
    </row>
    <row r="15008" spans="1:25" s="1064" customFormat="1" x14ac:dyDescent="0.25">
      <c r="A15008" s="262"/>
      <c r="B15008" s="1063"/>
      <c r="C15008" s="1063"/>
      <c r="D15008" s="1063"/>
      <c r="E15008" s="1063"/>
      <c r="F15008" s="1063"/>
      <c r="G15008" s="1063"/>
      <c r="H15008" s="1063"/>
      <c r="I15008" s="1063"/>
      <c r="J15008" s="1063"/>
    </row>
    <row r="15009" spans="1:10" s="1064" customFormat="1" ht="15.75" hidden="1" customHeight="1" x14ac:dyDescent="0.25">
      <c r="A15009" s="262"/>
      <c r="B15009" s="1063"/>
      <c r="C15009" s="1063"/>
      <c r="D15009" s="1063"/>
      <c r="E15009" s="1063"/>
      <c r="F15009" s="1063"/>
      <c r="G15009" s="1063"/>
      <c r="H15009" s="1063"/>
      <c r="I15009" s="1063"/>
      <c r="J15009" s="1063"/>
    </row>
    <row r="15010" spans="1:10" s="1064" customFormat="1" ht="15.75" customHeight="1" x14ac:dyDescent="0.25">
      <c r="A15010" s="262"/>
      <c r="B15010" s="1063"/>
      <c r="C15010" s="1063"/>
      <c r="D15010" s="1063"/>
      <c r="E15010" s="1063"/>
      <c r="F15010" s="1063"/>
      <c r="G15010" s="1063"/>
      <c r="H15010" s="1063"/>
      <c r="I15010" s="1063"/>
      <c r="J15010" s="1063"/>
    </row>
    <row r="15011" spans="1:10" s="1064" customFormat="1" x14ac:dyDescent="0.25">
      <c r="A15011" s="262"/>
      <c r="B15011" s="1063"/>
      <c r="C15011" s="1063"/>
      <c r="D15011" s="1063"/>
      <c r="E15011" s="1063"/>
      <c r="F15011" s="1063"/>
      <c r="G15011" s="1063"/>
      <c r="H15011" s="1063"/>
      <c r="I15011" s="1063"/>
      <c r="J15011" s="1063"/>
    </row>
    <row r="15012" spans="1:10" s="1064" customFormat="1" x14ac:dyDescent="0.25">
      <c r="A15012" s="262"/>
      <c r="B15012" s="1063"/>
      <c r="C15012" s="1063"/>
      <c r="D15012" s="1063"/>
      <c r="E15012" s="1063"/>
      <c r="F15012" s="1063"/>
      <c r="G15012" s="1063"/>
      <c r="H15012" s="1063"/>
      <c r="I15012" s="1063"/>
      <c r="J15012" s="1063"/>
    </row>
    <row r="15013" spans="1:10" s="1064" customFormat="1" x14ac:dyDescent="0.25">
      <c r="A15013" s="262"/>
      <c r="B15013" s="1063"/>
      <c r="C15013" s="1063"/>
      <c r="D15013" s="1063"/>
      <c r="E15013" s="1063"/>
      <c r="F15013" s="1063"/>
      <c r="G15013" s="1063"/>
      <c r="H15013" s="1063"/>
      <c r="I15013" s="1063"/>
      <c r="J15013" s="1063"/>
    </row>
    <row r="15014" spans="1:10" s="1064" customFormat="1" x14ac:dyDescent="0.25">
      <c r="A15014" s="262"/>
      <c r="B15014" s="1063"/>
      <c r="C15014" s="1063"/>
      <c r="D15014" s="1063"/>
      <c r="E15014" s="1063"/>
      <c r="F15014" s="1063"/>
      <c r="G15014" s="1063"/>
      <c r="H15014" s="1063"/>
      <c r="I15014" s="1063"/>
      <c r="J15014" s="1063"/>
    </row>
    <row r="15015" spans="1:10" s="1064" customFormat="1" x14ac:dyDescent="0.25">
      <c r="A15015" s="262"/>
      <c r="B15015" s="1063"/>
      <c r="C15015" s="1063"/>
      <c r="D15015" s="1063"/>
      <c r="E15015" s="1063"/>
      <c r="F15015" s="1063"/>
      <c r="G15015" s="1063"/>
      <c r="H15015" s="1063"/>
      <c r="I15015" s="1063"/>
      <c r="J15015" s="1063"/>
    </row>
    <row r="15016" spans="1:10" s="1064" customFormat="1" x14ac:dyDescent="0.25">
      <c r="A15016" s="262"/>
      <c r="B15016" s="1063"/>
      <c r="C15016" s="1063"/>
      <c r="D15016" s="1063"/>
      <c r="E15016" s="1063"/>
      <c r="F15016" s="1063"/>
      <c r="G15016" s="1063"/>
      <c r="H15016" s="1063"/>
      <c r="I15016" s="1063"/>
      <c r="J15016" s="1063"/>
    </row>
    <row r="15017" spans="1:10" s="1064" customFormat="1" x14ac:dyDescent="0.25">
      <c r="A15017" s="262"/>
      <c r="B15017" s="1063"/>
      <c r="C15017" s="1063"/>
      <c r="D15017" s="1063"/>
      <c r="E15017" s="1063"/>
      <c r="F15017" s="1063"/>
      <c r="G15017" s="1063"/>
      <c r="H15017" s="1063"/>
      <c r="I15017" s="1063"/>
      <c r="J15017" s="1063"/>
    </row>
    <row r="15018" spans="1:10" s="1064" customFormat="1" x14ac:dyDescent="0.25">
      <c r="A15018" s="262"/>
      <c r="B15018" s="1063"/>
      <c r="C15018" s="1063"/>
      <c r="D15018" s="1063"/>
      <c r="E15018" s="1063"/>
      <c r="F15018" s="1063"/>
      <c r="G15018" s="1063"/>
      <c r="H15018" s="1063"/>
      <c r="I15018" s="1063"/>
      <c r="J15018" s="1063"/>
    </row>
    <row r="15019" spans="1:10" s="1064" customFormat="1" x14ac:dyDescent="0.25">
      <c r="A15019" s="262"/>
      <c r="B15019" s="1063"/>
      <c r="C15019" s="1063"/>
      <c r="D15019" s="1063"/>
      <c r="E15019" s="1063"/>
      <c r="F15019" s="1063"/>
      <c r="G15019" s="1063"/>
      <c r="H15019" s="1063"/>
      <c r="I15019" s="1063"/>
      <c r="J15019" s="1063"/>
    </row>
    <row r="15020" spans="1:10" s="1064" customFormat="1" x14ac:dyDescent="0.25">
      <c r="A15020" s="262"/>
      <c r="B15020" s="1063"/>
      <c r="C15020" s="1063"/>
      <c r="D15020" s="1063"/>
      <c r="E15020" s="1063"/>
      <c r="F15020" s="1063"/>
      <c r="G15020" s="1063"/>
      <c r="H15020" s="1063"/>
      <c r="I15020" s="1063"/>
      <c r="J15020" s="1063"/>
    </row>
    <row r="15021" spans="1:10" s="1064" customFormat="1" x14ac:dyDescent="0.25">
      <c r="A15021" s="262"/>
      <c r="B15021" s="1063"/>
      <c r="C15021" s="1063"/>
      <c r="D15021" s="1063"/>
      <c r="E15021" s="1063"/>
      <c r="F15021" s="1063"/>
      <c r="G15021" s="1063"/>
      <c r="H15021" s="1063"/>
      <c r="I15021" s="1063"/>
      <c r="J15021" s="1063"/>
    </row>
    <row r="15022" spans="1:10" s="1064" customFormat="1" x14ac:dyDescent="0.25">
      <c r="A15022" s="262"/>
      <c r="B15022" s="1063"/>
      <c r="C15022" s="1063"/>
      <c r="D15022" s="1063"/>
      <c r="E15022" s="1063"/>
      <c r="F15022" s="1063"/>
      <c r="G15022" s="1063"/>
      <c r="H15022" s="1063"/>
      <c r="I15022" s="1063"/>
      <c r="J15022" s="1063"/>
    </row>
    <row r="15023" spans="1:10" s="1064" customFormat="1" x14ac:dyDescent="0.25">
      <c r="A15023" s="262"/>
      <c r="B15023" s="1063"/>
      <c r="C15023" s="1063"/>
      <c r="D15023" s="1063"/>
      <c r="E15023" s="1063"/>
      <c r="F15023" s="1063"/>
      <c r="G15023" s="1063"/>
      <c r="H15023" s="1063"/>
      <c r="I15023" s="1063"/>
      <c r="J15023" s="1063"/>
    </row>
    <row r="15024" spans="1:10" s="1064" customFormat="1" x14ac:dyDescent="0.25">
      <c r="A15024" s="262"/>
      <c r="B15024" s="1063"/>
      <c r="C15024" s="1063"/>
      <c r="D15024" s="1063"/>
      <c r="E15024" s="1063"/>
      <c r="F15024" s="1063"/>
      <c r="G15024" s="1063"/>
      <c r="H15024" s="1063"/>
      <c r="I15024" s="1063"/>
      <c r="J15024" s="1063"/>
    </row>
    <row r="15025" spans="1:10" s="1064" customFormat="1" x14ac:dyDescent="0.25">
      <c r="A15025" s="262"/>
      <c r="B15025" s="1063"/>
      <c r="C15025" s="1063"/>
      <c r="D15025" s="1063"/>
      <c r="E15025" s="1063"/>
      <c r="F15025" s="1063"/>
      <c r="G15025" s="1063"/>
      <c r="H15025" s="1063"/>
      <c r="I15025" s="1063"/>
      <c r="J15025" s="1063"/>
    </row>
    <row r="15026" spans="1:10" s="1064" customFormat="1" x14ac:dyDescent="0.25">
      <c r="A15026" s="262"/>
      <c r="B15026" s="1063"/>
      <c r="C15026" s="1063"/>
      <c r="D15026" s="1063"/>
      <c r="E15026" s="1063"/>
      <c r="F15026" s="1063"/>
      <c r="G15026" s="1063"/>
      <c r="H15026" s="1063"/>
      <c r="I15026" s="1063"/>
      <c r="J15026" s="1063"/>
    </row>
    <row r="15027" spans="1:10" s="1064" customFormat="1" x14ac:dyDescent="0.25">
      <c r="A15027" s="262"/>
      <c r="B15027" s="1063"/>
      <c r="C15027" s="1063"/>
      <c r="D15027" s="1063"/>
      <c r="E15027" s="1063"/>
      <c r="F15027" s="1063"/>
      <c r="G15027" s="1063"/>
      <c r="H15027" s="1063"/>
      <c r="I15027" s="1063"/>
      <c r="J15027" s="1063"/>
    </row>
    <row r="15028" spans="1:10" s="1064" customFormat="1" x14ac:dyDescent="0.25">
      <c r="A15028" s="262"/>
      <c r="B15028" s="1063"/>
      <c r="C15028" s="1063"/>
      <c r="D15028" s="1063"/>
      <c r="E15028" s="1063"/>
      <c r="F15028" s="1063"/>
      <c r="G15028" s="1063"/>
      <c r="H15028" s="1063"/>
      <c r="I15028" s="1063"/>
      <c r="J15028" s="1063"/>
    </row>
    <row r="15029" spans="1:10" s="1064" customFormat="1" x14ac:dyDescent="0.25">
      <c r="A15029" s="262"/>
      <c r="B15029" s="1063"/>
      <c r="C15029" s="1063"/>
      <c r="D15029" s="1063"/>
      <c r="E15029" s="1063"/>
      <c r="F15029" s="1063"/>
      <c r="G15029" s="1063"/>
      <c r="H15029" s="1063"/>
      <c r="I15029" s="1063"/>
      <c r="J15029" s="1063"/>
    </row>
    <row r="15030" spans="1:10" s="1064" customFormat="1" x14ac:dyDescent="0.25">
      <c r="A15030" s="262"/>
      <c r="B15030" s="1063"/>
      <c r="C15030" s="1063"/>
      <c r="D15030" s="1063"/>
      <c r="E15030" s="1063"/>
      <c r="F15030" s="1063"/>
      <c r="G15030" s="1063"/>
      <c r="H15030" s="1063"/>
      <c r="I15030" s="1063"/>
      <c r="J15030" s="1063"/>
    </row>
    <row r="15031" spans="1:10" s="1064" customFormat="1" x14ac:dyDescent="0.25">
      <c r="A15031" s="262"/>
      <c r="B15031" s="1063"/>
      <c r="C15031" s="1063"/>
      <c r="D15031" s="1063"/>
      <c r="E15031" s="1063"/>
      <c r="F15031" s="1063"/>
      <c r="G15031" s="1063"/>
      <c r="H15031" s="1063"/>
      <c r="I15031" s="1063"/>
      <c r="J15031" s="1063"/>
    </row>
    <row r="15032" spans="1:10" s="1064" customFormat="1" x14ac:dyDescent="0.25">
      <c r="A15032" s="262"/>
      <c r="B15032" s="1063"/>
      <c r="C15032" s="1063"/>
      <c r="D15032" s="1063"/>
      <c r="E15032" s="1063"/>
      <c r="F15032" s="1063"/>
      <c r="G15032" s="1063"/>
      <c r="H15032" s="1063"/>
      <c r="I15032" s="1063"/>
      <c r="J15032" s="1063"/>
    </row>
    <row r="15033" spans="1:10" s="1064" customFormat="1" x14ac:dyDescent="0.25">
      <c r="A15033" s="262"/>
      <c r="B15033" s="1063"/>
      <c r="C15033" s="1063"/>
      <c r="D15033" s="1063"/>
      <c r="E15033" s="1063"/>
      <c r="F15033" s="1063"/>
      <c r="G15033" s="1063"/>
      <c r="H15033" s="1063"/>
      <c r="I15033" s="1063"/>
      <c r="J15033" s="1063"/>
    </row>
    <row r="15034" spans="1:10" s="1064" customFormat="1" x14ac:dyDescent="0.25">
      <c r="A15034" s="262"/>
      <c r="B15034" s="1063"/>
      <c r="C15034" s="1063"/>
      <c r="D15034" s="1063"/>
      <c r="E15034" s="1063"/>
      <c r="F15034" s="1063"/>
      <c r="G15034" s="1063"/>
      <c r="H15034" s="1063"/>
      <c r="I15034" s="1063"/>
      <c r="J15034" s="1063"/>
    </row>
    <row r="15035" spans="1:10" s="1064" customFormat="1" x14ac:dyDescent="0.25">
      <c r="A15035" s="262"/>
      <c r="B15035" s="1063"/>
      <c r="C15035" s="1063"/>
      <c r="D15035" s="1063"/>
      <c r="E15035" s="1063"/>
      <c r="F15035" s="1063"/>
      <c r="G15035" s="1063"/>
      <c r="H15035" s="1063"/>
      <c r="I15035" s="1063"/>
      <c r="J15035" s="1063"/>
    </row>
    <row r="15036" spans="1:10" s="1064" customFormat="1" x14ac:dyDescent="0.25">
      <c r="A15036" s="262"/>
      <c r="B15036" s="1063"/>
      <c r="C15036" s="1063"/>
      <c r="D15036" s="1063"/>
      <c r="E15036" s="1063"/>
      <c r="F15036" s="1063"/>
      <c r="G15036" s="1063"/>
      <c r="H15036" s="1063"/>
      <c r="I15036" s="1063"/>
      <c r="J15036" s="1063"/>
    </row>
    <row r="15037" spans="1:10" s="1064" customFormat="1" x14ac:dyDescent="0.25">
      <c r="A15037" s="262"/>
      <c r="B15037" s="1063"/>
      <c r="C15037" s="1063"/>
      <c r="D15037" s="1063"/>
      <c r="E15037" s="1063"/>
      <c r="F15037" s="1063"/>
      <c r="G15037" s="1063"/>
      <c r="H15037" s="1063"/>
      <c r="I15037" s="1063"/>
      <c r="J15037" s="1063"/>
    </row>
    <row r="15038" spans="1:10" s="1064" customFormat="1" x14ac:dyDescent="0.25">
      <c r="A15038" s="262"/>
      <c r="B15038" s="1063"/>
      <c r="C15038" s="1063"/>
      <c r="D15038" s="1063"/>
      <c r="E15038" s="1063"/>
      <c r="F15038" s="1063"/>
      <c r="G15038" s="1063"/>
      <c r="H15038" s="1063"/>
      <c r="I15038" s="1063"/>
      <c r="J15038" s="1063"/>
    </row>
    <row r="15039" spans="1:10" s="1064" customFormat="1" x14ac:dyDescent="0.25">
      <c r="A15039" s="262"/>
      <c r="B15039" s="1063"/>
      <c r="C15039" s="1063"/>
      <c r="D15039" s="1063"/>
      <c r="E15039" s="1063"/>
      <c r="F15039" s="1063"/>
      <c r="G15039" s="1063"/>
      <c r="H15039" s="1063"/>
      <c r="I15039" s="1063"/>
      <c r="J15039" s="1063"/>
    </row>
    <row r="15040" spans="1:10" s="1064" customFormat="1" x14ac:dyDescent="0.25">
      <c r="A15040" s="262"/>
      <c r="B15040" s="1063"/>
      <c r="C15040" s="1063"/>
      <c r="D15040" s="1063"/>
      <c r="E15040" s="1063"/>
      <c r="F15040" s="1063"/>
      <c r="G15040" s="1063"/>
      <c r="H15040" s="1063"/>
      <c r="I15040" s="1063"/>
      <c r="J15040" s="1063"/>
    </row>
    <row r="15041" spans="1:10" s="1064" customFormat="1" x14ac:dyDescent="0.25">
      <c r="A15041" s="262"/>
      <c r="B15041" s="1063"/>
      <c r="C15041" s="1063"/>
      <c r="D15041" s="1063"/>
      <c r="E15041" s="1063"/>
      <c r="F15041" s="1063"/>
      <c r="G15041" s="1063"/>
      <c r="H15041" s="1063"/>
      <c r="I15041" s="1063"/>
      <c r="J15041" s="1063"/>
    </row>
    <row r="15042" spans="1:10" s="1064" customFormat="1" x14ac:dyDescent="0.25">
      <c r="A15042" s="262"/>
      <c r="B15042" s="1063"/>
      <c r="C15042" s="1063"/>
      <c r="D15042" s="1063"/>
      <c r="E15042" s="1063"/>
      <c r="F15042" s="1063"/>
      <c r="G15042" s="1063"/>
      <c r="H15042" s="1063"/>
      <c r="I15042" s="1063"/>
      <c r="J15042" s="1063"/>
    </row>
    <row r="15043" spans="1:10" s="1064" customFormat="1" x14ac:dyDescent="0.25">
      <c r="A15043" s="262"/>
      <c r="B15043" s="1063"/>
      <c r="C15043" s="1063"/>
      <c r="D15043" s="1063"/>
      <c r="E15043" s="1063"/>
      <c r="F15043" s="1063"/>
      <c r="G15043" s="1063"/>
      <c r="H15043" s="1063"/>
      <c r="I15043" s="1063"/>
      <c r="J15043" s="1063"/>
    </row>
    <row r="15044" spans="1:10" s="1064" customFormat="1" x14ac:dyDescent="0.25">
      <c r="A15044" s="262"/>
      <c r="B15044" s="1063"/>
      <c r="C15044" s="1063"/>
      <c r="D15044" s="1063"/>
      <c r="E15044" s="1063"/>
      <c r="F15044" s="1063"/>
      <c r="G15044" s="1063"/>
      <c r="H15044" s="1063"/>
      <c r="I15044" s="1063"/>
      <c r="J15044" s="1063"/>
    </row>
    <row r="15045" spans="1:10" s="1064" customFormat="1" x14ac:dyDescent="0.25">
      <c r="A15045" s="262"/>
      <c r="B15045" s="1063"/>
      <c r="C15045" s="1063"/>
      <c r="D15045" s="1063"/>
      <c r="E15045" s="1063"/>
      <c r="F15045" s="1063"/>
      <c r="G15045" s="1063"/>
      <c r="H15045" s="1063"/>
      <c r="I15045" s="1063"/>
      <c r="J15045" s="1063"/>
    </row>
    <row r="15046" spans="1:10" s="1064" customFormat="1" x14ac:dyDescent="0.25">
      <c r="A15046" s="262"/>
      <c r="B15046" s="1063"/>
      <c r="C15046" s="1063"/>
      <c r="D15046" s="1063"/>
      <c r="E15046" s="1063"/>
      <c r="F15046" s="1063"/>
      <c r="G15046" s="1063"/>
      <c r="H15046" s="1063"/>
      <c r="I15046" s="1063"/>
      <c r="J15046" s="1063"/>
    </row>
    <row r="15047" spans="1:10" s="1064" customFormat="1" x14ac:dyDescent="0.25">
      <c r="A15047" s="262"/>
      <c r="B15047" s="1063"/>
      <c r="C15047" s="1063"/>
      <c r="D15047" s="1063"/>
      <c r="E15047" s="1063"/>
      <c r="F15047" s="1063"/>
      <c r="G15047" s="1063"/>
      <c r="H15047" s="1063"/>
      <c r="I15047" s="1063"/>
      <c r="J15047" s="1063"/>
    </row>
    <row r="15048" spans="1:10" s="1064" customFormat="1" x14ac:dyDescent="0.25">
      <c r="A15048" s="262"/>
      <c r="B15048" s="1063"/>
      <c r="C15048" s="1063"/>
      <c r="D15048" s="1063"/>
      <c r="E15048" s="1063"/>
      <c r="F15048" s="1063"/>
      <c r="G15048" s="1063"/>
      <c r="H15048" s="1063"/>
      <c r="I15048" s="1063"/>
      <c r="J15048" s="1063"/>
    </row>
    <row r="15049" spans="1:10" s="1064" customFormat="1" x14ac:dyDescent="0.25">
      <c r="A15049" s="262"/>
      <c r="B15049" s="1063"/>
      <c r="C15049" s="1063"/>
      <c r="D15049" s="1063"/>
      <c r="E15049" s="1063"/>
      <c r="F15049" s="1063"/>
      <c r="G15049" s="1063"/>
      <c r="H15049" s="1063"/>
      <c r="I15049" s="1063"/>
      <c r="J15049" s="1063"/>
    </row>
    <row r="15050" spans="1:10" s="1064" customFormat="1" x14ac:dyDescent="0.25">
      <c r="A15050" s="262"/>
      <c r="B15050" s="1063"/>
      <c r="C15050" s="1063"/>
      <c r="D15050" s="1063"/>
      <c r="E15050" s="1063"/>
      <c r="F15050" s="1063"/>
      <c r="G15050" s="1063"/>
      <c r="H15050" s="1063"/>
      <c r="I15050" s="1063"/>
      <c r="J15050" s="1063"/>
    </row>
    <row r="15051" spans="1:10" s="1064" customFormat="1" x14ac:dyDescent="0.25">
      <c r="A15051" s="262"/>
      <c r="B15051" s="1063"/>
      <c r="C15051" s="1063"/>
      <c r="D15051" s="1063"/>
      <c r="E15051" s="1063"/>
      <c r="F15051" s="1063"/>
      <c r="G15051" s="1063"/>
      <c r="H15051" s="1063"/>
      <c r="I15051" s="1063"/>
      <c r="J15051" s="1063"/>
    </row>
    <row r="15052" spans="1:10" s="1064" customFormat="1" x14ac:dyDescent="0.25">
      <c r="A15052" s="262"/>
      <c r="B15052" s="1063"/>
      <c r="C15052" s="1063"/>
      <c r="D15052" s="1063"/>
      <c r="E15052" s="1063"/>
      <c r="F15052" s="1063"/>
      <c r="G15052" s="1063"/>
      <c r="H15052" s="1063"/>
      <c r="I15052" s="1063"/>
      <c r="J15052" s="1063"/>
    </row>
    <row r="15053" spans="1:10" s="1064" customFormat="1" x14ac:dyDescent="0.25">
      <c r="A15053" s="262"/>
      <c r="B15053" s="1063"/>
      <c r="C15053" s="1063"/>
      <c r="D15053" s="1063"/>
      <c r="E15053" s="1063"/>
      <c r="F15053" s="1063"/>
      <c r="G15053" s="1063"/>
      <c r="H15053" s="1063"/>
      <c r="I15053" s="1063"/>
      <c r="J15053" s="1063"/>
    </row>
    <row r="15054" spans="1:10" s="1064" customFormat="1" x14ac:dyDescent="0.25">
      <c r="A15054" s="262"/>
      <c r="B15054" s="1063"/>
      <c r="C15054" s="1063"/>
      <c r="D15054" s="1063"/>
      <c r="E15054" s="1063"/>
      <c r="F15054" s="1063"/>
      <c r="G15054" s="1063"/>
      <c r="H15054" s="1063"/>
      <c r="I15054" s="1063"/>
      <c r="J15054" s="1063"/>
    </row>
    <row r="15055" spans="1:10" s="1064" customFormat="1" x14ac:dyDescent="0.25">
      <c r="A15055" s="262"/>
      <c r="B15055" s="1063"/>
      <c r="C15055" s="1063"/>
      <c r="D15055" s="1063"/>
      <c r="E15055" s="1063"/>
      <c r="F15055" s="1063"/>
      <c r="G15055" s="1063"/>
      <c r="H15055" s="1063"/>
      <c r="I15055" s="1063"/>
      <c r="J15055" s="1063"/>
    </row>
    <row r="15056" spans="1:10" s="1064" customFormat="1" x14ac:dyDescent="0.25">
      <c r="A15056" s="262"/>
      <c r="B15056" s="1063"/>
      <c r="C15056" s="1063"/>
      <c r="D15056" s="1063"/>
      <c r="E15056" s="1063"/>
      <c r="F15056" s="1063"/>
      <c r="G15056" s="1063"/>
      <c r="H15056" s="1063"/>
      <c r="I15056" s="1063"/>
      <c r="J15056" s="1063"/>
    </row>
    <row r="15057" spans="1:10" s="1064" customFormat="1" x14ac:dyDescent="0.25">
      <c r="A15057" s="262"/>
      <c r="B15057" s="1063"/>
      <c r="C15057" s="1063"/>
      <c r="D15057" s="1063"/>
      <c r="E15057" s="1063"/>
      <c r="F15057" s="1063"/>
      <c r="G15057" s="1063"/>
      <c r="H15057" s="1063"/>
      <c r="I15057" s="1063"/>
      <c r="J15057" s="1063"/>
    </row>
    <row r="15058" spans="1:10" s="1064" customFormat="1" x14ac:dyDescent="0.25">
      <c r="A15058" s="262"/>
      <c r="B15058" s="1063"/>
      <c r="C15058" s="1063"/>
      <c r="D15058" s="1063"/>
      <c r="E15058" s="1063"/>
      <c r="F15058" s="1063"/>
      <c r="G15058" s="1063"/>
      <c r="H15058" s="1063"/>
      <c r="I15058" s="1063"/>
      <c r="J15058" s="1063"/>
    </row>
    <row r="15059" spans="1:10" s="1064" customFormat="1" x14ac:dyDescent="0.25">
      <c r="A15059" s="262"/>
      <c r="B15059" s="1063"/>
      <c r="C15059" s="1063"/>
      <c r="D15059" s="1063"/>
      <c r="E15059" s="1063"/>
      <c r="F15059" s="1063"/>
      <c r="G15059" s="1063"/>
      <c r="H15059" s="1063"/>
      <c r="I15059" s="1063"/>
      <c r="J15059" s="1063"/>
    </row>
    <row r="15060" spans="1:10" s="1064" customFormat="1" x14ac:dyDescent="0.25">
      <c r="A15060" s="262"/>
      <c r="B15060" s="1063"/>
      <c r="C15060" s="1063"/>
      <c r="D15060" s="1063"/>
      <c r="E15060" s="1063"/>
      <c r="F15060" s="1063"/>
      <c r="G15060" s="1063"/>
      <c r="H15060" s="1063"/>
      <c r="I15060" s="1063"/>
      <c r="J15060" s="1063"/>
    </row>
    <row r="15061" spans="1:10" s="1064" customFormat="1" x14ac:dyDescent="0.25">
      <c r="A15061" s="262"/>
      <c r="B15061" s="1063"/>
      <c r="C15061" s="1063"/>
      <c r="D15061" s="1063"/>
      <c r="E15061" s="1063"/>
      <c r="F15061" s="1063"/>
      <c r="G15061" s="1063"/>
      <c r="H15061" s="1063"/>
      <c r="I15061" s="1063"/>
      <c r="J15061" s="1063"/>
    </row>
    <row r="15062" spans="1:10" s="1064" customFormat="1" x14ac:dyDescent="0.25">
      <c r="A15062" s="262"/>
      <c r="B15062" s="1063"/>
      <c r="C15062" s="1063"/>
      <c r="D15062" s="1063"/>
      <c r="E15062" s="1063"/>
      <c r="F15062" s="1063"/>
      <c r="G15062" s="1063"/>
      <c r="H15062" s="1063"/>
      <c r="I15062" s="1063"/>
      <c r="J15062" s="1063"/>
    </row>
    <row r="15063" spans="1:10" s="1064" customFormat="1" x14ac:dyDescent="0.25">
      <c r="A15063" s="262"/>
      <c r="B15063" s="1063"/>
      <c r="C15063" s="1063"/>
      <c r="D15063" s="1063"/>
      <c r="E15063" s="1063"/>
      <c r="F15063" s="1063"/>
      <c r="G15063" s="1063"/>
      <c r="H15063" s="1063"/>
      <c r="I15063" s="1063"/>
      <c r="J15063" s="1063"/>
    </row>
    <row r="15064" spans="1:10" s="1064" customFormat="1" x14ac:dyDescent="0.25">
      <c r="A15064" s="262"/>
      <c r="B15064" s="1063"/>
      <c r="C15064" s="1063"/>
      <c r="D15064" s="1063"/>
      <c r="E15064" s="1063"/>
      <c r="F15064" s="1063"/>
      <c r="G15064" s="1063"/>
      <c r="H15064" s="1063"/>
      <c r="I15064" s="1063"/>
      <c r="J15064" s="1063"/>
    </row>
    <row r="15065" spans="1:10" s="1064" customFormat="1" x14ac:dyDescent="0.25">
      <c r="A15065" s="262"/>
      <c r="B15065" s="1063"/>
      <c r="C15065" s="1063"/>
      <c r="D15065" s="1063"/>
      <c r="E15065" s="1063"/>
      <c r="F15065" s="1063"/>
      <c r="G15065" s="1063"/>
      <c r="H15065" s="1063"/>
      <c r="I15065" s="1063"/>
      <c r="J15065" s="1063"/>
    </row>
    <row r="15066" spans="1:10" s="1064" customFormat="1" x14ac:dyDescent="0.25">
      <c r="A15066" s="262"/>
      <c r="B15066" s="1063"/>
      <c r="C15066" s="1063"/>
      <c r="D15066" s="1063"/>
      <c r="E15066" s="1063"/>
      <c r="F15066" s="1063"/>
      <c r="G15066" s="1063"/>
      <c r="H15066" s="1063"/>
      <c r="I15066" s="1063"/>
      <c r="J15066" s="1063"/>
    </row>
    <row r="15067" spans="1:10" s="1064" customFormat="1" x14ac:dyDescent="0.25">
      <c r="A15067" s="262"/>
      <c r="B15067" s="1063"/>
      <c r="C15067" s="1063"/>
      <c r="D15067" s="1063"/>
      <c r="E15067" s="1063"/>
      <c r="F15067" s="1063"/>
      <c r="G15067" s="1063"/>
      <c r="H15067" s="1063"/>
      <c r="I15067" s="1063"/>
      <c r="J15067" s="1063"/>
    </row>
    <row r="15068" spans="1:10" s="1064" customFormat="1" x14ac:dyDescent="0.25">
      <c r="A15068" s="262"/>
      <c r="B15068" s="1063"/>
      <c r="C15068" s="1063"/>
      <c r="D15068" s="1063"/>
      <c r="E15068" s="1063"/>
      <c r="F15068" s="1063"/>
      <c r="G15068" s="1063"/>
      <c r="H15068" s="1063"/>
      <c r="I15068" s="1063"/>
      <c r="J15068" s="1063"/>
    </row>
    <row r="15069" spans="1:10" s="1064" customFormat="1" x14ac:dyDescent="0.25">
      <c r="A15069" s="262"/>
      <c r="B15069" s="1063"/>
      <c r="C15069" s="1063"/>
      <c r="D15069" s="1063"/>
      <c r="E15069" s="1063"/>
      <c r="F15069" s="1063"/>
      <c r="G15069" s="1063"/>
      <c r="H15069" s="1063"/>
      <c r="I15069" s="1063"/>
      <c r="J15069" s="1063"/>
    </row>
    <row r="15070" spans="1:10" s="1064" customFormat="1" x14ac:dyDescent="0.25">
      <c r="A15070" s="262"/>
      <c r="B15070" s="1063"/>
      <c r="C15070" s="1063"/>
      <c r="D15070" s="1063"/>
      <c r="E15070" s="1063"/>
      <c r="F15070" s="1063"/>
      <c r="G15070" s="1063"/>
      <c r="H15070" s="1063"/>
      <c r="I15070" s="1063"/>
      <c r="J15070" s="1063"/>
    </row>
    <row r="15071" spans="1:10" s="1064" customFormat="1" x14ac:dyDescent="0.25">
      <c r="A15071" s="262"/>
      <c r="B15071" s="1063"/>
      <c r="C15071" s="1063"/>
      <c r="D15071" s="1063"/>
      <c r="E15071" s="1063"/>
      <c r="F15071" s="1063"/>
      <c r="G15071" s="1063"/>
      <c r="H15071" s="1063"/>
      <c r="I15071" s="1063"/>
      <c r="J15071" s="1063"/>
    </row>
    <row r="15072" spans="1:10" s="1064" customFormat="1" x14ac:dyDescent="0.25">
      <c r="A15072" s="262"/>
      <c r="B15072" s="1063"/>
      <c r="C15072" s="1063"/>
      <c r="D15072" s="1063"/>
      <c r="E15072" s="1063"/>
      <c r="F15072" s="1063"/>
      <c r="G15072" s="1063"/>
      <c r="H15072" s="1063"/>
      <c r="I15072" s="1063"/>
      <c r="J15072" s="1063"/>
    </row>
    <row r="15073" spans="1:10" s="1064" customFormat="1" x14ac:dyDescent="0.25">
      <c r="A15073" s="262"/>
      <c r="B15073" s="1063"/>
      <c r="C15073" s="1063"/>
      <c r="D15073" s="1063"/>
      <c r="E15073" s="1063"/>
      <c r="F15073" s="1063"/>
      <c r="G15073" s="1063"/>
      <c r="H15073" s="1063"/>
      <c r="I15073" s="1063"/>
      <c r="J15073" s="1063"/>
    </row>
    <row r="15074" spans="1:10" s="1064" customFormat="1" x14ac:dyDescent="0.25">
      <c r="A15074" s="262"/>
      <c r="B15074" s="1063"/>
      <c r="C15074" s="1063"/>
      <c r="D15074" s="1063"/>
      <c r="E15074" s="1063"/>
      <c r="F15074" s="1063"/>
      <c r="G15074" s="1063"/>
      <c r="H15074" s="1063"/>
      <c r="I15074" s="1063"/>
      <c r="J15074" s="1063"/>
    </row>
    <row r="15075" spans="1:10" s="1064" customFormat="1" x14ac:dyDescent="0.25">
      <c r="A15075" s="262"/>
      <c r="B15075" s="1063"/>
      <c r="C15075" s="1063"/>
      <c r="D15075" s="1063"/>
      <c r="E15075" s="1063"/>
      <c r="F15075" s="1063"/>
      <c r="G15075" s="1063"/>
      <c r="H15075" s="1063"/>
      <c r="I15075" s="1063"/>
      <c r="J15075" s="1063"/>
    </row>
    <row r="15076" spans="1:10" s="1064" customFormat="1" x14ac:dyDescent="0.25">
      <c r="A15076" s="262"/>
      <c r="B15076" s="1063"/>
      <c r="C15076" s="1063"/>
      <c r="D15076" s="1063"/>
      <c r="E15076" s="1063"/>
      <c r="F15076" s="1063"/>
      <c r="G15076" s="1063"/>
      <c r="H15076" s="1063"/>
      <c r="I15076" s="1063"/>
      <c r="J15076" s="1063"/>
    </row>
    <row r="15077" spans="1:10" s="1064" customFormat="1" x14ac:dyDescent="0.25">
      <c r="A15077" s="262"/>
      <c r="B15077" s="1063"/>
      <c r="C15077" s="1063"/>
      <c r="D15077" s="1063"/>
      <c r="E15077" s="1063"/>
      <c r="F15077" s="1063"/>
      <c r="G15077" s="1063"/>
      <c r="H15077" s="1063"/>
      <c r="I15077" s="1063"/>
      <c r="J15077" s="1063"/>
    </row>
    <row r="15078" spans="1:10" s="1064" customFormat="1" x14ac:dyDescent="0.25">
      <c r="A15078" s="262"/>
      <c r="B15078" s="1063"/>
      <c r="C15078" s="1063"/>
      <c r="D15078" s="1063"/>
      <c r="E15078" s="1063"/>
      <c r="F15078" s="1063"/>
      <c r="G15078" s="1063"/>
      <c r="H15078" s="1063"/>
      <c r="I15078" s="1063"/>
      <c r="J15078" s="1063"/>
    </row>
    <row r="15079" spans="1:10" s="1064" customFormat="1" x14ac:dyDescent="0.25">
      <c r="A15079" s="262"/>
      <c r="B15079" s="1063"/>
      <c r="C15079" s="1063"/>
      <c r="D15079" s="1063"/>
      <c r="E15079" s="1063"/>
      <c r="F15079" s="1063"/>
      <c r="G15079" s="1063"/>
      <c r="H15079" s="1063"/>
      <c r="I15079" s="1063"/>
      <c r="J15079" s="1063"/>
    </row>
    <row r="15080" spans="1:10" s="1064" customFormat="1" x14ac:dyDescent="0.25">
      <c r="A15080" s="262"/>
      <c r="B15080" s="1063"/>
      <c r="C15080" s="1063"/>
      <c r="D15080" s="1063"/>
      <c r="E15080" s="1063"/>
      <c r="F15080" s="1063"/>
      <c r="G15080" s="1063"/>
      <c r="H15080" s="1063"/>
      <c r="I15080" s="1063"/>
      <c r="J15080" s="1063"/>
    </row>
    <row r="15081" spans="1:10" s="1064" customFormat="1" x14ac:dyDescent="0.25">
      <c r="A15081" s="262"/>
      <c r="B15081" s="1063"/>
      <c r="C15081" s="1063"/>
      <c r="D15081" s="1063"/>
      <c r="E15081" s="1063"/>
      <c r="F15081" s="1063"/>
      <c r="G15081" s="1063"/>
      <c r="H15081" s="1063"/>
      <c r="I15081" s="1063"/>
      <c r="J15081" s="1063"/>
    </row>
    <row r="15082" spans="1:10" s="1064" customFormat="1" x14ac:dyDescent="0.25">
      <c r="A15082" s="262"/>
      <c r="B15082" s="1063"/>
      <c r="C15082" s="1063"/>
      <c r="D15082" s="1063"/>
      <c r="E15082" s="1063"/>
      <c r="F15082" s="1063"/>
      <c r="G15082" s="1063"/>
      <c r="H15082" s="1063"/>
      <c r="I15082" s="1063"/>
      <c r="J15082" s="1063"/>
    </row>
    <row r="15083" spans="1:10" s="1064" customFormat="1" x14ac:dyDescent="0.25">
      <c r="A15083" s="262"/>
      <c r="B15083" s="1063"/>
      <c r="C15083" s="1063"/>
      <c r="D15083" s="1063"/>
      <c r="E15083" s="1063"/>
      <c r="F15083" s="1063"/>
      <c r="G15083" s="1063"/>
      <c r="H15083" s="1063"/>
      <c r="I15083" s="1063"/>
      <c r="J15083" s="1063"/>
    </row>
    <row r="15084" spans="1:10" s="1064" customFormat="1" x14ac:dyDescent="0.25">
      <c r="A15084" s="262"/>
      <c r="B15084" s="1063"/>
      <c r="C15084" s="1063"/>
      <c r="D15084" s="1063"/>
      <c r="E15084" s="1063"/>
      <c r="F15084" s="1063"/>
      <c r="G15084" s="1063"/>
      <c r="H15084" s="1063"/>
      <c r="I15084" s="1063"/>
      <c r="J15084" s="1063"/>
    </row>
    <row r="15085" spans="1:10" s="1064" customFormat="1" x14ac:dyDescent="0.25">
      <c r="A15085" s="262"/>
      <c r="B15085" s="1063"/>
      <c r="C15085" s="1063"/>
      <c r="D15085" s="1063"/>
      <c r="E15085" s="1063"/>
      <c r="F15085" s="1063"/>
      <c r="G15085" s="1063"/>
      <c r="H15085" s="1063"/>
      <c r="I15085" s="1063"/>
      <c r="J15085" s="1063"/>
    </row>
    <row r="15086" spans="1:10" s="1064" customFormat="1" x14ac:dyDescent="0.25">
      <c r="A15086" s="262"/>
      <c r="B15086" s="1063"/>
      <c r="C15086" s="1063"/>
      <c r="D15086" s="1063"/>
      <c r="E15086" s="1063"/>
      <c r="F15086" s="1063"/>
      <c r="G15086" s="1063"/>
      <c r="H15086" s="1063"/>
      <c r="I15086" s="1063"/>
      <c r="J15086" s="1063"/>
    </row>
    <row r="15087" spans="1:10" s="1064" customFormat="1" x14ac:dyDescent="0.25">
      <c r="A15087" s="262"/>
      <c r="B15087" s="1063"/>
      <c r="C15087" s="1063"/>
      <c r="D15087" s="1063"/>
      <c r="E15087" s="1063"/>
      <c r="F15087" s="1063"/>
      <c r="G15087" s="1063"/>
      <c r="H15087" s="1063"/>
      <c r="I15087" s="1063"/>
      <c r="J15087" s="1063"/>
    </row>
    <row r="15088" spans="1:10" s="1064" customFormat="1" x14ac:dyDescent="0.25">
      <c r="A15088" s="262"/>
      <c r="B15088" s="1063"/>
      <c r="C15088" s="1063"/>
      <c r="D15088" s="1063"/>
      <c r="E15088" s="1063"/>
      <c r="F15088" s="1063"/>
      <c r="G15088" s="1063"/>
      <c r="H15088" s="1063"/>
      <c r="I15088" s="1063"/>
      <c r="J15088" s="1063"/>
    </row>
    <row r="15089" spans="1:10" s="1064" customFormat="1" x14ac:dyDescent="0.25">
      <c r="A15089" s="262"/>
      <c r="B15089" s="1063"/>
      <c r="C15089" s="1063"/>
      <c r="D15089" s="1063"/>
      <c r="E15089" s="1063"/>
      <c r="F15089" s="1063"/>
      <c r="G15089" s="1063"/>
      <c r="H15089" s="1063"/>
      <c r="I15089" s="1063"/>
      <c r="J15089" s="1063"/>
    </row>
    <row r="15090" spans="1:10" s="1064" customFormat="1" x14ac:dyDescent="0.25">
      <c r="A15090" s="262"/>
      <c r="B15090" s="1063"/>
      <c r="C15090" s="1063"/>
      <c r="D15090" s="1063"/>
      <c r="E15090" s="1063"/>
      <c r="F15090" s="1063"/>
      <c r="G15090" s="1063"/>
      <c r="H15090" s="1063"/>
      <c r="I15090" s="1063"/>
      <c r="J15090" s="1063"/>
    </row>
    <row r="15091" spans="1:10" s="1064" customFormat="1" x14ac:dyDescent="0.25">
      <c r="A15091" s="262"/>
      <c r="B15091" s="1063"/>
      <c r="C15091" s="1063"/>
      <c r="D15091" s="1063"/>
      <c r="E15091" s="1063"/>
      <c r="F15091" s="1063"/>
      <c r="G15091" s="1063"/>
      <c r="H15091" s="1063"/>
      <c r="I15091" s="1063"/>
      <c r="J15091" s="1063"/>
    </row>
    <row r="15092" spans="1:10" s="1064" customFormat="1" x14ac:dyDescent="0.25">
      <c r="A15092" s="262"/>
      <c r="B15092" s="1063"/>
      <c r="C15092" s="1063"/>
      <c r="D15092" s="1063"/>
      <c r="E15092" s="1063"/>
      <c r="F15092" s="1063"/>
      <c r="G15092" s="1063"/>
      <c r="H15092" s="1063"/>
      <c r="I15092" s="1063"/>
      <c r="J15092" s="1063"/>
    </row>
    <row r="15093" spans="1:10" s="1064" customFormat="1" x14ac:dyDescent="0.25">
      <c r="A15093" s="262"/>
      <c r="B15093" s="1063"/>
      <c r="C15093" s="1063"/>
      <c r="D15093" s="1063"/>
      <c r="E15093" s="1063"/>
      <c r="F15093" s="1063"/>
      <c r="G15093" s="1063"/>
      <c r="H15093" s="1063"/>
      <c r="I15093" s="1063"/>
      <c r="J15093" s="1063"/>
    </row>
    <row r="15094" spans="1:10" s="1064" customFormat="1" x14ac:dyDescent="0.25">
      <c r="A15094" s="262"/>
      <c r="B15094" s="1063"/>
      <c r="C15094" s="1063"/>
      <c r="D15094" s="1063"/>
      <c r="E15094" s="1063"/>
      <c r="F15094" s="1063"/>
      <c r="G15094" s="1063"/>
      <c r="H15094" s="1063"/>
      <c r="I15094" s="1063"/>
      <c r="J15094" s="1063"/>
    </row>
    <row r="15095" spans="1:10" s="1064" customFormat="1" x14ac:dyDescent="0.25">
      <c r="A15095" s="262"/>
      <c r="B15095" s="1063"/>
      <c r="C15095" s="1063"/>
      <c r="D15095" s="1063"/>
      <c r="E15095" s="1063"/>
      <c r="F15095" s="1063"/>
      <c r="G15095" s="1063"/>
      <c r="H15095" s="1063"/>
      <c r="I15095" s="1063"/>
      <c r="J15095" s="1063"/>
    </row>
    <row r="15096" spans="1:10" s="1064" customFormat="1" x14ac:dyDescent="0.25">
      <c r="A15096" s="262"/>
      <c r="B15096" s="1063"/>
      <c r="C15096" s="1063"/>
      <c r="D15096" s="1063"/>
      <c r="E15096" s="1063"/>
      <c r="F15096" s="1063"/>
      <c r="G15096" s="1063"/>
      <c r="H15096" s="1063"/>
      <c r="I15096" s="1063"/>
      <c r="J15096" s="1063"/>
    </row>
    <row r="15097" spans="1:10" s="1064" customFormat="1" x14ac:dyDescent="0.25">
      <c r="A15097" s="262"/>
      <c r="B15097" s="1063"/>
      <c r="C15097" s="1063"/>
      <c r="D15097" s="1063"/>
      <c r="E15097" s="1063"/>
      <c r="F15097" s="1063"/>
      <c r="G15097" s="1063"/>
      <c r="H15097" s="1063"/>
      <c r="I15097" s="1063"/>
      <c r="J15097" s="1063"/>
    </row>
    <row r="15098" spans="1:10" s="1064" customFormat="1" x14ac:dyDescent="0.25">
      <c r="A15098" s="262"/>
      <c r="B15098" s="1063"/>
      <c r="C15098" s="1063"/>
      <c r="D15098" s="1063"/>
      <c r="E15098" s="1063"/>
      <c r="F15098" s="1063"/>
      <c r="G15098" s="1063"/>
      <c r="H15098" s="1063"/>
      <c r="I15098" s="1063"/>
      <c r="J15098" s="1063"/>
    </row>
    <row r="15099" spans="1:10" s="1064" customFormat="1" x14ac:dyDescent="0.25">
      <c r="A15099" s="262"/>
      <c r="B15099" s="1063"/>
      <c r="C15099" s="1063"/>
      <c r="D15099" s="1063"/>
      <c r="E15099" s="1063"/>
      <c r="F15099" s="1063"/>
      <c r="G15099" s="1063"/>
      <c r="H15099" s="1063"/>
      <c r="I15099" s="1063"/>
      <c r="J15099" s="1063"/>
    </row>
    <row r="15100" spans="1:10" s="1064" customFormat="1" x14ac:dyDescent="0.25">
      <c r="A15100" s="262"/>
      <c r="B15100" s="1063"/>
      <c r="C15100" s="1063"/>
      <c r="D15100" s="1063"/>
      <c r="E15100" s="1063"/>
      <c r="F15100" s="1063"/>
      <c r="G15100" s="1063"/>
      <c r="H15100" s="1063"/>
      <c r="I15100" s="1063"/>
      <c r="J15100" s="1063"/>
    </row>
    <row r="15101" spans="1:10" s="1064" customFormat="1" x14ac:dyDescent="0.25">
      <c r="A15101" s="262"/>
      <c r="B15101" s="1063"/>
      <c r="C15101" s="1063"/>
      <c r="D15101" s="1063"/>
      <c r="E15101" s="1063"/>
      <c r="F15101" s="1063"/>
      <c r="G15101" s="1063"/>
      <c r="H15101" s="1063"/>
      <c r="I15101" s="1063"/>
      <c r="J15101" s="1063"/>
    </row>
    <row r="15102" spans="1:10" s="1064" customFormat="1" x14ac:dyDescent="0.25">
      <c r="A15102" s="262"/>
      <c r="B15102" s="1063"/>
      <c r="C15102" s="1063"/>
      <c r="D15102" s="1063"/>
      <c r="E15102" s="1063"/>
      <c r="F15102" s="1063"/>
      <c r="G15102" s="1063"/>
      <c r="H15102" s="1063"/>
      <c r="I15102" s="1063"/>
      <c r="J15102" s="1063"/>
    </row>
    <row r="15103" spans="1:10" s="1064" customFormat="1" x14ac:dyDescent="0.25">
      <c r="A15103" s="262"/>
      <c r="B15103" s="1063"/>
      <c r="C15103" s="1063"/>
      <c r="D15103" s="1063"/>
      <c r="E15103" s="1063"/>
      <c r="F15103" s="1063"/>
      <c r="G15103" s="1063"/>
      <c r="H15103" s="1063"/>
      <c r="I15103" s="1063"/>
      <c r="J15103" s="1063"/>
    </row>
    <row r="15104" spans="1:10" s="1064" customFormat="1" x14ac:dyDescent="0.25">
      <c r="A15104" s="262"/>
      <c r="B15104" s="1063"/>
      <c r="C15104" s="1063"/>
      <c r="D15104" s="1063"/>
      <c r="E15104" s="1063"/>
      <c r="F15104" s="1063"/>
      <c r="G15104" s="1063"/>
      <c r="H15104" s="1063"/>
      <c r="I15104" s="1063"/>
      <c r="J15104" s="1063"/>
    </row>
    <row r="15105" spans="1:10" s="1064" customFormat="1" x14ac:dyDescent="0.25">
      <c r="A15105" s="262"/>
      <c r="B15105" s="1063"/>
      <c r="C15105" s="1063"/>
      <c r="D15105" s="1063"/>
      <c r="E15105" s="1063"/>
      <c r="F15105" s="1063"/>
      <c r="G15105" s="1063"/>
      <c r="H15105" s="1063"/>
      <c r="I15105" s="1063"/>
      <c r="J15105" s="1063"/>
    </row>
    <row r="15106" spans="1:10" s="1064" customFormat="1" x14ac:dyDescent="0.25">
      <c r="A15106" s="262"/>
      <c r="B15106" s="1063"/>
      <c r="C15106" s="1063"/>
      <c r="D15106" s="1063"/>
      <c r="E15106" s="1063"/>
      <c r="F15106" s="1063"/>
      <c r="G15106" s="1063"/>
      <c r="H15106" s="1063"/>
      <c r="I15106" s="1063"/>
      <c r="J15106" s="1063"/>
    </row>
    <row r="15107" spans="1:10" s="1064" customFormat="1" x14ac:dyDescent="0.25">
      <c r="A15107" s="262"/>
      <c r="B15107" s="1063"/>
      <c r="C15107" s="1063"/>
      <c r="D15107" s="1063"/>
      <c r="E15107" s="1063"/>
      <c r="F15107" s="1063"/>
      <c r="G15107" s="1063"/>
      <c r="H15107" s="1063"/>
      <c r="I15107" s="1063"/>
      <c r="J15107" s="1063"/>
    </row>
    <row r="15108" spans="1:10" s="1064" customFormat="1" x14ac:dyDescent="0.25">
      <c r="A15108" s="262"/>
      <c r="B15108" s="1063"/>
      <c r="C15108" s="1063"/>
      <c r="D15108" s="1063"/>
      <c r="E15108" s="1063"/>
      <c r="F15108" s="1063"/>
      <c r="G15108" s="1063"/>
      <c r="H15108" s="1063"/>
      <c r="I15108" s="1063"/>
      <c r="J15108" s="1063"/>
    </row>
    <row r="15109" spans="1:10" s="1064" customFormat="1" x14ac:dyDescent="0.25">
      <c r="A15109" s="262"/>
      <c r="B15109" s="1063"/>
      <c r="C15109" s="1063"/>
      <c r="D15109" s="1063"/>
      <c r="E15109" s="1063"/>
      <c r="F15109" s="1063"/>
      <c r="G15109" s="1063"/>
      <c r="H15109" s="1063"/>
      <c r="I15109" s="1063"/>
      <c r="J15109" s="1063"/>
    </row>
    <row r="15110" spans="1:10" s="1064" customFormat="1" x14ac:dyDescent="0.25">
      <c r="A15110" s="262"/>
      <c r="B15110" s="1063"/>
      <c r="C15110" s="1063"/>
      <c r="D15110" s="1063"/>
      <c r="E15110" s="1063"/>
      <c r="F15110" s="1063"/>
      <c r="G15110" s="1063"/>
      <c r="H15110" s="1063"/>
      <c r="I15110" s="1063"/>
      <c r="J15110" s="1063"/>
    </row>
    <row r="15111" spans="1:10" s="1064" customFormat="1" x14ac:dyDescent="0.25">
      <c r="A15111" s="262"/>
      <c r="B15111" s="1063"/>
      <c r="C15111" s="1063"/>
      <c r="D15111" s="1063"/>
      <c r="E15111" s="1063"/>
      <c r="F15111" s="1063"/>
      <c r="G15111" s="1063"/>
      <c r="H15111" s="1063"/>
      <c r="I15111" s="1063"/>
      <c r="J15111" s="1063"/>
    </row>
    <row r="15112" spans="1:10" s="1064" customFormat="1" x14ac:dyDescent="0.25">
      <c r="A15112" s="262"/>
      <c r="B15112" s="1063"/>
      <c r="C15112" s="1063"/>
      <c r="D15112" s="1063"/>
      <c r="E15112" s="1063"/>
      <c r="F15112" s="1063"/>
      <c r="G15112" s="1063"/>
      <c r="H15112" s="1063"/>
      <c r="I15112" s="1063"/>
      <c r="J15112" s="1063"/>
    </row>
    <row r="15113" spans="1:10" s="1064" customFormat="1" x14ac:dyDescent="0.25">
      <c r="A15113" s="262"/>
      <c r="B15113" s="1063"/>
      <c r="C15113" s="1063"/>
      <c r="D15113" s="1063"/>
      <c r="E15113" s="1063"/>
      <c r="F15113" s="1063"/>
      <c r="G15113" s="1063"/>
      <c r="H15113" s="1063"/>
      <c r="I15113" s="1063"/>
      <c r="J15113" s="1063"/>
    </row>
    <row r="15114" spans="1:10" s="1064" customFormat="1" x14ac:dyDescent="0.25">
      <c r="A15114" s="262"/>
      <c r="B15114" s="1063"/>
      <c r="C15114" s="1063"/>
      <c r="D15114" s="1063"/>
      <c r="E15114" s="1063"/>
      <c r="F15114" s="1063"/>
      <c r="G15114" s="1063"/>
      <c r="H15114" s="1063"/>
      <c r="I15114" s="1063"/>
      <c r="J15114" s="1063"/>
    </row>
    <row r="15115" spans="1:10" s="1064" customFormat="1" x14ac:dyDescent="0.25">
      <c r="A15115" s="262"/>
      <c r="B15115" s="1063"/>
      <c r="C15115" s="1063"/>
      <c r="D15115" s="1063"/>
      <c r="E15115" s="1063"/>
      <c r="F15115" s="1063"/>
      <c r="G15115" s="1063"/>
      <c r="H15115" s="1063"/>
      <c r="I15115" s="1063"/>
      <c r="J15115" s="1063"/>
    </row>
    <row r="15116" spans="1:10" s="1064" customFormat="1" x14ac:dyDescent="0.25">
      <c r="A15116" s="262"/>
      <c r="B15116" s="1063"/>
      <c r="C15116" s="1063"/>
      <c r="D15116" s="1063"/>
      <c r="E15116" s="1063"/>
      <c r="F15116" s="1063"/>
      <c r="G15116" s="1063"/>
      <c r="H15116" s="1063"/>
      <c r="I15116" s="1063"/>
      <c r="J15116" s="1063"/>
    </row>
    <row r="15117" spans="1:10" s="1064" customFormat="1" x14ac:dyDescent="0.25">
      <c r="A15117" s="262"/>
      <c r="B15117" s="1063"/>
      <c r="C15117" s="1063"/>
      <c r="D15117" s="1063"/>
      <c r="E15117" s="1063"/>
      <c r="F15117" s="1063"/>
      <c r="G15117" s="1063"/>
      <c r="H15117" s="1063"/>
      <c r="I15117" s="1063"/>
      <c r="J15117" s="1063"/>
    </row>
    <row r="15118" spans="1:10" s="1064" customFormat="1" x14ac:dyDescent="0.25">
      <c r="A15118" s="262"/>
      <c r="B15118" s="1063"/>
      <c r="C15118" s="1063"/>
      <c r="D15118" s="1063"/>
      <c r="E15118" s="1063"/>
      <c r="F15118" s="1063"/>
      <c r="G15118" s="1063"/>
      <c r="H15118" s="1063"/>
      <c r="I15118" s="1063"/>
      <c r="J15118" s="1063"/>
    </row>
    <row r="15119" spans="1:10" s="1064" customFormat="1" x14ac:dyDescent="0.25">
      <c r="A15119" s="262"/>
      <c r="B15119" s="1063"/>
      <c r="C15119" s="1063"/>
      <c r="D15119" s="1063"/>
      <c r="E15119" s="1063"/>
      <c r="F15119" s="1063"/>
      <c r="G15119" s="1063"/>
      <c r="H15119" s="1063"/>
      <c r="I15119" s="1063"/>
      <c r="J15119" s="1063"/>
    </row>
    <row r="15120" spans="1:10" s="1064" customFormat="1" x14ac:dyDescent="0.25">
      <c r="A15120" s="262"/>
      <c r="B15120" s="1063"/>
      <c r="C15120" s="1063"/>
      <c r="D15120" s="1063"/>
      <c r="E15120" s="1063"/>
      <c r="F15120" s="1063"/>
      <c r="G15120" s="1063"/>
      <c r="H15120" s="1063"/>
      <c r="I15120" s="1063"/>
      <c r="J15120" s="1063"/>
    </row>
    <row r="15121" spans="1:10" s="1064" customFormat="1" x14ac:dyDescent="0.25">
      <c r="A15121" s="262"/>
      <c r="B15121" s="1063"/>
      <c r="C15121" s="1063"/>
      <c r="D15121" s="1063"/>
      <c r="E15121" s="1063"/>
      <c r="F15121" s="1063"/>
      <c r="G15121" s="1063"/>
      <c r="H15121" s="1063"/>
      <c r="I15121" s="1063"/>
      <c r="J15121" s="1063"/>
    </row>
    <row r="15122" spans="1:10" s="1064" customFormat="1" x14ac:dyDescent="0.25">
      <c r="A15122" s="262"/>
      <c r="B15122" s="1063"/>
      <c r="C15122" s="1063"/>
      <c r="D15122" s="1063"/>
      <c r="E15122" s="1063"/>
      <c r="F15122" s="1063"/>
      <c r="G15122" s="1063"/>
      <c r="H15122" s="1063"/>
      <c r="I15122" s="1063"/>
      <c r="J15122" s="1063"/>
    </row>
    <row r="15123" spans="1:10" s="1064" customFormat="1" x14ac:dyDescent="0.25">
      <c r="A15123" s="262"/>
      <c r="B15123" s="1063"/>
      <c r="C15123" s="1063"/>
      <c r="D15123" s="1063"/>
      <c r="E15123" s="1063"/>
      <c r="F15123" s="1063"/>
      <c r="G15123" s="1063"/>
      <c r="H15123" s="1063"/>
      <c r="I15123" s="1063"/>
      <c r="J15123" s="1063"/>
    </row>
    <row r="15124" spans="1:10" s="1064" customFormat="1" x14ac:dyDescent="0.25">
      <c r="A15124" s="262"/>
      <c r="B15124" s="1063"/>
      <c r="C15124" s="1063"/>
      <c r="D15124" s="1063"/>
      <c r="E15124" s="1063"/>
      <c r="F15124" s="1063"/>
      <c r="G15124" s="1063"/>
      <c r="H15124" s="1063"/>
      <c r="I15124" s="1063"/>
      <c r="J15124" s="1063"/>
    </row>
    <row r="15125" spans="1:10" s="1064" customFormat="1" x14ac:dyDescent="0.25">
      <c r="A15125" s="262"/>
      <c r="B15125" s="1063"/>
      <c r="C15125" s="1063"/>
      <c r="D15125" s="1063"/>
      <c r="E15125" s="1063"/>
      <c r="F15125" s="1063"/>
      <c r="G15125" s="1063"/>
      <c r="H15125" s="1063"/>
      <c r="I15125" s="1063"/>
      <c r="J15125" s="1063"/>
    </row>
    <row r="15126" spans="1:10" s="1064" customFormat="1" x14ac:dyDescent="0.25">
      <c r="A15126" s="262"/>
      <c r="B15126" s="1063"/>
      <c r="C15126" s="1063"/>
      <c r="D15126" s="1063"/>
      <c r="E15126" s="1063"/>
      <c r="F15126" s="1063"/>
      <c r="G15126" s="1063"/>
      <c r="H15126" s="1063"/>
      <c r="I15126" s="1063"/>
      <c r="J15126" s="1063"/>
    </row>
    <row r="15127" spans="1:10" s="1064" customFormat="1" x14ac:dyDescent="0.25">
      <c r="A15127" s="262"/>
      <c r="B15127" s="1063"/>
      <c r="C15127" s="1063"/>
      <c r="D15127" s="1063"/>
      <c r="E15127" s="1063"/>
      <c r="F15127" s="1063"/>
      <c r="G15127" s="1063"/>
      <c r="H15127" s="1063"/>
      <c r="I15127" s="1063"/>
      <c r="J15127" s="1063"/>
    </row>
    <row r="15128" spans="1:10" s="1064" customFormat="1" x14ac:dyDescent="0.25">
      <c r="A15128" s="262"/>
      <c r="B15128" s="1063"/>
      <c r="C15128" s="1063"/>
      <c r="D15128" s="1063"/>
      <c r="E15128" s="1063"/>
      <c r="F15128" s="1063"/>
      <c r="G15128" s="1063"/>
      <c r="H15128" s="1063"/>
      <c r="I15128" s="1063"/>
      <c r="J15128" s="1063"/>
    </row>
    <row r="15129" spans="1:10" s="1064" customFormat="1" x14ac:dyDescent="0.25">
      <c r="A15129" s="262"/>
      <c r="B15129" s="1063"/>
      <c r="C15129" s="1063"/>
      <c r="D15129" s="1063"/>
      <c r="E15129" s="1063"/>
      <c r="F15129" s="1063"/>
      <c r="G15129" s="1063"/>
      <c r="H15129" s="1063"/>
      <c r="I15129" s="1063"/>
      <c r="J15129" s="1063"/>
    </row>
    <row r="15130" spans="1:10" s="1064" customFormat="1" x14ac:dyDescent="0.25">
      <c r="A15130" s="262"/>
      <c r="B15130" s="1063"/>
      <c r="C15130" s="1063"/>
      <c r="D15130" s="1063"/>
      <c r="E15130" s="1063"/>
      <c r="F15130" s="1063"/>
      <c r="G15130" s="1063"/>
      <c r="H15130" s="1063"/>
      <c r="I15130" s="1063"/>
      <c r="J15130" s="1063"/>
    </row>
    <row r="15131" spans="1:10" s="1064" customFormat="1" x14ac:dyDescent="0.25">
      <c r="A15131" s="262"/>
      <c r="B15131" s="1063"/>
      <c r="C15131" s="1063"/>
      <c r="D15131" s="1063"/>
      <c r="E15131" s="1063"/>
      <c r="F15131" s="1063"/>
      <c r="G15131" s="1063"/>
      <c r="H15131" s="1063"/>
      <c r="I15131" s="1063"/>
      <c r="J15131" s="1063"/>
    </row>
    <row r="15132" spans="1:10" s="1064" customFormat="1" x14ac:dyDescent="0.25">
      <c r="A15132" s="262"/>
      <c r="B15132" s="1063"/>
      <c r="C15132" s="1063"/>
      <c r="D15132" s="1063"/>
      <c r="E15132" s="1063"/>
      <c r="F15132" s="1063"/>
      <c r="G15132" s="1063"/>
      <c r="H15132" s="1063"/>
      <c r="I15132" s="1063"/>
      <c r="J15132" s="1063"/>
    </row>
    <row r="15133" spans="1:10" s="1064" customFormat="1" x14ac:dyDescent="0.25">
      <c r="A15133" s="262"/>
      <c r="B15133" s="1063"/>
      <c r="C15133" s="1063"/>
      <c r="D15133" s="1063"/>
      <c r="E15133" s="1063"/>
      <c r="F15133" s="1063"/>
      <c r="G15133" s="1063"/>
      <c r="H15133" s="1063"/>
      <c r="I15133" s="1063"/>
      <c r="J15133" s="1063"/>
    </row>
    <row r="15134" spans="1:10" s="1064" customFormat="1" x14ac:dyDescent="0.25">
      <c r="A15134" s="262"/>
      <c r="B15134" s="1063"/>
      <c r="C15134" s="1063"/>
      <c r="D15134" s="1063"/>
      <c r="E15134" s="1063"/>
      <c r="F15134" s="1063"/>
      <c r="G15134" s="1063"/>
      <c r="H15134" s="1063"/>
      <c r="I15134" s="1063"/>
      <c r="J15134" s="1063"/>
    </row>
    <row r="15135" spans="1:10" s="1064" customFormat="1" x14ac:dyDescent="0.25">
      <c r="A15135" s="262"/>
      <c r="B15135" s="1063"/>
      <c r="C15135" s="1063"/>
      <c r="D15135" s="1063"/>
      <c r="E15135" s="1063"/>
      <c r="F15135" s="1063"/>
      <c r="G15135" s="1063"/>
      <c r="H15135" s="1063"/>
      <c r="I15135" s="1063"/>
      <c r="J15135" s="1063"/>
    </row>
    <row r="15136" spans="1:10" s="1064" customFormat="1" x14ac:dyDescent="0.25">
      <c r="A15136" s="262"/>
      <c r="B15136" s="1063"/>
      <c r="C15136" s="1063"/>
      <c r="D15136" s="1063"/>
      <c r="E15136" s="1063"/>
      <c r="F15136" s="1063"/>
      <c r="G15136" s="1063"/>
      <c r="H15136" s="1063"/>
      <c r="I15136" s="1063"/>
      <c r="J15136" s="1063"/>
    </row>
    <row r="15137" spans="1:10" s="1064" customFormat="1" x14ac:dyDescent="0.25">
      <c r="A15137" s="262"/>
      <c r="B15137" s="1063"/>
      <c r="C15137" s="1063"/>
      <c r="D15137" s="1063"/>
      <c r="E15137" s="1063"/>
      <c r="F15137" s="1063"/>
      <c r="G15137" s="1063"/>
      <c r="H15137" s="1063"/>
      <c r="I15137" s="1063"/>
      <c r="J15137" s="1063"/>
    </row>
    <row r="15138" spans="1:10" s="1064" customFormat="1" x14ac:dyDescent="0.25">
      <c r="A15138" s="262"/>
      <c r="B15138" s="1063"/>
      <c r="C15138" s="1063"/>
      <c r="D15138" s="1063"/>
      <c r="E15138" s="1063"/>
      <c r="F15138" s="1063"/>
      <c r="G15138" s="1063"/>
      <c r="H15138" s="1063"/>
      <c r="I15138" s="1063"/>
      <c r="J15138" s="1063"/>
    </row>
    <row r="15139" spans="1:10" s="1064" customFormat="1" x14ac:dyDescent="0.25">
      <c r="A15139" s="262"/>
      <c r="B15139" s="1063"/>
      <c r="C15139" s="1063"/>
      <c r="D15139" s="1063"/>
      <c r="E15139" s="1063"/>
      <c r="F15139" s="1063"/>
      <c r="G15139" s="1063"/>
      <c r="H15139" s="1063"/>
      <c r="I15139" s="1063"/>
      <c r="J15139" s="1063"/>
    </row>
    <row r="15140" spans="1:10" s="1064" customFormat="1" x14ac:dyDescent="0.25">
      <c r="A15140" s="262"/>
      <c r="B15140" s="1063"/>
      <c r="C15140" s="1063"/>
      <c r="D15140" s="1063"/>
      <c r="E15140" s="1063"/>
      <c r="F15140" s="1063"/>
      <c r="G15140" s="1063"/>
      <c r="H15140" s="1063"/>
      <c r="I15140" s="1063"/>
      <c r="J15140" s="1063"/>
    </row>
    <row r="15141" spans="1:10" s="1064" customFormat="1" x14ac:dyDescent="0.25">
      <c r="A15141" s="262"/>
      <c r="B15141" s="1063"/>
      <c r="C15141" s="1063"/>
      <c r="D15141" s="1063"/>
      <c r="E15141" s="1063"/>
      <c r="F15141" s="1063"/>
      <c r="G15141" s="1063"/>
      <c r="H15141" s="1063"/>
      <c r="I15141" s="1063"/>
      <c r="J15141" s="1063"/>
    </row>
    <row r="15142" spans="1:10" s="1064" customFormat="1" x14ac:dyDescent="0.25">
      <c r="A15142" s="262"/>
      <c r="B15142" s="1063"/>
      <c r="C15142" s="1063"/>
      <c r="D15142" s="1063"/>
      <c r="E15142" s="1063"/>
      <c r="F15142" s="1063"/>
      <c r="G15142" s="1063"/>
      <c r="H15142" s="1063"/>
      <c r="I15142" s="1063"/>
      <c r="J15142" s="1063"/>
    </row>
    <row r="15143" spans="1:10" s="1064" customFormat="1" x14ac:dyDescent="0.25">
      <c r="A15143" s="262"/>
      <c r="B15143" s="1065"/>
      <c r="C15143" s="1063"/>
      <c r="D15143" s="1063"/>
      <c r="E15143" s="1063"/>
      <c r="F15143" s="1063"/>
      <c r="G15143" s="1063"/>
      <c r="H15143" s="1063"/>
      <c r="I15143" s="1063"/>
      <c r="J15143" s="1063"/>
    </row>
    <row r="15144" spans="1:10" s="1064" customFormat="1" x14ac:dyDescent="0.25">
      <c r="A15144" s="262"/>
      <c r="B15144" s="1063"/>
      <c r="C15144" s="1063"/>
      <c r="D15144" s="1063"/>
      <c r="E15144" s="1063"/>
      <c r="F15144" s="1063"/>
      <c r="G15144" s="1063"/>
      <c r="H15144" s="1063"/>
      <c r="I15144" s="1063"/>
      <c r="J15144" s="1063"/>
    </row>
    <row r="15145" spans="1:10" s="1064" customFormat="1" x14ac:dyDescent="0.25">
      <c r="A15145" s="262"/>
      <c r="B15145" s="1063"/>
      <c r="C15145" s="1063"/>
      <c r="D15145" s="1063"/>
      <c r="E15145" s="1063"/>
      <c r="F15145" s="1063"/>
      <c r="G15145" s="1063"/>
      <c r="H15145" s="1063"/>
      <c r="I15145" s="1063"/>
      <c r="J15145" s="1063"/>
    </row>
    <row r="15146" spans="1:10" s="1064" customFormat="1" x14ac:dyDescent="0.25">
      <c r="A15146" s="262"/>
      <c r="B15146" s="1063"/>
      <c r="C15146" s="1063"/>
      <c r="D15146" s="1063"/>
      <c r="E15146" s="1063"/>
      <c r="F15146" s="1063"/>
      <c r="G15146" s="1063"/>
      <c r="H15146" s="1063"/>
      <c r="I15146" s="1063"/>
      <c r="J15146" s="1063"/>
    </row>
    <row r="15147" spans="1:10" s="1064" customFormat="1" x14ac:dyDescent="0.25">
      <c r="A15147" s="262"/>
      <c r="B15147" s="1063"/>
      <c r="C15147" s="1063"/>
      <c r="D15147" s="1063"/>
      <c r="E15147" s="1063"/>
      <c r="F15147" s="1063"/>
      <c r="G15147" s="1063"/>
      <c r="H15147" s="1063"/>
      <c r="I15147" s="1063"/>
      <c r="J15147" s="1063"/>
    </row>
    <row r="15148" spans="1:10" s="1064" customFormat="1" x14ac:dyDescent="0.25">
      <c r="A15148" s="262"/>
      <c r="B15148" s="1063"/>
      <c r="C15148" s="1063"/>
      <c r="D15148" s="1063"/>
      <c r="E15148" s="1063"/>
      <c r="F15148" s="1063"/>
      <c r="G15148" s="1063"/>
      <c r="H15148" s="1063"/>
      <c r="I15148" s="1063"/>
      <c r="J15148" s="1063"/>
    </row>
    <row r="15149" spans="1:10" s="1064" customFormat="1" x14ac:dyDescent="0.25">
      <c r="A15149" s="262"/>
      <c r="B15149" s="1063"/>
      <c r="C15149" s="1063"/>
      <c r="D15149" s="1063"/>
      <c r="E15149" s="1063"/>
      <c r="F15149" s="1063"/>
      <c r="G15149" s="1063"/>
      <c r="H15149" s="1063"/>
      <c r="I15149" s="1063"/>
      <c r="J15149" s="1063"/>
    </row>
    <row r="15150" spans="1:10" s="1064" customFormat="1" x14ac:dyDescent="0.25">
      <c r="A15150" s="262"/>
      <c r="B15150" s="1063"/>
      <c r="C15150" s="1063"/>
      <c r="D15150" s="1063"/>
      <c r="E15150" s="1063"/>
      <c r="F15150" s="1063"/>
      <c r="G15150" s="1063"/>
      <c r="H15150" s="1063"/>
      <c r="I15150" s="1063"/>
      <c r="J15150" s="1063"/>
    </row>
    <row r="15151" spans="1:10" s="1064" customFormat="1" x14ac:dyDescent="0.25">
      <c r="A15151" s="262"/>
      <c r="B15151" s="1063"/>
      <c r="C15151" s="1063"/>
      <c r="D15151" s="1063"/>
      <c r="E15151" s="1063"/>
      <c r="F15151" s="1063"/>
      <c r="G15151" s="1063"/>
      <c r="H15151" s="1063"/>
      <c r="I15151" s="1063"/>
      <c r="J15151" s="1063"/>
    </row>
    <row r="15152" spans="1:10" s="1064" customFormat="1" x14ac:dyDescent="0.25">
      <c r="A15152" s="262"/>
      <c r="B15152" s="1063"/>
      <c r="C15152" s="1063"/>
      <c r="D15152" s="1063"/>
      <c r="E15152" s="1063"/>
      <c r="F15152" s="1063"/>
      <c r="G15152" s="1063"/>
      <c r="H15152" s="1063"/>
      <c r="I15152" s="1063"/>
      <c r="J15152" s="1063"/>
    </row>
    <row r="15153" spans="1:10" s="1064" customFormat="1" x14ac:dyDescent="0.25">
      <c r="A15153" s="262"/>
      <c r="B15153" s="1063"/>
      <c r="C15153" s="1063"/>
      <c r="D15153" s="1063"/>
      <c r="E15153" s="1063"/>
      <c r="F15153" s="1063"/>
      <c r="G15153" s="1063"/>
      <c r="H15153" s="1063"/>
      <c r="I15153" s="1063"/>
      <c r="J15153" s="1063"/>
    </row>
    <row r="15154" spans="1:10" s="1064" customFormat="1" x14ac:dyDescent="0.25">
      <c r="A15154" s="262"/>
      <c r="B15154" s="1063"/>
      <c r="C15154" s="1063"/>
      <c r="D15154" s="1063"/>
      <c r="E15154" s="1063"/>
      <c r="F15154" s="1063"/>
      <c r="G15154" s="1063"/>
      <c r="H15154" s="1063"/>
      <c r="I15154" s="1063"/>
      <c r="J15154" s="1063"/>
    </row>
    <row r="15155" spans="1:10" s="1064" customFormat="1" x14ac:dyDescent="0.25">
      <c r="A15155" s="262"/>
      <c r="B15155" s="1063"/>
      <c r="C15155" s="1063"/>
      <c r="D15155" s="1063"/>
      <c r="E15155" s="1063"/>
      <c r="F15155" s="1063"/>
      <c r="G15155" s="1063"/>
      <c r="H15155" s="1063"/>
      <c r="I15155" s="1063"/>
      <c r="J15155" s="1063"/>
    </row>
    <row r="15156" spans="1:10" s="1064" customFormat="1" x14ac:dyDescent="0.25">
      <c r="A15156" s="262"/>
      <c r="B15156" s="1063"/>
      <c r="C15156" s="1063"/>
      <c r="D15156" s="1063"/>
      <c r="E15156" s="1063"/>
      <c r="F15156" s="1063"/>
      <c r="G15156" s="1063"/>
      <c r="H15156" s="1063"/>
      <c r="I15156" s="1063"/>
      <c r="J15156" s="1063"/>
    </row>
    <row r="15157" spans="1:10" s="1064" customFormat="1" x14ac:dyDescent="0.25">
      <c r="A15157" s="262"/>
      <c r="B15157" s="1063"/>
      <c r="C15157" s="1063"/>
      <c r="D15157" s="1063"/>
      <c r="E15157" s="1063"/>
      <c r="F15157" s="1063"/>
      <c r="G15157" s="1063"/>
      <c r="H15157" s="1063"/>
      <c r="I15157" s="1063"/>
      <c r="J15157" s="1063"/>
    </row>
    <row r="15158" spans="1:10" s="1064" customFormat="1" x14ac:dyDescent="0.25">
      <c r="A15158" s="262"/>
      <c r="B15158" s="1063"/>
      <c r="C15158" s="1063"/>
      <c r="D15158" s="1063"/>
      <c r="E15158" s="1063"/>
      <c r="F15158" s="1063"/>
      <c r="G15158" s="1063"/>
      <c r="H15158" s="1063"/>
      <c r="I15158" s="1063"/>
      <c r="J15158" s="1063"/>
    </row>
    <row r="15159" spans="1:10" s="1064" customFormat="1" x14ac:dyDescent="0.25">
      <c r="A15159" s="262"/>
      <c r="B15159" s="1063"/>
      <c r="C15159" s="1063"/>
      <c r="D15159" s="1063"/>
      <c r="E15159" s="1063"/>
      <c r="F15159" s="1063"/>
      <c r="G15159" s="1063"/>
      <c r="H15159" s="1063"/>
      <c r="I15159" s="1063"/>
      <c r="J15159" s="1063"/>
    </row>
    <row r="15160" spans="1:10" s="1064" customFormat="1" x14ac:dyDescent="0.25">
      <c r="A15160" s="262"/>
      <c r="B15160" s="1063"/>
      <c r="C15160" s="1063"/>
      <c r="D15160" s="1063"/>
      <c r="E15160" s="1063"/>
      <c r="F15160" s="1063"/>
      <c r="G15160" s="1063"/>
      <c r="H15160" s="1063"/>
      <c r="I15160" s="1063"/>
      <c r="J15160" s="1063"/>
    </row>
    <row r="15161" spans="1:10" s="1064" customFormat="1" x14ac:dyDescent="0.25">
      <c r="A15161" s="262"/>
      <c r="B15161" s="1063"/>
      <c r="C15161" s="1063"/>
      <c r="D15161" s="1063"/>
      <c r="E15161" s="1063"/>
      <c r="F15161" s="1063"/>
      <c r="G15161" s="1063"/>
      <c r="H15161" s="1063"/>
      <c r="I15161" s="1063"/>
      <c r="J15161" s="1063"/>
    </row>
    <row r="15162" spans="1:10" s="1064" customFormat="1" x14ac:dyDescent="0.25">
      <c r="A15162" s="262"/>
      <c r="B15162" s="1063"/>
      <c r="C15162" s="1063"/>
      <c r="D15162" s="1063"/>
      <c r="E15162" s="1063"/>
      <c r="F15162" s="1063"/>
      <c r="G15162" s="1063"/>
      <c r="H15162" s="1063"/>
      <c r="I15162" s="1063"/>
      <c r="J15162" s="1063"/>
    </row>
    <row r="15163" spans="1:10" s="1064" customFormat="1" x14ac:dyDescent="0.25">
      <c r="A15163" s="262"/>
      <c r="B15163" s="1063"/>
      <c r="C15163" s="1063"/>
      <c r="D15163" s="1063"/>
      <c r="E15163" s="1063"/>
      <c r="F15163" s="1063"/>
      <c r="G15163" s="1063"/>
      <c r="H15163" s="1063"/>
      <c r="I15163" s="1063"/>
      <c r="J15163" s="1063"/>
    </row>
    <row r="15164" spans="1:10" s="1064" customFormat="1" x14ac:dyDescent="0.25">
      <c r="A15164" s="262"/>
      <c r="B15164" s="1063"/>
      <c r="C15164" s="1063"/>
      <c r="D15164" s="1063"/>
      <c r="E15164" s="1063"/>
      <c r="F15164" s="1063"/>
      <c r="G15164" s="1063"/>
      <c r="H15164" s="1063"/>
      <c r="I15164" s="1063"/>
      <c r="J15164" s="1063"/>
    </row>
    <row r="15165" spans="1:10" s="1064" customFormat="1" x14ac:dyDescent="0.25">
      <c r="A15165" s="262"/>
      <c r="B15165" s="1063"/>
      <c r="C15165" s="1063"/>
      <c r="D15165" s="1063"/>
      <c r="E15165" s="1063"/>
      <c r="F15165" s="1063"/>
      <c r="G15165" s="1063"/>
      <c r="H15165" s="1063"/>
      <c r="I15165" s="1063"/>
      <c r="J15165" s="1063"/>
    </row>
    <row r="15166" spans="1:10" s="1064" customFormat="1" x14ac:dyDescent="0.25">
      <c r="A15166" s="262"/>
      <c r="B15166" s="1063"/>
      <c r="C15166" s="1063"/>
      <c r="D15166" s="1063"/>
      <c r="E15166" s="1063"/>
      <c r="F15166" s="1063"/>
      <c r="G15166" s="1063"/>
      <c r="H15166" s="1063"/>
      <c r="I15166" s="1063"/>
      <c r="J15166" s="1063"/>
    </row>
    <row r="15167" spans="1:10" s="1064" customFormat="1" x14ac:dyDescent="0.25">
      <c r="A15167" s="262"/>
      <c r="B15167" s="1063"/>
      <c r="C15167" s="1063"/>
      <c r="D15167" s="1063"/>
      <c r="E15167" s="1063"/>
      <c r="F15167" s="1063"/>
      <c r="G15167" s="1063"/>
      <c r="H15167" s="1063"/>
      <c r="I15167" s="1063"/>
      <c r="J15167" s="1063"/>
    </row>
    <row r="15168" spans="1:10" s="1064" customFormat="1" x14ac:dyDescent="0.25">
      <c r="A15168" s="262"/>
      <c r="B15168" s="1063"/>
      <c r="C15168" s="1063"/>
      <c r="D15168" s="1063"/>
      <c r="E15168" s="1063"/>
      <c r="F15168" s="1063"/>
      <c r="G15168" s="1063"/>
      <c r="H15168" s="1063"/>
      <c r="I15168" s="1063"/>
      <c r="J15168" s="1063"/>
    </row>
    <row r="15169" spans="1:10" s="1064" customFormat="1" x14ac:dyDescent="0.25">
      <c r="A15169" s="262"/>
      <c r="B15169" s="1063"/>
      <c r="C15169" s="1063"/>
      <c r="D15169" s="1063"/>
      <c r="E15169" s="1063"/>
      <c r="F15169" s="1063"/>
      <c r="G15169" s="1063"/>
      <c r="H15169" s="1063"/>
      <c r="I15169" s="1063"/>
      <c r="J15169" s="1063"/>
    </row>
    <row r="15170" spans="1:10" s="1064" customFormat="1" x14ac:dyDescent="0.25">
      <c r="A15170" s="262"/>
      <c r="B15170" s="1063"/>
      <c r="C15170" s="1063"/>
      <c r="D15170" s="1063"/>
      <c r="E15170" s="1063"/>
      <c r="F15170" s="1063"/>
      <c r="G15170" s="1063"/>
      <c r="H15170" s="1063"/>
      <c r="I15170" s="1063"/>
      <c r="J15170" s="1063"/>
    </row>
    <row r="15171" spans="1:10" s="1064" customFormat="1" x14ac:dyDescent="0.25">
      <c r="A15171" s="262"/>
      <c r="B15171" s="1063"/>
      <c r="C15171" s="1063"/>
      <c r="D15171" s="1063"/>
      <c r="E15171" s="1063"/>
      <c r="F15171" s="1063"/>
      <c r="G15171" s="1063"/>
      <c r="H15171" s="1063"/>
      <c r="I15171" s="1063"/>
      <c r="J15171" s="1063"/>
    </row>
    <row r="15172" spans="1:10" s="1064" customFormat="1" x14ac:dyDescent="0.25">
      <c r="A15172" s="262"/>
      <c r="B15172" s="1063"/>
      <c r="C15172" s="1063"/>
      <c r="D15172" s="1063"/>
      <c r="E15172" s="1063"/>
      <c r="F15172" s="1063"/>
      <c r="G15172" s="1063"/>
      <c r="H15172" s="1063"/>
      <c r="I15172" s="1063"/>
      <c r="J15172" s="1063"/>
    </row>
    <row r="15173" spans="1:10" s="1064" customFormat="1" x14ac:dyDescent="0.25">
      <c r="A15173" s="262"/>
      <c r="B15173" s="1063"/>
      <c r="C15173" s="1063"/>
      <c r="D15173" s="1063"/>
      <c r="E15173" s="1063"/>
      <c r="F15173" s="1063"/>
      <c r="G15173" s="1063"/>
      <c r="H15173" s="1063"/>
      <c r="I15173" s="1063"/>
      <c r="J15173" s="1063"/>
    </row>
    <row r="15174" spans="1:10" s="1064" customFormat="1" x14ac:dyDescent="0.25">
      <c r="A15174" s="262"/>
      <c r="B15174" s="1063"/>
      <c r="C15174" s="1063"/>
      <c r="D15174" s="1063"/>
      <c r="E15174" s="1063"/>
      <c r="F15174" s="1063"/>
      <c r="G15174" s="1063"/>
      <c r="H15174" s="1063"/>
      <c r="I15174" s="1063"/>
      <c r="J15174" s="1063"/>
    </row>
    <row r="15175" spans="1:10" s="1064" customFormat="1" x14ac:dyDescent="0.25">
      <c r="A15175" s="262"/>
      <c r="B15175" s="1063"/>
      <c r="C15175" s="1063"/>
      <c r="D15175" s="1063"/>
      <c r="E15175" s="1063"/>
      <c r="F15175" s="1063"/>
      <c r="G15175" s="1063"/>
      <c r="H15175" s="1063"/>
      <c r="I15175" s="1063"/>
      <c r="J15175" s="1063"/>
    </row>
    <row r="15176" spans="1:10" s="1064" customFormat="1" x14ac:dyDescent="0.25">
      <c r="A15176" s="262"/>
      <c r="B15176" s="1063"/>
      <c r="C15176" s="1063"/>
      <c r="D15176" s="1063"/>
      <c r="E15176" s="1063"/>
      <c r="F15176" s="1063"/>
      <c r="G15176" s="1063"/>
      <c r="H15176" s="1063"/>
      <c r="I15176" s="1063"/>
      <c r="J15176" s="1063"/>
    </row>
    <row r="15177" spans="1:10" s="1064" customFormat="1" x14ac:dyDescent="0.25">
      <c r="A15177" s="262"/>
      <c r="B15177" s="1063"/>
      <c r="C15177" s="1063"/>
      <c r="D15177" s="1063"/>
      <c r="E15177" s="1063"/>
      <c r="F15177" s="1063"/>
      <c r="G15177" s="1063"/>
      <c r="H15177" s="1063"/>
      <c r="I15177" s="1063"/>
      <c r="J15177" s="1063"/>
    </row>
    <row r="15178" spans="1:10" s="1064" customFormat="1" x14ac:dyDescent="0.25">
      <c r="A15178" s="262"/>
      <c r="B15178" s="1063"/>
      <c r="C15178" s="1063"/>
      <c r="D15178" s="1063"/>
      <c r="E15178" s="1063"/>
      <c r="F15178" s="1063"/>
      <c r="G15178" s="1063"/>
      <c r="H15178" s="1063"/>
      <c r="I15178" s="1063"/>
      <c r="J15178" s="1063"/>
    </row>
    <row r="15179" spans="1:10" s="1064" customFormat="1" x14ac:dyDescent="0.25">
      <c r="A15179" s="262"/>
      <c r="B15179" s="1063"/>
      <c r="C15179" s="1063"/>
      <c r="D15179" s="1063"/>
      <c r="E15179" s="1063"/>
      <c r="F15179" s="1063"/>
      <c r="G15179" s="1063"/>
      <c r="H15179" s="1063"/>
      <c r="I15179" s="1063"/>
      <c r="J15179" s="1063"/>
    </row>
    <row r="15180" spans="1:10" s="1064" customFormat="1" x14ac:dyDescent="0.25">
      <c r="A15180" s="262"/>
      <c r="B15180" s="1063"/>
      <c r="C15180" s="1063"/>
      <c r="D15180" s="1063"/>
      <c r="E15180" s="1063"/>
      <c r="F15180" s="1063"/>
      <c r="G15180" s="1063"/>
      <c r="H15180" s="1063"/>
      <c r="I15180" s="1063"/>
      <c r="J15180" s="1063"/>
    </row>
    <row r="15181" spans="1:10" s="1064" customFormat="1" x14ac:dyDescent="0.25">
      <c r="A15181" s="262"/>
      <c r="B15181" s="1063"/>
      <c r="C15181" s="1063"/>
      <c r="D15181" s="1063"/>
      <c r="E15181" s="1063"/>
      <c r="F15181" s="1063"/>
      <c r="G15181" s="1063"/>
      <c r="H15181" s="1063"/>
      <c r="I15181" s="1063"/>
      <c r="J15181" s="1063"/>
    </row>
    <row r="15182" spans="1:10" s="1064" customFormat="1" x14ac:dyDescent="0.25">
      <c r="A15182" s="262"/>
      <c r="B15182" s="1063"/>
      <c r="C15182" s="1063"/>
      <c r="D15182" s="1063"/>
      <c r="E15182" s="1063"/>
      <c r="F15182" s="1063"/>
      <c r="G15182" s="1063"/>
      <c r="H15182" s="1063"/>
      <c r="I15182" s="1063"/>
      <c r="J15182" s="1063"/>
    </row>
    <row r="15183" spans="1:10" s="1064" customFormat="1" x14ac:dyDescent="0.25">
      <c r="A15183" s="262"/>
      <c r="B15183" s="1063"/>
      <c r="C15183" s="1063"/>
      <c r="D15183" s="1063"/>
      <c r="E15183" s="1063"/>
      <c r="F15183" s="1063"/>
      <c r="G15183" s="1063"/>
      <c r="H15183" s="1063"/>
      <c r="I15183" s="1063"/>
      <c r="J15183" s="1063"/>
    </row>
    <row r="15184" spans="1:10" s="1064" customFormat="1" x14ac:dyDescent="0.25">
      <c r="A15184" s="262"/>
      <c r="B15184" s="1063"/>
      <c r="C15184" s="1063"/>
      <c r="D15184" s="1063"/>
      <c r="E15184" s="1063"/>
      <c r="F15184" s="1063"/>
      <c r="G15184" s="1063"/>
      <c r="H15184" s="1063"/>
      <c r="I15184" s="1063"/>
      <c r="J15184" s="1063"/>
    </row>
    <row r="15185" spans="1:10" s="1064" customFormat="1" x14ac:dyDescent="0.25">
      <c r="A15185" s="262"/>
      <c r="B15185" s="1063"/>
      <c r="C15185" s="1063"/>
      <c r="D15185" s="1063"/>
      <c r="E15185" s="1063"/>
      <c r="F15185" s="1063"/>
      <c r="G15185" s="1063"/>
      <c r="H15185" s="1063"/>
      <c r="I15185" s="1063"/>
      <c r="J15185" s="1063"/>
    </row>
    <row r="15186" spans="1:10" s="1064" customFormat="1" x14ac:dyDescent="0.25">
      <c r="A15186" s="262"/>
      <c r="B15186" s="1063"/>
      <c r="C15186" s="1063"/>
      <c r="D15186" s="1063"/>
      <c r="E15186" s="1063"/>
      <c r="F15186" s="1063"/>
      <c r="G15186" s="1063"/>
      <c r="H15186" s="1063"/>
      <c r="I15186" s="1063"/>
      <c r="J15186" s="1063"/>
    </row>
    <row r="15187" spans="1:10" s="1064" customFormat="1" x14ac:dyDescent="0.25">
      <c r="A15187" s="262"/>
      <c r="B15187" s="1063"/>
      <c r="C15187" s="1063"/>
      <c r="D15187" s="1063"/>
      <c r="E15187" s="1063"/>
      <c r="F15187" s="1063"/>
      <c r="G15187" s="1063"/>
      <c r="H15187" s="1063"/>
      <c r="I15187" s="1063"/>
      <c r="J15187" s="1063"/>
    </row>
    <row r="15188" spans="1:10" s="1064" customFormat="1" x14ac:dyDescent="0.25">
      <c r="A15188" s="262"/>
      <c r="B15188" s="1063"/>
      <c r="C15188" s="1063"/>
      <c r="D15188" s="1063"/>
      <c r="E15188" s="1063"/>
      <c r="F15188" s="1063"/>
      <c r="G15188" s="1063"/>
      <c r="H15188" s="1063"/>
      <c r="I15188" s="1063"/>
      <c r="J15188" s="1063"/>
    </row>
    <row r="15189" spans="1:10" s="1064" customFormat="1" x14ac:dyDescent="0.25">
      <c r="A15189" s="262"/>
      <c r="B15189" s="1063"/>
      <c r="C15189" s="1063"/>
      <c r="D15189" s="1063"/>
      <c r="E15189" s="1063"/>
      <c r="F15189" s="1063"/>
      <c r="G15189" s="1063"/>
      <c r="H15189" s="1063"/>
      <c r="I15189" s="1063"/>
      <c r="J15189" s="1063"/>
    </row>
    <row r="15190" spans="1:10" s="1064" customFormat="1" x14ac:dyDescent="0.25">
      <c r="A15190" s="262"/>
      <c r="B15190" s="1063"/>
      <c r="C15190" s="1063"/>
      <c r="D15190" s="1063"/>
      <c r="E15190" s="1063"/>
      <c r="F15190" s="1063"/>
      <c r="G15190" s="1063"/>
      <c r="H15190" s="1063"/>
      <c r="I15190" s="1063"/>
      <c r="J15190" s="1063"/>
    </row>
    <row r="15191" spans="1:10" s="1064" customFormat="1" x14ac:dyDescent="0.25">
      <c r="A15191" s="262"/>
      <c r="B15191" s="1063"/>
      <c r="C15191" s="1063"/>
      <c r="D15191" s="1063"/>
      <c r="E15191" s="1063"/>
      <c r="F15191" s="1063"/>
      <c r="G15191" s="1063"/>
      <c r="H15191" s="1063"/>
      <c r="I15191" s="1063"/>
      <c r="J15191" s="1063"/>
    </row>
    <row r="15192" spans="1:10" s="1064" customFormat="1" x14ac:dyDescent="0.25">
      <c r="A15192" s="262"/>
      <c r="B15192" s="1063"/>
      <c r="C15192" s="1063"/>
      <c r="D15192" s="1063"/>
      <c r="E15192" s="1063"/>
      <c r="F15192" s="1063"/>
      <c r="G15192" s="1063"/>
      <c r="H15192" s="1063"/>
      <c r="I15192" s="1063"/>
      <c r="J15192" s="1063"/>
    </row>
    <row r="15193" spans="1:10" s="1064" customFormat="1" x14ac:dyDescent="0.25">
      <c r="A15193" s="262"/>
      <c r="B15193" s="1063"/>
      <c r="C15193" s="1063"/>
      <c r="D15193" s="1063"/>
      <c r="E15193" s="1063"/>
      <c r="F15193" s="1063"/>
      <c r="G15193" s="1063"/>
      <c r="H15193" s="1063"/>
      <c r="I15193" s="1063"/>
      <c r="J15193" s="1063"/>
    </row>
    <row r="15194" spans="1:10" s="1064" customFormat="1" x14ac:dyDescent="0.25">
      <c r="A15194" s="262"/>
      <c r="B15194" s="1063"/>
      <c r="C15194" s="1063"/>
      <c r="D15194" s="1063"/>
      <c r="E15194" s="1063"/>
      <c r="F15194" s="1063"/>
      <c r="G15194" s="1063"/>
      <c r="H15194" s="1063"/>
      <c r="I15194" s="1063"/>
      <c r="J15194" s="1063"/>
    </row>
    <row r="15195" spans="1:10" s="1064" customFormat="1" x14ac:dyDescent="0.25">
      <c r="A15195" s="262"/>
      <c r="B15195" s="1063"/>
      <c r="C15195" s="1063"/>
      <c r="D15195" s="1063"/>
      <c r="E15195" s="1063"/>
      <c r="F15195" s="1063"/>
      <c r="G15195" s="1063"/>
      <c r="H15195" s="1063"/>
      <c r="I15195" s="1063"/>
      <c r="J15195" s="1063"/>
    </row>
    <row r="15196" spans="1:10" s="1064" customFormat="1" x14ac:dyDescent="0.25">
      <c r="A15196" s="262"/>
      <c r="B15196" s="1063"/>
      <c r="C15196" s="1063"/>
      <c r="D15196" s="1063"/>
      <c r="E15196" s="1063"/>
      <c r="F15196" s="1063"/>
      <c r="G15196" s="1063"/>
      <c r="H15196" s="1063"/>
      <c r="I15196" s="1063"/>
      <c r="J15196" s="1063"/>
    </row>
    <row r="15197" spans="1:10" s="1064" customFormat="1" x14ac:dyDescent="0.25">
      <c r="A15197" s="262"/>
      <c r="B15197" s="1063"/>
      <c r="C15197" s="1063"/>
      <c r="D15197" s="1063"/>
      <c r="E15197" s="1063"/>
      <c r="F15197" s="1063"/>
      <c r="G15197" s="1063"/>
      <c r="H15197" s="1063"/>
      <c r="I15197" s="1063"/>
      <c r="J15197" s="1063"/>
    </row>
    <row r="15198" spans="1:10" s="1064" customFormat="1" x14ac:dyDescent="0.25">
      <c r="A15198" s="262"/>
      <c r="B15198" s="1063"/>
      <c r="C15198" s="1063"/>
      <c r="D15198" s="1063"/>
      <c r="E15198" s="1063"/>
      <c r="F15198" s="1063"/>
      <c r="G15198" s="1063"/>
      <c r="H15198" s="1063"/>
      <c r="I15198" s="1063"/>
      <c r="J15198" s="1063"/>
    </row>
    <row r="15199" spans="1:10" s="1064" customFormat="1" x14ac:dyDescent="0.25">
      <c r="A15199" s="262"/>
      <c r="B15199" s="1063"/>
      <c r="C15199" s="1063"/>
      <c r="D15199" s="1063"/>
      <c r="E15199" s="1063"/>
      <c r="F15199" s="1063"/>
      <c r="G15199" s="1063"/>
      <c r="H15199" s="1063"/>
      <c r="I15199" s="1063"/>
      <c r="J15199" s="1063"/>
    </row>
    <row r="15200" spans="1:10" s="1064" customFormat="1" x14ac:dyDescent="0.25">
      <c r="A15200" s="262"/>
      <c r="B15200" s="1063"/>
      <c r="C15200" s="1063"/>
      <c r="D15200" s="1063"/>
      <c r="E15200" s="1063"/>
      <c r="F15200" s="1063"/>
      <c r="G15200" s="1063"/>
      <c r="H15200" s="1063"/>
      <c r="I15200" s="1063"/>
      <c r="J15200" s="1063"/>
    </row>
    <row r="15201" spans="1:10" s="1064" customFormat="1" x14ac:dyDescent="0.25">
      <c r="A15201" s="262"/>
      <c r="B15201" s="1063"/>
      <c r="C15201" s="1063"/>
      <c r="D15201" s="1063"/>
      <c r="E15201" s="1063"/>
      <c r="F15201" s="1063"/>
      <c r="G15201" s="1063"/>
      <c r="H15201" s="1063"/>
      <c r="I15201" s="1063"/>
      <c r="J15201" s="1063"/>
    </row>
    <row r="15202" spans="1:10" s="1064" customFormat="1" x14ac:dyDescent="0.25">
      <c r="A15202" s="262"/>
      <c r="B15202" s="1063"/>
      <c r="C15202" s="1063"/>
      <c r="D15202" s="1063"/>
      <c r="E15202" s="1063"/>
      <c r="F15202" s="1063"/>
      <c r="G15202" s="1063"/>
      <c r="H15202" s="1063"/>
      <c r="I15202" s="1063"/>
      <c r="J15202" s="1063"/>
    </row>
    <row r="15203" spans="1:10" s="1064" customFormat="1" x14ac:dyDescent="0.25">
      <c r="A15203" s="262"/>
      <c r="B15203" s="1063"/>
      <c r="C15203" s="1063"/>
      <c r="D15203" s="1063"/>
      <c r="E15203" s="1063"/>
      <c r="F15203" s="1063"/>
      <c r="G15203" s="1063"/>
      <c r="H15203" s="1063"/>
      <c r="I15203" s="1063"/>
      <c r="J15203" s="1063"/>
    </row>
    <row r="15204" spans="1:10" s="1064" customFormat="1" x14ac:dyDescent="0.25">
      <c r="A15204" s="262"/>
      <c r="B15204" s="1063"/>
      <c r="C15204" s="1063"/>
      <c r="D15204" s="1063"/>
      <c r="E15204" s="1063"/>
      <c r="F15204" s="1063"/>
      <c r="G15204" s="1063"/>
      <c r="H15204" s="1063"/>
      <c r="I15204" s="1063"/>
      <c r="J15204" s="1063"/>
    </row>
    <row r="15205" spans="1:10" s="1064" customFormat="1" x14ac:dyDescent="0.25">
      <c r="A15205" s="262"/>
      <c r="B15205" s="1063"/>
      <c r="C15205" s="1063"/>
      <c r="D15205" s="1063"/>
      <c r="E15205" s="1063"/>
      <c r="F15205" s="1063"/>
      <c r="G15205" s="1063"/>
      <c r="H15205" s="1063"/>
      <c r="I15205" s="1063"/>
      <c r="J15205" s="1063"/>
    </row>
    <row r="15206" spans="1:10" s="1064" customFormat="1" x14ac:dyDescent="0.25">
      <c r="A15206" s="262"/>
      <c r="B15206" s="1063"/>
      <c r="C15206" s="1063"/>
      <c r="D15206" s="1063"/>
      <c r="E15206" s="1063"/>
      <c r="F15206" s="1063"/>
      <c r="G15206" s="1063"/>
      <c r="H15206" s="1063"/>
      <c r="I15206" s="1063"/>
      <c r="J15206" s="1063"/>
    </row>
    <row r="15207" spans="1:10" s="1064" customFormat="1" x14ac:dyDescent="0.25">
      <c r="A15207" s="262"/>
      <c r="B15207" s="1063"/>
      <c r="C15207" s="1063"/>
      <c r="D15207" s="1063"/>
      <c r="E15207" s="1063"/>
      <c r="F15207" s="1063"/>
      <c r="G15207" s="1063"/>
      <c r="H15207" s="1063"/>
      <c r="I15207" s="1063"/>
      <c r="J15207" s="1063"/>
    </row>
    <row r="15208" spans="1:10" s="1064" customFormat="1" x14ac:dyDescent="0.25">
      <c r="A15208" s="262"/>
      <c r="B15208" s="1063"/>
      <c r="C15208" s="1063"/>
      <c r="D15208" s="1063"/>
      <c r="E15208" s="1063"/>
      <c r="F15208" s="1063"/>
      <c r="G15208" s="1063"/>
      <c r="H15208" s="1063"/>
      <c r="I15208" s="1063"/>
      <c r="J15208" s="1063"/>
    </row>
    <row r="15209" spans="1:10" s="1064" customFormat="1" x14ac:dyDescent="0.25">
      <c r="A15209" s="262"/>
      <c r="B15209" s="1063"/>
      <c r="C15209" s="1063"/>
      <c r="D15209" s="1063"/>
      <c r="E15209" s="1063"/>
      <c r="F15209" s="1063"/>
      <c r="G15209" s="1063"/>
      <c r="H15209" s="1063"/>
      <c r="I15209" s="1063"/>
      <c r="J15209" s="1063"/>
    </row>
    <row r="15210" spans="1:10" s="1064" customFormat="1" x14ac:dyDescent="0.25">
      <c r="A15210" s="262"/>
      <c r="B15210" s="1063"/>
      <c r="C15210" s="1063"/>
      <c r="D15210" s="1063"/>
      <c r="E15210" s="1063"/>
      <c r="F15210" s="1063"/>
      <c r="G15210" s="1063"/>
      <c r="H15210" s="1063"/>
      <c r="I15210" s="1063"/>
      <c r="J15210" s="1063"/>
    </row>
    <row r="15211" spans="1:10" s="1064" customFormat="1" x14ac:dyDescent="0.25">
      <c r="A15211" s="262"/>
      <c r="B15211" s="1063"/>
      <c r="C15211" s="1063"/>
      <c r="D15211" s="1063"/>
      <c r="E15211" s="1063"/>
      <c r="F15211" s="1063"/>
      <c r="G15211" s="1063"/>
      <c r="H15211" s="1063"/>
      <c r="I15211" s="1063"/>
      <c r="J15211" s="1063"/>
    </row>
    <row r="15212" spans="1:10" s="1064" customFormat="1" x14ac:dyDescent="0.25">
      <c r="A15212" s="262"/>
      <c r="B15212" s="1063"/>
      <c r="C15212" s="1063"/>
      <c r="D15212" s="1063"/>
      <c r="E15212" s="1063"/>
      <c r="F15212" s="1063"/>
      <c r="G15212" s="1063"/>
      <c r="H15212" s="1063"/>
      <c r="I15212" s="1063"/>
      <c r="J15212" s="1063"/>
    </row>
    <row r="15213" spans="1:10" s="1064" customFormat="1" x14ac:dyDescent="0.25">
      <c r="A15213" s="262"/>
      <c r="B15213" s="1063"/>
      <c r="C15213" s="1063"/>
      <c r="D15213" s="1063"/>
      <c r="E15213" s="1063"/>
      <c r="F15213" s="1063"/>
      <c r="G15213" s="1063"/>
      <c r="H15213" s="1063"/>
      <c r="I15213" s="1063"/>
      <c r="J15213" s="1063"/>
    </row>
    <row r="15214" spans="1:10" s="1064" customFormat="1" x14ac:dyDescent="0.25">
      <c r="A15214" s="262"/>
      <c r="B15214" s="1063"/>
      <c r="C15214" s="1063"/>
      <c r="D15214" s="1063"/>
      <c r="E15214" s="1063"/>
      <c r="F15214" s="1063"/>
      <c r="G15214" s="1063"/>
      <c r="H15214" s="1063"/>
      <c r="I15214" s="1063"/>
      <c r="J15214" s="1063"/>
    </row>
    <row r="15215" spans="1:10" s="1064" customFormat="1" x14ac:dyDescent="0.25">
      <c r="A15215" s="262"/>
      <c r="B15215" s="1063"/>
      <c r="C15215" s="1063"/>
      <c r="D15215" s="1063"/>
      <c r="E15215" s="1063"/>
      <c r="F15215" s="1063"/>
      <c r="G15215" s="1063"/>
      <c r="H15215" s="1063"/>
      <c r="I15215" s="1063"/>
      <c r="J15215" s="1063"/>
    </row>
    <row r="15216" spans="1:10" s="1064" customFormat="1" x14ac:dyDescent="0.25">
      <c r="A15216" s="262"/>
      <c r="B15216" s="1063"/>
      <c r="C15216" s="1063"/>
      <c r="D15216" s="1063"/>
      <c r="E15216" s="1063"/>
      <c r="F15216" s="1063"/>
      <c r="G15216" s="1063"/>
      <c r="H15216" s="1063"/>
      <c r="I15216" s="1063"/>
      <c r="J15216" s="1063"/>
    </row>
    <row r="15217" spans="1:10" s="1064" customFormat="1" x14ac:dyDescent="0.25">
      <c r="A15217" s="262"/>
      <c r="B15217" s="1063"/>
      <c r="C15217" s="1063"/>
      <c r="D15217" s="1063"/>
      <c r="E15217" s="1063"/>
      <c r="F15217" s="1063"/>
      <c r="G15217" s="1063"/>
      <c r="H15217" s="1063"/>
      <c r="I15217" s="1063"/>
      <c r="J15217" s="1063"/>
    </row>
    <row r="15218" spans="1:10" s="1064" customFormat="1" x14ac:dyDescent="0.25">
      <c r="A15218" s="262"/>
      <c r="B15218" s="1063"/>
      <c r="C15218" s="1063"/>
      <c r="D15218" s="1063"/>
      <c r="E15218" s="1063"/>
      <c r="F15218" s="1063"/>
      <c r="G15218" s="1063"/>
      <c r="H15218" s="1063"/>
      <c r="I15218" s="1063"/>
      <c r="J15218" s="1063"/>
    </row>
    <row r="15219" spans="1:10" s="1064" customFormat="1" x14ac:dyDescent="0.25">
      <c r="A15219" s="262"/>
      <c r="B15219" s="1063"/>
      <c r="C15219" s="1063"/>
      <c r="D15219" s="1063"/>
      <c r="E15219" s="1063"/>
      <c r="F15219" s="1063"/>
      <c r="G15219" s="1063"/>
      <c r="H15219" s="1063"/>
      <c r="I15219" s="1063"/>
      <c r="J15219" s="1063"/>
    </row>
    <row r="15220" spans="1:10" s="1064" customFormat="1" x14ac:dyDescent="0.25">
      <c r="A15220" s="262"/>
      <c r="B15220" s="1063"/>
      <c r="C15220" s="1063"/>
      <c r="D15220" s="1063"/>
      <c r="E15220" s="1063"/>
      <c r="F15220" s="1063"/>
      <c r="G15220" s="1063"/>
      <c r="H15220" s="1063"/>
      <c r="I15220" s="1063"/>
      <c r="J15220" s="1063"/>
    </row>
    <row r="15221" spans="1:10" s="1064" customFormat="1" x14ac:dyDescent="0.25">
      <c r="A15221" s="262"/>
      <c r="B15221" s="1063"/>
      <c r="C15221" s="1063"/>
      <c r="D15221" s="1063"/>
      <c r="E15221" s="1063"/>
      <c r="F15221" s="1063"/>
      <c r="G15221" s="1063"/>
      <c r="H15221" s="1063"/>
      <c r="I15221" s="1063"/>
      <c r="J15221" s="1063"/>
    </row>
    <row r="15222" spans="1:10" s="1064" customFormat="1" x14ac:dyDescent="0.25">
      <c r="A15222" s="262"/>
      <c r="B15222" s="1063"/>
      <c r="C15222" s="1063"/>
      <c r="D15222" s="1063"/>
      <c r="E15222" s="1063"/>
      <c r="F15222" s="1063"/>
      <c r="G15222" s="1063"/>
      <c r="H15222" s="1063"/>
      <c r="I15222" s="1063"/>
      <c r="J15222" s="1063"/>
    </row>
    <row r="15223" spans="1:10" s="1064" customFormat="1" x14ac:dyDescent="0.25">
      <c r="A15223" s="262"/>
      <c r="B15223" s="1063"/>
      <c r="C15223" s="1063"/>
      <c r="D15223" s="1063"/>
      <c r="E15223" s="1063"/>
      <c r="F15223" s="1063"/>
      <c r="G15223" s="1063"/>
      <c r="H15223" s="1063"/>
      <c r="I15223" s="1063"/>
      <c r="J15223" s="1063"/>
    </row>
    <row r="15224" spans="1:10" s="1064" customFormat="1" x14ac:dyDescent="0.25">
      <c r="A15224" s="262"/>
      <c r="B15224" s="1063"/>
      <c r="C15224" s="1063"/>
      <c r="D15224" s="1063"/>
      <c r="E15224" s="1063"/>
      <c r="F15224" s="1063"/>
      <c r="G15224" s="1063"/>
      <c r="H15224" s="1063"/>
      <c r="I15224" s="1063"/>
      <c r="J15224" s="1063"/>
    </row>
    <row r="15225" spans="1:10" s="1064" customFormat="1" x14ac:dyDescent="0.25">
      <c r="A15225" s="262"/>
      <c r="B15225" s="1063"/>
      <c r="C15225" s="1063"/>
      <c r="D15225" s="1063"/>
      <c r="E15225" s="1063"/>
      <c r="F15225" s="1063"/>
      <c r="G15225" s="1063"/>
      <c r="H15225" s="1063"/>
      <c r="I15225" s="1063"/>
      <c r="J15225" s="1063"/>
    </row>
    <row r="15226" spans="1:10" s="1064" customFormat="1" x14ac:dyDescent="0.25">
      <c r="A15226" s="262"/>
      <c r="B15226" s="1063"/>
      <c r="C15226" s="1063"/>
      <c r="D15226" s="1063"/>
      <c r="E15226" s="1063"/>
      <c r="F15226" s="1063"/>
      <c r="G15226" s="1063"/>
      <c r="H15226" s="1063"/>
      <c r="I15226" s="1063"/>
      <c r="J15226" s="1063"/>
    </row>
    <row r="15227" spans="1:10" s="1064" customFormat="1" x14ac:dyDescent="0.25">
      <c r="A15227" s="262"/>
      <c r="B15227" s="1063"/>
      <c r="C15227" s="1063"/>
      <c r="D15227" s="1063"/>
      <c r="E15227" s="1063"/>
      <c r="F15227" s="1063"/>
      <c r="G15227" s="1063"/>
      <c r="H15227" s="1063"/>
      <c r="I15227" s="1063"/>
      <c r="J15227" s="1063"/>
    </row>
    <row r="15228" spans="1:10" s="1064" customFormat="1" x14ac:dyDescent="0.25">
      <c r="A15228" s="262"/>
      <c r="B15228" s="1063"/>
      <c r="C15228" s="1063"/>
      <c r="D15228" s="1063"/>
      <c r="E15228" s="1063"/>
      <c r="F15228" s="1063"/>
      <c r="G15228" s="1063"/>
      <c r="H15228" s="1063"/>
      <c r="I15228" s="1063"/>
      <c r="J15228" s="1063"/>
    </row>
    <row r="15229" spans="1:10" s="1064" customFormat="1" x14ac:dyDescent="0.25">
      <c r="A15229" s="262"/>
      <c r="B15229" s="1063"/>
      <c r="C15229" s="1063"/>
      <c r="D15229" s="1063"/>
      <c r="E15229" s="1063"/>
      <c r="F15229" s="1063"/>
      <c r="G15229" s="1063"/>
      <c r="H15229" s="1063"/>
      <c r="I15229" s="1063"/>
      <c r="J15229" s="1063"/>
    </row>
    <row r="15230" spans="1:10" s="1064" customFormat="1" x14ac:dyDescent="0.25">
      <c r="A15230" s="262"/>
      <c r="B15230" s="1063"/>
      <c r="C15230" s="1063"/>
      <c r="D15230" s="1063"/>
      <c r="E15230" s="1063"/>
      <c r="F15230" s="1063"/>
      <c r="G15230" s="1063"/>
      <c r="H15230" s="1063"/>
      <c r="I15230" s="1063"/>
      <c r="J15230" s="1063"/>
    </row>
    <row r="15231" spans="1:10" s="1064" customFormat="1" x14ac:dyDescent="0.25">
      <c r="A15231" s="262"/>
      <c r="B15231" s="1063"/>
      <c r="C15231" s="1063"/>
      <c r="D15231" s="1063"/>
      <c r="E15231" s="1063"/>
      <c r="F15231" s="1063"/>
      <c r="G15231" s="1063"/>
      <c r="H15231" s="1063"/>
      <c r="I15231" s="1063"/>
      <c r="J15231" s="1063"/>
    </row>
    <row r="15232" spans="1:10" s="1064" customFormat="1" x14ac:dyDescent="0.25">
      <c r="A15232" s="262"/>
      <c r="B15232" s="1063"/>
      <c r="C15232" s="1063"/>
      <c r="D15232" s="1063"/>
      <c r="E15232" s="1063"/>
      <c r="F15232" s="1063"/>
      <c r="G15232" s="1063"/>
      <c r="H15232" s="1063"/>
      <c r="I15232" s="1063"/>
      <c r="J15232" s="1063"/>
    </row>
    <row r="15233" spans="1:10" s="1064" customFormat="1" x14ac:dyDescent="0.25">
      <c r="A15233" s="262"/>
      <c r="B15233" s="1063"/>
      <c r="C15233" s="1063"/>
      <c r="D15233" s="1063"/>
      <c r="E15233" s="1063"/>
      <c r="F15233" s="1063"/>
      <c r="G15233" s="1063"/>
      <c r="H15233" s="1063"/>
      <c r="I15233" s="1063"/>
      <c r="J15233" s="1063"/>
    </row>
    <row r="15234" spans="1:10" s="1064" customFormat="1" x14ac:dyDescent="0.25">
      <c r="A15234" s="262"/>
      <c r="B15234" s="1063"/>
      <c r="C15234" s="1063"/>
      <c r="D15234" s="1063"/>
      <c r="E15234" s="1063"/>
      <c r="F15234" s="1063"/>
      <c r="G15234" s="1063"/>
      <c r="H15234" s="1063"/>
      <c r="I15234" s="1063"/>
      <c r="J15234" s="1063"/>
    </row>
    <row r="15235" spans="1:10" s="1064" customFormat="1" x14ac:dyDescent="0.25">
      <c r="A15235" s="262"/>
      <c r="B15235" s="1063"/>
      <c r="C15235" s="1063"/>
      <c r="D15235" s="1063"/>
      <c r="E15235" s="1063"/>
      <c r="F15235" s="1063"/>
      <c r="G15235" s="1063"/>
      <c r="H15235" s="1063"/>
      <c r="I15235" s="1063"/>
      <c r="J15235" s="1063"/>
    </row>
    <row r="15236" spans="1:10" s="1064" customFormat="1" x14ac:dyDescent="0.25">
      <c r="A15236" s="262"/>
      <c r="B15236" s="1063"/>
      <c r="C15236" s="1063"/>
      <c r="D15236" s="1063"/>
      <c r="E15236" s="1063"/>
      <c r="F15236" s="1063"/>
      <c r="G15236" s="1063"/>
      <c r="H15236" s="1063"/>
      <c r="I15236" s="1063"/>
      <c r="J15236" s="1063"/>
    </row>
    <row r="15237" spans="1:10" s="1064" customFormat="1" x14ac:dyDescent="0.25">
      <c r="A15237" s="262"/>
      <c r="B15237" s="1063"/>
      <c r="C15237" s="1063"/>
      <c r="D15237" s="1063"/>
      <c r="E15237" s="1063"/>
      <c r="F15237" s="1063"/>
      <c r="G15237" s="1063"/>
      <c r="H15237" s="1063"/>
      <c r="I15237" s="1063"/>
      <c r="J15237" s="1063"/>
    </row>
    <row r="15238" spans="1:10" s="1064" customFormat="1" x14ac:dyDescent="0.25">
      <c r="A15238" s="262"/>
      <c r="B15238" s="1063"/>
      <c r="C15238" s="1063"/>
      <c r="D15238" s="1063"/>
      <c r="E15238" s="1063"/>
      <c r="F15238" s="1063"/>
      <c r="G15238" s="1063"/>
      <c r="H15238" s="1063"/>
      <c r="I15238" s="1063"/>
      <c r="J15238" s="1063"/>
    </row>
    <row r="15239" spans="1:10" s="1064" customFormat="1" x14ac:dyDescent="0.25">
      <c r="A15239" s="262"/>
      <c r="B15239" s="1063"/>
      <c r="C15239" s="1063"/>
      <c r="D15239" s="1063"/>
      <c r="E15239" s="1063"/>
      <c r="F15239" s="1063"/>
      <c r="G15239" s="1063"/>
      <c r="H15239" s="1063"/>
      <c r="I15239" s="1063"/>
      <c r="J15239" s="1063"/>
    </row>
    <row r="15240" spans="1:10" s="1064" customFormat="1" x14ac:dyDescent="0.25">
      <c r="A15240" s="262"/>
      <c r="B15240" s="1063"/>
      <c r="C15240" s="1063"/>
      <c r="D15240" s="1063"/>
      <c r="E15240" s="1063"/>
      <c r="F15240" s="1063"/>
      <c r="G15240" s="1063"/>
      <c r="H15240" s="1063"/>
      <c r="I15240" s="1063"/>
      <c r="J15240" s="1063"/>
    </row>
    <row r="15241" spans="1:10" s="1064" customFormat="1" x14ac:dyDescent="0.25">
      <c r="A15241" s="262"/>
      <c r="B15241" s="1063"/>
      <c r="C15241" s="1063"/>
      <c r="D15241" s="1063"/>
      <c r="E15241" s="1063"/>
      <c r="F15241" s="1063"/>
      <c r="G15241" s="1063"/>
      <c r="H15241" s="1063"/>
      <c r="I15241" s="1063"/>
      <c r="J15241" s="1063"/>
    </row>
    <row r="15242" spans="1:10" s="1064" customFormat="1" x14ac:dyDescent="0.25">
      <c r="A15242" s="262"/>
      <c r="B15242" s="1063"/>
      <c r="C15242" s="1063"/>
      <c r="D15242" s="1063"/>
      <c r="E15242" s="1063"/>
      <c r="F15242" s="1063"/>
      <c r="G15242" s="1063"/>
      <c r="H15242" s="1063"/>
      <c r="I15242" s="1063"/>
      <c r="J15242" s="1063"/>
    </row>
    <row r="15243" spans="1:10" s="1064" customFormat="1" x14ac:dyDescent="0.25">
      <c r="A15243" s="262"/>
      <c r="B15243" s="1063"/>
      <c r="C15243" s="1063"/>
      <c r="D15243" s="1063"/>
      <c r="E15243" s="1063"/>
      <c r="F15243" s="1063"/>
      <c r="G15243" s="1063"/>
      <c r="H15243" s="1063"/>
      <c r="I15243" s="1063"/>
      <c r="J15243" s="1063"/>
    </row>
    <row r="15244" spans="1:10" s="1064" customFormat="1" x14ac:dyDescent="0.25">
      <c r="A15244" s="262"/>
      <c r="B15244" s="1063"/>
      <c r="C15244" s="1063"/>
      <c r="D15244" s="1063"/>
      <c r="E15244" s="1063"/>
      <c r="F15244" s="1063"/>
      <c r="G15244" s="1063"/>
      <c r="H15244" s="1063"/>
      <c r="I15244" s="1063"/>
      <c r="J15244" s="1063"/>
    </row>
    <row r="15245" spans="1:10" s="1064" customFormat="1" x14ac:dyDescent="0.25">
      <c r="A15245" s="262"/>
      <c r="B15245" s="1063"/>
      <c r="C15245" s="1063"/>
      <c r="D15245" s="1063"/>
      <c r="E15245" s="1063"/>
      <c r="F15245" s="1063"/>
      <c r="G15245" s="1063"/>
      <c r="H15245" s="1063"/>
      <c r="I15245" s="1063"/>
      <c r="J15245" s="1063"/>
    </row>
    <row r="15246" spans="1:10" s="1064" customFormat="1" x14ac:dyDescent="0.25">
      <c r="A15246" s="262"/>
      <c r="B15246" s="1063"/>
      <c r="C15246" s="1063"/>
      <c r="D15246" s="1063"/>
      <c r="E15246" s="1063"/>
      <c r="F15246" s="1063"/>
      <c r="G15246" s="1063"/>
      <c r="H15246" s="1063"/>
      <c r="I15246" s="1063"/>
      <c r="J15246" s="1063"/>
    </row>
    <row r="15247" spans="1:10" s="1064" customFormat="1" x14ac:dyDescent="0.25">
      <c r="A15247" s="262"/>
      <c r="B15247" s="1063"/>
      <c r="C15247" s="1063"/>
      <c r="D15247" s="1063"/>
      <c r="E15247" s="1063"/>
      <c r="F15247" s="1063"/>
      <c r="G15247" s="1063"/>
      <c r="H15247" s="1063"/>
      <c r="I15247" s="1063"/>
      <c r="J15247" s="1063"/>
    </row>
    <row r="15248" spans="1:10" s="1064" customFormat="1" x14ac:dyDescent="0.25">
      <c r="A15248" s="262"/>
      <c r="B15248" s="1063"/>
      <c r="C15248" s="1063"/>
      <c r="D15248" s="1063"/>
      <c r="E15248" s="1063"/>
      <c r="F15248" s="1063"/>
      <c r="G15248" s="1063"/>
      <c r="H15248" s="1063"/>
      <c r="I15248" s="1063"/>
      <c r="J15248" s="1063"/>
    </row>
    <row r="15249" spans="1:10" s="1064" customFormat="1" x14ac:dyDescent="0.25">
      <c r="A15249" s="262"/>
      <c r="B15249" s="1063"/>
      <c r="C15249" s="1063"/>
      <c r="D15249" s="1063"/>
      <c r="E15249" s="1063"/>
      <c r="F15249" s="1063"/>
      <c r="G15249" s="1063"/>
      <c r="H15249" s="1063"/>
      <c r="I15249" s="1063"/>
      <c r="J15249" s="1063"/>
    </row>
    <row r="15250" spans="1:10" s="1064" customFormat="1" x14ac:dyDescent="0.25">
      <c r="A15250" s="262"/>
      <c r="B15250" s="1063"/>
      <c r="C15250" s="1063"/>
      <c r="D15250" s="1063"/>
      <c r="E15250" s="1063"/>
      <c r="F15250" s="1063"/>
      <c r="G15250" s="1063"/>
      <c r="H15250" s="1063"/>
      <c r="I15250" s="1063"/>
      <c r="J15250" s="1063"/>
    </row>
    <row r="15251" spans="1:10" s="1064" customFormat="1" x14ac:dyDescent="0.25">
      <c r="A15251" s="262"/>
      <c r="B15251" s="1063"/>
      <c r="C15251" s="1063"/>
      <c r="D15251" s="1063"/>
      <c r="E15251" s="1063"/>
      <c r="F15251" s="1063"/>
      <c r="G15251" s="1063"/>
      <c r="H15251" s="1063"/>
      <c r="I15251" s="1063"/>
      <c r="J15251" s="1063"/>
    </row>
    <row r="15252" spans="1:10" s="1064" customFormat="1" x14ac:dyDescent="0.25">
      <c r="A15252" s="262"/>
      <c r="B15252" s="1063"/>
      <c r="C15252" s="1063"/>
      <c r="D15252" s="1063"/>
      <c r="E15252" s="1063"/>
      <c r="F15252" s="1063"/>
      <c r="G15252" s="1063"/>
      <c r="H15252" s="1063"/>
      <c r="I15252" s="1063"/>
      <c r="J15252" s="1063"/>
    </row>
    <row r="15253" spans="1:10" s="1064" customFormat="1" x14ac:dyDescent="0.25">
      <c r="A15253" s="262"/>
      <c r="B15253" s="1063"/>
      <c r="C15253" s="1063"/>
      <c r="D15253" s="1063"/>
      <c r="E15253" s="1063"/>
      <c r="F15253" s="1063"/>
      <c r="G15253" s="1063"/>
      <c r="H15253" s="1063"/>
      <c r="I15253" s="1063"/>
      <c r="J15253" s="1063"/>
    </row>
    <row r="15254" spans="1:10" s="1064" customFormat="1" x14ac:dyDescent="0.25">
      <c r="A15254" s="262"/>
      <c r="B15254" s="1063"/>
      <c r="C15254" s="1063"/>
      <c r="D15254" s="1063"/>
      <c r="E15254" s="1063"/>
      <c r="F15254" s="1063"/>
      <c r="G15254" s="1063"/>
      <c r="H15254" s="1063"/>
      <c r="I15254" s="1063"/>
      <c r="J15254" s="1063"/>
    </row>
    <row r="15255" spans="1:10" s="1064" customFormat="1" x14ac:dyDescent="0.25">
      <c r="A15255" s="262"/>
      <c r="B15255" s="1063"/>
      <c r="C15255" s="1063"/>
      <c r="D15255" s="1063"/>
      <c r="E15255" s="1063"/>
      <c r="F15255" s="1063"/>
      <c r="G15255" s="1063"/>
      <c r="H15255" s="1063"/>
      <c r="I15255" s="1063"/>
      <c r="J15255" s="1063"/>
    </row>
    <row r="15256" spans="1:10" s="1064" customFormat="1" x14ac:dyDescent="0.25">
      <c r="A15256" s="262"/>
      <c r="B15256" s="1063"/>
      <c r="C15256" s="1063"/>
      <c r="D15256" s="1063"/>
      <c r="E15256" s="1063"/>
      <c r="F15256" s="1063"/>
      <c r="G15256" s="1063"/>
      <c r="H15256" s="1063"/>
      <c r="I15256" s="1063"/>
      <c r="J15256" s="1063"/>
    </row>
    <row r="15257" spans="1:10" s="1064" customFormat="1" x14ac:dyDescent="0.25">
      <c r="A15257" s="262"/>
      <c r="B15257" s="1063"/>
      <c r="C15257" s="1063"/>
      <c r="D15257" s="1063"/>
      <c r="E15257" s="1063"/>
      <c r="F15257" s="1063"/>
      <c r="G15257" s="1063"/>
      <c r="H15257" s="1063"/>
      <c r="I15257" s="1063"/>
      <c r="J15257" s="1063"/>
    </row>
    <row r="15258" spans="1:10" s="1064" customFormat="1" x14ac:dyDescent="0.25">
      <c r="A15258" s="262"/>
      <c r="B15258" s="1063"/>
      <c r="C15258" s="1063"/>
      <c r="D15258" s="1063"/>
      <c r="E15258" s="1063"/>
      <c r="F15258" s="1063"/>
      <c r="G15258" s="1063"/>
      <c r="H15258" s="1063"/>
      <c r="I15258" s="1063"/>
      <c r="J15258" s="1063"/>
    </row>
    <row r="15259" spans="1:10" s="1064" customFormat="1" x14ac:dyDescent="0.25">
      <c r="A15259" s="262"/>
      <c r="B15259" s="1063"/>
      <c r="C15259" s="1063"/>
      <c r="D15259" s="1063"/>
      <c r="E15259" s="1063"/>
      <c r="F15259" s="1063"/>
      <c r="G15259" s="1063"/>
      <c r="H15259" s="1063"/>
      <c r="I15259" s="1063"/>
      <c r="J15259" s="1063"/>
    </row>
    <row r="15260" spans="1:10" s="1064" customFormat="1" x14ac:dyDescent="0.25">
      <c r="A15260" s="262"/>
      <c r="B15260" s="1063"/>
      <c r="C15260" s="1063"/>
      <c r="D15260" s="1063"/>
      <c r="E15260" s="1063"/>
      <c r="F15260" s="1063"/>
      <c r="G15260" s="1063"/>
      <c r="H15260" s="1063"/>
      <c r="I15260" s="1063"/>
      <c r="J15260" s="1063"/>
    </row>
    <row r="15261" spans="1:10" s="1064" customFormat="1" x14ac:dyDescent="0.25">
      <c r="A15261" s="262"/>
      <c r="B15261" s="1063"/>
      <c r="C15261" s="1063"/>
      <c r="D15261" s="1063"/>
      <c r="E15261" s="1063"/>
      <c r="F15261" s="1063"/>
      <c r="G15261" s="1063"/>
      <c r="H15261" s="1063"/>
      <c r="I15261" s="1063"/>
      <c r="J15261" s="1063"/>
    </row>
    <row r="15262" spans="1:10" s="1064" customFormat="1" x14ac:dyDescent="0.25">
      <c r="A15262" s="262"/>
      <c r="B15262" s="1063"/>
      <c r="C15262" s="1063"/>
      <c r="D15262" s="1063"/>
      <c r="E15262" s="1063"/>
      <c r="F15262" s="1063"/>
      <c r="G15262" s="1063"/>
      <c r="H15262" s="1063"/>
      <c r="I15262" s="1063"/>
      <c r="J15262" s="1063"/>
    </row>
    <row r="15263" spans="1:10" s="1064" customFormat="1" x14ac:dyDescent="0.25">
      <c r="A15263" s="262"/>
      <c r="B15263" s="1063"/>
      <c r="C15263" s="1063"/>
      <c r="D15263" s="1063"/>
      <c r="E15263" s="1063"/>
      <c r="F15263" s="1063"/>
      <c r="G15263" s="1063"/>
      <c r="H15263" s="1063"/>
      <c r="I15263" s="1063"/>
      <c r="J15263" s="1063"/>
    </row>
    <row r="15264" spans="1:10" s="1064" customFormat="1" x14ac:dyDescent="0.25">
      <c r="A15264" s="262"/>
      <c r="B15264" s="1063"/>
      <c r="C15264" s="1063"/>
      <c r="D15264" s="1063"/>
      <c r="E15264" s="1063"/>
      <c r="F15264" s="1063"/>
      <c r="G15264" s="1063"/>
      <c r="H15264" s="1063"/>
      <c r="I15264" s="1063"/>
      <c r="J15264" s="1063"/>
    </row>
    <row r="15265" spans="1:10" s="1064" customFormat="1" x14ac:dyDescent="0.25">
      <c r="A15265" s="262"/>
      <c r="B15265" s="1063"/>
      <c r="C15265" s="1063"/>
      <c r="D15265" s="1063"/>
      <c r="E15265" s="1063"/>
      <c r="F15265" s="1063"/>
      <c r="G15265" s="1063"/>
      <c r="H15265" s="1063"/>
      <c r="I15265" s="1063"/>
      <c r="J15265" s="1063"/>
    </row>
    <row r="15266" spans="1:10" s="1064" customFormat="1" x14ac:dyDescent="0.25">
      <c r="A15266" s="262"/>
      <c r="B15266" s="1063"/>
      <c r="C15266" s="1063"/>
      <c r="D15266" s="1063"/>
      <c r="E15266" s="1063"/>
      <c r="F15266" s="1063"/>
      <c r="G15266" s="1063"/>
      <c r="H15266" s="1063"/>
      <c r="I15266" s="1063"/>
      <c r="J15266" s="1063"/>
    </row>
    <row r="15267" spans="1:10" s="1064" customFormat="1" x14ac:dyDescent="0.25">
      <c r="A15267" s="262"/>
      <c r="B15267" s="1063"/>
      <c r="C15267" s="1063"/>
      <c r="D15267" s="1063"/>
      <c r="E15267" s="1063"/>
      <c r="F15267" s="1063"/>
      <c r="G15267" s="1063"/>
      <c r="H15267" s="1063"/>
      <c r="I15267" s="1063"/>
      <c r="J15267" s="1063"/>
    </row>
    <row r="15268" spans="1:10" s="1064" customFormat="1" x14ac:dyDescent="0.25">
      <c r="A15268" s="262"/>
      <c r="B15268" s="1063"/>
      <c r="C15268" s="1063"/>
      <c r="D15268" s="1063"/>
      <c r="E15268" s="1063"/>
      <c r="F15268" s="1063"/>
      <c r="G15268" s="1063"/>
      <c r="H15268" s="1063"/>
      <c r="I15268" s="1063"/>
      <c r="J15268" s="1063"/>
    </row>
    <row r="15269" spans="1:10" s="1064" customFormat="1" x14ac:dyDescent="0.25">
      <c r="A15269" s="262"/>
      <c r="B15269" s="1063"/>
      <c r="C15269" s="1063"/>
      <c r="D15269" s="1063"/>
      <c r="E15269" s="1063"/>
      <c r="F15269" s="1063"/>
      <c r="G15269" s="1063"/>
      <c r="H15269" s="1063"/>
      <c r="I15269" s="1063"/>
      <c r="J15269" s="1063"/>
    </row>
    <row r="15270" spans="1:10" s="1064" customFormat="1" x14ac:dyDescent="0.25">
      <c r="A15270" s="262"/>
      <c r="B15270" s="1063"/>
      <c r="C15270" s="1063"/>
      <c r="D15270" s="1063"/>
      <c r="E15270" s="1063"/>
      <c r="F15270" s="1063"/>
      <c r="G15270" s="1063"/>
      <c r="H15270" s="1063"/>
      <c r="I15270" s="1063"/>
      <c r="J15270" s="1063"/>
    </row>
    <row r="15271" spans="1:10" s="1064" customFormat="1" x14ac:dyDescent="0.25">
      <c r="A15271" s="262"/>
      <c r="B15271" s="1063"/>
      <c r="C15271" s="1063"/>
      <c r="D15271" s="1063"/>
      <c r="E15271" s="1063"/>
      <c r="F15271" s="1063"/>
      <c r="G15271" s="1063"/>
      <c r="H15271" s="1063"/>
      <c r="I15271" s="1063"/>
      <c r="J15271" s="1063"/>
    </row>
    <row r="15272" spans="1:10" s="1064" customFormat="1" x14ac:dyDescent="0.25">
      <c r="A15272" s="262"/>
      <c r="B15272" s="1063"/>
      <c r="C15272" s="1063"/>
      <c r="D15272" s="1063"/>
      <c r="E15272" s="1063"/>
      <c r="F15272" s="1063"/>
      <c r="G15272" s="1063"/>
      <c r="H15272" s="1063"/>
      <c r="I15272" s="1063"/>
      <c r="J15272" s="1063"/>
    </row>
    <row r="15273" spans="1:10" s="1064" customFormat="1" x14ac:dyDescent="0.25">
      <c r="A15273" s="262"/>
      <c r="B15273" s="1063"/>
      <c r="C15273" s="1063"/>
      <c r="D15273" s="1063"/>
      <c r="E15273" s="1063"/>
      <c r="F15273" s="1063"/>
      <c r="G15273" s="1063"/>
      <c r="H15273" s="1063"/>
      <c r="I15273" s="1063"/>
      <c r="J15273" s="1063"/>
    </row>
    <row r="15274" spans="1:10" s="1064" customFormat="1" x14ac:dyDescent="0.25">
      <c r="A15274" s="262"/>
      <c r="B15274" s="1063"/>
      <c r="C15274" s="1063"/>
      <c r="D15274" s="1063"/>
      <c r="E15274" s="1063"/>
      <c r="F15274" s="1063"/>
      <c r="G15274" s="1063"/>
      <c r="H15274" s="1063"/>
      <c r="I15274" s="1063"/>
      <c r="J15274" s="1063"/>
    </row>
    <row r="15275" spans="1:10" s="1064" customFormat="1" x14ac:dyDescent="0.25">
      <c r="A15275" s="262"/>
      <c r="B15275" s="1063"/>
      <c r="C15275" s="1063"/>
      <c r="D15275" s="1063"/>
      <c r="E15275" s="1063"/>
      <c r="F15275" s="1063"/>
      <c r="G15275" s="1063"/>
      <c r="H15275" s="1063"/>
      <c r="I15275" s="1063"/>
      <c r="J15275" s="1063"/>
    </row>
    <row r="15276" spans="1:10" s="1064" customFormat="1" x14ac:dyDescent="0.25">
      <c r="A15276" s="262"/>
      <c r="B15276" s="1063"/>
      <c r="C15276" s="1063"/>
      <c r="D15276" s="1063"/>
      <c r="E15276" s="1063"/>
      <c r="F15276" s="1063"/>
      <c r="G15276" s="1063"/>
      <c r="H15276" s="1063"/>
      <c r="I15276" s="1063"/>
      <c r="J15276" s="1063"/>
    </row>
    <row r="15277" spans="1:10" s="1064" customFormat="1" x14ac:dyDescent="0.25">
      <c r="A15277" s="262"/>
      <c r="B15277" s="1063"/>
      <c r="C15277" s="1063"/>
      <c r="D15277" s="1063"/>
      <c r="E15277" s="1063"/>
      <c r="F15277" s="1063"/>
      <c r="G15277" s="1063"/>
      <c r="H15277" s="1063"/>
      <c r="I15277" s="1063"/>
      <c r="J15277" s="1063"/>
    </row>
    <row r="15278" spans="1:10" s="1064" customFormat="1" x14ac:dyDescent="0.25">
      <c r="A15278" s="262"/>
      <c r="B15278" s="1063"/>
      <c r="C15278" s="1063"/>
      <c r="D15278" s="1063"/>
      <c r="E15278" s="1063"/>
      <c r="F15278" s="1063"/>
      <c r="G15278" s="1063"/>
      <c r="H15278" s="1063"/>
      <c r="I15278" s="1063"/>
      <c r="J15278" s="1063"/>
    </row>
    <row r="15279" spans="1:10" s="1064" customFormat="1" x14ac:dyDescent="0.25">
      <c r="A15279" s="262"/>
      <c r="B15279" s="1063"/>
      <c r="C15279" s="1063"/>
      <c r="D15279" s="1063"/>
      <c r="E15279" s="1063"/>
      <c r="F15279" s="1063"/>
      <c r="G15279" s="1063"/>
      <c r="H15279" s="1063"/>
      <c r="I15279" s="1063"/>
      <c r="J15279" s="1063"/>
    </row>
    <row r="15280" spans="1:10" s="1064" customFormat="1" x14ac:dyDescent="0.25">
      <c r="A15280" s="262"/>
      <c r="B15280" s="1063"/>
      <c r="C15280" s="1063"/>
      <c r="D15280" s="1063"/>
      <c r="E15280" s="1063"/>
      <c r="F15280" s="1063"/>
      <c r="G15280" s="1063"/>
      <c r="H15280" s="1063"/>
      <c r="I15280" s="1063"/>
      <c r="J15280" s="1063"/>
    </row>
    <row r="15281" spans="1:10" s="1064" customFormat="1" x14ac:dyDescent="0.25">
      <c r="A15281" s="262"/>
      <c r="B15281" s="1063"/>
      <c r="C15281" s="1063"/>
      <c r="D15281" s="1063"/>
      <c r="E15281" s="1063"/>
      <c r="F15281" s="1063"/>
      <c r="G15281" s="1063"/>
      <c r="H15281" s="1063"/>
      <c r="I15281" s="1063"/>
      <c r="J15281" s="1063"/>
    </row>
    <row r="15282" spans="1:10" s="1064" customFormat="1" x14ac:dyDescent="0.25">
      <c r="A15282" s="262"/>
      <c r="B15282" s="1063"/>
      <c r="C15282" s="1063"/>
      <c r="D15282" s="1063"/>
      <c r="E15282" s="1063"/>
      <c r="F15282" s="1063"/>
      <c r="G15282" s="1063"/>
      <c r="H15282" s="1063"/>
      <c r="I15282" s="1063"/>
      <c r="J15282" s="1063"/>
    </row>
    <row r="15283" spans="1:10" s="1064" customFormat="1" x14ac:dyDescent="0.25">
      <c r="A15283" s="262"/>
      <c r="B15283" s="1063"/>
      <c r="C15283" s="1063"/>
      <c r="D15283" s="1063"/>
      <c r="E15283" s="1063"/>
      <c r="F15283" s="1063"/>
      <c r="G15283" s="1063"/>
      <c r="H15283" s="1063"/>
      <c r="I15283" s="1063"/>
      <c r="J15283" s="1063"/>
    </row>
    <row r="15284" spans="1:10" s="1064" customFormat="1" x14ac:dyDescent="0.25">
      <c r="A15284" s="262"/>
      <c r="B15284" s="1063"/>
      <c r="C15284" s="1063"/>
      <c r="D15284" s="1063"/>
      <c r="E15284" s="1063"/>
      <c r="F15284" s="1063"/>
      <c r="G15284" s="1063"/>
      <c r="H15284" s="1063"/>
      <c r="I15284" s="1063"/>
      <c r="J15284" s="1063"/>
    </row>
    <row r="15285" spans="1:10" s="1064" customFormat="1" x14ac:dyDescent="0.25">
      <c r="A15285" s="262"/>
      <c r="B15285" s="1063"/>
      <c r="C15285" s="1063"/>
      <c r="D15285" s="1063"/>
      <c r="E15285" s="1063"/>
      <c r="F15285" s="1063"/>
      <c r="G15285" s="1063"/>
      <c r="H15285" s="1063"/>
      <c r="I15285" s="1063"/>
      <c r="J15285" s="1063"/>
    </row>
    <row r="15286" spans="1:10" s="1064" customFormat="1" x14ac:dyDescent="0.25">
      <c r="A15286" s="262"/>
      <c r="B15286" s="1063"/>
      <c r="C15286" s="1063"/>
      <c r="D15286" s="1063"/>
      <c r="E15286" s="1063"/>
      <c r="F15286" s="1063"/>
      <c r="G15286" s="1063"/>
      <c r="H15286" s="1063"/>
      <c r="I15286" s="1063"/>
      <c r="J15286" s="1063"/>
    </row>
    <row r="15287" spans="1:10" s="1064" customFormat="1" x14ac:dyDescent="0.25">
      <c r="A15287" s="262"/>
      <c r="B15287" s="1063"/>
      <c r="C15287" s="1063"/>
      <c r="D15287" s="1063"/>
      <c r="E15287" s="1063"/>
      <c r="F15287" s="1063"/>
      <c r="G15287" s="1063"/>
      <c r="H15287" s="1063"/>
      <c r="I15287" s="1063"/>
      <c r="J15287" s="1063"/>
    </row>
    <row r="15288" spans="1:10" s="1064" customFormat="1" x14ac:dyDescent="0.25">
      <c r="A15288" s="262"/>
      <c r="B15288" s="1063"/>
      <c r="C15288" s="1063"/>
      <c r="D15288" s="1063"/>
      <c r="E15288" s="1063"/>
      <c r="F15288" s="1063"/>
      <c r="G15288" s="1063"/>
      <c r="H15288" s="1063"/>
      <c r="I15288" s="1063"/>
      <c r="J15288" s="1063"/>
    </row>
    <row r="15289" spans="1:10" s="1064" customFormat="1" x14ac:dyDescent="0.25">
      <c r="A15289" s="262"/>
      <c r="B15289" s="1063"/>
      <c r="C15289" s="1063"/>
      <c r="D15289" s="1063"/>
      <c r="E15289" s="1063"/>
      <c r="F15289" s="1063"/>
      <c r="G15289" s="1063"/>
      <c r="H15289" s="1063"/>
      <c r="I15289" s="1063"/>
      <c r="J15289" s="1063"/>
    </row>
    <row r="15290" spans="1:10" s="1064" customFormat="1" x14ac:dyDescent="0.25">
      <c r="A15290" s="262"/>
      <c r="B15290" s="1063"/>
      <c r="C15290" s="1063"/>
      <c r="D15290" s="1063"/>
      <c r="E15290" s="1063"/>
      <c r="F15290" s="1063"/>
      <c r="G15290" s="1063"/>
      <c r="H15290" s="1063"/>
      <c r="I15290" s="1063"/>
      <c r="J15290" s="1063"/>
    </row>
    <row r="15291" spans="1:10" s="1064" customFormat="1" x14ac:dyDescent="0.25">
      <c r="A15291" s="262"/>
      <c r="B15291" s="1063"/>
      <c r="C15291" s="1063"/>
      <c r="D15291" s="1063"/>
      <c r="E15291" s="1063"/>
      <c r="F15291" s="1063"/>
      <c r="G15291" s="1063"/>
      <c r="H15291" s="1063"/>
      <c r="I15291" s="1063"/>
      <c r="J15291" s="1063"/>
    </row>
    <row r="15292" spans="1:10" s="1064" customFormat="1" x14ac:dyDescent="0.25">
      <c r="A15292" s="262"/>
      <c r="B15292" s="1063"/>
      <c r="C15292" s="1063"/>
      <c r="D15292" s="1063"/>
      <c r="E15292" s="1063"/>
      <c r="F15292" s="1063"/>
      <c r="G15292" s="1063"/>
      <c r="H15292" s="1063"/>
      <c r="I15292" s="1063"/>
      <c r="J15292" s="1063"/>
    </row>
    <row r="15293" spans="1:10" s="1064" customFormat="1" x14ac:dyDescent="0.25">
      <c r="A15293" s="262"/>
      <c r="B15293" s="1063"/>
      <c r="C15293" s="1063"/>
      <c r="D15293" s="1063"/>
      <c r="E15293" s="1063"/>
      <c r="F15293" s="1063"/>
      <c r="G15293" s="1063"/>
      <c r="H15293" s="1063"/>
      <c r="I15293" s="1063"/>
      <c r="J15293" s="1063"/>
    </row>
    <row r="15294" spans="1:10" s="1064" customFormat="1" x14ac:dyDescent="0.25">
      <c r="A15294" s="262"/>
      <c r="B15294" s="1063"/>
      <c r="C15294" s="1063"/>
      <c r="D15294" s="1063"/>
      <c r="E15294" s="1063"/>
      <c r="F15294" s="1063"/>
      <c r="G15294" s="1063"/>
      <c r="H15294" s="1063"/>
      <c r="I15294" s="1063"/>
      <c r="J15294" s="1063"/>
    </row>
    <row r="15295" spans="1:10" s="1064" customFormat="1" x14ac:dyDescent="0.25">
      <c r="A15295" s="262"/>
      <c r="B15295" s="1063"/>
      <c r="C15295" s="1063"/>
      <c r="D15295" s="1063"/>
      <c r="E15295" s="1063"/>
      <c r="F15295" s="1063"/>
      <c r="G15295" s="1063"/>
      <c r="H15295" s="1063"/>
      <c r="I15295" s="1063"/>
      <c r="J15295" s="1063"/>
    </row>
    <row r="15296" spans="1:10" s="1064" customFormat="1" x14ac:dyDescent="0.25">
      <c r="A15296" s="262"/>
      <c r="B15296" s="1063"/>
      <c r="C15296" s="1063"/>
      <c r="D15296" s="1063"/>
      <c r="E15296" s="1063"/>
      <c r="F15296" s="1063"/>
      <c r="G15296" s="1063"/>
      <c r="H15296" s="1063"/>
      <c r="I15296" s="1063"/>
      <c r="J15296" s="1063"/>
    </row>
    <row r="15297" spans="1:10" s="1064" customFormat="1" x14ac:dyDescent="0.25">
      <c r="A15297" s="262"/>
      <c r="B15297" s="1063"/>
      <c r="C15297" s="1063"/>
      <c r="D15297" s="1063"/>
      <c r="E15297" s="1063"/>
      <c r="F15297" s="1063"/>
      <c r="G15297" s="1063"/>
      <c r="H15297" s="1063"/>
      <c r="I15297" s="1063"/>
      <c r="J15297" s="1063"/>
    </row>
    <row r="15298" spans="1:10" s="1064" customFormat="1" x14ac:dyDescent="0.25">
      <c r="A15298" s="262"/>
      <c r="B15298" s="1063"/>
      <c r="C15298" s="1063"/>
      <c r="D15298" s="1063"/>
      <c r="E15298" s="1063"/>
      <c r="F15298" s="1063"/>
      <c r="G15298" s="1063"/>
      <c r="H15298" s="1063"/>
      <c r="I15298" s="1063"/>
      <c r="J15298" s="1063"/>
    </row>
    <row r="15299" spans="1:10" s="1064" customFormat="1" x14ac:dyDescent="0.25">
      <c r="A15299" s="262"/>
      <c r="B15299" s="1063"/>
      <c r="C15299" s="1063"/>
      <c r="D15299" s="1063"/>
      <c r="E15299" s="1063"/>
      <c r="F15299" s="1063"/>
      <c r="G15299" s="1063"/>
      <c r="H15299" s="1063"/>
      <c r="I15299" s="1063"/>
      <c r="J15299" s="1063"/>
    </row>
    <row r="15300" spans="1:10" s="1064" customFormat="1" x14ac:dyDescent="0.25">
      <c r="A15300" s="262"/>
      <c r="B15300" s="1063"/>
      <c r="C15300" s="1063"/>
      <c r="D15300" s="1063"/>
      <c r="E15300" s="1063"/>
      <c r="F15300" s="1063"/>
      <c r="G15300" s="1063"/>
      <c r="H15300" s="1063"/>
      <c r="I15300" s="1063"/>
      <c r="J15300" s="1063"/>
    </row>
    <row r="15301" spans="1:10" s="1064" customFormat="1" x14ac:dyDescent="0.25">
      <c r="A15301" s="262"/>
      <c r="B15301" s="1063"/>
      <c r="C15301" s="1063"/>
      <c r="D15301" s="1063"/>
      <c r="E15301" s="1063"/>
      <c r="F15301" s="1063"/>
      <c r="G15301" s="1063"/>
      <c r="H15301" s="1063"/>
      <c r="I15301" s="1063"/>
      <c r="J15301" s="1063"/>
    </row>
    <row r="15302" spans="1:10" s="1064" customFormat="1" x14ac:dyDescent="0.25">
      <c r="A15302" s="262"/>
      <c r="B15302" s="1063"/>
      <c r="C15302" s="1063"/>
      <c r="D15302" s="1063"/>
      <c r="E15302" s="1063"/>
      <c r="F15302" s="1063"/>
      <c r="G15302" s="1063"/>
      <c r="H15302" s="1063"/>
      <c r="I15302" s="1063"/>
      <c r="J15302" s="1063"/>
    </row>
    <row r="15303" spans="1:10" s="1064" customFormat="1" x14ac:dyDescent="0.25">
      <c r="A15303" s="262"/>
      <c r="B15303" s="1063"/>
      <c r="C15303" s="1063"/>
      <c r="D15303" s="1063"/>
      <c r="E15303" s="1063"/>
      <c r="F15303" s="1063"/>
      <c r="G15303" s="1063"/>
      <c r="H15303" s="1063"/>
      <c r="I15303" s="1063"/>
      <c r="J15303" s="1063"/>
    </row>
    <row r="15304" spans="1:10" s="1064" customFormat="1" x14ac:dyDescent="0.25">
      <c r="A15304" s="262"/>
      <c r="B15304" s="1063"/>
      <c r="C15304" s="1063"/>
      <c r="D15304" s="1063"/>
      <c r="E15304" s="1063"/>
      <c r="F15304" s="1063"/>
      <c r="G15304" s="1063"/>
      <c r="H15304" s="1063"/>
      <c r="I15304" s="1063"/>
      <c r="J15304" s="1063"/>
    </row>
    <row r="15305" spans="1:10" s="1064" customFormat="1" x14ac:dyDescent="0.25">
      <c r="A15305" s="262"/>
      <c r="B15305" s="1063"/>
      <c r="C15305" s="1063"/>
      <c r="D15305" s="1063"/>
      <c r="E15305" s="1063"/>
      <c r="F15305" s="1063"/>
      <c r="G15305" s="1063"/>
      <c r="H15305" s="1063"/>
      <c r="I15305" s="1063"/>
      <c r="J15305" s="1063"/>
    </row>
    <row r="15306" spans="1:10" s="1064" customFormat="1" x14ac:dyDescent="0.25">
      <c r="A15306" s="262"/>
      <c r="B15306" s="1063"/>
      <c r="C15306" s="1063"/>
      <c r="D15306" s="1063"/>
      <c r="E15306" s="1063"/>
      <c r="F15306" s="1063"/>
      <c r="G15306" s="1063"/>
      <c r="H15306" s="1063"/>
      <c r="I15306" s="1063"/>
      <c r="J15306" s="1063"/>
    </row>
    <row r="15307" spans="1:10" s="1064" customFormat="1" x14ac:dyDescent="0.25">
      <c r="A15307" s="262"/>
      <c r="B15307" s="1063"/>
      <c r="C15307" s="1063"/>
      <c r="D15307" s="1063"/>
      <c r="E15307" s="1063"/>
      <c r="F15307" s="1063"/>
      <c r="G15307" s="1063"/>
      <c r="H15307" s="1063"/>
      <c r="I15307" s="1063"/>
      <c r="J15307" s="1063"/>
    </row>
    <row r="15308" spans="1:10" s="1064" customFormat="1" x14ac:dyDescent="0.25">
      <c r="A15308" s="262"/>
      <c r="B15308" s="1063"/>
      <c r="C15308" s="1063"/>
      <c r="D15308" s="1063"/>
      <c r="E15308" s="1063"/>
      <c r="F15308" s="1063"/>
      <c r="G15308" s="1063"/>
      <c r="H15308" s="1063"/>
      <c r="I15308" s="1063"/>
      <c r="J15308" s="1063"/>
    </row>
    <row r="15309" spans="1:10" s="1064" customFormat="1" x14ac:dyDescent="0.25">
      <c r="A15309" s="262"/>
      <c r="B15309" s="1063"/>
      <c r="C15309" s="1063"/>
      <c r="D15309" s="1063"/>
      <c r="E15309" s="1063"/>
      <c r="F15309" s="1063"/>
      <c r="G15309" s="1063"/>
      <c r="H15309" s="1063"/>
      <c r="I15309" s="1063"/>
      <c r="J15309" s="1063"/>
    </row>
    <row r="15310" spans="1:10" s="1064" customFormat="1" x14ac:dyDescent="0.25">
      <c r="A15310" s="262"/>
      <c r="B15310" s="1063"/>
      <c r="C15310" s="1063"/>
      <c r="D15310" s="1063"/>
      <c r="E15310" s="1063"/>
      <c r="F15310" s="1063"/>
      <c r="G15310" s="1063"/>
      <c r="H15310" s="1063"/>
      <c r="I15310" s="1063"/>
      <c r="J15310" s="1063"/>
    </row>
    <row r="15311" spans="1:10" s="1064" customFormat="1" x14ac:dyDescent="0.25">
      <c r="A15311" s="262"/>
      <c r="B15311" s="1063"/>
      <c r="C15311" s="1063"/>
      <c r="D15311" s="1063"/>
      <c r="E15311" s="1063"/>
      <c r="F15311" s="1063"/>
      <c r="G15311" s="1063"/>
      <c r="H15311" s="1063"/>
      <c r="I15311" s="1063"/>
      <c r="J15311" s="1063"/>
    </row>
    <row r="15312" spans="1:10" s="1064" customFormat="1" x14ac:dyDescent="0.25">
      <c r="A15312" s="262"/>
      <c r="B15312" s="1063"/>
      <c r="C15312" s="1063"/>
      <c r="D15312" s="1063"/>
      <c r="E15312" s="1063"/>
      <c r="F15312" s="1063"/>
      <c r="G15312" s="1063"/>
      <c r="H15312" s="1063"/>
      <c r="I15312" s="1063"/>
      <c r="J15312" s="1063"/>
    </row>
    <row r="15313" spans="1:10" s="1064" customFormat="1" x14ac:dyDescent="0.25">
      <c r="A15313" s="262"/>
      <c r="B15313" s="1063"/>
      <c r="C15313" s="1063"/>
      <c r="D15313" s="1063"/>
      <c r="E15313" s="1063"/>
      <c r="F15313" s="1063"/>
      <c r="G15313" s="1063"/>
      <c r="H15313" s="1063"/>
      <c r="I15313" s="1063"/>
      <c r="J15313" s="1063"/>
    </row>
    <row r="15314" spans="1:10" s="1064" customFormat="1" x14ac:dyDescent="0.25">
      <c r="A15314" s="262"/>
      <c r="B15314" s="1063"/>
      <c r="C15314" s="1063"/>
      <c r="D15314" s="1063"/>
      <c r="E15314" s="1063"/>
      <c r="F15314" s="1063"/>
      <c r="G15314" s="1063"/>
      <c r="H15314" s="1063"/>
      <c r="I15314" s="1063"/>
      <c r="J15314" s="1063"/>
    </row>
    <row r="15315" spans="1:10" s="1064" customFormat="1" x14ac:dyDescent="0.25">
      <c r="A15315" s="262"/>
      <c r="B15315" s="1063"/>
      <c r="C15315" s="1063"/>
      <c r="D15315" s="1063"/>
      <c r="E15315" s="1063"/>
      <c r="F15315" s="1063"/>
      <c r="G15315" s="1063"/>
      <c r="H15315" s="1063"/>
      <c r="I15315" s="1063"/>
      <c r="J15315" s="1063"/>
    </row>
    <row r="15316" spans="1:10" s="1064" customFormat="1" x14ac:dyDescent="0.25">
      <c r="A15316" s="262"/>
      <c r="B15316" s="1063"/>
      <c r="C15316" s="1063"/>
      <c r="D15316" s="1063"/>
      <c r="E15316" s="1063"/>
      <c r="F15316" s="1063"/>
      <c r="G15316" s="1063"/>
      <c r="H15316" s="1063"/>
      <c r="I15316" s="1063"/>
      <c r="J15316" s="1063"/>
    </row>
    <row r="15317" spans="1:10" s="1064" customFormat="1" x14ac:dyDescent="0.25">
      <c r="A15317" s="262"/>
      <c r="B15317" s="1063"/>
      <c r="C15317" s="1063"/>
      <c r="D15317" s="1063"/>
      <c r="E15317" s="1063"/>
      <c r="F15317" s="1063"/>
      <c r="G15317" s="1063"/>
      <c r="H15317" s="1063"/>
      <c r="I15317" s="1063"/>
      <c r="J15317" s="1063"/>
    </row>
    <row r="15318" spans="1:10" s="1064" customFormat="1" x14ac:dyDescent="0.25">
      <c r="A15318" s="262"/>
      <c r="B15318" s="1063"/>
      <c r="C15318" s="1063"/>
      <c r="D15318" s="1063"/>
      <c r="E15318" s="1063"/>
      <c r="F15318" s="1063"/>
      <c r="G15318" s="1063"/>
      <c r="H15318" s="1063"/>
      <c r="I15318" s="1063"/>
      <c r="J15318" s="1063"/>
    </row>
    <row r="15319" spans="1:10" s="1064" customFormat="1" x14ac:dyDescent="0.25">
      <c r="A15319" s="262"/>
      <c r="B15319" s="1063"/>
      <c r="C15319" s="1063"/>
      <c r="D15319" s="1063"/>
      <c r="E15319" s="1063"/>
      <c r="F15319" s="1063"/>
      <c r="G15319" s="1063"/>
      <c r="H15319" s="1063"/>
      <c r="I15319" s="1063"/>
      <c r="J15319" s="1063"/>
    </row>
    <row r="15320" spans="1:10" s="1064" customFormat="1" x14ac:dyDescent="0.25">
      <c r="A15320" s="262"/>
      <c r="B15320" s="1063"/>
      <c r="C15320" s="1063"/>
      <c r="D15320" s="1063"/>
      <c r="E15320" s="1063"/>
      <c r="F15320" s="1063"/>
      <c r="G15320" s="1063"/>
      <c r="H15320" s="1063"/>
      <c r="I15320" s="1063"/>
      <c r="J15320" s="1063"/>
    </row>
    <row r="15321" spans="1:10" s="1064" customFormat="1" x14ac:dyDescent="0.25">
      <c r="A15321" s="262"/>
      <c r="B15321" s="1063"/>
      <c r="C15321" s="1063"/>
      <c r="D15321" s="1063"/>
      <c r="E15321" s="1063"/>
      <c r="F15321" s="1063"/>
      <c r="G15321" s="1063"/>
      <c r="H15321" s="1063"/>
      <c r="I15321" s="1063"/>
      <c r="J15321" s="1063"/>
    </row>
    <row r="15322" spans="1:10" s="1064" customFormat="1" x14ac:dyDescent="0.25">
      <c r="A15322" s="262"/>
      <c r="B15322" s="1063"/>
      <c r="C15322" s="1063"/>
      <c r="D15322" s="1063"/>
      <c r="E15322" s="1063"/>
      <c r="F15322" s="1063"/>
      <c r="G15322" s="1063"/>
      <c r="H15322" s="1063"/>
      <c r="I15322" s="1063"/>
      <c r="J15322" s="1063"/>
    </row>
    <row r="15323" spans="1:10" s="1064" customFormat="1" x14ac:dyDescent="0.25">
      <c r="A15323" s="262"/>
      <c r="B15323" s="1063"/>
      <c r="C15323" s="1063"/>
      <c r="D15323" s="1063"/>
      <c r="E15323" s="1063"/>
      <c r="F15323" s="1063"/>
      <c r="G15323" s="1063"/>
      <c r="H15323" s="1063"/>
      <c r="I15323" s="1063"/>
      <c r="J15323" s="1063"/>
    </row>
    <row r="15324" spans="1:10" s="1064" customFormat="1" x14ac:dyDescent="0.25">
      <c r="A15324" s="262"/>
      <c r="B15324" s="1063"/>
      <c r="C15324" s="1063"/>
      <c r="D15324" s="1063"/>
      <c r="E15324" s="1063"/>
      <c r="F15324" s="1063"/>
      <c r="G15324" s="1063"/>
      <c r="H15324" s="1063"/>
      <c r="I15324" s="1063"/>
      <c r="J15324" s="1063"/>
    </row>
    <row r="15325" spans="1:10" s="1064" customFormat="1" x14ac:dyDescent="0.25">
      <c r="A15325" s="262"/>
      <c r="B15325" s="1063"/>
      <c r="C15325" s="1063"/>
      <c r="D15325" s="1063"/>
      <c r="E15325" s="1063"/>
      <c r="F15325" s="1063"/>
      <c r="G15325" s="1063"/>
      <c r="H15325" s="1063"/>
      <c r="I15325" s="1063"/>
      <c r="J15325" s="1063"/>
    </row>
    <row r="15326" spans="1:10" s="1064" customFormat="1" x14ac:dyDescent="0.25">
      <c r="A15326" s="262"/>
      <c r="B15326" s="1063"/>
      <c r="C15326" s="1063"/>
      <c r="D15326" s="1063"/>
      <c r="E15326" s="1063"/>
      <c r="F15326" s="1063"/>
      <c r="G15326" s="1063"/>
      <c r="H15326" s="1063"/>
      <c r="I15326" s="1063"/>
      <c r="J15326" s="1063"/>
    </row>
    <row r="15327" spans="1:10" s="1064" customFormat="1" x14ac:dyDescent="0.25">
      <c r="A15327" s="262"/>
      <c r="B15327" s="1063"/>
      <c r="C15327" s="1063"/>
      <c r="D15327" s="1063"/>
      <c r="E15327" s="1063"/>
      <c r="F15327" s="1063"/>
      <c r="G15327" s="1063"/>
      <c r="H15327" s="1063"/>
      <c r="I15327" s="1063"/>
      <c r="J15327" s="1063"/>
    </row>
    <row r="15328" spans="1:10" s="1064" customFormat="1" x14ac:dyDescent="0.25">
      <c r="A15328" s="262"/>
      <c r="B15328" s="1063"/>
      <c r="C15328" s="1063"/>
      <c r="D15328" s="1063"/>
      <c r="E15328" s="1063"/>
      <c r="F15328" s="1063"/>
      <c r="G15328" s="1063"/>
      <c r="H15328" s="1063"/>
      <c r="I15328" s="1063"/>
      <c r="J15328" s="1063"/>
    </row>
    <row r="15329" spans="1:10" s="1064" customFormat="1" x14ac:dyDescent="0.25">
      <c r="A15329" s="262"/>
      <c r="B15329" s="1063"/>
      <c r="C15329" s="1063"/>
      <c r="D15329" s="1063"/>
      <c r="E15329" s="1063"/>
      <c r="F15329" s="1063"/>
      <c r="G15329" s="1063"/>
      <c r="H15329" s="1063"/>
      <c r="I15329" s="1063"/>
      <c r="J15329" s="1063"/>
    </row>
    <row r="15330" spans="1:10" s="1064" customFormat="1" x14ac:dyDescent="0.25">
      <c r="A15330" s="262"/>
      <c r="B15330" s="1063"/>
      <c r="C15330" s="1063"/>
      <c r="D15330" s="1063"/>
      <c r="E15330" s="1063"/>
      <c r="F15330" s="1063"/>
      <c r="G15330" s="1063"/>
      <c r="H15330" s="1063"/>
      <c r="I15330" s="1063"/>
      <c r="J15330" s="1063"/>
    </row>
    <row r="15331" spans="1:10" s="1064" customFormat="1" x14ac:dyDescent="0.25">
      <c r="A15331" s="262"/>
      <c r="B15331" s="1063"/>
      <c r="C15331" s="1063"/>
      <c r="D15331" s="1063"/>
      <c r="E15331" s="1063"/>
      <c r="F15331" s="1063"/>
      <c r="G15331" s="1063"/>
      <c r="H15331" s="1063"/>
      <c r="I15331" s="1063"/>
      <c r="J15331" s="1063"/>
    </row>
    <row r="15332" spans="1:10" s="1064" customFormat="1" x14ac:dyDescent="0.25">
      <c r="A15332" s="262"/>
      <c r="B15332" s="1063"/>
      <c r="C15332" s="1063"/>
      <c r="D15332" s="1063"/>
      <c r="E15332" s="1063"/>
      <c r="F15332" s="1063"/>
      <c r="G15332" s="1063"/>
      <c r="H15332" s="1063"/>
      <c r="I15332" s="1063"/>
      <c r="J15332" s="1063"/>
    </row>
    <row r="15333" spans="1:10" s="1064" customFormat="1" x14ac:dyDescent="0.25">
      <c r="A15333" s="262"/>
      <c r="B15333" s="1063"/>
      <c r="C15333" s="1063"/>
      <c r="D15333" s="1063"/>
      <c r="E15333" s="1063"/>
      <c r="F15333" s="1063"/>
      <c r="G15333" s="1063"/>
      <c r="H15333" s="1063"/>
      <c r="I15333" s="1063"/>
      <c r="J15333" s="1063"/>
    </row>
    <row r="15334" spans="1:10" s="1064" customFormat="1" x14ac:dyDescent="0.25">
      <c r="A15334" s="262"/>
      <c r="B15334" s="1063"/>
      <c r="C15334" s="1063"/>
      <c r="D15334" s="1063"/>
      <c r="E15334" s="1063"/>
      <c r="F15334" s="1063"/>
      <c r="G15334" s="1063"/>
      <c r="H15334" s="1063"/>
      <c r="I15334" s="1063"/>
      <c r="J15334" s="1063"/>
    </row>
    <row r="15335" spans="1:10" s="1064" customFormat="1" x14ac:dyDescent="0.25">
      <c r="A15335" s="262"/>
      <c r="B15335" s="1063"/>
      <c r="C15335" s="1063"/>
      <c r="D15335" s="1063"/>
      <c r="E15335" s="1063"/>
      <c r="F15335" s="1063"/>
      <c r="G15335" s="1063"/>
      <c r="H15335" s="1063"/>
      <c r="I15335" s="1063"/>
      <c r="J15335" s="1063"/>
    </row>
    <row r="15336" spans="1:10" s="1064" customFormat="1" x14ac:dyDescent="0.25">
      <c r="A15336" s="262"/>
      <c r="B15336" s="1063"/>
      <c r="C15336" s="1063"/>
      <c r="D15336" s="1063"/>
      <c r="E15336" s="1063"/>
      <c r="F15336" s="1063"/>
      <c r="G15336" s="1063"/>
      <c r="H15336" s="1063"/>
      <c r="I15336" s="1063"/>
      <c r="J15336" s="1063"/>
    </row>
    <row r="15337" spans="1:10" s="1064" customFormat="1" x14ac:dyDescent="0.25">
      <c r="A15337" s="262"/>
      <c r="B15337" s="1063"/>
      <c r="C15337" s="1063"/>
      <c r="D15337" s="1063"/>
      <c r="E15337" s="1063"/>
      <c r="F15337" s="1063"/>
      <c r="G15337" s="1063"/>
      <c r="H15337" s="1063"/>
      <c r="I15337" s="1063"/>
      <c r="J15337" s="1063"/>
    </row>
    <row r="15338" spans="1:10" s="1064" customFormat="1" x14ac:dyDescent="0.25">
      <c r="A15338" s="262"/>
      <c r="B15338" s="1063"/>
      <c r="C15338" s="1063"/>
      <c r="D15338" s="1063"/>
      <c r="E15338" s="1063"/>
      <c r="F15338" s="1063"/>
      <c r="G15338" s="1063"/>
      <c r="H15338" s="1063"/>
      <c r="I15338" s="1063"/>
      <c r="J15338" s="1063"/>
    </row>
    <row r="15339" spans="1:10" s="1064" customFormat="1" x14ac:dyDescent="0.25">
      <c r="A15339" s="262"/>
      <c r="B15339" s="1063"/>
      <c r="C15339" s="1063"/>
      <c r="D15339" s="1063"/>
      <c r="E15339" s="1063"/>
      <c r="F15339" s="1063"/>
      <c r="G15339" s="1063"/>
      <c r="H15339" s="1063"/>
      <c r="I15339" s="1063"/>
      <c r="J15339" s="1063"/>
    </row>
    <row r="15340" spans="1:10" s="1064" customFormat="1" x14ac:dyDescent="0.25">
      <c r="A15340" s="262"/>
      <c r="B15340" s="1063"/>
      <c r="C15340" s="1063"/>
      <c r="D15340" s="1063"/>
      <c r="E15340" s="1063"/>
      <c r="F15340" s="1063"/>
      <c r="G15340" s="1063"/>
      <c r="H15340" s="1063"/>
      <c r="I15340" s="1063"/>
      <c r="J15340" s="1063"/>
    </row>
    <row r="15341" spans="1:10" s="1064" customFormat="1" x14ac:dyDescent="0.25">
      <c r="A15341" s="262"/>
      <c r="B15341" s="1063"/>
      <c r="C15341" s="1063"/>
      <c r="D15341" s="1063"/>
      <c r="E15341" s="1063"/>
      <c r="F15341" s="1063"/>
      <c r="G15341" s="1063"/>
      <c r="H15341" s="1063"/>
      <c r="I15341" s="1063"/>
      <c r="J15341" s="1063"/>
    </row>
    <row r="15342" spans="1:10" s="1064" customFormat="1" x14ac:dyDescent="0.25">
      <c r="A15342" s="262"/>
      <c r="B15342" s="1063"/>
      <c r="C15342" s="1063"/>
      <c r="D15342" s="1063"/>
      <c r="E15342" s="1063"/>
      <c r="F15342" s="1063"/>
      <c r="G15342" s="1063"/>
      <c r="H15342" s="1063"/>
      <c r="I15342" s="1063"/>
      <c r="J15342" s="1063"/>
    </row>
    <row r="15343" spans="1:10" s="1064" customFormat="1" x14ac:dyDescent="0.25">
      <c r="A15343" s="262"/>
      <c r="B15343" s="1063"/>
      <c r="C15343" s="1063"/>
      <c r="D15343" s="1063"/>
      <c r="E15343" s="1063"/>
      <c r="F15343" s="1063"/>
      <c r="G15343" s="1063"/>
      <c r="H15343" s="1063"/>
      <c r="I15343" s="1063"/>
      <c r="J15343" s="1063"/>
    </row>
    <row r="15344" spans="1:10" s="1064" customFormat="1" x14ac:dyDescent="0.25">
      <c r="A15344" s="262"/>
      <c r="B15344" s="1063"/>
      <c r="C15344" s="1063"/>
      <c r="D15344" s="1063"/>
      <c r="E15344" s="1063"/>
      <c r="F15344" s="1063"/>
      <c r="G15344" s="1063"/>
      <c r="H15344" s="1063"/>
      <c r="I15344" s="1063"/>
      <c r="J15344" s="1063"/>
    </row>
    <row r="15345" spans="1:10" s="1064" customFormat="1" x14ac:dyDescent="0.25">
      <c r="A15345" s="262"/>
      <c r="B15345" s="1063"/>
      <c r="C15345" s="1063"/>
      <c r="D15345" s="1063"/>
      <c r="E15345" s="1063"/>
      <c r="F15345" s="1063"/>
      <c r="G15345" s="1063"/>
      <c r="H15345" s="1063"/>
      <c r="I15345" s="1063"/>
      <c r="J15345" s="1063"/>
    </row>
    <row r="15346" spans="1:10" s="1064" customFormat="1" x14ac:dyDescent="0.25">
      <c r="A15346" s="262"/>
      <c r="B15346" s="1063"/>
      <c r="C15346" s="1063"/>
      <c r="D15346" s="1063"/>
      <c r="E15346" s="1063"/>
      <c r="F15346" s="1063"/>
      <c r="G15346" s="1063"/>
      <c r="H15346" s="1063"/>
      <c r="I15346" s="1063"/>
      <c r="J15346" s="1063"/>
    </row>
    <row r="15347" spans="1:10" s="1064" customFormat="1" x14ac:dyDescent="0.25">
      <c r="A15347" s="262"/>
      <c r="B15347" s="1063"/>
      <c r="C15347" s="1063"/>
      <c r="D15347" s="1063"/>
      <c r="E15347" s="1063"/>
      <c r="F15347" s="1063"/>
      <c r="G15347" s="1063"/>
      <c r="H15347" s="1063"/>
      <c r="I15347" s="1063"/>
      <c r="J15347" s="1063"/>
    </row>
    <row r="15348" spans="1:10" s="1064" customFormat="1" x14ac:dyDescent="0.25">
      <c r="A15348" s="262"/>
      <c r="B15348" s="1063"/>
      <c r="C15348" s="1063"/>
      <c r="D15348" s="1063"/>
      <c r="E15348" s="1063"/>
      <c r="F15348" s="1063"/>
      <c r="G15348" s="1063"/>
      <c r="H15348" s="1063"/>
      <c r="I15348" s="1063"/>
      <c r="J15348" s="1063"/>
    </row>
    <row r="15349" spans="1:10" s="1064" customFormat="1" x14ac:dyDescent="0.25">
      <c r="A15349" s="262"/>
      <c r="B15349" s="1063"/>
      <c r="C15349" s="1063"/>
      <c r="D15349" s="1063"/>
      <c r="E15349" s="1063"/>
      <c r="F15349" s="1063"/>
      <c r="G15349" s="1063"/>
      <c r="H15349" s="1063"/>
      <c r="I15349" s="1063"/>
      <c r="J15349" s="1063"/>
    </row>
    <row r="15350" spans="1:10" s="1064" customFormat="1" x14ac:dyDescent="0.25">
      <c r="A15350" s="262"/>
      <c r="B15350" s="1063"/>
      <c r="C15350" s="1063"/>
      <c r="D15350" s="1063"/>
      <c r="E15350" s="1063"/>
      <c r="F15350" s="1063"/>
      <c r="G15350" s="1063"/>
      <c r="H15350" s="1063"/>
      <c r="I15350" s="1063"/>
      <c r="J15350" s="1063"/>
    </row>
    <row r="15351" spans="1:10" s="1064" customFormat="1" x14ac:dyDescent="0.25">
      <c r="A15351" s="262"/>
      <c r="B15351" s="1063"/>
      <c r="C15351" s="1063"/>
      <c r="D15351" s="1063"/>
      <c r="E15351" s="1063"/>
      <c r="F15351" s="1063"/>
      <c r="G15351" s="1063"/>
      <c r="H15351" s="1063"/>
      <c r="I15351" s="1063"/>
      <c r="J15351" s="1063"/>
    </row>
    <row r="15352" spans="1:10" s="1064" customFormat="1" x14ac:dyDescent="0.25">
      <c r="A15352" s="262"/>
      <c r="B15352" s="1063"/>
      <c r="C15352" s="1063"/>
      <c r="D15352" s="1063"/>
      <c r="E15352" s="1063"/>
      <c r="F15352" s="1063"/>
      <c r="G15352" s="1063"/>
      <c r="H15352" s="1063"/>
      <c r="I15352" s="1063"/>
      <c r="J15352" s="1063"/>
    </row>
    <row r="15353" spans="1:10" s="1064" customFormat="1" x14ac:dyDescent="0.25">
      <c r="A15353" s="262"/>
      <c r="B15353" s="1063"/>
      <c r="C15353" s="1063"/>
      <c r="D15353" s="1063"/>
      <c r="E15353" s="1063"/>
      <c r="F15353" s="1063"/>
      <c r="G15353" s="1063"/>
      <c r="H15353" s="1063"/>
      <c r="I15353" s="1063"/>
      <c r="J15353" s="1063"/>
    </row>
    <row r="15354" spans="1:10" s="1064" customFormat="1" x14ac:dyDescent="0.25">
      <c r="A15354" s="262"/>
      <c r="B15354" s="1063"/>
      <c r="C15354" s="1063"/>
      <c r="D15354" s="1063"/>
      <c r="E15354" s="1063"/>
      <c r="F15354" s="1063"/>
      <c r="G15354" s="1063"/>
      <c r="H15354" s="1063"/>
      <c r="I15354" s="1063"/>
      <c r="J15354" s="1063"/>
    </row>
    <row r="15355" spans="1:10" s="1064" customFormat="1" x14ac:dyDescent="0.25">
      <c r="A15355" s="262"/>
      <c r="B15355" s="1063"/>
      <c r="C15355" s="1063"/>
      <c r="D15355" s="1063"/>
      <c r="E15355" s="1063"/>
      <c r="F15355" s="1063"/>
      <c r="G15355" s="1063"/>
      <c r="H15355" s="1063"/>
      <c r="I15355" s="1063"/>
      <c r="J15355" s="1063"/>
    </row>
    <row r="15356" spans="1:10" s="1064" customFormat="1" x14ac:dyDescent="0.25">
      <c r="A15356" s="262"/>
      <c r="B15356" s="1063"/>
      <c r="C15356" s="1063"/>
      <c r="D15356" s="1063"/>
      <c r="E15356" s="1063"/>
      <c r="F15356" s="1063"/>
      <c r="G15356" s="1063"/>
      <c r="H15356" s="1063"/>
      <c r="I15356" s="1063"/>
      <c r="J15356" s="1063"/>
    </row>
    <row r="15357" spans="1:10" s="1064" customFormat="1" x14ac:dyDescent="0.25">
      <c r="A15357" s="262"/>
      <c r="B15357" s="1063"/>
      <c r="C15357" s="1063"/>
      <c r="D15357" s="1063"/>
      <c r="E15357" s="1063"/>
      <c r="F15357" s="1063"/>
      <c r="G15357" s="1063"/>
      <c r="H15357" s="1063"/>
      <c r="I15357" s="1063"/>
      <c r="J15357" s="1063"/>
    </row>
    <row r="15358" spans="1:10" s="1064" customFormat="1" x14ac:dyDescent="0.25">
      <c r="A15358" s="262"/>
      <c r="B15358" s="1063"/>
      <c r="C15358" s="1063"/>
      <c r="D15358" s="1063"/>
      <c r="E15358" s="1063"/>
      <c r="F15358" s="1063"/>
      <c r="G15358" s="1063"/>
      <c r="H15358" s="1063"/>
      <c r="I15358" s="1063"/>
      <c r="J15358" s="1063"/>
    </row>
    <row r="15359" spans="1:10" s="1064" customFormat="1" x14ac:dyDescent="0.25">
      <c r="A15359" s="262"/>
      <c r="B15359" s="1063"/>
      <c r="C15359" s="1063"/>
      <c r="D15359" s="1063"/>
      <c r="E15359" s="1063"/>
      <c r="F15359" s="1063"/>
      <c r="G15359" s="1063"/>
      <c r="H15359" s="1063"/>
      <c r="I15359" s="1063"/>
      <c r="J15359" s="1063"/>
    </row>
    <row r="15360" spans="1:10" s="1064" customFormat="1" x14ac:dyDescent="0.25">
      <c r="A15360" s="262"/>
      <c r="B15360" s="1063"/>
      <c r="C15360" s="1063"/>
      <c r="D15360" s="1063"/>
      <c r="E15360" s="1063"/>
      <c r="F15360" s="1063"/>
      <c r="G15360" s="1063"/>
      <c r="H15360" s="1063"/>
      <c r="I15360" s="1063"/>
      <c r="J15360" s="1063"/>
    </row>
    <row r="15361" spans="1:10" s="1064" customFormat="1" x14ac:dyDescent="0.25">
      <c r="A15361" s="262"/>
      <c r="B15361" s="1063"/>
      <c r="C15361" s="1063"/>
      <c r="D15361" s="1063"/>
      <c r="E15361" s="1063"/>
      <c r="F15361" s="1063"/>
      <c r="G15361" s="1063"/>
      <c r="H15361" s="1063"/>
      <c r="I15361" s="1063"/>
      <c r="J15361" s="1063"/>
    </row>
    <row r="15362" spans="1:10" s="1064" customFormat="1" x14ac:dyDescent="0.25">
      <c r="A15362" s="262"/>
      <c r="B15362" s="1063"/>
      <c r="C15362" s="1063"/>
      <c r="D15362" s="1063"/>
      <c r="E15362" s="1063"/>
      <c r="F15362" s="1063"/>
      <c r="G15362" s="1063"/>
      <c r="H15362" s="1063"/>
      <c r="I15362" s="1063"/>
      <c r="J15362" s="1063"/>
    </row>
    <row r="15363" spans="1:10" s="1064" customFormat="1" x14ac:dyDescent="0.25">
      <c r="A15363" s="262"/>
      <c r="B15363" s="1063"/>
      <c r="C15363" s="1063"/>
      <c r="D15363" s="1063"/>
      <c r="E15363" s="1063"/>
      <c r="F15363" s="1063"/>
      <c r="G15363" s="1063"/>
      <c r="H15363" s="1063"/>
      <c r="I15363" s="1063"/>
      <c r="J15363" s="1063"/>
    </row>
    <row r="15364" spans="1:10" s="1064" customFormat="1" x14ac:dyDescent="0.25">
      <c r="A15364" s="262"/>
      <c r="B15364" s="1063"/>
      <c r="C15364" s="1063"/>
      <c r="D15364" s="1063"/>
      <c r="E15364" s="1063"/>
      <c r="F15364" s="1063"/>
      <c r="G15364" s="1063"/>
      <c r="H15364" s="1063"/>
      <c r="I15364" s="1063"/>
      <c r="J15364" s="1063"/>
    </row>
    <row r="15365" spans="1:10" s="1064" customFormat="1" x14ac:dyDescent="0.25">
      <c r="A15365" s="262"/>
      <c r="B15365" s="1063"/>
      <c r="C15365" s="1063"/>
      <c r="D15365" s="1063"/>
      <c r="E15365" s="1063"/>
      <c r="F15365" s="1063"/>
      <c r="G15365" s="1063"/>
      <c r="H15365" s="1063"/>
      <c r="I15365" s="1063"/>
      <c r="J15365" s="1063"/>
    </row>
    <row r="15366" spans="1:10" s="1064" customFormat="1" x14ac:dyDescent="0.25">
      <c r="A15366" s="262"/>
      <c r="B15366" s="1063"/>
      <c r="C15366" s="1063"/>
      <c r="D15366" s="1063"/>
      <c r="E15366" s="1063"/>
      <c r="F15366" s="1063"/>
      <c r="G15366" s="1063"/>
      <c r="H15366" s="1063"/>
      <c r="I15366" s="1063"/>
      <c r="J15366" s="1063"/>
    </row>
    <row r="15367" spans="1:10" s="1064" customFormat="1" x14ac:dyDescent="0.25">
      <c r="A15367" s="262"/>
      <c r="B15367" s="1063"/>
      <c r="C15367" s="1063"/>
      <c r="D15367" s="1063"/>
      <c r="E15367" s="1063"/>
      <c r="F15367" s="1063"/>
      <c r="G15367" s="1063"/>
      <c r="H15367" s="1063"/>
      <c r="I15367" s="1063"/>
      <c r="J15367" s="1063"/>
    </row>
    <row r="15368" spans="1:10" s="1064" customFormat="1" x14ac:dyDescent="0.25">
      <c r="A15368" s="262"/>
      <c r="B15368" s="1063"/>
      <c r="C15368" s="1063"/>
      <c r="D15368" s="1063"/>
      <c r="E15368" s="1063"/>
      <c r="F15368" s="1063"/>
      <c r="G15368" s="1063"/>
      <c r="H15368" s="1063"/>
      <c r="I15368" s="1063"/>
      <c r="J15368" s="1063"/>
    </row>
    <row r="15369" spans="1:10" s="1064" customFormat="1" x14ac:dyDescent="0.25">
      <c r="A15369" s="262"/>
      <c r="B15369" s="1063"/>
      <c r="C15369" s="1063"/>
      <c r="D15369" s="1063"/>
      <c r="E15369" s="1063"/>
      <c r="F15369" s="1063"/>
      <c r="G15369" s="1063"/>
      <c r="H15369" s="1063"/>
      <c r="I15369" s="1063"/>
      <c r="J15369" s="1063"/>
    </row>
    <row r="15370" spans="1:10" s="1064" customFormat="1" x14ac:dyDescent="0.25">
      <c r="A15370" s="262"/>
      <c r="B15370" s="1063"/>
      <c r="C15370" s="1063"/>
      <c r="D15370" s="1063"/>
      <c r="E15370" s="1063"/>
      <c r="F15370" s="1063"/>
      <c r="G15370" s="1063"/>
      <c r="H15370" s="1063"/>
      <c r="I15370" s="1063"/>
      <c r="J15370" s="1063"/>
    </row>
    <row r="15371" spans="1:10" s="1064" customFormat="1" x14ac:dyDescent="0.25">
      <c r="A15371" s="262"/>
      <c r="B15371" s="1063"/>
      <c r="C15371" s="1063"/>
      <c r="D15371" s="1063"/>
      <c r="E15371" s="1063"/>
      <c r="F15371" s="1063"/>
      <c r="G15371" s="1063"/>
      <c r="H15371" s="1063"/>
      <c r="I15371" s="1063"/>
      <c r="J15371" s="1063"/>
    </row>
    <row r="15372" spans="1:10" s="1064" customFormat="1" x14ac:dyDescent="0.25">
      <c r="A15372" s="262"/>
      <c r="B15372" s="1063"/>
      <c r="C15372" s="1063"/>
      <c r="D15372" s="1063"/>
      <c r="E15372" s="1063"/>
      <c r="F15372" s="1063"/>
      <c r="G15372" s="1063"/>
      <c r="H15372" s="1063"/>
      <c r="I15372" s="1063"/>
      <c r="J15372" s="1063"/>
    </row>
    <row r="15373" spans="1:10" s="1064" customFormat="1" x14ac:dyDescent="0.25">
      <c r="A15373" s="262"/>
      <c r="B15373" s="1063"/>
      <c r="C15373" s="1063"/>
      <c r="D15373" s="1063"/>
      <c r="E15373" s="1063"/>
      <c r="F15373" s="1063"/>
      <c r="G15373" s="1063"/>
      <c r="H15373" s="1063"/>
      <c r="I15373" s="1063"/>
      <c r="J15373" s="1063"/>
    </row>
    <row r="15374" spans="1:10" s="1064" customFormat="1" x14ac:dyDescent="0.25">
      <c r="A15374" s="262"/>
      <c r="B15374" s="1063"/>
      <c r="C15374" s="1063"/>
      <c r="D15374" s="1063"/>
      <c r="E15374" s="1063"/>
      <c r="F15374" s="1063"/>
      <c r="G15374" s="1063"/>
      <c r="H15374" s="1063"/>
      <c r="I15374" s="1063"/>
      <c r="J15374" s="1063"/>
    </row>
    <row r="15375" spans="1:10" s="1064" customFormat="1" x14ac:dyDescent="0.25">
      <c r="A15375" s="262"/>
      <c r="B15375" s="1063"/>
      <c r="C15375" s="1063"/>
      <c r="D15375" s="1063"/>
      <c r="E15375" s="1063"/>
      <c r="F15375" s="1063"/>
      <c r="G15375" s="1063"/>
      <c r="H15375" s="1063"/>
      <c r="I15375" s="1063"/>
      <c r="J15375" s="1063"/>
    </row>
    <row r="15376" spans="1:10" s="1064" customFormat="1" x14ac:dyDescent="0.25">
      <c r="A15376" s="262"/>
      <c r="B15376" s="1063"/>
      <c r="C15376" s="1063"/>
      <c r="D15376" s="1063"/>
      <c r="E15376" s="1063"/>
      <c r="F15376" s="1063"/>
      <c r="G15376" s="1063"/>
      <c r="H15376" s="1063"/>
      <c r="I15376" s="1063"/>
      <c r="J15376" s="1063"/>
    </row>
    <row r="15377" spans="1:10" s="1064" customFormat="1" x14ac:dyDescent="0.25">
      <c r="A15377" s="262"/>
      <c r="B15377" s="1063"/>
      <c r="C15377" s="1063"/>
      <c r="D15377" s="1063"/>
      <c r="E15377" s="1063"/>
      <c r="F15377" s="1063"/>
      <c r="G15377" s="1063"/>
      <c r="H15377" s="1063"/>
      <c r="I15377" s="1063"/>
      <c r="J15377" s="1063"/>
    </row>
    <row r="15378" spans="1:10" s="1064" customFormat="1" x14ac:dyDescent="0.25">
      <c r="A15378" s="262"/>
      <c r="B15378" s="1063"/>
      <c r="C15378" s="1063"/>
      <c r="D15378" s="1063"/>
      <c r="E15378" s="1063"/>
      <c r="F15378" s="1063"/>
      <c r="G15378" s="1063"/>
      <c r="H15378" s="1063"/>
      <c r="I15378" s="1063"/>
      <c r="J15378" s="1063"/>
    </row>
    <row r="15379" spans="1:10" s="1064" customFormat="1" x14ac:dyDescent="0.25">
      <c r="A15379" s="262"/>
      <c r="B15379" s="1063"/>
      <c r="C15379" s="1063"/>
      <c r="D15379" s="1063"/>
      <c r="E15379" s="1063"/>
      <c r="F15379" s="1063"/>
      <c r="G15379" s="1063"/>
      <c r="H15379" s="1063"/>
      <c r="I15379" s="1063"/>
      <c r="J15379" s="1063"/>
    </row>
    <row r="15380" spans="1:10" s="1064" customFormat="1" x14ac:dyDescent="0.25">
      <c r="A15380" s="262"/>
      <c r="B15380" s="1063"/>
      <c r="C15380" s="1063"/>
      <c r="D15380" s="1063"/>
      <c r="E15380" s="1063"/>
      <c r="F15380" s="1063"/>
      <c r="G15380" s="1063"/>
      <c r="H15380" s="1063"/>
      <c r="I15380" s="1063"/>
      <c r="J15380" s="1063"/>
    </row>
    <row r="15381" spans="1:10" s="1064" customFormat="1" x14ac:dyDescent="0.25">
      <c r="A15381" s="262"/>
      <c r="B15381" s="1063"/>
      <c r="C15381" s="1063"/>
      <c r="D15381" s="1063"/>
      <c r="E15381" s="1063"/>
      <c r="F15381" s="1063"/>
      <c r="G15381" s="1063"/>
      <c r="H15381" s="1063"/>
      <c r="I15381" s="1063"/>
      <c r="J15381" s="1063"/>
    </row>
    <row r="15382" spans="1:10" s="1064" customFormat="1" x14ac:dyDescent="0.25">
      <c r="A15382" s="262"/>
      <c r="B15382" s="1063"/>
      <c r="C15382" s="1063"/>
      <c r="D15382" s="1063"/>
      <c r="E15382" s="1063"/>
      <c r="F15382" s="1063"/>
      <c r="G15382" s="1063"/>
      <c r="H15382" s="1063"/>
      <c r="I15382" s="1063"/>
      <c r="J15382" s="1063"/>
    </row>
    <row r="15383" spans="1:10" s="1064" customFormat="1" x14ac:dyDescent="0.25">
      <c r="A15383" s="262"/>
      <c r="B15383" s="1063"/>
      <c r="C15383" s="1063"/>
      <c r="D15383" s="1063"/>
      <c r="E15383" s="1063"/>
      <c r="F15383" s="1063"/>
      <c r="G15383" s="1063"/>
      <c r="H15383" s="1063"/>
      <c r="I15383" s="1063"/>
      <c r="J15383" s="1063"/>
    </row>
    <row r="15384" spans="1:10" s="1064" customFormat="1" x14ac:dyDescent="0.25">
      <c r="A15384" s="262"/>
      <c r="B15384" s="1063"/>
      <c r="C15384" s="1063"/>
      <c r="D15384" s="1063"/>
      <c r="E15384" s="1063"/>
      <c r="F15384" s="1063"/>
      <c r="G15384" s="1063"/>
      <c r="H15384" s="1063"/>
      <c r="I15384" s="1063"/>
      <c r="J15384" s="1063"/>
    </row>
    <row r="15385" spans="1:10" s="1064" customFormat="1" x14ac:dyDescent="0.25">
      <c r="A15385" s="262"/>
      <c r="B15385" s="1063"/>
      <c r="C15385" s="1063"/>
      <c r="D15385" s="1063"/>
      <c r="E15385" s="1063"/>
      <c r="F15385" s="1063"/>
      <c r="G15385" s="1063"/>
      <c r="H15385" s="1063"/>
      <c r="I15385" s="1063"/>
      <c r="J15385" s="1063"/>
    </row>
    <row r="15386" spans="1:10" s="1064" customFormat="1" x14ac:dyDescent="0.25">
      <c r="A15386" s="262"/>
      <c r="B15386" s="1063"/>
      <c r="C15386" s="1063"/>
      <c r="D15386" s="1063"/>
      <c r="E15386" s="1063"/>
      <c r="F15386" s="1063"/>
      <c r="G15386" s="1063"/>
      <c r="H15386" s="1063"/>
      <c r="I15386" s="1063"/>
      <c r="J15386" s="1063"/>
    </row>
    <row r="15387" spans="1:10" s="1064" customFormat="1" x14ac:dyDescent="0.25">
      <c r="A15387" s="262"/>
      <c r="B15387" s="1063"/>
      <c r="C15387" s="1063"/>
      <c r="D15387" s="1063"/>
      <c r="E15387" s="1063"/>
      <c r="F15387" s="1063"/>
      <c r="G15387" s="1063"/>
      <c r="H15387" s="1063"/>
      <c r="I15387" s="1063"/>
      <c r="J15387" s="1063"/>
    </row>
    <row r="15388" spans="1:10" s="1064" customFormat="1" x14ac:dyDescent="0.25">
      <c r="A15388" s="262"/>
      <c r="B15388" s="1063"/>
      <c r="C15388" s="1063"/>
      <c r="D15388" s="1063"/>
      <c r="E15388" s="1063"/>
      <c r="F15388" s="1063"/>
      <c r="G15388" s="1063"/>
      <c r="H15388" s="1063"/>
      <c r="I15388" s="1063"/>
      <c r="J15388" s="1063"/>
    </row>
    <row r="15389" spans="1:10" s="1064" customFormat="1" x14ac:dyDescent="0.25">
      <c r="A15389" s="262"/>
      <c r="B15389" s="1063"/>
      <c r="C15389" s="1063"/>
      <c r="D15389" s="1063"/>
      <c r="E15389" s="1063"/>
      <c r="F15389" s="1063"/>
      <c r="G15389" s="1063"/>
      <c r="H15389" s="1063"/>
      <c r="I15389" s="1063"/>
      <c r="J15389" s="1063"/>
    </row>
    <row r="15390" spans="1:10" s="1064" customFormat="1" x14ac:dyDescent="0.25">
      <c r="A15390" s="262"/>
      <c r="B15390" s="1063"/>
      <c r="C15390" s="1063"/>
      <c r="D15390" s="1063"/>
      <c r="E15390" s="1063"/>
      <c r="F15390" s="1063"/>
      <c r="G15390" s="1063"/>
      <c r="H15390" s="1063"/>
      <c r="I15390" s="1063"/>
      <c r="J15390" s="1063"/>
    </row>
    <row r="15391" spans="1:10" s="1064" customFormat="1" x14ac:dyDescent="0.25">
      <c r="A15391" s="262"/>
      <c r="B15391" s="1063"/>
      <c r="C15391" s="1063"/>
      <c r="D15391" s="1063"/>
      <c r="E15391" s="1063"/>
      <c r="F15391" s="1063"/>
      <c r="G15391" s="1063"/>
      <c r="H15391" s="1063"/>
      <c r="I15391" s="1063"/>
      <c r="J15391" s="1063"/>
    </row>
    <row r="15392" spans="1:10" s="1064" customFormat="1" x14ac:dyDescent="0.25">
      <c r="A15392" s="262"/>
      <c r="B15392" s="1063"/>
      <c r="C15392" s="1063"/>
      <c r="D15392" s="1063"/>
      <c r="E15392" s="1063"/>
      <c r="F15392" s="1063"/>
      <c r="G15392" s="1063"/>
      <c r="H15392" s="1063"/>
      <c r="I15392" s="1063"/>
      <c r="J15392" s="1063"/>
    </row>
    <row r="15393" spans="1:10" s="1064" customFormat="1" x14ac:dyDescent="0.25">
      <c r="A15393" s="262"/>
      <c r="B15393" s="1063"/>
      <c r="C15393" s="1063"/>
      <c r="D15393" s="1063"/>
      <c r="E15393" s="1063"/>
      <c r="F15393" s="1063"/>
      <c r="G15393" s="1063"/>
      <c r="H15393" s="1063"/>
      <c r="I15393" s="1063"/>
      <c r="J15393" s="1063"/>
    </row>
    <row r="15394" spans="1:10" s="1064" customFormat="1" x14ac:dyDescent="0.25">
      <c r="A15394" s="262"/>
      <c r="B15394" s="1063"/>
      <c r="C15394" s="1063"/>
      <c r="D15394" s="1063"/>
      <c r="E15394" s="1063"/>
      <c r="F15394" s="1063"/>
      <c r="G15394" s="1063"/>
      <c r="H15394" s="1063"/>
      <c r="I15394" s="1063"/>
      <c r="J15394" s="1063"/>
    </row>
    <row r="15395" spans="1:10" s="1064" customFormat="1" x14ac:dyDescent="0.25">
      <c r="A15395" s="262"/>
      <c r="B15395" s="1063"/>
      <c r="C15395" s="1063"/>
      <c r="D15395" s="1063"/>
      <c r="E15395" s="1063"/>
      <c r="F15395" s="1063"/>
      <c r="G15395" s="1063"/>
      <c r="H15395" s="1063"/>
      <c r="I15395" s="1063"/>
      <c r="J15395" s="1063"/>
    </row>
    <row r="15396" spans="1:10" s="1064" customFormat="1" x14ac:dyDescent="0.25">
      <c r="A15396" s="262"/>
      <c r="B15396" s="1063"/>
      <c r="C15396" s="1063"/>
      <c r="D15396" s="1063"/>
      <c r="E15396" s="1063"/>
      <c r="F15396" s="1063"/>
      <c r="G15396" s="1063"/>
      <c r="H15396" s="1063"/>
      <c r="I15396" s="1063"/>
      <c r="J15396" s="1063"/>
    </row>
    <row r="15397" spans="1:10" s="1064" customFormat="1" x14ac:dyDescent="0.25">
      <c r="A15397" s="262"/>
      <c r="B15397" s="1063"/>
      <c r="C15397" s="1063"/>
      <c r="D15397" s="1063"/>
      <c r="E15397" s="1063"/>
      <c r="F15397" s="1063"/>
      <c r="G15397" s="1063"/>
      <c r="H15397" s="1063"/>
      <c r="I15397" s="1063"/>
      <c r="J15397" s="1063"/>
    </row>
    <row r="15398" spans="1:10" s="1064" customFormat="1" x14ac:dyDescent="0.25">
      <c r="A15398" s="262"/>
      <c r="B15398" s="1063"/>
      <c r="C15398" s="1063"/>
      <c r="D15398" s="1063"/>
      <c r="E15398" s="1063"/>
      <c r="F15398" s="1063"/>
      <c r="G15398" s="1063"/>
      <c r="H15398" s="1063"/>
      <c r="I15398" s="1063"/>
      <c r="J15398" s="1063"/>
    </row>
    <row r="15399" spans="1:10" s="1064" customFormat="1" x14ac:dyDescent="0.25">
      <c r="A15399" s="262"/>
      <c r="B15399" s="1063"/>
      <c r="C15399" s="1063"/>
      <c r="D15399" s="1063"/>
      <c r="E15399" s="1063"/>
      <c r="F15399" s="1063"/>
      <c r="G15399" s="1063"/>
      <c r="H15399" s="1063"/>
      <c r="I15399" s="1063"/>
      <c r="J15399" s="1063"/>
    </row>
    <row r="15400" spans="1:10" s="1064" customFormat="1" x14ac:dyDescent="0.25">
      <c r="A15400" s="262"/>
      <c r="B15400" s="1063"/>
      <c r="C15400" s="1063"/>
      <c r="D15400" s="1063"/>
      <c r="E15400" s="1063"/>
      <c r="F15400" s="1063"/>
      <c r="G15400" s="1063"/>
      <c r="H15400" s="1063"/>
      <c r="I15400" s="1063"/>
      <c r="J15400" s="1063"/>
    </row>
    <row r="15401" spans="1:10" s="1064" customFormat="1" x14ac:dyDescent="0.25">
      <c r="A15401" s="262"/>
      <c r="B15401" s="1063"/>
      <c r="C15401" s="1063"/>
      <c r="D15401" s="1063"/>
      <c r="E15401" s="1063"/>
      <c r="F15401" s="1063"/>
      <c r="G15401" s="1063"/>
      <c r="H15401" s="1063"/>
      <c r="I15401" s="1063"/>
      <c r="J15401" s="1063"/>
    </row>
    <row r="15402" spans="1:10" s="1064" customFormat="1" x14ac:dyDescent="0.25">
      <c r="A15402" s="262"/>
      <c r="B15402" s="1063"/>
      <c r="C15402" s="1063"/>
      <c r="D15402" s="1063"/>
      <c r="E15402" s="1063"/>
      <c r="F15402" s="1063"/>
      <c r="G15402" s="1063"/>
      <c r="H15402" s="1063"/>
      <c r="I15402" s="1063"/>
      <c r="J15402" s="1063"/>
    </row>
    <row r="15403" spans="1:10" s="1064" customFormat="1" x14ac:dyDescent="0.25">
      <c r="A15403" s="262"/>
      <c r="B15403" s="1063"/>
      <c r="C15403" s="1063"/>
      <c r="D15403" s="1063"/>
      <c r="E15403" s="1063"/>
      <c r="F15403" s="1063"/>
      <c r="G15403" s="1063"/>
      <c r="H15403" s="1063"/>
      <c r="I15403" s="1063"/>
      <c r="J15403" s="1063"/>
    </row>
    <row r="15404" spans="1:10" s="1064" customFormat="1" x14ac:dyDescent="0.25">
      <c r="A15404" s="262"/>
      <c r="B15404" s="1063"/>
      <c r="C15404" s="1063"/>
      <c r="D15404" s="1063"/>
      <c r="E15404" s="1063"/>
      <c r="F15404" s="1063"/>
      <c r="G15404" s="1063"/>
      <c r="H15404" s="1063"/>
      <c r="I15404" s="1063"/>
      <c r="J15404" s="1063"/>
    </row>
    <row r="15405" spans="1:10" s="1064" customFormat="1" x14ac:dyDescent="0.25">
      <c r="A15405" s="262"/>
      <c r="B15405" s="1063"/>
      <c r="C15405" s="1063"/>
      <c r="D15405" s="1063"/>
      <c r="E15405" s="1063"/>
      <c r="F15405" s="1063"/>
      <c r="G15405" s="1063"/>
      <c r="H15405" s="1063"/>
      <c r="I15405" s="1063"/>
      <c r="J15405" s="1063"/>
    </row>
    <row r="15406" spans="1:10" s="1064" customFormat="1" x14ac:dyDescent="0.25">
      <c r="A15406" s="262"/>
      <c r="B15406" s="1063"/>
      <c r="C15406" s="1063"/>
      <c r="D15406" s="1063"/>
      <c r="E15406" s="1063"/>
      <c r="F15406" s="1063"/>
      <c r="G15406" s="1063"/>
      <c r="H15406" s="1063"/>
      <c r="I15406" s="1063"/>
      <c r="J15406" s="1063"/>
    </row>
    <row r="15407" spans="1:10" s="1064" customFormat="1" x14ac:dyDescent="0.25">
      <c r="A15407" s="262"/>
      <c r="B15407" s="1063"/>
      <c r="C15407" s="1063"/>
      <c r="D15407" s="1063"/>
      <c r="E15407" s="1063"/>
      <c r="F15407" s="1063"/>
      <c r="G15407" s="1063"/>
      <c r="H15407" s="1063"/>
      <c r="I15407" s="1063"/>
      <c r="J15407" s="1063"/>
    </row>
    <row r="15408" spans="1:10" s="1064" customFormat="1" x14ac:dyDescent="0.25">
      <c r="A15408" s="262"/>
      <c r="B15408" s="1063"/>
      <c r="C15408" s="1063"/>
      <c r="D15408" s="1063"/>
      <c r="E15408" s="1063"/>
      <c r="F15408" s="1063"/>
      <c r="G15408" s="1063"/>
      <c r="H15408" s="1063"/>
      <c r="I15408" s="1063"/>
      <c r="J15408" s="1063"/>
    </row>
    <row r="15409" spans="1:10" s="1064" customFormat="1" x14ac:dyDescent="0.25">
      <c r="A15409" s="262"/>
      <c r="B15409" s="1063"/>
      <c r="C15409" s="1063"/>
      <c r="D15409" s="1063"/>
      <c r="E15409" s="1063"/>
      <c r="F15409" s="1063"/>
      <c r="G15409" s="1063"/>
      <c r="H15409" s="1063"/>
      <c r="I15409" s="1063"/>
      <c r="J15409" s="1063"/>
    </row>
    <row r="15410" spans="1:10" s="1064" customFormat="1" x14ac:dyDescent="0.25">
      <c r="A15410" s="262"/>
      <c r="B15410" s="1063"/>
      <c r="C15410" s="1063"/>
      <c r="D15410" s="1063"/>
      <c r="E15410" s="1063"/>
      <c r="F15410" s="1063"/>
      <c r="G15410" s="1063"/>
      <c r="H15410" s="1063"/>
      <c r="I15410" s="1063"/>
      <c r="J15410" s="1063"/>
    </row>
    <row r="15411" spans="1:10" s="1064" customFormat="1" x14ac:dyDescent="0.25">
      <c r="A15411" s="262"/>
      <c r="B15411" s="1063"/>
      <c r="C15411" s="1063"/>
      <c r="D15411" s="1063"/>
      <c r="E15411" s="1063"/>
      <c r="F15411" s="1063"/>
      <c r="G15411" s="1063"/>
      <c r="H15411" s="1063"/>
      <c r="I15411" s="1063"/>
      <c r="J15411" s="1063"/>
    </row>
    <row r="15412" spans="1:10" s="1064" customFormat="1" x14ac:dyDescent="0.25">
      <c r="A15412" s="262"/>
      <c r="B15412" s="1063"/>
      <c r="C15412" s="1063"/>
      <c r="D15412" s="1063"/>
      <c r="E15412" s="1063"/>
      <c r="F15412" s="1063"/>
      <c r="G15412" s="1063"/>
      <c r="H15412" s="1063"/>
      <c r="I15412" s="1063"/>
      <c r="J15412" s="1063"/>
    </row>
    <row r="15413" spans="1:10" s="1064" customFormat="1" x14ac:dyDescent="0.25">
      <c r="A15413" s="262"/>
      <c r="B15413" s="1063"/>
      <c r="C15413" s="1063"/>
      <c r="D15413" s="1063"/>
      <c r="E15413" s="1063"/>
      <c r="F15413" s="1063"/>
      <c r="G15413" s="1063"/>
      <c r="H15413" s="1063"/>
      <c r="I15413" s="1063"/>
      <c r="J15413" s="1063"/>
    </row>
    <row r="15414" spans="1:10" s="1064" customFormat="1" x14ac:dyDescent="0.25">
      <c r="A15414" s="262"/>
      <c r="B15414" s="1063"/>
      <c r="C15414" s="1063"/>
      <c r="D15414" s="1063"/>
      <c r="E15414" s="1063"/>
      <c r="F15414" s="1063"/>
      <c r="G15414" s="1063"/>
      <c r="H15414" s="1063"/>
      <c r="I15414" s="1063"/>
      <c r="J15414" s="1063"/>
    </row>
    <row r="15415" spans="1:10" s="1064" customFormat="1" x14ac:dyDescent="0.25">
      <c r="A15415" s="262"/>
      <c r="B15415" s="1063"/>
      <c r="C15415" s="1063"/>
      <c r="D15415" s="1063"/>
      <c r="E15415" s="1063"/>
      <c r="F15415" s="1063"/>
      <c r="G15415" s="1063"/>
      <c r="H15415" s="1063"/>
      <c r="I15415" s="1063"/>
      <c r="J15415" s="1063"/>
    </row>
    <row r="15416" spans="1:10" s="1064" customFormat="1" x14ac:dyDescent="0.25">
      <c r="A15416" s="262"/>
      <c r="B15416" s="1063"/>
      <c r="C15416" s="1063"/>
      <c r="D15416" s="1063"/>
      <c r="E15416" s="1063"/>
      <c r="F15416" s="1063"/>
      <c r="G15416" s="1063"/>
      <c r="H15416" s="1063"/>
      <c r="I15416" s="1063"/>
      <c r="J15416" s="1063"/>
    </row>
    <row r="15417" spans="1:10" s="1064" customFormat="1" x14ac:dyDescent="0.25">
      <c r="A15417" s="262"/>
      <c r="B15417" s="1063"/>
      <c r="C15417" s="1063"/>
      <c r="D15417" s="1063"/>
      <c r="E15417" s="1063"/>
      <c r="F15417" s="1063"/>
      <c r="G15417" s="1063"/>
      <c r="H15417" s="1063"/>
      <c r="I15417" s="1063"/>
      <c r="J15417" s="1063"/>
    </row>
    <row r="15418" spans="1:10" s="1064" customFormat="1" x14ac:dyDescent="0.25">
      <c r="A15418" s="262"/>
      <c r="B15418" s="1063"/>
      <c r="C15418" s="1063"/>
      <c r="D15418" s="1063"/>
      <c r="E15418" s="1063"/>
      <c r="F15418" s="1063"/>
      <c r="G15418" s="1063"/>
      <c r="H15418" s="1063"/>
      <c r="I15418" s="1063"/>
      <c r="J15418" s="1063"/>
    </row>
    <row r="15419" spans="1:10" s="1064" customFormat="1" x14ac:dyDescent="0.25">
      <c r="A15419" s="262"/>
      <c r="B15419" s="1063"/>
      <c r="C15419" s="1063"/>
      <c r="D15419" s="1063"/>
      <c r="E15419" s="1063"/>
      <c r="F15419" s="1063"/>
      <c r="G15419" s="1063"/>
      <c r="H15419" s="1063"/>
      <c r="I15419" s="1063"/>
      <c r="J15419" s="1063"/>
    </row>
    <row r="15420" spans="1:10" s="1064" customFormat="1" x14ac:dyDescent="0.25">
      <c r="A15420" s="262"/>
      <c r="B15420" s="1063"/>
      <c r="C15420" s="1063"/>
      <c r="D15420" s="1063"/>
      <c r="E15420" s="1063"/>
      <c r="F15420" s="1063"/>
      <c r="G15420" s="1063"/>
      <c r="H15420" s="1063"/>
      <c r="I15420" s="1063"/>
      <c r="J15420" s="1063"/>
    </row>
    <row r="15421" spans="1:10" s="1064" customFormat="1" x14ac:dyDescent="0.25">
      <c r="A15421" s="262"/>
      <c r="B15421" s="1063"/>
      <c r="C15421" s="1063"/>
      <c r="D15421" s="1063"/>
      <c r="E15421" s="1063"/>
      <c r="F15421" s="1063"/>
      <c r="G15421" s="1063"/>
      <c r="H15421" s="1063"/>
      <c r="I15421" s="1063"/>
      <c r="J15421" s="1063"/>
    </row>
    <row r="15422" spans="1:10" s="1064" customFormat="1" x14ac:dyDescent="0.25">
      <c r="A15422" s="262"/>
      <c r="B15422" s="1063"/>
      <c r="C15422" s="1063"/>
      <c r="D15422" s="1063"/>
      <c r="E15422" s="1063"/>
      <c r="F15422" s="1063"/>
      <c r="G15422" s="1063"/>
      <c r="H15422" s="1063"/>
      <c r="I15422" s="1063"/>
      <c r="J15422" s="1063"/>
    </row>
    <row r="15423" spans="1:10" s="1064" customFormat="1" x14ac:dyDescent="0.25">
      <c r="A15423" s="262"/>
      <c r="B15423" s="1063"/>
      <c r="C15423" s="1063"/>
      <c r="D15423" s="1063"/>
      <c r="E15423" s="1063"/>
      <c r="F15423" s="1063"/>
      <c r="G15423" s="1063"/>
      <c r="H15423" s="1063"/>
      <c r="I15423" s="1063"/>
      <c r="J15423" s="1063"/>
    </row>
    <row r="15424" spans="1:10" s="1064" customFormat="1" x14ac:dyDescent="0.25">
      <c r="A15424" s="262"/>
      <c r="B15424" s="1063"/>
      <c r="C15424" s="1063"/>
      <c r="D15424" s="1063"/>
      <c r="E15424" s="1063"/>
      <c r="F15424" s="1063"/>
      <c r="G15424" s="1063"/>
      <c r="H15424" s="1063"/>
      <c r="I15424" s="1063"/>
      <c r="J15424" s="1063"/>
    </row>
    <row r="15425" spans="1:10" s="1064" customFormat="1" x14ac:dyDescent="0.25">
      <c r="A15425" s="262"/>
      <c r="B15425" s="1063"/>
      <c r="C15425" s="1063"/>
      <c r="D15425" s="1063"/>
      <c r="E15425" s="1063"/>
      <c r="F15425" s="1063"/>
      <c r="G15425" s="1063"/>
      <c r="H15425" s="1063"/>
      <c r="I15425" s="1063"/>
      <c r="J15425" s="1063"/>
    </row>
    <row r="15426" spans="1:10" s="1064" customFormat="1" x14ac:dyDescent="0.25">
      <c r="A15426" s="262"/>
      <c r="B15426" s="1063"/>
      <c r="C15426" s="1063"/>
      <c r="D15426" s="1063"/>
      <c r="E15426" s="1063"/>
      <c r="F15426" s="1063"/>
      <c r="G15426" s="1063"/>
      <c r="H15426" s="1063"/>
      <c r="I15426" s="1063"/>
      <c r="J15426" s="1063"/>
    </row>
    <row r="15427" spans="1:10" s="1064" customFormat="1" x14ac:dyDescent="0.25">
      <c r="A15427" s="262"/>
      <c r="B15427" s="1063"/>
      <c r="C15427" s="1063"/>
      <c r="D15427" s="1063"/>
      <c r="E15427" s="1063"/>
      <c r="F15427" s="1063"/>
      <c r="G15427" s="1063"/>
      <c r="H15427" s="1063"/>
      <c r="I15427" s="1063"/>
      <c r="J15427" s="1063"/>
    </row>
    <row r="15428" spans="1:10" s="1064" customFormat="1" x14ac:dyDescent="0.25">
      <c r="A15428" s="262"/>
      <c r="B15428" s="1063"/>
      <c r="C15428" s="1063"/>
      <c r="D15428" s="1063"/>
      <c r="E15428" s="1063"/>
      <c r="F15428" s="1063"/>
      <c r="G15428" s="1063"/>
      <c r="H15428" s="1063"/>
      <c r="I15428" s="1063"/>
      <c r="J15428" s="1063"/>
    </row>
    <row r="15429" spans="1:10" s="1064" customFormat="1" x14ac:dyDescent="0.25">
      <c r="A15429" s="262"/>
      <c r="B15429" s="1063"/>
      <c r="C15429" s="1063"/>
      <c r="D15429" s="1063"/>
      <c r="E15429" s="1063"/>
      <c r="F15429" s="1063"/>
      <c r="G15429" s="1063"/>
      <c r="H15429" s="1063"/>
      <c r="I15429" s="1063"/>
      <c r="J15429" s="1063"/>
    </row>
    <row r="15430" spans="1:10" s="1064" customFormat="1" x14ac:dyDescent="0.25">
      <c r="A15430" s="262"/>
      <c r="B15430" s="1063"/>
      <c r="C15430" s="1063"/>
      <c r="D15430" s="1063"/>
      <c r="E15430" s="1063"/>
      <c r="F15430" s="1063"/>
      <c r="G15430" s="1063"/>
      <c r="H15430" s="1063"/>
      <c r="I15430" s="1063"/>
      <c r="J15430" s="1063"/>
    </row>
    <row r="15431" spans="1:10" s="1064" customFormat="1" x14ac:dyDescent="0.25">
      <c r="A15431" s="262"/>
      <c r="B15431" s="1063"/>
      <c r="C15431" s="1063"/>
      <c r="D15431" s="1063"/>
      <c r="E15431" s="1063"/>
      <c r="F15431" s="1063"/>
      <c r="G15431" s="1063"/>
      <c r="H15431" s="1063"/>
      <c r="I15431" s="1063"/>
      <c r="J15431" s="1063"/>
    </row>
    <row r="15432" spans="1:10" s="1064" customFormat="1" x14ac:dyDescent="0.25">
      <c r="A15432" s="262"/>
      <c r="B15432" s="1063"/>
      <c r="C15432" s="1063"/>
      <c r="D15432" s="1063"/>
      <c r="E15432" s="1063"/>
      <c r="F15432" s="1063"/>
      <c r="G15432" s="1063"/>
      <c r="H15432" s="1063"/>
      <c r="I15432" s="1063"/>
      <c r="J15432" s="1063"/>
    </row>
    <row r="15433" spans="1:10" s="1064" customFormat="1" x14ac:dyDescent="0.25">
      <c r="A15433" s="262"/>
      <c r="B15433" s="1063"/>
      <c r="C15433" s="1063"/>
      <c r="D15433" s="1063"/>
      <c r="E15433" s="1063"/>
      <c r="F15433" s="1063"/>
      <c r="G15433" s="1063"/>
      <c r="H15433" s="1063"/>
      <c r="I15433" s="1063"/>
      <c r="J15433" s="1063"/>
    </row>
    <row r="15434" spans="1:10" s="1064" customFormat="1" x14ac:dyDescent="0.25">
      <c r="A15434" s="262"/>
      <c r="B15434" s="1063"/>
      <c r="C15434" s="1063"/>
      <c r="D15434" s="1063"/>
      <c r="E15434" s="1063"/>
      <c r="F15434" s="1063"/>
      <c r="G15434" s="1063"/>
      <c r="H15434" s="1063"/>
      <c r="I15434" s="1063"/>
      <c r="J15434" s="1063"/>
    </row>
    <row r="15435" spans="1:10" s="1064" customFormat="1" x14ac:dyDescent="0.25">
      <c r="A15435" s="262"/>
      <c r="B15435" s="1063"/>
      <c r="C15435" s="1063"/>
      <c r="D15435" s="1063"/>
      <c r="E15435" s="1063"/>
      <c r="F15435" s="1063"/>
      <c r="G15435" s="1063"/>
      <c r="H15435" s="1063"/>
      <c r="I15435" s="1063"/>
      <c r="J15435" s="1063"/>
    </row>
    <row r="15436" spans="1:10" s="1064" customFormat="1" x14ac:dyDescent="0.25">
      <c r="A15436" s="262"/>
      <c r="B15436" s="1063"/>
      <c r="C15436" s="1063"/>
      <c r="D15436" s="1063"/>
      <c r="E15436" s="1063"/>
      <c r="F15436" s="1063"/>
      <c r="G15436" s="1063"/>
      <c r="H15436" s="1063"/>
      <c r="I15436" s="1063"/>
      <c r="J15436" s="1063"/>
    </row>
    <row r="15437" spans="1:10" s="1064" customFormat="1" x14ac:dyDescent="0.25">
      <c r="A15437" s="262"/>
      <c r="B15437" s="1063"/>
      <c r="C15437" s="1063"/>
      <c r="D15437" s="1063"/>
      <c r="E15437" s="1063"/>
      <c r="F15437" s="1063"/>
      <c r="G15437" s="1063"/>
      <c r="H15437" s="1063"/>
      <c r="I15437" s="1063"/>
      <c r="J15437" s="1063"/>
    </row>
    <row r="15438" spans="1:10" s="1064" customFormat="1" x14ac:dyDescent="0.25">
      <c r="A15438" s="262"/>
      <c r="B15438" s="1063"/>
      <c r="C15438" s="1063"/>
      <c r="D15438" s="1063"/>
      <c r="E15438" s="1063"/>
      <c r="F15438" s="1063"/>
      <c r="G15438" s="1063"/>
      <c r="H15438" s="1063"/>
      <c r="I15438" s="1063"/>
      <c r="J15438" s="1063"/>
    </row>
    <row r="15439" spans="1:10" s="1064" customFormat="1" x14ac:dyDescent="0.25">
      <c r="A15439" s="262"/>
      <c r="B15439" s="1063"/>
      <c r="C15439" s="1063"/>
      <c r="D15439" s="1063"/>
      <c r="E15439" s="1063"/>
      <c r="F15439" s="1063"/>
      <c r="G15439" s="1063"/>
      <c r="H15439" s="1063"/>
      <c r="I15439" s="1063"/>
      <c r="J15439" s="1063"/>
    </row>
    <row r="15440" spans="1:10" s="1064" customFormat="1" x14ac:dyDescent="0.25">
      <c r="A15440" s="262"/>
      <c r="B15440" s="1063"/>
      <c r="C15440" s="1063"/>
      <c r="D15440" s="1063"/>
      <c r="E15440" s="1063"/>
      <c r="F15440" s="1063"/>
      <c r="G15440" s="1063"/>
      <c r="H15440" s="1063"/>
      <c r="I15440" s="1063"/>
      <c r="J15440" s="1063"/>
    </row>
    <row r="15441" spans="1:10" s="1064" customFormat="1" x14ac:dyDescent="0.25">
      <c r="A15441" s="262"/>
      <c r="B15441" s="1063"/>
      <c r="C15441" s="1063"/>
      <c r="D15441" s="1063"/>
      <c r="E15441" s="1063"/>
      <c r="F15441" s="1063"/>
      <c r="G15441" s="1063"/>
      <c r="H15441" s="1063"/>
      <c r="I15441" s="1063"/>
      <c r="J15441" s="1063"/>
    </row>
    <row r="15442" spans="1:10" s="1064" customFormat="1" x14ac:dyDescent="0.25">
      <c r="A15442" s="262"/>
      <c r="B15442" s="1063"/>
      <c r="C15442" s="1063"/>
      <c r="D15442" s="1063"/>
      <c r="E15442" s="1063"/>
      <c r="F15442" s="1063"/>
      <c r="G15442" s="1063"/>
      <c r="H15442" s="1063"/>
      <c r="I15442" s="1063"/>
      <c r="J15442" s="1063"/>
    </row>
    <row r="15443" spans="1:10" s="1064" customFormat="1" x14ac:dyDescent="0.25">
      <c r="A15443" s="262"/>
      <c r="B15443" s="1063"/>
      <c r="C15443" s="1063"/>
      <c r="D15443" s="1063"/>
      <c r="E15443" s="1063"/>
      <c r="F15443" s="1063"/>
      <c r="G15443" s="1063"/>
      <c r="H15443" s="1063"/>
      <c r="I15443" s="1063"/>
      <c r="J15443" s="1063"/>
    </row>
    <row r="15444" spans="1:10" s="1064" customFormat="1" x14ac:dyDescent="0.25">
      <c r="A15444" s="262"/>
      <c r="B15444" s="1063"/>
      <c r="C15444" s="1063"/>
      <c r="D15444" s="1063"/>
      <c r="E15444" s="1063"/>
      <c r="F15444" s="1063"/>
      <c r="G15444" s="1063"/>
      <c r="H15444" s="1063"/>
      <c r="I15444" s="1063"/>
      <c r="J15444" s="1063"/>
    </row>
    <row r="15445" spans="1:10" s="1064" customFormat="1" x14ac:dyDescent="0.25">
      <c r="A15445" s="262"/>
      <c r="B15445" s="1063"/>
      <c r="C15445" s="1063"/>
      <c r="D15445" s="1063"/>
      <c r="E15445" s="1063"/>
      <c r="F15445" s="1063"/>
      <c r="G15445" s="1063"/>
      <c r="H15445" s="1063"/>
      <c r="I15445" s="1063"/>
      <c r="J15445" s="1063"/>
    </row>
    <row r="15446" spans="1:10" s="1064" customFormat="1" x14ac:dyDescent="0.25">
      <c r="A15446" s="262"/>
      <c r="B15446" s="1063"/>
      <c r="C15446" s="1063"/>
      <c r="D15446" s="1063"/>
      <c r="E15446" s="1063"/>
      <c r="F15446" s="1063"/>
      <c r="G15446" s="1063"/>
      <c r="H15446" s="1063"/>
      <c r="I15446" s="1063"/>
      <c r="J15446" s="1063"/>
    </row>
    <row r="15447" spans="1:10" s="1064" customFormat="1" x14ac:dyDescent="0.25">
      <c r="A15447" s="262"/>
      <c r="B15447" s="1063"/>
      <c r="C15447" s="1063"/>
      <c r="D15447" s="1063"/>
      <c r="E15447" s="1063"/>
      <c r="F15447" s="1063"/>
      <c r="G15447" s="1063"/>
      <c r="H15447" s="1063"/>
      <c r="I15447" s="1063"/>
      <c r="J15447" s="1063"/>
    </row>
    <row r="15448" spans="1:10" s="1064" customFormat="1" x14ac:dyDescent="0.25">
      <c r="A15448" s="262"/>
      <c r="B15448" s="1063"/>
      <c r="C15448" s="1063"/>
      <c r="D15448" s="1063"/>
      <c r="E15448" s="1063"/>
      <c r="F15448" s="1063"/>
      <c r="G15448" s="1063"/>
      <c r="H15448" s="1063"/>
      <c r="I15448" s="1063"/>
      <c r="J15448" s="1063"/>
    </row>
    <row r="15449" spans="1:10" s="1064" customFormat="1" x14ac:dyDescent="0.25">
      <c r="A15449" s="262"/>
      <c r="B15449" s="1063"/>
      <c r="C15449" s="1063"/>
      <c r="D15449" s="1063"/>
      <c r="E15449" s="1063"/>
      <c r="F15449" s="1063"/>
      <c r="G15449" s="1063"/>
      <c r="H15449" s="1063"/>
      <c r="I15449" s="1063"/>
      <c r="J15449" s="1063"/>
    </row>
    <row r="15450" spans="1:10" s="1064" customFormat="1" x14ac:dyDescent="0.25">
      <c r="A15450" s="262"/>
      <c r="B15450" s="1063"/>
      <c r="C15450" s="1063"/>
      <c r="D15450" s="1063"/>
      <c r="E15450" s="1063"/>
      <c r="F15450" s="1063"/>
      <c r="G15450" s="1063"/>
      <c r="H15450" s="1063"/>
      <c r="I15450" s="1063"/>
      <c r="J15450" s="1063"/>
    </row>
    <row r="15451" spans="1:10" s="1064" customFormat="1" x14ac:dyDescent="0.25">
      <c r="A15451" s="262"/>
      <c r="B15451" s="1063"/>
      <c r="C15451" s="1063"/>
      <c r="D15451" s="1063"/>
      <c r="E15451" s="1063"/>
      <c r="F15451" s="1063"/>
      <c r="G15451" s="1063"/>
      <c r="H15451" s="1063"/>
      <c r="I15451" s="1063"/>
      <c r="J15451" s="1063"/>
    </row>
    <row r="15452" spans="1:10" s="1064" customFormat="1" x14ac:dyDescent="0.25">
      <c r="A15452" s="262"/>
      <c r="B15452" s="1063"/>
      <c r="C15452" s="1063"/>
      <c r="D15452" s="1063"/>
      <c r="E15452" s="1063"/>
      <c r="F15452" s="1063"/>
      <c r="G15452" s="1063"/>
      <c r="H15452" s="1063"/>
      <c r="I15452" s="1063"/>
      <c r="J15452" s="1063"/>
    </row>
    <row r="15453" spans="1:10" s="1064" customFormat="1" x14ac:dyDescent="0.25">
      <c r="A15453" s="262"/>
      <c r="B15453" s="1063"/>
      <c r="C15453" s="1063"/>
      <c r="D15453" s="1063"/>
      <c r="E15453" s="1063"/>
      <c r="F15453" s="1063"/>
      <c r="G15453" s="1063"/>
      <c r="H15453" s="1063"/>
      <c r="I15453" s="1063"/>
      <c r="J15453" s="1063"/>
    </row>
    <row r="15454" spans="1:10" s="1064" customFormat="1" x14ac:dyDescent="0.25">
      <c r="A15454" s="262"/>
      <c r="B15454" s="1063"/>
      <c r="C15454" s="1063"/>
      <c r="D15454" s="1063"/>
      <c r="E15454" s="1063"/>
      <c r="F15454" s="1063"/>
      <c r="G15454" s="1063"/>
      <c r="H15454" s="1063"/>
      <c r="I15454" s="1063"/>
      <c r="J15454" s="1063"/>
    </row>
    <row r="15455" spans="1:10" s="1064" customFormat="1" x14ac:dyDescent="0.25">
      <c r="A15455" s="262"/>
      <c r="B15455" s="1063"/>
      <c r="C15455" s="1063"/>
      <c r="D15455" s="1063"/>
      <c r="E15455" s="1063"/>
      <c r="F15455" s="1063"/>
      <c r="G15455" s="1063"/>
      <c r="H15455" s="1063"/>
      <c r="I15455" s="1063"/>
      <c r="J15455" s="1063"/>
    </row>
    <row r="15456" spans="1:10" s="1064" customFormat="1" x14ac:dyDescent="0.25">
      <c r="A15456" s="262"/>
      <c r="B15456" s="1063"/>
      <c r="C15456" s="1063"/>
      <c r="D15456" s="1063"/>
      <c r="E15456" s="1063"/>
      <c r="F15456" s="1063"/>
      <c r="G15456" s="1063"/>
      <c r="H15456" s="1063"/>
      <c r="I15456" s="1063"/>
      <c r="J15456" s="1063"/>
    </row>
    <row r="15457" spans="1:10" s="1064" customFormat="1" x14ac:dyDescent="0.25">
      <c r="A15457" s="262"/>
      <c r="B15457" s="1063"/>
      <c r="C15457" s="1063"/>
      <c r="D15457" s="1063"/>
      <c r="E15457" s="1063"/>
      <c r="F15457" s="1063"/>
      <c r="G15457" s="1063"/>
      <c r="H15457" s="1063"/>
      <c r="I15457" s="1063"/>
      <c r="J15457" s="1063"/>
    </row>
    <row r="15458" spans="1:10" s="1064" customFormat="1" x14ac:dyDescent="0.25">
      <c r="A15458" s="262"/>
      <c r="B15458" s="1063"/>
      <c r="C15458" s="1063"/>
      <c r="D15458" s="1063"/>
      <c r="E15458" s="1063"/>
      <c r="F15458" s="1063"/>
      <c r="G15458" s="1063"/>
      <c r="H15458" s="1063"/>
      <c r="I15458" s="1063"/>
      <c r="J15458" s="1063"/>
    </row>
    <row r="15459" spans="1:10" s="1064" customFormat="1" x14ac:dyDescent="0.25">
      <c r="A15459" s="262"/>
      <c r="B15459" s="1063"/>
      <c r="C15459" s="1063"/>
      <c r="D15459" s="1063"/>
      <c r="E15459" s="1063"/>
      <c r="F15459" s="1063"/>
      <c r="G15459" s="1063"/>
      <c r="H15459" s="1063"/>
      <c r="I15459" s="1063"/>
      <c r="J15459" s="1063"/>
    </row>
    <row r="15460" spans="1:10" s="1064" customFormat="1" x14ac:dyDescent="0.25">
      <c r="A15460" s="262"/>
      <c r="B15460" s="1063"/>
      <c r="C15460" s="1063"/>
      <c r="D15460" s="1063"/>
      <c r="E15460" s="1063"/>
      <c r="F15460" s="1063"/>
      <c r="G15460" s="1063"/>
      <c r="H15460" s="1063"/>
      <c r="I15460" s="1063"/>
      <c r="J15460" s="1063"/>
    </row>
    <row r="15461" spans="1:10" s="1064" customFormat="1" x14ac:dyDescent="0.25">
      <c r="A15461" s="262"/>
      <c r="B15461" s="1063"/>
      <c r="C15461" s="1063"/>
      <c r="D15461" s="1063"/>
      <c r="E15461" s="1063"/>
      <c r="F15461" s="1063"/>
      <c r="G15461" s="1063"/>
      <c r="H15461" s="1063"/>
      <c r="I15461" s="1063"/>
      <c r="J15461" s="1063"/>
    </row>
    <row r="15462" spans="1:10" s="1064" customFormat="1" x14ac:dyDescent="0.25">
      <c r="A15462" s="262"/>
      <c r="B15462" s="1063"/>
      <c r="C15462" s="1063"/>
      <c r="D15462" s="1063"/>
      <c r="E15462" s="1063"/>
      <c r="F15462" s="1063"/>
      <c r="G15462" s="1063"/>
      <c r="H15462" s="1063"/>
      <c r="I15462" s="1063"/>
      <c r="J15462" s="1063"/>
    </row>
    <row r="15463" spans="1:10" s="1064" customFormat="1" x14ac:dyDescent="0.25">
      <c r="A15463" s="262"/>
      <c r="B15463" s="1063"/>
      <c r="C15463" s="1063"/>
      <c r="D15463" s="1063"/>
      <c r="E15463" s="1063"/>
      <c r="F15463" s="1063"/>
      <c r="G15463" s="1063"/>
      <c r="H15463" s="1063"/>
      <c r="I15463" s="1063"/>
      <c r="J15463" s="1063"/>
    </row>
    <row r="15464" spans="1:10" s="1064" customFormat="1" x14ac:dyDescent="0.25">
      <c r="A15464" s="262"/>
      <c r="B15464" s="1063"/>
      <c r="C15464" s="1063"/>
      <c r="D15464" s="1063"/>
      <c r="E15464" s="1063"/>
      <c r="F15464" s="1063"/>
      <c r="G15464" s="1063"/>
      <c r="H15464" s="1063"/>
      <c r="I15464" s="1063"/>
      <c r="J15464" s="1063"/>
    </row>
    <row r="15465" spans="1:10" s="1064" customFormat="1" x14ac:dyDescent="0.25">
      <c r="A15465" s="262"/>
      <c r="B15465" s="1063"/>
      <c r="C15465" s="1063"/>
      <c r="D15465" s="1063"/>
      <c r="E15465" s="1063"/>
      <c r="F15465" s="1063"/>
      <c r="G15465" s="1063"/>
      <c r="H15465" s="1063"/>
      <c r="I15465" s="1063"/>
      <c r="J15465" s="1063"/>
    </row>
    <row r="15466" spans="1:10" s="1064" customFormat="1" x14ac:dyDescent="0.25">
      <c r="A15466" s="262"/>
      <c r="B15466" s="1063"/>
      <c r="C15466" s="1063"/>
      <c r="D15466" s="1063"/>
      <c r="E15466" s="1063"/>
      <c r="F15466" s="1063"/>
      <c r="G15466" s="1063"/>
      <c r="H15466" s="1063"/>
      <c r="I15466" s="1063"/>
      <c r="J15466" s="1063"/>
    </row>
    <row r="15467" spans="1:10" s="1064" customFormat="1" x14ac:dyDescent="0.25">
      <c r="A15467" s="262"/>
      <c r="B15467" s="1063"/>
      <c r="C15467" s="1063"/>
      <c r="D15467" s="1063"/>
      <c r="E15467" s="1063"/>
      <c r="F15467" s="1063"/>
      <c r="G15467" s="1063"/>
      <c r="H15467" s="1063"/>
      <c r="I15467" s="1063"/>
      <c r="J15467" s="1063"/>
    </row>
    <row r="15468" spans="1:10" s="1064" customFormat="1" x14ac:dyDescent="0.25">
      <c r="A15468" s="262"/>
      <c r="B15468" s="1063"/>
      <c r="C15468" s="1063"/>
      <c r="D15468" s="1063"/>
      <c r="E15468" s="1063"/>
      <c r="F15468" s="1063"/>
      <c r="G15468" s="1063"/>
      <c r="H15468" s="1063"/>
      <c r="I15468" s="1063"/>
      <c r="J15468" s="1063"/>
    </row>
    <row r="15469" spans="1:10" s="1064" customFormat="1" x14ac:dyDescent="0.25">
      <c r="A15469" s="262"/>
      <c r="B15469" s="1063"/>
      <c r="C15469" s="1063"/>
      <c r="D15469" s="1063"/>
      <c r="E15469" s="1063"/>
      <c r="F15469" s="1063"/>
      <c r="G15469" s="1063"/>
      <c r="H15469" s="1063"/>
      <c r="I15469" s="1063"/>
      <c r="J15469" s="1063"/>
    </row>
    <row r="15470" spans="1:10" s="1064" customFormat="1" x14ac:dyDescent="0.25">
      <c r="A15470" s="262"/>
      <c r="B15470" s="1063"/>
      <c r="C15470" s="1063"/>
      <c r="D15470" s="1063"/>
      <c r="E15470" s="1063"/>
      <c r="F15470" s="1063"/>
      <c r="G15470" s="1063"/>
      <c r="H15470" s="1063"/>
      <c r="I15470" s="1063"/>
      <c r="J15470" s="1063"/>
    </row>
    <row r="15471" spans="1:10" s="1064" customFormat="1" x14ac:dyDescent="0.25">
      <c r="A15471" s="262"/>
      <c r="B15471" s="1063"/>
      <c r="C15471" s="1063"/>
      <c r="D15471" s="1063"/>
      <c r="E15471" s="1063"/>
      <c r="F15471" s="1063"/>
      <c r="G15471" s="1063"/>
      <c r="H15471" s="1063"/>
      <c r="I15471" s="1063"/>
      <c r="J15471" s="1063"/>
    </row>
    <row r="15472" spans="1:10" s="1064" customFormat="1" x14ac:dyDescent="0.25">
      <c r="A15472" s="262"/>
      <c r="B15472" s="1063"/>
      <c r="C15472" s="1063"/>
      <c r="D15472" s="1063"/>
      <c r="E15472" s="1063"/>
      <c r="F15472" s="1063"/>
      <c r="G15472" s="1063"/>
      <c r="H15472" s="1063"/>
      <c r="I15472" s="1063"/>
      <c r="J15472" s="1063"/>
    </row>
    <row r="15473" spans="1:10" s="1064" customFormat="1" x14ac:dyDescent="0.25">
      <c r="A15473" s="262"/>
      <c r="B15473" s="1063"/>
      <c r="C15473" s="1063"/>
      <c r="D15473" s="1063"/>
      <c r="E15473" s="1063"/>
      <c r="F15473" s="1063"/>
      <c r="G15473" s="1063"/>
      <c r="H15473" s="1063"/>
      <c r="I15473" s="1063"/>
      <c r="J15473" s="1063"/>
    </row>
    <row r="15474" spans="1:10" s="1064" customFormat="1" x14ac:dyDescent="0.25">
      <c r="A15474" s="262"/>
      <c r="B15474" s="1063"/>
      <c r="C15474" s="1063"/>
      <c r="D15474" s="1063"/>
      <c r="E15474" s="1063"/>
      <c r="F15474" s="1063"/>
      <c r="G15474" s="1063"/>
      <c r="H15474" s="1063"/>
      <c r="I15474" s="1063"/>
      <c r="J15474" s="1063"/>
    </row>
    <row r="15475" spans="1:10" s="1064" customFormat="1" x14ac:dyDescent="0.25">
      <c r="A15475" s="262"/>
      <c r="B15475" s="1063"/>
      <c r="C15475" s="1063"/>
      <c r="D15475" s="1063"/>
      <c r="E15475" s="1063"/>
      <c r="F15475" s="1063"/>
      <c r="G15475" s="1063"/>
      <c r="H15475" s="1063"/>
      <c r="I15475" s="1063"/>
      <c r="J15475" s="1063"/>
    </row>
    <row r="15476" spans="1:10" s="1064" customFormat="1" x14ac:dyDescent="0.25">
      <c r="A15476" s="262"/>
      <c r="B15476" s="1063"/>
      <c r="C15476" s="1063"/>
      <c r="D15476" s="1063"/>
      <c r="E15476" s="1063"/>
      <c r="F15476" s="1063"/>
      <c r="G15476" s="1063"/>
      <c r="H15476" s="1063"/>
      <c r="I15476" s="1063"/>
      <c r="J15476" s="1063"/>
    </row>
    <row r="15477" spans="1:10" s="1064" customFormat="1" x14ac:dyDescent="0.25">
      <c r="A15477" s="262"/>
      <c r="B15477" s="1063"/>
      <c r="C15477" s="1063"/>
      <c r="D15477" s="1063"/>
      <c r="E15477" s="1063"/>
      <c r="F15477" s="1063"/>
      <c r="G15477" s="1063"/>
      <c r="H15477" s="1063"/>
      <c r="I15477" s="1063"/>
      <c r="J15477" s="1063"/>
    </row>
    <row r="15478" spans="1:10" s="1064" customFormat="1" x14ac:dyDescent="0.25">
      <c r="A15478" s="262"/>
      <c r="B15478" s="1063"/>
      <c r="C15478" s="1063"/>
      <c r="D15478" s="1063"/>
      <c r="E15478" s="1063"/>
      <c r="F15478" s="1063"/>
      <c r="G15478" s="1063"/>
      <c r="H15478" s="1063"/>
      <c r="I15478" s="1063"/>
      <c r="J15478" s="1063"/>
    </row>
    <row r="15479" spans="1:10" s="1064" customFormat="1" x14ac:dyDescent="0.25">
      <c r="A15479" s="262"/>
      <c r="B15479" s="1063"/>
      <c r="C15479" s="1063"/>
      <c r="D15479" s="1063"/>
      <c r="E15479" s="1063"/>
      <c r="F15479" s="1063"/>
      <c r="G15479" s="1063"/>
      <c r="H15479" s="1063"/>
      <c r="I15479" s="1063"/>
      <c r="J15479" s="1063"/>
    </row>
    <row r="15480" spans="1:10" s="1064" customFormat="1" x14ac:dyDescent="0.25">
      <c r="A15480" s="262"/>
      <c r="B15480" s="1063"/>
      <c r="C15480" s="1063"/>
      <c r="D15480" s="1063"/>
      <c r="E15480" s="1063"/>
      <c r="F15480" s="1063"/>
      <c r="G15480" s="1063"/>
      <c r="H15480" s="1063"/>
      <c r="I15480" s="1063"/>
      <c r="J15480" s="1063"/>
    </row>
    <row r="15481" spans="1:10" s="1064" customFormat="1" x14ac:dyDescent="0.25">
      <c r="A15481" s="262"/>
      <c r="B15481" s="1063"/>
      <c r="C15481" s="1063"/>
      <c r="D15481" s="1063"/>
      <c r="E15481" s="1063"/>
      <c r="F15481" s="1063"/>
      <c r="G15481" s="1063"/>
      <c r="H15481" s="1063"/>
      <c r="I15481" s="1063"/>
      <c r="J15481" s="1063"/>
    </row>
    <row r="15482" spans="1:10" s="1064" customFormat="1" x14ac:dyDescent="0.25">
      <c r="A15482" s="262"/>
      <c r="B15482" s="1063"/>
      <c r="C15482" s="1063"/>
      <c r="D15482" s="1063"/>
      <c r="E15482" s="1063"/>
      <c r="F15482" s="1063"/>
      <c r="G15482" s="1063"/>
      <c r="H15482" s="1063"/>
      <c r="I15482" s="1063"/>
      <c r="J15482" s="1063"/>
    </row>
    <row r="15483" spans="1:10" s="1064" customFormat="1" x14ac:dyDescent="0.25">
      <c r="A15483" s="262"/>
      <c r="B15483" s="1063"/>
      <c r="C15483" s="1063"/>
      <c r="D15483" s="1063"/>
      <c r="E15483" s="1063"/>
      <c r="F15483" s="1063"/>
      <c r="G15483" s="1063"/>
      <c r="H15483" s="1063"/>
      <c r="I15483" s="1063"/>
      <c r="J15483" s="1063"/>
    </row>
    <row r="15484" spans="1:10" s="1064" customFormat="1" x14ac:dyDescent="0.25">
      <c r="A15484" s="262"/>
      <c r="B15484" s="1063"/>
      <c r="C15484" s="1063"/>
      <c r="D15484" s="1063"/>
      <c r="E15484" s="1063"/>
      <c r="F15484" s="1063"/>
      <c r="G15484" s="1063"/>
      <c r="H15484" s="1063"/>
      <c r="I15484" s="1063"/>
      <c r="J15484" s="1063"/>
    </row>
    <row r="15485" spans="1:10" s="1064" customFormat="1" x14ac:dyDescent="0.25">
      <c r="A15485" s="262"/>
      <c r="B15485" s="1063"/>
      <c r="C15485" s="1063"/>
      <c r="D15485" s="1063"/>
      <c r="E15485" s="1063"/>
      <c r="F15485" s="1063"/>
      <c r="G15485" s="1063"/>
      <c r="H15485" s="1063"/>
      <c r="I15485" s="1063"/>
      <c r="J15485" s="1063"/>
    </row>
    <row r="15486" spans="1:10" s="1064" customFormat="1" x14ac:dyDescent="0.25">
      <c r="A15486" s="262"/>
      <c r="B15486" s="1063"/>
      <c r="C15486" s="1063"/>
      <c r="D15486" s="1063"/>
      <c r="E15486" s="1063"/>
      <c r="F15486" s="1063"/>
      <c r="G15486" s="1063"/>
      <c r="H15486" s="1063"/>
      <c r="I15486" s="1063"/>
      <c r="J15486" s="1063"/>
    </row>
    <row r="15487" spans="1:10" s="1064" customFormat="1" x14ac:dyDescent="0.25">
      <c r="A15487" s="262"/>
      <c r="B15487" s="1063"/>
      <c r="C15487" s="1063"/>
      <c r="D15487" s="1063"/>
      <c r="E15487" s="1063"/>
      <c r="F15487" s="1063"/>
      <c r="G15487" s="1063"/>
      <c r="H15487" s="1063"/>
      <c r="I15487" s="1063"/>
      <c r="J15487" s="1063"/>
    </row>
    <row r="15488" spans="1:10" s="1064" customFormat="1" x14ac:dyDescent="0.25">
      <c r="A15488" s="262"/>
      <c r="B15488" s="1063"/>
      <c r="C15488" s="1063"/>
      <c r="D15488" s="1063"/>
      <c r="E15488" s="1063"/>
      <c r="F15488" s="1063"/>
      <c r="G15488" s="1063"/>
      <c r="H15488" s="1063"/>
      <c r="I15488" s="1063"/>
      <c r="J15488" s="1063"/>
    </row>
    <row r="15489" spans="1:10" s="1064" customFormat="1" x14ac:dyDescent="0.25">
      <c r="A15489" s="262"/>
      <c r="B15489" s="1063"/>
      <c r="C15489" s="1063"/>
      <c r="D15489" s="1063"/>
      <c r="E15489" s="1063"/>
      <c r="F15489" s="1063"/>
      <c r="G15489" s="1063"/>
      <c r="H15489" s="1063"/>
      <c r="I15489" s="1063"/>
      <c r="J15489" s="1063"/>
    </row>
    <row r="15490" spans="1:10" s="1064" customFormat="1" x14ac:dyDescent="0.25">
      <c r="A15490" s="262"/>
      <c r="B15490" s="1063"/>
      <c r="C15490" s="1063"/>
      <c r="D15490" s="1063"/>
      <c r="E15490" s="1063"/>
      <c r="F15490" s="1063"/>
      <c r="G15490" s="1063"/>
      <c r="H15490" s="1063"/>
      <c r="I15490" s="1063"/>
      <c r="J15490" s="1063"/>
    </row>
    <row r="15491" spans="1:10" s="1064" customFormat="1" x14ac:dyDescent="0.25">
      <c r="A15491" s="262"/>
      <c r="B15491" s="1063"/>
      <c r="C15491" s="1063"/>
      <c r="D15491" s="1063"/>
      <c r="E15491" s="1063"/>
      <c r="F15491" s="1063"/>
      <c r="G15491" s="1063"/>
      <c r="H15491" s="1063"/>
      <c r="I15491" s="1063"/>
      <c r="J15491" s="1063"/>
    </row>
    <row r="15492" spans="1:10" s="1064" customFormat="1" x14ac:dyDescent="0.25">
      <c r="A15492" s="262"/>
      <c r="B15492" s="1063"/>
      <c r="C15492" s="1063"/>
      <c r="D15492" s="1063"/>
      <c r="E15492" s="1063"/>
      <c r="F15492" s="1063"/>
      <c r="G15492" s="1063"/>
      <c r="H15492" s="1063"/>
      <c r="I15492" s="1063"/>
      <c r="J15492" s="1063"/>
    </row>
    <row r="15493" spans="1:10" s="1064" customFormat="1" x14ac:dyDescent="0.25">
      <c r="A15493" s="262"/>
      <c r="B15493" s="1063"/>
      <c r="C15493" s="1063"/>
      <c r="D15493" s="1063"/>
      <c r="E15493" s="1063"/>
      <c r="F15493" s="1063"/>
      <c r="G15493" s="1063"/>
      <c r="H15493" s="1063"/>
      <c r="I15493" s="1063"/>
      <c r="J15493" s="1063"/>
    </row>
    <row r="15494" spans="1:10" s="1064" customFormat="1" x14ac:dyDescent="0.25">
      <c r="A15494" s="262"/>
      <c r="B15494" s="1063"/>
      <c r="C15494" s="1063"/>
      <c r="D15494" s="1063"/>
      <c r="E15494" s="1063"/>
      <c r="F15494" s="1063"/>
      <c r="G15494" s="1063"/>
      <c r="H15494" s="1063"/>
      <c r="I15494" s="1063"/>
      <c r="J15494" s="1063"/>
    </row>
    <row r="15495" spans="1:10" s="1064" customFormat="1" x14ac:dyDescent="0.25">
      <c r="A15495" s="262"/>
      <c r="B15495" s="1063"/>
      <c r="C15495" s="1063"/>
      <c r="D15495" s="1063"/>
      <c r="E15495" s="1063"/>
      <c r="F15495" s="1063"/>
      <c r="G15495" s="1063"/>
      <c r="H15495" s="1063"/>
      <c r="I15495" s="1063"/>
      <c r="J15495" s="1063"/>
    </row>
    <row r="15496" spans="1:10" s="1064" customFormat="1" x14ac:dyDescent="0.25">
      <c r="A15496" s="262"/>
      <c r="B15496" s="1063"/>
      <c r="C15496" s="1063"/>
      <c r="D15496" s="1063"/>
      <c r="E15496" s="1063"/>
      <c r="F15496" s="1063"/>
      <c r="G15496" s="1063"/>
      <c r="H15496" s="1063"/>
      <c r="I15496" s="1063"/>
      <c r="J15496" s="1063"/>
    </row>
    <row r="15497" spans="1:10" s="1064" customFormat="1" x14ac:dyDescent="0.25">
      <c r="A15497" s="262"/>
      <c r="B15497" s="1063"/>
      <c r="C15497" s="1063"/>
      <c r="D15497" s="1063"/>
      <c r="E15497" s="1063"/>
      <c r="F15497" s="1063"/>
      <c r="G15497" s="1063"/>
      <c r="H15497" s="1063"/>
      <c r="I15497" s="1063"/>
      <c r="J15497" s="1063"/>
    </row>
    <row r="15498" spans="1:10" s="1064" customFormat="1" x14ac:dyDescent="0.25">
      <c r="A15498" s="262"/>
      <c r="B15498" s="1063"/>
      <c r="C15498" s="1063"/>
      <c r="D15498" s="1063"/>
      <c r="E15498" s="1063"/>
      <c r="F15498" s="1063"/>
      <c r="G15498" s="1063"/>
      <c r="H15498" s="1063"/>
      <c r="I15498" s="1063"/>
      <c r="J15498" s="1063"/>
    </row>
    <row r="15499" spans="1:10" s="1064" customFormat="1" x14ac:dyDescent="0.25">
      <c r="A15499" s="262"/>
      <c r="B15499" s="1063"/>
      <c r="C15499" s="1063"/>
      <c r="D15499" s="1063"/>
      <c r="E15499" s="1063"/>
      <c r="F15499" s="1063"/>
      <c r="G15499" s="1063"/>
      <c r="H15499" s="1063"/>
      <c r="I15499" s="1063"/>
      <c r="J15499" s="1063"/>
    </row>
    <row r="15500" spans="1:10" s="1064" customFormat="1" x14ac:dyDescent="0.25">
      <c r="A15500" s="262"/>
      <c r="B15500" s="1063"/>
      <c r="C15500" s="1063"/>
      <c r="D15500" s="1063"/>
      <c r="E15500" s="1063"/>
      <c r="F15500" s="1063"/>
      <c r="G15500" s="1063"/>
      <c r="H15500" s="1063"/>
      <c r="I15500" s="1063"/>
      <c r="J15500" s="1063"/>
    </row>
    <row r="15501" spans="1:10" s="1064" customFormat="1" x14ac:dyDescent="0.25">
      <c r="A15501" s="262"/>
      <c r="B15501" s="1063"/>
      <c r="C15501" s="1063"/>
      <c r="D15501" s="1063"/>
      <c r="E15501" s="1063"/>
      <c r="F15501" s="1063"/>
      <c r="G15501" s="1063"/>
      <c r="H15501" s="1063"/>
      <c r="I15501" s="1063"/>
      <c r="J15501" s="1063"/>
    </row>
    <row r="15502" spans="1:10" s="1064" customFormat="1" x14ac:dyDescent="0.25">
      <c r="A15502" s="262"/>
      <c r="B15502" s="1063"/>
      <c r="C15502" s="1063"/>
      <c r="D15502" s="1063"/>
      <c r="E15502" s="1063"/>
      <c r="F15502" s="1063"/>
      <c r="G15502" s="1063"/>
      <c r="H15502" s="1063"/>
      <c r="I15502" s="1063"/>
      <c r="J15502" s="1063"/>
    </row>
    <row r="15503" spans="1:10" s="1064" customFormat="1" x14ac:dyDescent="0.25">
      <c r="A15503" s="262"/>
      <c r="B15503" s="1063"/>
      <c r="C15503" s="1063"/>
      <c r="D15503" s="1063"/>
      <c r="E15503" s="1063"/>
      <c r="F15503" s="1063"/>
      <c r="G15503" s="1063"/>
      <c r="H15503" s="1063"/>
      <c r="I15503" s="1063"/>
      <c r="J15503" s="1063"/>
    </row>
    <row r="15504" spans="1:10" s="1064" customFormat="1" x14ac:dyDescent="0.25">
      <c r="A15504" s="262"/>
      <c r="B15504" s="1063"/>
      <c r="C15504" s="1063"/>
      <c r="D15504" s="1063"/>
      <c r="E15504" s="1063"/>
      <c r="F15504" s="1063"/>
      <c r="G15504" s="1063"/>
      <c r="H15504" s="1063"/>
      <c r="I15504" s="1063"/>
      <c r="J15504" s="1063"/>
    </row>
    <row r="15505" spans="1:10" s="1064" customFormat="1" x14ac:dyDescent="0.25">
      <c r="A15505" s="262"/>
      <c r="B15505" s="1063"/>
      <c r="C15505" s="1063"/>
      <c r="D15505" s="1063"/>
      <c r="E15505" s="1063"/>
      <c r="F15505" s="1063"/>
      <c r="G15505" s="1063"/>
      <c r="H15505" s="1063"/>
      <c r="I15505" s="1063"/>
      <c r="J15505" s="1063"/>
    </row>
    <row r="15506" spans="1:10" s="1064" customFormat="1" x14ac:dyDescent="0.25">
      <c r="A15506" s="262"/>
      <c r="B15506" s="1063"/>
      <c r="C15506" s="1063"/>
      <c r="D15506" s="1063"/>
      <c r="E15506" s="1063"/>
      <c r="F15506" s="1063"/>
      <c r="G15506" s="1063"/>
      <c r="H15506" s="1063"/>
      <c r="I15506" s="1063"/>
      <c r="J15506" s="1063"/>
    </row>
    <row r="15507" spans="1:10" s="1064" customFormat="1" x14ac:dyDescent="0.25">
      <c r="A15507" s="262"/>
      <c r="B15507" s="1063"/>
      <c r="C15507" s="1063"/>
      <c r="D15507" s="1063"/>
      <c r="E15507" s="1063"/>
      <c r="F15507" s="1063"/>
      <c r="G15507" s="1063"/>
      <c r="H15507" s="1063"/>
      <c r="I15507" s="1063"/>
      <c r="J15507" s="1063"/>
    </row>
    <row r="15508" spans="1:10" s="1064" customFormat="1" x14ac:dyDescent="0.25">
      <c r="A15508" s="262"/>
      <c r="B15508" s="1063"/>
      <c r="C15508" s="1063"/>
      <c r="D15508" s="1063"/>
      <c r="E15508" s="1063"/>
      <c r="F15508" s="1063"/>
      <c r="G15508" s="1063"/>
      <c r="H15508" s="1063"/>
      <c r="I15508" s="1063"/>
      <c r="J15508" s="1063"/>
    </row>
    <row r="15509" spans="1:10" s="1064" customFormat="1" x14ac:dyDescent="0.25">
      <c r="A15509" s="262"/>
      <c r="B15509" s="1063"/>
      <c r="C15509" s="1063"/>
      <c r="D15509" s="1063"/>
      <c r="E15509" s="1063"/>
      <c r="F15509" s="1063"/>
      <c r="G15509" s="1063"/>
      <c r="H15509" s="1063"/>
      <c r="I15509" s="1063"/>
      <c r="J15509" s="1063"/>
    </row>
    <row r="15510" spans="1:10" s="1064" customFormat="1" x14ac:dyDescent="0.25">
      <c r="A15510" s="262"/>
      <c r="B15510" s="1063"/>
      <c r="C15510" s="1063"/>
      <c r="D15510" s="1063"/>
      <c r="E15510" s="1063"/>
      <c r="F15510" s="1063"/>
      <c r="G15510" s="1063"/>
      <c r="H15510" s="1063"/>
      <c r="I15510" s="1063"/>
      <c r="J15510" s="1063"/>
    </row>
    <row r="15511" spans="1:10" s="1064" customFormat="1" x14ac:dyDescent="0.25">
      <c r="A15511" s="262"/>
      <c r="B15511" s="1063"/>
      <c r="C15511" s="1063"/>
      <c r="D15511" s="1063"/>
      <c r="E15511" s="1063"/>
      <c r="F15511" s="1063"/>
      <c r="G15511" s="1063"/>
      <c r="H15511" s="1063"/>
      <c r="I15511" s="1063"/>
      <c r="J15511" s="1063"/>
    </row>
    <row r="15512" spans="1:10" s="1064" customFormat="1" x14ac:dyDescent="0.25">
      <c r="A15512" s="262"/>
      <c r="B15512" s="1063"/>
      <c r="C15512" s="1063"/>
      <c r="D15512" s="1063"/>
      <c r="E15512" s="1063"/>
      <c r="F15512" s="1063"/>
      <c r="G15512" s="1063"/>
      <c r="H15512" s="1063"/>
      <c r="I15512" s="1063"/>
      <c r="J15512" s="1063"/>
    </row>
    <row r="15513" spans="1:10" s="1064" customFormat="1" x14ac:dyDescent="0.25">
      <c r="A15513" s="262"/>
      <c r="B15513" s="1063"/>
      <c r="C15513" s="1063"/>
      <c r="D15513" s="1063"/>
      <c r="E15513" s="1063"/>
      <c r="F15513" s="1063"/>
      <c r="G15513" s="1063"/>
      <c r="H15513" s="1063"/>
      <c r="I15513" s="1063"/>
      <c r="J15513" s="1063"/>
    </row>
    <row r="15514" spans="1:10" s="1064" customFormat="1" x14ac:dyDescent="0.25">
      <c r="A15514" s="262"/>
      <c r="B15514" s="1063"/>
      <c r="C15514" s="1063"/>
      <c r="D15514" s="1063"/>
      <c r="E15514" s="1063"/>
      <c r="F15514" s="1063"/>
      <c r="G15514" s="1063"/>
      <c r="H15514" s="1063"/>
      <c r="I15514" s="1063"/>
      <c r="J15514" s="1063"/>
    </row>
    <row r="15515" spans="1:10" s="1064" customFormat="1" x14ac:dyDescent="0.25">
      <c r="A15515" s="262"/>
      <c r="B15515" s="1063"/>
      <c r="C15515" s="1063"/>
      <c r="D15515" s="1063"/>
      <c r="E15515" s="1063"/>
      <c r="F15515" s="1063"/>
      <c r="G15515" s="1063"/>
      <c r="H15515" s="1063"/>
      <c r="I15515" s="1063"/>
      <c r="J15515" s="1063"/>
    </row>
    <row r="15516" spans="1:10" s="1064" customFormat="1" x14ac:dyDescent="0.25">
      <c r="A15516" s="262"/>
      <c r="B15516" s="1063"/>
      <c r="C15516" s="1063"/>
      <c r="D15516" s="1063"/>
      <c r="E15516" s="1063"/>
      <c r="F15516" s="1063"/>
      <c r="G15516" s="1063"/>
      <c r="H15516" s="1063"/>
      <c r="I15516" s="1063"/>
      <c r="J15516" s="1063"/>
    </row>
    <row r="15517" spans="1:10" s="1064" customFormat="1" x14ac:dyDescent="0.25">
      <c r="A15517" s="262"/>
      <c r="B15517" s="1063"/>
      <c r="C15517" s="1063"/>
      <c r="D15517" s="1063"/>
      <c r="E15517" s="1063"/>
      <c r="F15517" s="1063"/>
      <c r="G15517" s="1063"/>
      <c r="H15517" s="1063"/>
      <c r="I15517" s="1063"/>
      <c r="J15517" s="1063"/>
    </row>
    <row r="15518" spans="1:10" s="1064" customFormat="1" x14ac:dyDescent="0.25">
      <c r="A15518" s="262"/>
      <c r="B15518" s="1063"/>
      <c r="C15518" s="1063"/>
      <c r="D15518" s="1063"/>
      <c r="E15518" s="1063"/>
      <c r="F15518" s="1063"/>
      <c r="G15518" s="1063"/>
      <c r="H15518" s="1063"/>
      <c r="I15518" s="1063"/>
      <c r="J15518" s="1063"/>
    </row>
    <row r="15519" spans="1:10" s="1064" customFormat="1" x14ac:dyDescent="0.25">
      <c r="A15519" s="262"/>
      <c r="B15519" s="1063"/>
      <c r="C15519" s="1063"/>
      <c r="D15519" s="1063"/>
      <c r="E15519" s="1063"/>
      <c r="F15519" s="1063"/>
      <c r="G15519" s="1063"/>
      <c r="H15519" s="1063"/>
      <c r="I15519" s="1063"/>
      <c r="J15519" s="1063"/>
    </row>
    <row r="15520" spans="1:10" s="1064" customFormat="1" x14ac:dyDescent="0.25">
      <c r="A15520" s="262"/>
      <c r="B15520" s="1063"/>
      <c r="C15520" s="1063"/>
      <c r="D15520" s="1063"/>
      <c r="E15520" s="1063"/>
      <c r="F15520" s="1063"/>
      <c r="G15520" s="1063"/>
      <c r="H15520" s="1063"/>
      <c r="I15520" s="1063"/>
      <c r="J15520" s="1063"/>
    </row>
    <row r="15521" spans="1:10" s="1064" customFormat="1" x14ac:dyDescent="0.25">
      <c r="A15521" s="262"/>
      <c r="B15521" s="1063"/>
      <c r="C15521" s="1063"/>
      <c r="D15521" s="1063"/>
      <c r="E15521" s="1063"/>
      <c r="F15521" s="1063"/>
      <c r="G15521" s="1063"/>
      <c r="H15521" s="1063"/>
      <c r="I15521" s="1063"/>
      <c r="J15521" s="1063"/>
    </row>
    <row r="15522" spans="1:10" s="1064" customFormat="1" x14ac:dyDescent="0.25">
      <c r="A15522" s="262"/>
      <c r="B15522" s="1063"/>
      <c r="C15522" s="1063"/>
      <c r="D15522" s="1063"/>
      <c r="E15522" s="1063"/>
      <c r="F15522" s="1063"/>
      <c r="G15522" s="1063"/>
      <c r="H15522" s="1063"/>
      <c r="I15522" s="1063"/>
      <c r="J15522" s="1063"/>
    </row>
    <row r="15523" spans="1:10" s="1064" customFormat="1" x14ac:dyDescent="0.25">
      <c r="A15523" s="262"/>
      <c r="B15523" s="1063"/>
      <c r="C15523" s="1063"/>
      <c r="D15523" s="1063"/>
      <c r="E15523" s="1063"/>
      <c r="F15523" s="1063"/>
      <c r="G15523" s="1063"/>
      <c r="H15523" s="1063"/>
      <c r="I15523" s="1063"/>
      <c r="J15523" s="1063"/>
    </row>
    <row r="15524" spans="1:10" s="1064" customFormat="1" x14ac:dyDescent="0.25">
      <c r="A15524" s="262"/>
      <c r="B15524" s="1063"/>
      <c r="C15524" s="1063"/>
      <c r="D15524" s="1063"/>
      <c r="E15524" s="1063"/>
      <c r="F15524" s="1063"/>
      <c r="G15524" s="1063"/>
      <c r="H15524" s="1063"/>
      <c r="I15524" s="1063"/>
      <c r="J15524" s="1063"/>
    </row>
    <row r="15525" spans="1:10" s="1064" customFormat="1" x14ac:dyDescent="0.25">
      <c r="A15525" s="262"/>
      <c r="B15525" s="1063"/>
      <c r="C15525" s="1063"/>
      <c r="D15525" s="1063"/>
      <c r="E15525" s="1063"/>
      <c r="F15525" s="1063"/>
      <c r="G15525" s="1063"/>
      <c r="H15525" s="1063"/>
      <c r="I15525" s="1063"/>
      <c r="J15525" s="1063"/>
    </row>
    <row r="15526" spans="1:10" s="1064" customFormat="1" x14ac:dyDescent="0.25">
      <c r="A15526" s="262"/>
      <c r="B15526" s="1063"/>
      <c r="C15526" s="1063"/>
      <c r="D15526" s="1063"/>
      <c r="E15526" s="1063"/>
      <c r="F15526" s="1063"/>
      <c r="G15526" s="1063"/>
      <c r="H15526" s="1063"/>
      <c r="I15526" s="1063"/>
      <c r="J15526" s="1063"/>
    </row>
    <row r="15527" spans="1:10" s="1064" customFormat="1" x14ac:dyDescent="0.25">
      <c r="A15527" s="262"/>
      <c r="B15527" s="1063"/>
      <c r="C15527" s="1063"/>
      <c r="D15527" s="1063"/>
      <c r="E15527" s="1063"/>
      <c r="F15527" s="1063"/>
      <c r="G15527" s="1063"/>
      <c r="H15527" s="1063"/>
      <c r="I15527" s="1063"/>
      <c r="J15527" s="1063"/>
    </row>
    <row r="15528" spans="1:10" s="1064" customFormat="1" x14ac:dyDescent="0.25">
      <c r="A15528" s="262"/>
      <c r="B15528" s="1063"/>
      <c r="C15528" s="1063"/>
      <c r="D15528" s="1063"/>
      <c r="E15528" s="1063"/>
      <c r="F15528" s="1063"/>
      <c r="G15528" s="1063"/>
      <c r="H15528" s="1063"/>
      <c r="I15528" s="1063"/>
      <c r="J15528" s="1063"/>
    </row>
    <row r="15529" spans="1:10" s="1064" customFormat="1" x14ac:dyDescent="0.25">
      <c r="A15529" s="262"/>
      <c r="B15529" s="1063"/>
      <c r="C15529" s="1063"/>
      <c r="D15529" s="1063"/>
      <c r="E15529" s="1063"/>
      <c r="F15529" s="1063"/>
      <c r="G15529" s="1063"/>
      <c r="H15529" s="1063"/>
      <c r="I15529" s="1063"/>
      <c r="J15529" s="1063"/>
    </row>
    <row r="15530" spans="1:10" s="1064" customFormat="1" x14ac:dyDescent="0.25">
      <c r="A15530" s="262"/>
      <c r="B15530" s="1063"/>
      <c r="C15530" s="1063"/>
      <c r="D15530" s="1063"/>
      <c r="E15530" s="1063"/>
      <c r="F15530" s="1063"/>
      <c r="G15530" s="1063"/>
      <c r="H15530" s="1063"/>
      <c r="I15530" s="1063"/>
      <c r="J15530" s="1063"/>
    </row>
    <row r="15531" spans="1:10" s="1064" customFormat="1" x14ac:dyDescent="0.25">
      <c r="A15531" s="262"/>
      <c r="B15531" s="1063"/>
      <c r="C15531" s="1063"/>
      <c r="D15531" s="1063"/>
      <c r="E15531" s="1063"/>
      <c r="F15531" s="1063"/>
      <c r="G15531" s="1063"/>
      <c r="H15531" s="1063"/>
      <c r="I15531" s="1063"/>
      <c r="J15531" s="1063"/>
    </row>
    <row r="15532" spans="1:10" s="1064" customFormat="1" x14ac:dyDescent="0.25">
      <c r="A15532" s="262"/>
      <c r="B15532" s="1063"/>
      <c r="C15532" s="1063"/>
      <c r="D15532" s="1063"/>
      <c r="E15532" s="1063"/>
      <c r="F15532" s="1063"/>
      <c r="G15532" s="1063"/>
      <c r="H15532" s="1063"/>
      <c r="I15532" s="1063"/>
      <c r="J15532" s="1063"/>
    </row>
    <row r="15533" spans="1:10" s="1064" customFormat="1" x14ac:dyDescent="0.25">
      <c r="A15533" s="262"/>
      <c r="B15533" s="1063"/>
      <c r="C15533" s="1063"/>
      <c r="D15533" s="1063"/>
      <c r="E15533" s="1063"/>
      <c r="F15533" s="1063"/>
      <c r="G15533" s="1063"/>
      <c r="H15533" s="1063"/>
      <c r="I15533" s="1063"/>
      <c r="J15533" s="1063"/>
    </row>
    <row r="15534" spans="1:10" s="1064" customFormat="1" x14ac:dyDescent="0.25">
      <c r="A15534" s="262"/>
      <c r="B15534" s="1063"/>
      <c r="C15534" s="1063"/>
      <c r="D15534" s="1063"/>
      <c r="E15534" s="1063"/>
      <c r="F15534" s="1063"/>
      <c r="G15534" s="1063"/>
      <c r="H15534" s="1063"/>
      <c r="I15534" s="1063"/>
      <c r="J15534" s="1063"/>
    </row>
    <row r="15535" spans="1:10" s="1064" customFormat="1" x14ac:dyDescent="0.25">
      <c r="A15535" s="262"/>
      <c r="B15535" s="1063"/>
      <c r="C15535" s="1063"/>
      <c r="D15535" s="1063"/>
      <c r="E15535" s="1063"/>
      <c r="F15535" s="1063"/>
      <c r="G15535" s="1063"/>
      <c r="H15535" s="1063"/>
      <c r="I15535" s="1063"/>
      <c r="J15535" s="1063"/>
    </row>
    <row r="15536" spans="1:10" s="1064" customFormat="1" x14ac:dyDescent="0.25">
      <c r="A15536" s="262"/>
      <c r="B15536" s="1063"/>
      <c r="C15536" s="1063"/>
      <c r="D15536" s="1063"/>
      <c r="E15536" s="1063"/>
      <c r="F15536" s="1063"/>
      <c r="G15536" s="1063"/>
      <c r="H15536" s="1063"/>
      <c r="I15536" s="1063"/>
      <c r="J15536" s="1063"/>
    </row>
    <row r="15537" spans="1:10" s="1064" customFormat="1" x14ac:dyDescent="0.25">
      <c r="A15537" s="262"/>
      <c r="B15537" s="1063"/>
      <c r="C15537" s="1063"/>
      <c r="D15537" s="1063"/>
      <c r="E15537" s="1063"/>
      <c r="F15537" s="1063"/>
      <c r="G15537" s="1063"/>
      <c r="H15537" s="1063"/>
      <c r="I15537" s="1063"/>
      <c r="J15537" s="1063"/>
    </row>
    <row r="15538" spans="1:10" s="1064" customFormat="1" x14ac:dyDescent="0.25">
      <c r="A15538" s="262"/>
      <c r="B15538" s="1063"/>
      <c r="C15538" s="1063"/>
      <c r="D15538" s="1063"/>
      <c r="E15538" s="1063"/>
      <c r="F15538" s="1063"/>
      <c r="G15538" s="1063"/>
      <c r="H15538" s="1063"/>
      <c r="I15538" s="1063"/>
      <c r="J15538" s="1063"/>
    </row>
    <row r="15539" spans="1:10" s="1064" customFormat="1" x14ac:dyDescent="0.25">
      <c r="A15539" s="262"/>
      <c r="B15539" s="1063"/>
      <c r="C15539" s="1063"/>
      <c r="D15539" s="1063"/>
      <c r="E15539" s="1063"/>
      <c r="F15539" s="1063"/>
      <c r="G15539" s="1063"/>
      <c r="H15539" s="1063"/>
      <c r="I15539" s="1063"/>
      <c r="J15539" s="1063"/>
    </row>
    <row r="15540" spans="1:10" s="1064" customFormat="1" x14ac:dyDescent="0.25">
      <c r="A15540" s="262"/>
      <c r="B15540" s="1063"/>
      <c r="C15540" s="1063"/>
      <c r="D15540" s="1063"/>
      <c r="E15540" s="1063"/>
      <c r="F15540" s="1063"/>
      <c r="G15540" s="1063"/>
      <c r="H15540" s="1063"/>
      <c r="I15540" s="1063"/>
      <c r="J15540" s="1063"/>
    </row>
    <row r="15541" spans="1:10" s="1064" customFormat="1" x14ac:dyDescent="0.25">
      <c r="A15541" s="262"/>
      <c r="B15541" s="1063"/>
      <c r="C15541" s="1063"/>
      <c r="D15541" s="1063"/>
      <c r="E15541" s="1063"/>
      <c r="F15541" s="1063"/>
      <c r="G15541" s="1063"/>
      <c r="H15541" s="1063"/>
      <c r="I15541" s="1063"/>
      <c r="J15541" s="1063"/>
    </row>
    <row r="15542" spans="1:10" s="1064" customFormat="1" x14ac:dyDescent="0.25">
      <c r="A15542" s="262"/>
      <c r="B15542" s="1063"/>
      <c r="C15542" s="1063"/>
      <c r="D15542" s="1063"/>
      <c r="E15542" s="1063"/>
      <c r="F15542" s="1063"/>
      <c r="G15542" s="1063"/>
      <c r="H15542" s="1063"/>
      <c r="I15542" s="1063"/>
      <c r="J15542" s="1063"/>
    </row>
    <row r="15543" spans="1:10" s="1064" customFormat="1" x14ac:dyDescent="0.25">
      <c r="A15543" s="262"/>
      <c r="B15543" s="1063"/>
      <c r="C15543" s="1063"/>
      <c r="D15543" s="1063"/>
      <c r="E15543" s="1063"/>
      <c r="F15543" s="1063"/>
      <c r="G15543" s="1063"/>
      <c r="H15543" s="1063"/>
      <c r="I15543" s="1063"/>
      <c r="J15543" s="1063"/>
    </row>
    <row r="15544" spans="1:10" s="1064" customFormat="1" x14ac:dyDescent="0.25">
      <c r="A15544" s="262"/>
      <c r="B15544" s="1063"/>
      <c r="C15544" s="1063"/>
      <c r="D15544" s="1063"/>
      <c r="E15544" s="1063"/>
      <c r="F15544" s="1063"/>
      <c r="G15544" s="1063"/>
      <c r="H15544" s="1063"/>
      <c r="I15544" s="1063"/>
      <c r="J15544" s="1063"/>
    </row>
    <row r="15545" spans="1:10" s="1064" customFormat="1" x14ac:dyDescent="0.25">
      <c r="A15545" s="262"/>
      <c r="B15545" s="1063"/>
      <c r="C15545" s="1063"/>
      <c r="D15545" s="1063"/>
      <c r="E15545" s="1063"/>
      <c r="F15545" s="1063"/>
      <c r="G15545" s="1063"/>
      <c r="H15545" s="1063"/>
      <c r="I15545" s="1063"/>
      <c r="J15545" s="1063"/>
    </row>
    <row r="15546" spans="1:10" s="1064" customFormat="1" x14ac:dyDescent="0.25">
      <c r="A15546" s="262"/>
      <c r="B15546" s="1063"/>
      <c r="C15546" s="1063"/>
      <c r="D15546" s="1063"/>
      <c r="E15546" s="1063"/>
      <c r="F15546" s="1063"/>
      <c r="G15546" s="1063"/>
      <c r="H15546" s="1063"/>
      <c r="I15546" s="1063"/>
      <c r="J15546" s="1063"/>
    </row>
    <row r="15547" spans="1:10" s="1064" customFormat="1" x14ac:dyDescent="0.25">
      <c r="A15547" s="262"/>
      <c r="B15547" s="1063"/>
      <c r="C15547" s="1063"/>
      <c r="D15547" s="1063"/>
      <c r="E15547" s="1063"/>
      <c r="F15547" s="1063"/>
      <c r="G15547" s="1063"/>
      <c r="H15547" s="1063"/>
      <c r="I15547" s="1063"/>
      <c r="J15547" s="1063"/>
    </row>
    <row r="15548" spans="1:10" s="1064" customFormat="1" x14ac:dyDescent="0.25">
      <c r="A15548" s="262"/>
      <c r="B15548" s="1063"/>
      <c r="C15548" s="1063"/>
      <c r="D15548" s="1063"/>
      <c r="E15548" s="1063"/>
      <c r="F15548" s="1063"/>
      <c r="G15548" s="1063"/>
      <c r="H15548" s="1063"/>
      <c r="I15548" s="1063"/>
      <c r="J15548" s="1063"/>
    </row>
    <row r="15549" spans="1:10" s="1064" customFormat="1" x14ac:dyDescent="0.25">
      <c r="A15549" s="262"/>
      <c r="B15549" s="1063"/>
      <c r="C15549" s="1063"/>
      <c r="D15549" s="1063"/>
      <c r="E15549" s="1063"/>
      <c r="F15549" s="1063"/>
      <c r="G15549" s="1063"/>
      <c r="H15549" s="1063"/>
      <c r="I15549" s="1063"/>
      <c r="J15549" s="1063"/>
    </row>
    <row r="15550" spans="1:10" s="1064" customFormat="1" x14ac:dyDescent="0.25">
      <c r="A15550" s="262"/>
      <c r="B15550" s="1063"/>
      <c r="C15550" s="1063"/>
      <c r="D15550" s="1063"/>
      <c r="E15550" s="1063"/>
      <c r="F15550" s="1063"/>
      <c r="G15550" s="1063"/>
      <c r="H15550" s="1063"/>
      <c r="I15550" s="1063"/>
      <c r="J15550" s="1063"/>
    </row>
    <row r="15551" spans="1:10" s="1064" customFormat="1" x14ac:dyDescent="0.25">
      <c r="A15551" s="262"/>
      <c r="B15551" s="1063"/>
      <c r="C15551" s="1063"/>
      <c r="D15551" s="1063"/>
      <c r="E15551" s="1063"/>
      <c r="F15551" s="1063"/>
      <c r="G15551" s="1063"/>
      <c r="H15551" s="1063"/>
      <c r="I15551" s="1063"/>
      <c r="J15551" s="1063"/>
    </row>
    <row r="15552" spans="1:10" s="1064" customFormat="1" x14ac:dyDescent="0.25">
      <c r="A15552" s="262"/>
      <c r="B15552" s="1063"/>
      <c r="C15552" s="1063"/>
      <c r="D15552" s="1063"/>
      <c r="E15552" s="1063"/>
      <c r="F15552" s="1063"/>
      <c r="G15552" s="1063"/>
      <c r="H15552" s="1063"/>
      <c r="I15552" s="1063"/>
      <c r="J15552" s="1063"/>
    </row>
    <row r="15553" spans="1:10" s="1064" customFormat="1" x14ac:dyDescent="0.25">
      <c r="A15553" s="262"/>
      <c r="B15553" s="1063"/>
      <c r="C15553" s="1063"/>
      <c r="D15553" s="1063"/>
      <c r="E15553" s="1063"/>
      <c r="F15553" s="1063"/>
      <c r="G15553" s="1063"/>
      <c r="H15553" s="1063"/>
      <c r="I15553" s="1063"/>
      <c r="J15553" s="1063"/>
    </row>
    <row r="15554" spans="1:10" s="1064" customFormat="1" x14ac:dyDescent="0.25">
      <c r="A15554" s="262"/>
      <c r="B15554" s="1063"/>
      <c r="C15554" s="1063"/>
      <c r="D15554" s="1063"/>
      <c r="E15554" s="1063"/>
      <c r="F15554" s="1063"/>
      <c r="G15554" s="1063"/>
      <c r="H15554" s="1063"/>
      <c r="I15554" s="1063"/>
      <c r="J15554" s="1063"/>
    </row>
    <row r="15555" spans="1:10" s="1064" customFormat="1" x14ac:dyDescent="0.25">
      <c r="A15555" s="262"/>
      <c r="B15555" s="1063"/>
      <c r="C15555" s="1063"/>
      <c r="D15555" s="1063"/>
      <c r="E15555" s="1063"/>
      <c r="F15555" s="1063"/>
      <c r="G15555" s="1063"/>
      <c r="H15555" s="1063"/>
      <c r="I15555" s="1063"/>
      <c r="J15555" s="1063"/>
    </row>
    <row r="15556" spans="1:10" s="1064" customFormat="1" x14ac:dyDescent="0.25">
      <c r="A15556" s="262"/>
      <c r="B15556" s="1063"/>
      <c r="C15556" s="1063"/>
      <c r="D15556" s="1063"/>
      <c r="E15556" s="1063"/>
      <c r="F15556" s="1063"/>
      <c r="G15556" s="1063"/>
      <c r="H15556" s="1063"/>
      <c r="I15556" s="1063"/>
      <c r="J15556" s="1063"/>
    </row>
    <row r="15557" spans="1:10" s="1064" customFormat="1" x14ac:dyDescent="0.25">
      <c r="A15557" s="262"/>
      <c r="B15557" s="1063"/>
      <c r="C15557" s="1063"/>
      <c r="D15557" s="1063"/>
      <c r="E15557" s="1063"/>
      <c r="F15557" s="1063"/>
      <c r="G15557" s="1063"/>
      <c r="H15557" s="1063"/>
      <c r="I15557" s="1063"/>
      <c r="J15557" s="1063"/>
    </row>
    <row r="15558" spans="1:10" s="1064" customFormat="1" x14ac:dyDescent="0.25">
      <c r="A15558" s="262"/>
      <c r="B15558" s="1063"/>
      <c r="C15558" s="1063"/>
      <c r="D15558" s="1063"/>
      <c r="E15558" s="1063"/>
      <c r="F15558" s="1063"/>
      <c r="G15558" s="1063"/>
      <c r="H15558" s="1063"/>
      <c r="I15558" s="1063"/>
      <c r="J15558" s="1063"/>
    </row>
    <row r="15559" spans="1:10" s="1064" customFormat="1" x14ac:dyDescent="0.25">
      <c r="A15559" s="262"/>
      <c r="B15559" s="1063"/>
      <c r="C15559" s="1063"/>
      <c r="D15559" s="1063"/>
      <c r="E15559" s="1063"/>
      <c r="F15559" s="1063"/>
      <c r="G15559" s="1063"/>
      <c r="H15559" s="1063"/>
      <c r="I15559" s="1063"/>
      <c r="J15559" s="1063"/>
    </row>
    <row r="15560" spans="1:10" s="1064" customFormat="1" x14ac:dyDescent="0.25">
      <c r="A15560" s="262"/>
      <c r="B15560" s="1063"/>
      <c r="C15560" s="1063"/>
      <c r="D15560" s="1063"/>
      <c r="E15560" s="1063"/>
      <c r="F15560" s="1063"/>
      <c r="G15560" s="1063"/>
      <c r="H15560" s="1063"/>
      <c r="I15560" s="1063"/>
      <c r="J15560" s="1063"/>
    </row>
    <row r="15561" spans="1:10" s="1064" customFormat="1" x14ac:dyDescent="0.25">
      <c r="A15561" s="262"/>
      <c r="B15561" s="1063"/>
      <c r="C15561" s="1063"/>
      <c r="D15561" s="1063"/>
      <c r="E15561" s="1063"/>
      <c r="F15561" s="1063"/>
      <c r="G15561" s="1063"/>
      <c r="H15561" s="1063"/>
      <c r="I15561" s="1063"/>
      <c r="J15561" s="1063"/>
    </row>
    <row r="15562" spans="1:10" s="1064" customFormat="1" x14ac:dyDescent="0.25">
      <c r="A15562" s="262"/>
      <c r="B15562" s="1063"/>
      <c r="C15562" s="1063"/>
      <c r="D15562" s="1063"/>
      <c r="E15562" s="1063"/>
      <c r="F15562" s="1063"/>
      <c r="G15562" s="1063"/>
      <c r="H15562" s="1063"/>
      <c r="I15562" s="1063"/>
      <c r="J15562" s="1063"/>
    </row>
    <row r="15563" spans="1:10" s="1064" customFormat="1" x14ac:dyDescent="0.25">
      <c r="A15563" s="262"/>
      <c r="B15563" s="1063"/>
      <c r="C15563" s="1063"/>
      <c r="D15563" s="1063"/>
      <c r="E15563" s="1063"/>
      <c r="F15563" s="1063"/>
      <c r="G15563" s="1063"/>
      <c r="H15563" s="1063"/>
      <c r="I15563" s="1063"/>
      <c r="J15563" s="1063"/>
    </row>
    <row r="15564" spans="1:10" s="1064" customFormat="1" x14ac:dyDescent="0.25">
      <c r="A15564" s="262"/>
      <c r="B15564" s="1063"/>
      <c r="C15564" s="1063"/>
      <c r="D15564" s="1063"/>
      <c r="E15564" s="1063"/>
      <c r="F15564" s="1063"/>
      <c r="G15564" s="1063"/>
      <c r="H15564" s="1063"/>
      <c r="I15564" s="1063"/>
      <c r="J15564" s="1063"/>
    </row>
    <row r="15565" spans="1:10" s="1064" customFormat="1" x14ac:dyDescent="0.25">
      <c r="A15565" s="262"/>
      <c r="B15565" s="1063"/>
      <c r="C15565" s="1063"/>
      <c r="D15565" s="1063"/>
      <c r="E15565" s="1063"/>
      <c r="F15565" s="1063"/>
      <c r="G15565" s="1063"/>
      <c r="H15565" s="1063"/>
      <c r="I15565" s="1063"/>
      <c r="J15565" s="1063"/>
    </row>
    <row r="15566" spans="1:10" s="1064" customFormat="1" x14ac:dyDescent="0.25">
      <c r="A15566" s="262"/>
      <c r="B15566" s="1063"/>
      <c r="C15566" s="1063"/>
      <c r="D15566" s="1063"/>
      <c r="E15566" s="1063"/>
      <c r="F15566" s="1063"/>
      <c r="G15566" s="1063"/>
      <c r="H15566" s="1063"/>
      <c r="I15566" s="1063"/>
      <c r="J15566" s="1063"/>
    </row>
    <row r="15567" spans="1:10" s="1064" customFormat="1" x14ac:dyDescent="0.25">
      <c r="A15567" s="262"/>
      <c r="B15567" s="1063"/>
      <c r="C15567" s="1063"/>
      <c r="D15567" s="1063"/>
      <c r="E15567" s="1063"/>
      <c r="F15567" s="1063"/>
      <c r="G15567" s="1063"/>
      <c r="H15567" s="1063"/>
      <c r="I15567" s="1063"/>
      <c r="J15567" s="1063"/>
    </row>
    <row r="15568" spans="1:10" s="1064" customFormat="1" x14ac:dyDescent="0.25">
      <c r="A15568" s="262"/>
      <c r="B15568" s="1063"/>
      <c r="C15568" s="1063"/>
      <c r="D15568" s="1063"/>
      <c r="E15568" s="1063"/>
      <c r="F15568" s="1063"/>
      <c r="G15568" s="1063"/>
      <c r="H15568" s="1063"/>
      <c r="I15568" s="1063"/>
      <c r="J15568" s="1063"/>
    </row>
    <row r="15569" spans="1:10" s="1064" customFormat="1" x14ac:dyDescent="0.25">
      <c r="A15569" s="262"/>
      <c r="B15569" s="1063"/>
      <c r="C15569" s="1063"/>
      <c r="D15569" s="1063"/>
      <c r="E15569" s="1063"/>
      <c r="F15569" s="1063"/>
      <c r="G15569" s="1063"/>
      <c r="H15569" s="1063"/>
      <c r="I15569" s="1063"/>
      <c r="J15569" s="1063"/>
    </row>
    <row r="15570" spans="1:10" s="1064" customFormat="1" x14ac:dyDescent="0.25">
      <c r="A15570" s="262"/>
      <c r="B15570" s="1063"/>
      <c r="C15570" s="1063"/>
      <c r="D15570" s="1063"/>
      <c r="E15570" s="1063"/>
      <c r="F15570" s="1063"/>
      <c r="G15570" s="1063"/>
      <c r="H15570" s="1063"/>
      <c r="I15570" s="1063"/>
      <c r="J15570" s="1063"/>
    </row>
    <row r="15571" spans="1:10" s="1064" customFormat="1" x14ac:dyDescent="0.25">
      <c r="A15571" s="262"/>
      <c r="B15571" s="1063"/>
      <c r="C15571" s="1063"/>
      <c r="D15571" s="1063"/>
      <c r="E15571" s="1063"/>
      <c r="F15571" s="1063"/>
      <c r="G15571" s="1063"/>
      <c r="H15571" s="1063"/>
      <c r="I15571" s="1063"/>
      <c r="J15571" s="1063"/>
    </row>
    <row r="15572" spans="1:10" s="1064" customFormat="1" x14ac:dyDescent="0.25">
      <c r="A15572" s="262"/>
      <c r="B15572" s="1063"/>
      <c r="C15572" s="1063"/>
      <c r="D15572" s="1063"/>
      <c r="E15572" s="1063"/>
      <c r="F15572" s="1063"/>
      <c r="G15572" s="1063"/>
      <c r="H15572" s="1063"/>
      <c r="I15572" s="1063"/>
      <c r="J15572" s="1063"/>
    </row>
    <row r="15573" spans="1:10" s="1064" customFormat="1" x14ac:dyDescent="0.25">
      <c r="A15573" s="262"/>
      <c r="B15573" s="1063"/>
      <c r="C15573" s="1063"/>
      <c r="D15573" s="1063"/>
      <c r="E15573" s="1063"/>
      <c r="F15573" s="1063"/>
      <c r="G15573" s="1063"/>
      <c r="H15573" s="1063"/>
      <c r="I15573" s="1063"/>
      <c r="J15573" s="1063"/>
    </row>
    <row r="15574" spans="1:10" s="1064" customFormat="1" x14ac:dyDescent="0.25">
      <c r="A15574" s="262"/>
      <c r="B15574" s="1063"/>
      <c r="C15574" s="1063"/>
      <c r="D15574" s="1063"/>
      <c r="E15574" s="1063"/>
      <c r="F15574" s="1063"/>
      <c r="G15574" s="1063"/>
      <c r="H15574" s="1063"/>
      <c r="I15574" s="1063"/>
      <c r="J15574" s="1063"/>
    </row>
    <row r="15575" spans="1:10" s="1064" customFormat="1" x14ac:dyDescent="0.25">
      <c r="A15575" s="262"/>
      <c r="B15575" s="1063"/>
      <c r="C15575" s="1063"/>
      <c r="D15575" s="1063"/>
      <c r="E15575" s="1063"/>
      <c r="F15575" s="1063"/>
      <c r="G15575" s="1063"/>
      <c r="H15575" s="1063"/>
      <c r="I15575" s="1063"/>
      <c r="J15575" s="1063"/>
    </row>
    <row r="15576" spans="1:10" s="1064" customFormat="1" x14ac:dyDescent="0.25">
      <c r="A15576" s="262"/>
      <c r="B15576" s="1063"/>
      <c r="C15576" s="1063"/>
      <c r="D15576" s="1063"/>
      <c r="E15576" s="1063"/>
      <c r="F15576" s="1063"/>
      <c r="G15576" s="1063"/>
      <c r="H15576" s="1063"/>
      <c r="I15576" s="1063"/>
      <c r="J15576" s="1063"/>
    </row>
    <row r="15577" spans="1:10" s="1064" customFormat="1" x14ac:dyDescent="0.25">
      <c r="A15577" s="262"/>
      <c r="B15577" s="1063"/>
      <c r="C15577" s="1063"/>
      <c r="D15577" s="1063"/>
      <c r="E15577" s="1063"/>
      <c r="F15577" s="1063"/>
      <c r="G15577" s="1063"/>
      <c r="H15577" s="1063"/>
      <c r="I15577" s="1063"/>
      <c r="J15577" s="1063"/>
    </row>
    <row r="15578" spans="1:10" s="1064" customFormat="1" x14ac:dyDescent="0.25">
      <c r="A15578" s="262"/>
      <c r="B15578" s="1063"/>
      <c r="C15578" s="1063"/>
      <c r="D15578" s="1063"/>
      <c r="E15578" s="1063"/>
      <c r="F15578" s="1063"/>
      <c r="G15578" s="1063"/>
      <c r="H15578" s="1063"/>
      <c r="I15578" s="1063"/>
      <c r="J15578" s="1063"/>
    </row>
    <row r="15579" spans="1:10" s="1064" customFormat="1" x14ac:dyDescent="0.25">
      <c r="A15579" s="262"/>
      <c r="B15579" s="1063"/>
      <c r="C15579" s="1063"/>
      <c r="D15579" s="1063"/>
      <c r="E15579" s="1063"/>
      <c r="F15579" s="1063"/>
      <c r="G15579" s="1063"/>
      <c r="H15579" s="1063"/>
      <c r="I15579" s="1063"/>
      <c r="J15579" s="1063"/>
    </row>
    <row r="15580" spans="1:10" s="1064" customFormat="1" x14ac:dyDescent="0.25">
      <c r="A15580" s="262"/>
      <c r="B15580" s="1063"/>
      <c r="C15580" s="1063"/>
      <c r="D15580" s="1063"/>
      <c r="E15580" s="1063"/>
      <c r="F15580" s="1063"/>
      <c r="G15580" s="1063"/>
      <c r="H15580" s="1063"/>
      <c r="I15580" s="1063"/>
      <c r="J15580" s="1063"/>
    </row>
    <row r="15581" spans="1:10" s="1064" customFormat="1" x14ac:dyDescent="0.25">
      <c r="A15581" s="262"/>
      <c r="B15581" s="1063"/>
      <c r="C15581" s="1063"/>
      <c r="D15581" s="1063"/>
      <c r="E15581" s="1063"/>
      <c r="F15581" s="1063"/>
      <c r="G15581" s="1063"/>
      <c r="H15581" s="1063"/>
      <c r="I15581" s="1063"/>
      <c r="J15581" s="1063"/>
    </row>
    <row r="15582" spans="1:10" s="1064" customFormat="1" x14ac:dyDescent="0.25">
      <c r="A15582" s="262"/>
      <c r="B15582" s="1063"/>
      <c r="C15582" s="1063"/>
      <c r="D15582" s="1063"/>
      <c r="E15582" s="1063"/>
      <c r="F15582" s="1063"/>
      <c r="G15582" s="1063"/>
      <c r="H15582" s="1063"/>
      <c r="I15582" s="1063"/>
      <c r="J15582" s="1063"/>
    </row>
    <row r="15583" spans="1:10" s="1064" customFormat="1" x14ac:dyDescent="0.25">
      <c r="A15583" s="262"/>
      <c r="B15583" s="1063"/>
      <c r="C15583" s="1063"/>
      <c r="D15583" s="1063"/>
      <c r="E15583" s="1063"/>
      <c r="F15583" s="1063"/>
      <c r="G15583" s="1063"/>
      <c r="H15583" s="1063"/>
      <c r="I15583" s="1063"/>
      <c r="J15583" s="1063"/>
    </row>
    <row r="15584" spans="1:10" s="1064" customFormat="1" x14ac:dyDescent="0.25">
      <c r="A15584" s="262"/>
      <c r="B15584" s="1063"/>
      <c r="C15584" s="1063"/>
      <c r="D15584" s="1063"/>
      <c r="E15584" s="1063"/>
      <c r="F15584" s="1063"/>
      <c r="G15584" s="1063"/>
      <c r="H15584" s="1063"/>
      <c r="I15584" s="1063"/>
      <c r="J15584" s="1063"/>
    </row>
    <row r="15585" spans="1:10" s="1064" customFormat="1" x14ac:dyDescent="0.25">
      <c r="A15585" s="262"/>
      <c r="B15585" s="1063"/>
      <c r="C15585" s="1063"/>
      <c r="D15585" s="1063"/>
      <c r="E15585" s="1063"/>
      <c r="F15585" s="1063"/>
      <c r="G15585" s="1063"/>
      <c r="H15585" s="1063"/>
      <c r="I15585" s="1063"/>
      <c r="J15585" s="1063"/>
    </row>
    <row r="15586" spans="1:10" s="1064" customFormat="1" x14ac:dyDescent="0.25">
      <c r="A15586" s="262"/>
      <c r="B15586" s="1063"/>
      <c r="C15586" s="1063"/>
      <c r="D15586" s="1063"/>
      <c r="E15586" s="1063"/>
      <c r="F15586" s="1063"/>
      <c r="G15586" s="1063"/>
      <c r="H15586" s="1063"/>
      <c r="I15586" s="1063"/>
      <c r="J15586" s="1063"/>
    </row>
    <row r="15587" spans="1:10" s="1064" customFormat="1" x14ac:dyDescent="0.25">
      <c r="A15587" s="262"/>
      <c r="B15587" s="1063"/>
      <c r="C15587" s="1063"/>
      <c r="D15587" s="1063"/>
      <c r="E15587" s="1063"/>
      <c r="F15587" s="1063"/>
      <c r="G15587" s="1063"/>
      <c r="H15587" s="1063"/>
      <c r="I15587" s="1063"/>
      <c r="J15587" s="1063"/>
    </row>
    <row r="15588" spans="1:10" s="1064" customFormat="1" x14ac:dyDescent="0.25">
      <c r="A15588" s="262"/>
      <c r="B15588" s="1063"/>
      <c r="C15588" s="1063"/>
      <c r="D15588" s="1063"/>
      <c r="E15588" s="1063"/>
      <c r="F15588" s="1063"/>
      <c r="G15588" s="1063"/>
      <c r="H15588" s="1063"/>
      <c r="I15588" s="1063"/>
      <c r="J15588" s="1063"/>
    </row>
    <row r="15589" spans="1:10" s="1064" customFormat="1" x14ac:dyDescent="0.25">
      <c r="A15589" s="262"/>
      <c r="B15589" s="1063"/>
      <c r="C15589" s="1063"/>
      <c r="D15589" s="1063"/>
      <c r="E15589" s="1063"/>
      <c r="F15589" s="1063"/>
      <c r="G15589" s="1063"/>
      <c r="H15589" s="1063"/>
      <c r="I15589" s="1063"/>
      <c r="J15589" s="1063"/>
    </row>
    <row r="15590" spans="1:10" s="1064" customFormat="1" x14ac:dyDescent="0.25">
      <c r="A15590" s="262"/>
      <c r="B15590" s="1063"/>
      <c r="C15590" s="1063"/>
      <c r="D15590" s="1063"/>
      <c r="E15590" s="1063"/>
      <c r="F15590" s="1063"/>
      <c r="G15590" s="1063"/>
      <c r="H15590" s="1063"/>
      <c r="I15590" s="1063"/>
      <c r="J15590" s="1063"/>
    </row>
    <row r="15591" spans="1:10" s="1064" customFormat="1" x14ac:dyDescent="0.25">
      <c r="A15591" s="262"/>
      <c r="B15591" s="1063"/>
      <c r="C15591" s="1063"/>
      <c r="D15591" s="1063"/>
      <c r="E15591" s="1063"/>
      <c r="F15591" s="1063"/>
      <c r="G15591" s="1063"/>
      <c r="H15591" s="1063"/>
      <c r="I15591" s="1063"/>
      <c r="J15591" s="1063"/>
    </row>
    <row r="15592" spans="1:10" s="1064" customFormat="1" x14ac:dyDescent="0.25">
      <c r="A15592" s="262"/>
      <c r="B15592" s="1063"/>
      <c r="C15592" s="1063"/>
      <c r="D15592" s="1063"/>
      <c r="E15592" s="1063"/>
      <c r="F15592" s="1063"/>
      <c r="G15592" s="1063"/>
      <c r="H15592" s="1063"/>
      <c r="I15592" s="1063"/>
      <c r="J15592" s="1063"/>
    </row>
    <row r="15593" spans="1:10" s="1064" customFormat="1" x14ac:dyDescent="0.25">
      <c r="A15593" s="262"/>
      <c r="B15593" s="1063"/>
      <c r="C15593" s="1063"/>
      <c r="D15593" s="1063"/>
      <c r="E15593" s="1063"/>
      <c r="F15593" s="1063"/>
      <c r="G15593" s="1063"/>
      <c r="H15593" s="1063"/>
      <c r="I15593" s="1063"/>
      <c r="J15593" s="1063"/>
    </row>
    <row r="15594" spans="1:10" s="1064" customFormat="1" x14ac:dyDescent="0.25">
      <c r="A15594" s="262"/>
      <c r="B15594" s="1063"/>
      <c r="C15594" s="1063"/>
      <c r="D15594" s="1063"/>
      <c r="E15594" s="1063"/>
      <c r="F15594" s="1063"/>
      <c r="G15594" s="1063"/>
      <c r="H15594" s="1063"/>
      <c r="I15594" s="1063"/>
      <c r="J15594" s="1063"/>
    </row>
    <row r="15595" spans="1:10" s="1064" customFormat="1" x14ac:dyDescent="0.25">
      <c r="A15595" s="262"/>
      <c r="B15595" s="1063"/>
      <c r="C15595" s="1063"/>
      <c r="D15595" s="1063"/>
      <c r="E15595" s="1063"/>
      <c r="F15595" s="1063"/>
      <c r="G15595" s="1063"/>
      <c r="H15595" s="1063"/>
      <c r="I15595" s="1063"/>
      <c r="J15595" s="1063"/>
    </row>
    <row r="15596" spans="1:10" s="1064" customFormat="1" x14ac:dyDescent="0.25">
      <c r="A15596" s="262"/>
      <c r="B15596" s="1063"/>
      <c r="C15596" s="1063"/>
      <c r="D15596" s="1063"/>
      <c r="E15596" s="1063"/>
      <c r="F15596" s="1063"/>
      <c r="G15596" s="1063"/>
      <c r="H15596" s="1063"/>
      <c r="I15596" s="1063"/>
      <c r="J15596" s="1063"/>
    </row>
    <row r="15597" spans="1:10" s="1064" customFormat="1" x14ac:dyDescent="0.25">
      <c r="A15597" s="262"/>
      <c r="B15597" s="1063"/>
      <c r="C15597" s="1063"/>
      <c r="D15597" s="1063"/>
      <c r="E15597" s="1063"/>
      <c r="F15597" s="1063"/>
      <c r="G15597" s="1063"/>
      <c r="H15597" s="1063"/>
      <c r="I15597" s="1063"/>
      <c r="J15597" s="1063"/>
    </row>
    <row r="15598" spans="1:10" s="1064" customFormat="1" x14ac:dyDescent="0.25">
      <c r="A15598" s="262"/>
      <c r="B15598" s="1063"/>
      <c r="C15598" s="1063"/>
      <c r="D15598" s="1063"/>
      <c r="E15598" s="1063"/>
      <c r="F15598" s="1063"/>
      <c r="G15598" s="1063"/>
      <c r="H15598" s="1063"/>
      <c r="I15598" s="1063"/>
      <c r="J15598" s="1063"/>
    </row>
    <row r="15599" spans="1:10" s="1064" customFormat="1" x14ac:dyDescent="0.25">
      <c r="A15599" s="262"/>
      <c r="B15599" s="1063"/>
      <c r="C15599" s="1063"/>
      <c r="D15599" s="1063"/>
      <c r="E15599" s="1063"/>
      <c r="F15599" s="1063"/>
      <c r="G15599" s="1063"/>
      <c r="H15599" s="1063"/>
      <c r="I15599" s="1063"/>
      <c r="J15599" s="1063"/>
    </row>
    <row r="15600" spans="1:10" s="1064" customFormat="1" x14ac:dyDescent="0.25">
      <c r="A15600" s="262"/>
      <c r="B15600" s="1063"/>
      <c r="C15600" s="1063"/>
      <c r="D15600" s="1063"/>
      <c r="E15600" s="1063"/>
      <c r="F15600" s="1063"/>
      <c r="G15600" s="1063"/>
      <c r="H15600" s="1063"/>
      <c r="I15600" s="1063"/>
      <c r="J15600" s="1063"/>
    </row>
    <row r="15601" spans="1:10" s="1064" customFormat="1" x14ac:dyDescent="0.25">
      <c r="A15601" s="262"/>
      <c r="B15601" s="1063"/>
      <c r="C15601" s="1063"/>
      <c r="D15601" s="1063"/>
      <c r="E15601" s="1063"/>
      <c r="F15601" s="1063"/>
      <c r="G15601" s="1063"/>
      <c r="H15601" s="1063"/>
      <c r="I15601" s="1063"/>
      <c r="J15601" s="1063"/>
    </row>
    <row r="15602" spans="1:10" s="1064" customFormat="1" x14ac:dyDescent="0.25">
      <c r="A15602" s="262"/>
      <c r="B15602" s="1063"/>
      <c r="C15602" s="1063"/>
      <c r="D15602" s="1063"/>
      <c r="E15602" s="1063"/>
      <c r="F15602" s="1063"/>
      <c r="G15602" s="1063"/>
      <c r="H15602" s="1063"/>
      <c r="I15602" s="1063"/>
      <c r="J15602" s="1063"/>
    </row>
    <row r="15603" spans="1:10" s="1064" customFormat="1" x14ac:dyDescent="0.25">
      <c r="A15603" s="262"/>
      <c r="B15603" s="1063"/>
      <c r="C15603" s="1063"/>
      <c r="D15603" s="1063"/>
      <c r="E15603" s="1063"/>
      <c r="F15603" s="1063"/>
      <c r="G15603" s="1063"/>
      <c r="H15603" s="1063"/>
      <c r="I15603" s="1063"/>
      <c r="J15603" s="1063"/>
    </row>
    <row r="15604" spans="1:10" s="1064" customFormat="1" x14ac:dyDescent="0.25">
      <c r="A15604" s="262"/>
      <c r="B15604" s="1063"/>
      <c r="C15604" s="1063"/>
      <c r="D15604" s="1063"/>
      <c r="E15604" s="1063"/>
      <c r="F15604" s="1063"/>
      <c r="G15604" s="1063"/>
      <c r="H15604" s="1063"/>
      <c r="I15604" s="1063"/>
      <c r="J15604" s="1063"/>
    </row>
    <row r="15605" spans="1:10" s="1064" customFormat="1" x14ac:dyDescent="0.25">
      <c r="A15605" s="262"/>
      <c r="B15605" s="1063"/>
      <c r="C15605" s="1063"/>
      <c r="D15605" s="1063"/>
      <c r="E15605" s="1063"/>
      <c r="F15605" s="1063"/>
      <c r="G15605" s="1063"/>
      <c r="H15605" s="1063"/>
      <c r="I15605" s="1063"/>
      <c r="J15605" s="1063"/>
    </row>
    <row r="15606" spans="1:10" s="1064" customFormat="1" x14ac:dyDescent="0.25">
      <c r="A15606" s="262"/>
      <c r="B15606" s="1063"/>
      <c r="C15606" s="1063"/>
      <c r="D15606" s="1063"/>
      <c r="E15606" s="1063"/>
      <c r="F15606" s="1063"/>
      <c r="G15606" s="1063"/>
      <c r="H15606" s="1063"/>
      <c r="I15606" s="1063"/>
      <c r="J15606" s="1063"/>
    </row>
    <row r="15607" spans="1:10" s="1064" customFormat="1" x14ac:dyDescent="0.25">
      <c r="A15607" s="262"/>
      <c r="B15607" s="1063"/>
      <c r="C15607" s="1063"/>
      <c r="D15607" s="1063"/>
      <c r="E15607" s="1063"/>
      <c r="F15607" s="1063"/>
      <c r="G15607" s="1063"/>
      <c r="H15607" s="1063"/>
      <c r="I15607" s="1063"/>
      <c r="J15607" s="1063"/>
    </row>
    <row r="15608" spans="1:10" s="1064" customFormat="1" x14ac:dyDescent="0.25">
      <c r="A15608" s="262"/>
      <c r="B15608" s="1063"/>
      <c r="C15608" s="1063"/>
      <c r="D15608" s="1063"/>
      <c r="E15608" s="1063"/>
      <c r="F15608" s="1063"/>
      <c r="G15608" s="1063"/>
      <c r="H15608" s="1063"/>
      <c r="I15608" s="1063"/>
      <c r="J15608" s="1063"/>
    </row>
    <row r="15609" spans="1:10" s="1064" customFormat="1" x14ac:dyDescent="0.25">
      <c r="A15609" s="262"/>
      <c r="B15609" s="1063"/>
      <c r="C15609" s="1063"/>
      <c r="D15609" s="1063"/>
      <c r="E15609" s="1063"/>
      <c r="F15609" s="1063"/>
      <c r="G15609" s="1063"/>
      <c r="H15609" s="1063"/>
      <c r="I15609" s="1063"/>
      <c r="J15609" s="1063"/>
    </row>
    <row r="15610" spans="1:10" s="1064" customFormat="1" x14ac:dyDescent="0.25">
      <c r="A15610" s="262"/>
      <c r="B15610" s="1063"/>
      <c r="C15610" s="1063"/>
      <c r="D15610" s="1063"/>
      <c r="E15610" s="1063"/>
      <c r="F15610" s="1063"/>
      <c r="G15610" s="1063"/>
      <c r="H15610" s="1063"/>
      <c r="I15610" s="1063"/>
      <c r="J15610" s="1063"/>
    </row>
    <row r="15611" spans="1:10" s="1064" customFormat="1" x14ac:dyDescent="0.25">
      <c r="A15611" s="262"/>
      <c r="B15611" s="1063"/>
      <c r="C15611" s="1063"/>
      <c r="D15611" s="1063"/>
      <c r="E15611" s="1063"/>
      <c r="F15611" s="1063"/>
      <c r="G15611" s="1063"/>
      <c r="H15611" s="1063"/>
      <c r="I15611" s="1063"/>
      <c r="J15611" s="1063"/>
    </row>
    <row r="15612" spans="1:10" s="1064" customFormat="1" x14ac:dyDescent="0.25">
      <c r="A15612" s="262"/>
      <c r="B15612" s="1063"/>
      <c r="C15612" s="1063"/>
      <c r="D15612" s="1063"/>
      <c r="E15612" s="1063"/>
      <c r="F15612" s="1063"/>
      <c r="G15612" s="1063"/>
      <c r="H15612" s="1063"/>
      <c r="I15612" s="1063"/>
      <c r="J15612" s="1063"/>
    </row>
    <row r="15613" spans="1:10" s="1064" customFormat="1" x14ac:dyDescent="0.25">
      <c r="A15613" s="262"/>
      <c r="B15613" s="1063"/>
      <c r="C15613" s="1063"/>
      <c r="D15613" s="1063"/>
      <c r="E15613" s="1063"/>
      <c r="F15613" s="1063"/>
      <c r="G15613" s="1063"/>
      <c r="H15613" s="1063"/>
      <c r="I15613" s="1063"/>
      <c r="J15613" s="1063"/>
    </row>
    <row r="15614" spans="1:10" s="1064" customFormat="1" x14ac:dyDescent="0.25">
      <c r="A15614" s="262"/>
      <c r="B15614" s="1063"/>
      <c r="C15614" s="1063"/>
      <c r="D15614" s="1063"/>
      <c r="E15614" s="1063"/>
      <c r="F15614" s="1063"/>
      <c r="G15614" s="1063"/>
      <c r="H15614" s="1063"/>
      <c r="I15614" s="1063"/>
      <c r="J15614" s="1063"/>
    </row>
    <row r="15615" spans="1:10" s="1064" customFormat="1" x14ac:dyDescent="0.25">
      <c r="A15615" s="262"/>
      <c r="B15615" s="1063"/>
      <c r="C15615" s="1063"/>
      <c r="D15615" s="1063"/>
      <c r="E15615" s="1063"/>
      <c r="F15615" s="1063"/>
      <c r="G15615" s="1063"/>
      <c r="H15615" s="1063"/>
      <c r="I15615" s="1063"/>
      <c r="J15615" s="1063"/>
    </row>
    <row r="15616" spans="1:10" s="1064" customFormat="1" x14ac:dyDescent="0.25">
      <c r="A15616" s="262"/>
      <c r="B15616" s="1063"/>
      <c r="C15616" s="1063"/>
      <c r="D15616" s="1063"/>
      <c r="E15616" s="1063"/>
      <c r="F15616" s="1063"/>
      <c r="G15616" s="1063"/>
      <c r="H15616" s="1063"/>
      <c r="I15616" s="1063"/>
      <c r="J15616" s="1063"/>
    </row>
    <row r="15617" spans="1:10" s="1064" customFormat="1" x14ac:dyDescent="0.25">
      <c r="A15617" s="262"/>
      <c r="B15617" s="1063"/>
      <c r="C15617" s="1063"/>
      <c r="D15617" s="1063"/>
      <c r="E15617" s="1063"/>
      <c r="F15617" s="1063"/>
      <c r="G15617" s="1063"/>
      <c r="H15617" s="1063"/>
      <c r="I15617" s="1063"/>
      <c r="J15617" s="1063"/>
    </row>
    <row r="15618" spans="1:10" s="1064" customFormat="1" x14ac:dyDescent="0.25">
      <c r="A15618" s="262"/>
      <c r="B15618" s="1063"/>
      <c r="C15618" s="1063"/>
      <c r="D15618" s="1063"/>
      <c r="E15618" s="1063"/>
      <c r="F15618" s="1063"/>
      <c r="G15618" s="1063"/>
      <c r="H15618" s="1063"/>
      <c r="I15618" s="1063"/>
      <c r="J15618" s="1063"/>
    </row>
    <row r="15619" spans="1:10" s="1064" customFormat="1" x14ac:dyDescent="0.25">
      <c r="A15619" s="262"/>
      <c r="B15619" s="1063"/>
      <c r="C15619" s="1063"/>
      <c r="D15619" s="1063"/>
      <c r="E15619" s="1063"/>
      <c r="F15619" s="1063"/>
      <c r="G15619" s="1063"/>
      <c r="H15619" s="1063"/>
      <c r="I15619" s="1063"/>
      <c r="J15619" s="1063"/>
    </row>
    <row r="15620" spans="1:10" s="1064" customFormat="1" x14ac:dyDescent="0.25">
      <c r="A15620" s="262"/>
      <c r="B15620" s="1063"/>
      <c r="C15620" s="1063"/>
      <c r="D15620" s="1063"/>
      <c r="E15620" s="1063"/>
      <c r="F15620" s="1063"/>
      <c r="G15620" s="1063"/>
      <c r="H15620" s="1063"/>
      <c r="I15620" s="1063"/>
      <c r="J15620" s="1063"/>
    </row>
    <row r="15621" spans="1:10" s="1064" customFormat="1" x14ac:dyDescent="0.25">
      <c r="A15621" s="262"/>
      <c r="B15621" s="1063"/>
      <c r="C15621" s="1063"/>
      <c r="D15621" s="1063"/>
      <c r="E15621" s="1063"/>
      <c r="F15621" s="1063"/>
      <c r="G15621" s="1063"/>
      <c r="H15621" s="1063"/>
      <c r="I15621" s="1063"/>
      <c r="J15621" s="1063"/>
    </row>
    <row r="15622" spans="1:10" s="1064" customFormat="1" x14ac:dyDescent="0.25">
      <c r="A15622" s="262"/>
      <c r="B15622" s="1063"/>
      <c r="C15622" s="1063"/>
      <c r="D15622" s="1063"/>
      <c r="E15622" s="1063"/>
      <c r="F15622" s="1063"/>
      <c r="G15622" s="1063"/>
      <c r="H15622" s="1063"/>
      <c r="I15622" s="1063"/>
      <c r="J15622" s="1063"/>
    </row>
    <row r="15623" spans="1:10" s="1064" customFormat="1" x14ac:dyDescent="0.25">
      <c r="A15623" s="262"/>
      <c r="B15623" s="1063"/>
      <c r="C15623" s="1063"/>
      <c r="D15623" s="1063"/>
      <c r="E15623" s="1063"/>
      <c r="F15623" s="1063"/>
      <c r="G15623" s="1063"/>
      <c r="H15623" s="1063"/>
      <c r="I15623" s="1063"/>
      <c r="J15623" s="1063"/>
    </row>
    <row r="15624" spans="1:10" s="1064" customFormat="1" x14ac:dyDescent="0.25">
      <c r="A15624" s="262"/>
      <c r="B15624" s="1063"/>
      <c r="C15624" s="1063"/>
      <c r="D15624" s="1063"/>
      <c r="E15624" s="1063"/>
      <c r="F15624" s="1063"/>
      <c r="G15624" s="1063"/>
      <c r="H15624" s="1063"/>
      <c r="I15624" s="1063"/>
      <c r="J15624" s="1063"/>
    </row>
    <row r="15625" spans="1:10" s="1064" customFormat="1" x14ac:dyDescent="0.25">
      <c r="A15625" s="262"/>
      <c r="B15625" s="1063"/>
      <c r="C15625" s="1063"/>
      <c r="D15625" s="1063"/>
      <c r="E15625" s="1063"/>
      <c r="F15625" s="1063"/>
      <c r="G15625" s="1063"/>
      <c r="H15625" s="1063"/>
      <c r="I15625" s="1063"/>
      <c r="J15625" s="1063"/>
    </row>
    <row r="15626" spans="1:10" s="1064" customFormat="1" x14ac:dyDescent="0.25">
      <c r="A15626" s="262"/>
      <c r="B15626" s="1063"/>
      <c r="C15626" s="1063"/>
      <c r="D15626" s="1063"/>
      <c r="E15626" s="1063"/>
      <c r="F15626" s="1063"/>
      <c r="G15626" s="1063"/>
      <c r="H15626" s="1063"/>
      <c r="I15626" s="1063"/>
      <c r="J15626" s="1063"/>
    </row>
    <row r="15627" spans="1:10" s="1064" customFormat="1" x14ac:dyDescent="0.25">
      <c r="A15627" s="262"/>
      <c r="B15627" s="1063"/>
      <c r="C15627" s="1063"/>
      <c r="D15627" s="1063"/>
      <c r="E15627" s="1063"/>
      <c r="F15627" s="1063"/>
      <c r="G15627" s="1063"/>
      <c r="H15627" s="1063"/>
      <c r="I15627" s="1063"/>
      <c r="J15627" s="1063"/>
    </row>
    <row r="15628" spans="1:10" s="1064" customFormat="1" x14ac:dyDescent="0.25">
      <c r="A15628" s="262"/>
      <c r="B15628" s="1063"/>
      <c r="C15628" s="1063"/>
      <c r="D15628" s="1063"/>
      <c r="E15628" s="1063"/>
      <c r="F15628" s="1063"/>
      <c r="G15628" s="1063"/>
      <c r="H15628" s="1063"/>
      <c r="I15628" s="1063"/>
      <c r="J15628" s="1063"/>
    </row>
    <row r="15629" spans="1:10" s="1064" customFormat="1" x14ac:dyDescent="0.25">
      <c r="A15629" s="262"/>
      <c r="B15629" s="1063"/>
      <c r="C15629" s="1063"/>
      <c r="D15629" s="1063"/>
      <c r="E15629" s="1063"/>
      <c r="F15629" s="1063"/>
      <c r="G15629" s="1063"/>
      <c r="H15629" s="1063"/>
      <c r="I15629" s="1063"/>
      <c r="J15629" s="1063"/>
    </row>
    <row r="15630" spans="1:10" s="1064" customFormat="1" x14ac:dyDescent="0.25">
      <c r="A15630" s="262"/>
      <c r="B15630" s="1063"/>
      <c r="C15630" s="1063"/>
      <c r="D15630" s="1063"/>
      <c r="E15630" s="1063"/>
      <c r="F15630" s="1063"/>
      <c r="G15630" s="1063"/>
      <c r="H15630" s="1063"/>
      <c r="I15630" s="1063"/>
      <c r="J15630" s="1063"/>
    </row>
    <row r="15631" spans="1:10" s="1064" customFormat="1" x14ac:dyDescent="0.25">
      <c r="A15631" s="262"/>
      <c r="B15631" s="1063"/>
      <c r="C15631" s="1063"/>
      <c r="D15631" s="1063"/>
      <c r="E15631" s="1063"/>
      <c r="F15631" s="1063"/>
      <c r="G15631" s="1063"/>
      <c r="H15631" s="1063"/>
      <c r="I15631" s="1063"/>
      <c r="J15631" s="1063"/>
    </row>
    <row r="15632" spans="1:10" s="1064" customFormat="1" x14ac:dyDescent="0.25">
      <c r="A15632" s="262"/>
      <c r="B15632" s="1063"/>
      <c r="C15632" s="1063"/>
      <c r="D15632" s="1063"/>
      <c r="E15632" s="1063"/>
      <c r="F15632" s="1063"/>
      <c r="G15632" s="1063"/>
      <c r="H15632" s="1063"/>
      <c r="I15632" s="1063"/>
      <c r="J15632" s="1063"/>
    </row>
    <row r="15633" spans="1:10" s="1064" customFormat="1" x14ac:dyDescent="0.25">
      <c r="A15633" s="262"/>
      <c r="B15633" s="1063"/>
      <c r="C15633" s="1063"/>
      <c r="D15633" s="1063"/>
      <c r="E15633" s="1063"/>
      <c r="F15633" s="1063"/>
      <c r="G15633" s="1063"/>
      <c r="H15633" s="1063"/>
      <c r="I15633" s="1063"/>
      <c r="J15633" s="1063"/>
    </row>
    <row r="15634" spans="1:10" s="1064" customFormat="1" x14ac:dyDescent="0.25">
      <c r="A15634" s="262"/>
      <c r="B15634" s="1063"/>
      <c r="C15634" s="1063"/>
      <c r="D15634" s="1063"/>
      <c r="E15634" s="1063"/>
      <c r="F15634" s="1063"/>
      <c r="G15634" s="1063"/>
      <c r="H15634" s="1063"/>
      <c r="I15634" s="1063"/>
      <c r="J15634" s="1063"/>
    </row>
    <row r="15635" spans="1:10" s="1064" customFormat="1" x14ac:dyDescent="0.25">
      <c r="A15635" s="262"/>
      <c r="B15635" s="1063"/>
      <c r="C15635" s="1063"/>
      <c r="D15635" s="1063"/>
      <c r="E15635" s="1063"/>
      <c r="F15635" s="1063"/>
      <c r="G15635" s="1063"/>
      <c r="H15635" s="1063"/>
      <c r="I15635" s="1063"/>
      <c r="J15635" s="1063"/>
    </row>
    <row r="15636" spans="1:10" s="1064" customFormat="1" x14ac:dyDescent="0.25">
      <c r="A15636" s="262"/>
      <c r="B15636" s="1063"/>
      <c r="C15636" s="1063"/>
      <c r="D15636" s="1063"/>
      <c r="E15636" s="1063"/>
      <c r="F15636" s="1063"/>
      <c r="G15636" s="1063"/>
      <c r="H15636" s="1063"/>
      <c r="I15636" s="1063"/>
      <c r="J15636" s="1063"/>
    </row>
    <row r="15637" spans="1:10" s="1064" customFormat="1" x14ac:dyDescent="0.25">
      <c r="A15637" s="262"/>
      <c r="B15637" s="1063"/>
      <c r="C15637" s="1063"/>
      <c r="D15637" s="1063"/>
      <c r="E15637" s="1063"/>
      <c r="F15637" s="1063"/>
      <c r="G15637" s="1063"/>
      <c r="H15637" s="1063"/>
      <c r="I15637" s="1063"/>
      <c r="J15637" s="1063"/>
    </row>
    <row r="15638" spans="1:10" s="1064" customFormat="1" x14ac:dyDescent="0.25">
      <c r="A15638" s="262"/>
      <c r="B15638" s="1063"/>
      <c r="C15638" s="1063"/>
      <c r="D15638" s="1063"/>
      <c r="E15638" s="1063"/>
      <c r="F15638" s="1063"/>
      <c r="G15638" s="1063"/>
      <c r="H15638" s="1063"/>
      <c r="I15638" s="1063"/>
      <c r="J15638" s="1063"/>
    </row>
    <row r="15639" spans="1:10" s="1064" customFormat="1" x14ac:dyDescent="0.25">
      <c r="A15639" s="262"/>
      <c r="B15639" s="1063"/>
      <c r="C15639" s="1063"/>
      <c r="D15639" s="1063"/>
      <c r="E15639" s="1063"/>
      <c r="F15639" s="1063"/>
      <c r="G15639" s="1063"/>
      <c r="H15639" s="1063"/>
      <c r="I15639" s="1063"/>
      <c r="J15639" s="1063"/>
    </row>
    <row r="15640" spans="1:10" s="1064" customFormat="1" x14ac:dyDescent="0.25">
      <c r="A15640" s="262"/>
      <c r="B15640" s="1063"/>
      <c r="C15640" s="1063"/>
      <c r="D15640" s="1063"/>
      <c r="E15640" s="1063"/>
      <c r="F15640" s="1063"/>
      <c r="G15640" s="1063"/>
      <c r="H15640" s="1063"/>
      <c r="I15640" s="1063"/>
      <c r="J15640" s="1063"/>
    </row>
    <row r="15641" spans="1:10" s="1064" customFormat="1" x14ac:dyDescent="0.25">
      <c r="A15641" s="262"/>
      <c r="B15641" s="1063"/>
      <c r="C15641" s="1063"/>
      <c r="D15641" s="1063"/>
      <c r="E15641" s="1063"/>
      <c r="F15641" s="1063"/>
      <c r="G15641" s="1063"/>
      <c r="H15641" s="1063"/>
      <c r="I15641" s="1063"/>
      <c r="J15641" s="1063"/>
    </row>
    <row r="15642" spans="1:10" s="1064" customFormat="1" x14ac:dyDescent="0.25">
      <c r="A15642" s="262"/>
      <c r="B15642" s="1063"/>
      <c r="C15642" s="1063"/>
      <c r="D15642" s="1063"/>
      <c r="E15642" s="1063"/>
      <c r="F15642" s="1063"/>
      <c r="G15642" s="1063"/>
      <c r="H15642" s="1063"/>
      <c r="I15642" s="1063"/>
      <c r="J15642" s="1063"/>
    </row>
    <row r="15643" spans="1:10" s="1064" customFormat="1" x14ac:dyDescent="0.25">
      <c r="A15643" s="262"/>
      <c r="B15643" s="1063"/>
      <c r="C15643" s="1063"/>
      <c r="D15643" s="1063"/>
      <c r="E15643" s="1063"/>
      <c r="F15643" s="1063"/>
      <c r="G15643" s="1063"/>
      <c r="H15643" s="1063"/>
      <c r="I15643" s="1063"/>
      <c r="J15643" s="1063"/>
    </row>
    <row r="15644" spans="1:10" s="1064" customFormat="1" x14ac:dyDescent="0.25">
      <c r="A15644" s="262"/>
      <c r="B15644" s="1063"/>
      <c r="C15644" s="1063"/>
      <c r="D15644" s="1063"/>
      <c r="E15644" s="1063"/>
      <c r="F15644" s="1063"/>
      <c r="G15644" s="1063"/>
      <c r="H15644" s="1063"/>
      <c r="I15644" s="1063"/>
      <c r="J15644" s="1063"/>
    </row>
    <row r="15645" spans="1:10" s="1064" customFormat="1" x14ac:dyDescent="0.25">
      <c r="A15645" s="262"/>
      <c r="B15645" s="1063"/>
      <c r="C15645" s="1063"/>
      <c r="D15645" s="1063"/>
      <c r="E15645" s="1063"/>
      <c r="F15645" s="1063"/>
      <c r="G15645" s="1063"/>
      <c r="H15645" s="1063"/>
      <c r="I15645" s="1063"/>
      <c r="J15645" s="1063"/>
    </row>
    <row r="15646" spans="1:10" s="1064" customFormat="1" x14ac:dyDescent="0.25">
      <c r="A15646" s="262"/>
      <c r="B15646" s="1063"/>
      <c r="C15646" s="1063"/>
      <c r="D15646" s="1063"/>
      <c r="E15646" s="1063"/>
      <c r="F15646" s="1063"/>
      <c r="G15646" s="1063"/>
      <c r="H15646" s="1063"/>
      <c r="I15646" s="1063"/>
      <c r="J15646" s="1063"/>
    </row>
    <row r="15647" spans="1:10" s="1064" customFormat="1" x14ac:dyDescent="0.25">
      <c r="A15647" s="262"/>
      <c r="B15647" s="1063"/>
      <c r="C15647" s="1063"/>
      <c r="D15647" s="1063"/>
      <c r="E15647" s="1063"/>
      <c r="F15647" s="1063"/>
      <c r="G15647" s="1063"/>
      <c r="H15647" s="1063"/>
      <c r="I15647" s="1063"/>
      <c r="J15647" s="1063"/>
    </row>
    <row r="15648" spans="1:10" s="1064" customFormat="1" x14ac:dyDescent="0.25">
      <c r="A15648" s="262"/>
      <c r="B15648" s="1063"/>
      <c r="C15648" s="1063"/>
      <c r="D15648" s="1063"/>
      <c r="E15648" s="1063"/>
      <c r="F15648" s="1063"/>
      <c r="G15648" s="1063"/>
      <c r="H15648" s="1063"/>
      <c r="I15648" s="1063"/>
      <c r="J15648" s="1063"/>
    </row>
    <row r="15649" spans="1:10" s="1064" customFormat="1" x14ac:dyDescent="0.25">
      <c r="A15649" s="262"/>
      <c r="B15649" s="1063"/>
      <c r="C15649" s="1063"/>
      <c r="D15649" s="1063"/>
      <c r="E15649" s="1063"/>
      <c r="F15649" s="1063"/>
      <c r="G15649" s="1063"/>
      <c r="H15649" s="1063"/>
      <c r="I15649" s="1063"/>
      <c r="J15649" s="1063"/>
    </row>
    <row r="15650" spans="1:10" s="1064" customFormat="1" x14ac:dyDescent="0.25">
      <c r="A15650" s="262"/>
      <c r="B15650" s="1063"/>
      <c r="C15650" s="1063"/>
      <c r="D15650" s="1063"/>
      <c r="E15650" s="1063"/>
      <c r="F15650" s="1063"/>
      <c r="G15650" s="1063"/>
      <c r="H15650" s="1063"/>
      <c r="I15650" s="1063"/>
      <c r="J15650" s="1063"/>
    </row>
    <row r="15651" spans="1:10" s="1064" customFormat="1" x14ac:dyDescent="0.25">
      <c r="A15651" s="262"/>
      <c r="B15651" s="1063"/>
      <c r="C15651" s="1063"/>
      <c r="D15651" s="1063"/>
      <c r="E15651" s="1063"/>
      <c r="F15651" s="1063"/>
      <c r="G15651" s="1063"/>
      <c r="H15651" s="1063"/>
      <c r="I15651" s="1063"/>
      <c r="J15651" s="1063"/>
    </row>
    <row r="15652" spans="1:10" s="1064" customFormat="1" x14ac:dyDescent="0.25">
      <c r="A15652" s="262"/>
      <c r="B15652" s="1063"/>
      <c r="C15652" s="1063"/>
      <c r="D15652" s="1063"/>
      <c r="E15652" s="1063"/>
      <c r="F15652" s="1063"/>
      <c r="G15652" s="1063"/>
      <c r="H15652" s="1063"/>
      <c r="I15652" s="1063"/>
      <c r="J15652" s="1063"/>
    </row>
    <row r="15653" spans="1:10" s="1064" customFormat="1" x14ac:dyDescent="0.25">
      <c r="A15653" s="262"/>
      <c r="B15653" s="1063"/>
      <c r="C15653" s="1063"/>
      <c r="D15653" s="1063"/>
      <c r="E15653" s="1063"/>
      <c r="F15653" s="1063"/>
      <c r="G15653" s="1063"/>
      <c r="H15653" s="1063"/>
      <c r="I15653" s="1063"/>
      <c r="J15653" s="1063"/>
    </row>
    <row r="15654" spans="1:10" s="1064" customFormat="1" x14ac:dyDescent="0.25">
      <c r="A15654" s="262"/>
      <c r="B15654" s="1063"/>
      <c r="C15654" s="1063"/>
      <c r="D15654" s="1063"/>
      <c r="E15654" s="1063"/>
      <c r="F15654" s="1063"/>
      <c r="G15654" s="1063"/>
      <c r="H15654" s="1063"/>
      <c r="I15654" s="1063"/>
      <c r="J15654" s="1063"/>
    </row>
    <row r="15655" spans="1:10" s="1064" customFormat="1" x14ac:dyDescent="0.25">
      <c r="A15655" s="262"/>
      <c r="B15655" s="1063"/>
      <c r="C15655" s="1063"/>
      <c r="D15655" s="1063"/>
      <c r="E15655" s="1063"/>
      <c r="F15655" s="1063"/>
      <c r="G15655" s="1063"/>
      <c r="H15655" s="1063"/>
      <c r="I15655" s="1063"/>
      <c r="J15655" s="1063"/>
    </row>
    <row r="15656" spans="1:10" s="1064" customFormat="1" x14ac:dyDescent="0.25">
      <c r="A15656" s="262"/>
      <c r="B15656" s="1063"/>
      <c r="C15656" s="1063"/>
      <c r="D15656" s="1063"/>
      <c r="E15656" s="1063"/>
      <c r="F15656" s="1063"/>
      <c r="G15656" s="1063"/>
      <c r="H15656" s="1063"/>
      <c r="I15656" s="1063"/>
      <c r="J15656" s="1063"/>
    </row>
    <row r="15657" spans="1:10" s="1064" customFormat="1" x14ac:dyDescent="0.25">
      <c r="A15657" s="262"/>
      <c r="B15657" s="1063"/>
      <c r="C15657" s="1063"/>
      <c r="D15657" s="1063"/>
      <c r="E15657" s="1063"/>
      <c r="F15657" s="1063"/>
      <c r="G15657" s="1063"/>
      <c r="H15657" s="1063"/>
      <c r="I15657" s="1063"/>
      <c r="J15657" s="1063"/>
    </row>
    <row r="15658" spans="1:10" s="1064" customFormat="1" x14ac:dyDescent="0.25">
      <c r="A15658" s="262"/>
      <c r="B15658" s="1063"/>
      <c r="C15658" s="1063"/>
      <c r="D15658" s="1063"/>
      <c r="E15658" s="1063"/>
      <c r="F15658" s="1063"/>
      <c r="G15658" s="1063"/>
      <c r="H15658" s="1063"/>
      <c r="I15658" s="1063"/>
      <c r="J15658" s="1063"/>
    </row>
    <row r="15659" spans="1:10" s="1064" customFormat="1" x14ac:dyDescent="0.25">
      <c r="A15659" s="262"/>
      <c r="B15659" s="1063"/>
      <c r="C15659" s="1063"/>
      <c r="D15659" s="1063"/>
      <c r="E15659" s="1063"/>
      <c r="F15659" s="1063"/>
      <c r="G15659" s="1063"/>
      <c r="H15659" s="1063"/>
      <c r="I15659" s="1063"/>
      <c r="J15659" s="1063"/>
    </row>
    <row r="15660" spans="1:10" s="1064" customFormat="1" x14ac:dyDescent="0.25">
      <c r="A15660" s="262"/>
      <c r="B15660" s="1063"/>
      <c r="C15660" s="1063"/>
      <c r="D15660" s="1063"/>
      <c r="E15660" s="1063"/>
      <c r="F15660" s="1063"/>
      <c r="G15660" s="1063"/>
      <c r="H15660" s="1063"/>
      <c r="I15660" s="1063"/>
      <c r="J15660" s="1063"/>
    </row>
    <row r="15661" spans="1:10" s="1064" customFormat="1" x14ac:dyDescent="0.25">
      <c r="A15661" s="262"/>
      <c r="B15661" s="1063"/>
      <c r="C15661" s="1063"/>
      <c r="D15661" s="1063"/>
      <c r="E15661" s="1063"/>
      <c r="F15661" s="1063"/>
      <c r="G15661" s="1063"/>
      <c r="H15661" s="1063"/>
      <c r="I15661" s="1063"/>
      <c r="J15661" s="1063"/>
    </row>
    <row r="15662" spans="1:10" s="1064" customFormat="1" x14ac:dyDescent="0.25">
      <c r="A15662" s="262"/>
      <c r="B15662" s="1063"/>
      <c r="C15662" s="1063"/>
      <c r="D15662" s="1063"/>
      <c r="E15662" s="1063"/>
      <c r="F15662" s="1063"/>
      <c r="G15662" s="1063"/>
      <c r="H15662" s="1063"/>
      <c r="I15662" s="1063"/>
      <c r="J15662" s="1063"/>
    </row>
    <row r="15663" spans="1:10" s="1064" customFormat="1" x14ac:dyDescent="0.25">
      <c r="A15663" s="262"/>
      <c r="B15663" s="1063"/>
      <c r="C15663" s="1063"/>
      <c r="D15663" s="1063"/>
      <c r="E15663" s="1063"/>
      <c r="F15663" s="1063"/>
      <c r="G15663" s="1063"/>
      <c r="H15663" s="1063"/>
      <c r="I15663" s="1063"/>
      <c r="J15663" s="1063"/>
    </row>
    <row r="15664" spans="1:10" s="1064" customFormat="1" x14ac:dyDescent="0.25">
      <c r="A15664" s="262"/>
      <c r="B15664" s="1063"/>
      <c r="C15664" s="1063"/>
      <c r="D15664" s="1063"/>
      <c r="E15664" s="1063"/>
      <c r="F15664" s="1063"/>
      <c r="G15664" s="1063"/>
      <c r="H15664" s="1063"/>
      <c r="I15664" s="1063"/>
      <c r="J15664" s="1063"/>
    </row>
    <row r="15665" spans="1:10" s="1064" customFormat="1" x14ac:dyDescent="0.25">
      <c r="A15665" s="262"/>
      <c r="B15665" s="1063"/>
      <c r="C15665" s="1063"/>
      <c r="D15665" s="1063"/>
      <c r="E15665" s="1063"/>
      <c r="F15665" s="1063"/>
      <c r="G15665" s="1063"/>
      <c r="H15665" s="1063"/>
      <c r="I15665" s="1063"/>
      <c r="J15665" s="1063"/>
    </row>
    <row r="15666" spans="1:10" s="1064" customFormat="1" x14ac:dyDescent="0.25">
      <c r="A15666" s="262"/>
      <c r="B15666" s="1063"/>
      <c r="C15666" s="1063"/>
      <c r="D15666" s="1063"/>
      <c r="E15666" s="1063"/>
      <c r="F15666" s="1063"/>
      <c r="G15666" s="1063"/>
      <c r="H15666" s="1063"/>
      <c r="I15666" s="1063"/>
      <c r="J15666" s="1063"/>
    </row>
    <row r="15667" spans="1:10" s="1064" customFormat="1" x14ac:dyDescent="0.25">
      <c r="A15667" s="262"/>
      <c r="B15667" s="1063"/>
      <c r="C15667" s="1063"/>
      <c r="D15667" s="1063"/>
      <c r="E15667" s="1063"/>
      <c r="F15667" s="1063"/>
      <c r="G15667" s="1063"/>
      <c r="H15667" s="1063"/>
      <c r="I15667" s="1063"/>
      <c r="J15667" s="1063"/>
    </row>
    <row r="15668" spans="1:10" s="1064" customFormat="1" x14ac:dyDescent="0.25">
      <c r="A15668" s="262"/>
      <c r="B15668" s="1063"/>
      <c r="C15668" s="1063"/>
      <c r="D15668" s="1063"/>
      <c r="E15668" s="1063"/>
      <c r="F15668" s="1063"/>
      <c r="G15668" s="1063"/>
      <c r="H15668" s="1063"/>
      <c r="I15668" s="1063"/>
      <c r="J15668" s="1063"/>
    </row>
    <row r="15669" spans="1:10" s="1064" customFormat="1" x14ac:dyDescent="0.25">
      <c r="A15669" s="262"/>
      <c r="B15669" s="1063"/>
      <c r="C15669" s="1063"/>
      <c r="D15669" s="1063"/>
      <c r="E15669" s="1063"/>
      <c r="F15669" s="1063"/>
      <c r="G15669" s="1063"/>
      <c r="H15669" s="1063"/>
      <c r="I15669" s="1063"/>
      <c r="J15669" s="1063"/>
    </row>
    <row r="15670" spans="1:10" s="1064" customFormat="1" x14ac:dyDescent="0.25">
      <c r="A15670" s="262"/>
      <c r="B15670" s="1063"/>
      <c r="C15670" s="1063"/>
      <c r="D15670" s="1063"/>
      <c r="E15670" s="1063"/>
      <c r="F15670" s="1063"/>
      <c r="G15670" s="1063"/>
      <c r="H15670" s="1063"/>
      <c r="I15670" s="1063"/>
      <c r="J15670" s="1063"/>
    </row>
    <row r="15671" spans="1:10" s="1064" customFormat="1" x14ac:dyDescent="0.25">
      <c r="A15671" s="262"/>
      <c r="B15671" s="1063"/>
      <c r="C15671" s="1063"/>
      <c r="D15671" s="1063"/>
      <c r="E15671" s="1063"/>
      <c r="F15671" s="1063"/>
      <c r="G15671" s="1063"/>
      <c r="H15671" s="1063"/>
      <c r="I15671" s="1063"/>
      <c r="J15671" s="1063"/>
    </row>
    <row r="15672" spans="1:10" s="1064" customFormat="1" x14ac:dyDescent="0.25">
      <c r="A15672" s="262"/>
      <c r="B15672" s="1063"/>
      <c r="C15672" s="1063"/>
      <c r="D15672" s="1063"/>
      <c r="E15672" s="1063"/>
      <c r="F15672" s="1063"/>
      <c r="G15672" s="1063"/>
      <c r="H15672" s="1063"/>
      <c r="I15672" s="1063"/>
      <c r="J15672" s="1063"/>
    </row>
    <row r="15673" spans="1:10" s="1064" customFormat="1" x14ac:dyDescent="0.25">
      <c r="A15673" s="262"/>
      <c r="B15673" s="1063"/>
      <c r="C15673" s="1063"/>
      <c r="D15673" s="1063"/>
      <c r="E15673" s="1063"/>
      <c r="F15673" s="1063"/>
      <c r="G15673" s="1063"/>
      <c r="H15673" s="1063"/>
      <c r="I15673" s="1063"/>
      <c r="J15673" s="1063"/>
    </row>
    <row r="15674" spans="1:10" s="1064" customFormat="1" x14ac:dyDescent="0.25">
      <c r="A15674" s="262"/>
      <c r="B15674" s="1063"/>
      <c r="C15674" s="1063"/>
      <c r="D15674" s="1063"/>
      <c r="E15674" s="1063"/>
      <c r="F15674" s="1063"/>
      <c r="G15674" s="1063"/>
      <c r="H15674" s="1063"/>
      <c r="I15674" s="1063"/>
      <c r="J15674" s="1063"/>
    </row>
    <row r="15675" spans="1:10" s="1064" customFormat="1" x14ac:dyDescent="0.25">
      <c r="A15675" s="262"/>
      <c r="B15675" s="1063"/>
      <c r="C15675" s="1063"/>
      <c r="D15675" s="1063"/>
      <c r="E15675" s="1063"/>
      <c r="F15675" s="1063"/>
      <c r="G15675" s="1063"/>
      <c r="H15675" s="1063"/>
      <c r="I15675" s="1063"/>
      <c r="J15675" s="1063"/>
    </row>
    <row r="15676" spans="1:10" s="1064" customFormat="1" x14ac:dyDescent="0.25">
      <c r="A15676" s="262"/>
      <c r="B15676" s="1063"/>
      <c r="C15676" s="1063"/>
      <c r="D15676" s="1063"/>
      <c r="E15676" s="1063"/>
      <c r="F15676" s="1063"/>
      <c r="G15676" s="1063"/>
      <c r="H15676" s="1063"/>
      <c r="I15676" s="1063"/>
      <c r="J15676" s="1063"/>
    </row>
    <row r="15677" spans="1:10" s="1064" customFormat="1" x14ac:dyDescent="0.25">
      <c r="A15677" s="262"/>
      <c r="B15677" s="1063"/>
      <c r="C15677" s="1063"/>
      <c r="D15677" s="1063"/>
      <c r="E15677" s="1063"/>
      <c r="F15677" s="1063"/>
      <c r="G15677" s="1063"/>
      <c r="H15677" s="1063"/>
      <c r="I15677" s="1063"/>
      <c r="J15677" s="1063"/>
    </row>
    <row r="15678" spans="1:10" s="1064" customFormat="1" x14ac:dyDescent="0.25">
      <c r="A15678" s="262"/>
      <c r="B15678" s="1063"/>
      <c r="C15678" s="1063"/>
      <c r="D15678" s="1063"/>
      <c r="E15678" s="1063"/>
      <c r="F15678" s="1063"/>
      <c r="G15678" s="1063"/>
      <c r="H15678" s="1063"/>
      <c r="I15678" s="1063"/>
      <c r="J15678" s="1063"/>
    </row>
    <row r="15679" spans="1:10" s="1064" customFormat="1" x14ac:dyDescent="0.25">
      <c r="A15679" s="262"/>
      <c r="B15679" s="1063"/>
      <c r="C15679" s="1063"/>
      <c r="D15679" s="1063"/>
      <c r="E15679" s="1063"/>
      <c r="F15679" s="1063"/>
      <c r="G15679" s="1063"/>
      <c r="H15679" s="1063"/>
      <c r="I15679" s="1063"/>
      <c r="J15679" s="1063"/>
    </row>
    <row r="15680" spans="1:10" s="1064" customFormat="1" x14ac:dyDescent="0.25">
      <c r="A15680" s="262"/>
      <c r="B15680" s="1063"/>
      <c r="C15680" s="1063"/>
      <c r="D15680" s="1063"/>
      <c r="E15680" s="1063"/>
      <c r="F15680" s="1063"/>
      <c r="G15680" s="1063"/>
      <c r="H15680" s="1063"/>
      <c r="I15680" s="1063"/>
      <c r="J15680" s="1063"/>
    </row>
    <row r="15681" spans="1:10" s="1064" customFormat="1" x14ac:dyDescent="0.25">
      <c r="A15681" s="262"/>
      <c r="B15681" s="1063"/>
      <c r="C15681" s="1063"/>
      <c r="D15681" s="1063"/>
      <c r="E15681" s="1063"/>
      <c r="F15681" s="1063"/>
      <c r="G15681" s="1063"/>
      <c r="H15681" s="1063"/>
      <c r="I15681" s="1063"/>
      <c r="J15681" s="1063"/>
    </row>
    <row r="15682" spans="1:10" s="1064" customFormat="1" x14ac:dyDescent="0.25">
      <c r="A15682" s="262"/>
      <c r="B15682" s="1063"/>
      <c r="C15682" s="1063"/>
      <c r="D15682" s="1063"/>
      <c r="E15682" s="1063"/>
      <c r="F15682" s="1063"/>
      <c r="G15682" s="1063"/>
      <c r="H15682" s="1063"/>
      <c r="I15682" s="1063"/>
      <c r="J15682" s="1063"/>
    </row>
    <row r="15683" spans="1:10" s="1064" customFormat="1" x14ac:dyDescent="0.25">
      <c r="A15683" s="262"/>
      <c r="B15683" s="1063"/>
      <c r="C15683" s="1063"/>
      <c r="D15683" s="1063"/>
      <c r="E15683" s="1063"/>
      <c r="F15683" s="1063"/>
      <c r="G15683" s="1063"/>
      <c r="H15683" s="1063"/>
      <c r="I15683" s="1063"/>
      <c r="J15683" s="1063"/>
    </row>
    <row r="15684" spans="1:10" s="1064" customFormat="1" x14ac:dyDescent="0.25">
      <c r="A15684" s="262"/>
      <c r="B15684" s="1063"/>
      <c r="C15684" s="1063"/>
      <c r="D15684" s="1063"/>
      <c r="E15684" s="1063"/>
      <c r="F15684" s="1063"/>
      <c r="G15684" s="1063"/>
      <c r="H15684" s="1063"/>
      <c r="I15684" s="1063"/>
      <c r="J15684" s="1063"/>
    </row>
    <row r="15685" spans="1:10" s="1064" customFormat="1" x14ac:dyDescent="0.25">
      <c r="A15685" s="262"/>
      <c r="B15685" s="1063"/>
      <c r="C15685" s="1063"/>
      <c r="D15685" s="1063"/>
      <c r="E15685" s="1063"/>
      <c r="F15685" s="1063"/>
      <c r="G15685" s="1063"/>
      <c r="H15685" s="1063"/>
      <c r="I15685" s="1063"/>
      <c r="J15685" s="1063"/>
    </row>
    <row r="15686" spans="1:10" s="1064" customFormat="1" x14ac:dyDescent="0.25">
      <c r="A15686" s="262"/>
      <c r="B15686" s="1063"/>
      <c r="C15686" s="1063"/>
      <c r="D15686" s="1063"/>
      <c r="E15686" s="1063"/>
      <c r="F15686" s="1063"/>
      <c r="G15686" s="1063"/>
      <c r="H15686" s="1063"/>
      <c r="I15686" s="1063"/>
      <c r="J15686" s="1063"/>
    </row>
    <row r="15687" spans="1:10" s="1064" customFormat="1" x14ac:dyDescent="0.25">
      <c r="A15687" s="262"/>
      <c r="B15687" s="1063"/>
      <c r="C15687" s="1063"/>
      <c r="D15687" s="1063"/>
      <c r="E15687" s="1063"/>
      <c r="F15687" s="1063"/>
      <c r="G15687" s="1063"/>
      <c r="H15687" s="1063"/>
      <c r="I15687" s="1063"/>
      <c r="J15687" s="1063"/>
    </row>
    <row r="15688" spans="1:10" s="1064" customFormat="1" x14ac:dyDescent="0.25">
      <c r="A15688" s="262"/>
      <c r="B15688" s="1063"/>
      <c r="C15688" s="1063"/>
      <c r="D15688" s="1063"/>
      <c r="E15688" s="1063"/>
      <c r="F15688" s="1063"/>
      <c r="G15688" s="1063"/>
      <c r="H15688" s="1063"/>
      <c r="I15688" s="1063"/>
      <c r="J15688" s="1063"/>
    </row>
    <row r="15689" spans="1:10" s="1064" customFormat="1" x14ac:dyDescent="0.25">
      <c r="A15689" s="262"/>
      <c r="B15689" s="1063"/>
      <c r="C15689" s="1063"/>
      <c r="D15689" s="1063"/>
      <c r="E15689" s="1063"/>
      <c r="F15689" s="1063"/>
      <c r="G15689" s="1063"/>
      <c r="H15689" s="1063"/>
      <c r="I15689" s="1063"/>
      <c r="J15689" s="1063"/>
    </row>
    <row r="15690" spans="1:10" s="1064" customFormat="1" x14ac:dyDescent="0.25">
      <c r="A15690" s="262"/>
      <c r="B15690" s="1063"/>
      <c r="C15690" s="1063"/>
      <c r="D15690" s="1063"/>
      <c r="E15690" s="1063"/>
      <c r="F15690" s="1063"/>
      <c r="G15690" s="1063"/>
      <c r="H15690" s="1063"/>
      <c r="I15690" s="1063"/>
      <c r="J15690" s="1063"/>
    </row>
    <row r="15691" spans="1:10" s="1064" customFormat="1" x14ac:dyDescent="0.25">
      <c r="A15691" s="262"/>
      <c r="B15691" s="1063"/>
      <c r="C15691" s="1063"/>
      <c r="D15691" s="1063"/>
      <c r="E15691" s="1063"/>
      <c r="F15691" s="1063"/>
      <c r="G15691" s="1063"/>
      <c r="H15691" s="1063"/>
      <c r="I15691" s="1063"/>
      <c r="J15691" s="1063"/>
    </row>
    <row r="15692" spans="1:10" s="1064" customFormat="1" x14ac:dyDescent="0.25">
      <c r="A15692" s="262"/>
      <c r="B15692" s="1063"/>
      <c r="C15692" s="1063"/>
      <c r="D15692" s="1063"/>
      <c r="E15692" s="1063"/>
      <c r="F15692" s="1063"/>
      <c r="G15692" s="1063"/>
      <c r="H15692" s="1063"/>
      <c r="I15692" s="1063"/>
      <c r="J15692" s="1063"/>
    </row>
    <row r="15693" spans="1:10" s="1064" customFormat="1" x14ac:dyDescent="0.25">
      <c r="A15693" s="262"/>
      <c r="B15693" s="1063"/>
      <c r="C15693" s="1063"/>
      <c r="D15693" s="1063"/>
      <c r="E15693" s="1063"/>
      <c r="F15693" s="1063"/>
      <c r="G15693" s="1063"/>
      <c r="H15693" s="1063"/>
      <c r="I15693" s="1063"/>
      <c r="J15693" s="1063"/>
    </row>
    <row r="15694" spans="1:10" s="1064" customFormat="1" x14ac:dyDescent="0.25">
      <c r="A15694" s="262"/>
      <c r="B15694" s="1063"/>
      <c r="C15694" s="1063"/>
      <c r="D15694" s="1063"/>
      <c r="E15694" s="1063"/>
      <c r="F15694" s="1063"/>
      <c r="G15694" s="1063"/>
      <c r="H15694" s="1063"/>
      <c r="I15694" s="1063"/>
      <c r="J15694" s="1063"/>
    </row>
    <row r="15695" spans="1:10" s="1064" customFormat="1" x14ac:dyDescent="0.25">
      <c r="A15695" s="262"/>
      <c r="B15695" s="1063"/>
      <c r="C15695" s="1063"/>
      <c r="D15695" s="1063"/>
      <c r="E15695" s="1063"/>
      <c r="F15695" s="1063"/>
      <c r="G15695" s="1063"/>
      <c r="H15695" s="1063"/>
      <c r="I15695" s="1063"/>
      <c r="J15695" s="1063"/>
    </row>
    <row r="15696" spans="1:10" s="1064" customFormat="1" x14ac:dyDescent="0.25">
      <c r="A15696" s="262"/>
      <c r="B15696" s="1063"/>
      <c r="C15696" s="1063"/>
      <c r="D15696" s="1063"/>
      <c r="E15696" s="1063"/>
      <c r="F15696" s="1063"/>
      <c r="G15696" s="1063"/>
      <c r="H15696" s="1063"/>
      <c r="I15696" s="1063"/>
      <c r="J15696" s="1063"/>
    </row>
    <row r="15697" spans="1:10" s="1064" customFormat="1" x14ac:dyDescent="0.25">
      <c r="A15697" s="262"/>
      <c r="B15697" s="1063"/>
      <c r="C15697" s="1063"/>
      <c r="D15697" s="1063"/>
      <c r="E15697" s="1063"/>
      <c r="F15697" s="1063"/>
      <c r="G15697" s="1063"/>
      <c r="H15697" s="1063"/>
      <c r="I15697" s="1063"/>
      <c r="J15697" s="1063"/>
    </row>
    <row r="15698" spans="1:10" s="1064" customFormat="1" x14ac:dyDescent="0.25">
      <c r="A15698" s="262"/>
      <c r="B15698" s="1063"/>
      <c r="C15698" s="1063"/>
      <c r="D15698" s="1063"/>
      <c r="E15698" s="1063"/>
      <c r="F15698" s="1063"/>
      <c r="G15698" s="1063"/>
      <c r="H15698" s="1063"/>
      <c r="I15698" s="1063"/>
      <c r="J15698" s="1063"/>
    </row>
    <row r="15699" spans="1:10" s="1064" customFormat="1" x14ac:dyDescent="0.25">
      <c r="A15699" s="262"/>
      <c r="B15699" s="1063"/>
      <c r="C15699" s="1063"/>
      <c r="D15699" s="1063"/>
      <c r="E15699" s="1063"/>
      <c r="F15699" s="1063"/>
      <c r="G15699" s="1063"/>
      <c r="H15699" s="1063"/>
      <c r="I15699" s="1063"/>
      <c r="J15699" s="1063"/>
    </row>
    <row r="15700" spans="1:10" s="1064" customFormat="1" x14ac:dyDescent="0.25">
      <c r="A15700" s="262"/>
      <c r="B15700" s="1063"/>
      <c r="C15700" s="1063"/>
      <c r="D15700" s="1063"/>
      <c r="E15700" s="1063"/>
      <c r="F15700" s="1063"/>
      <c r="G15700" s="1063"/>
      <c r="H15700" s="1063"/>
      <c r="I15700" s="1063"/>
      <c r="J15700" s="1063"/>
    </row>
    <row r="15701" spans="1:10" s="1064" customFormat="1" x14ac:dyDescent="0.25">
      <c r="A15701" s="262"/>
      <c r="B15701" s="1063"/>
      <c r="C15701" s="1063"/>
      <c r="D15701" s="1063"/>
      <c r="E15701" s="1063"/>
      <c r="F15701" s="1063"/>
      <c r="G15701" s="1063"/>
      <c r="H15701" s="1063"/>
      <c r="I15701" s="1063"/>
      <c r="J15701" s="1063"/>
    </row>
    <row r="15702" spans="1:10" s="1064" customFormat="1" x14ac:dyDescent="0.25">
      <c r="A15702" s="262"/>
      <c r="B15702" s="1063"/>
      <c r="C15702" s="1063"/>
      <c r="D15702" s="1063"/>
      <c r="E15702" s="1063"/>
      <c r="F15702" s="1063"/>
      <c r="G15702" s="1063"/>
      <c r="H15702" s="1063"/>
      <c r="I15702" s="1063"/>
      <c r="J15702" s="1063"/>
    </row>
    <row r="15703" spans="1:10" s="1064" customFormat="1" x14ac:dyDescent="0.25">
      <c r="A15703" s="262"/>
      <c r="B15703" s="1063"/>
      <c r="C15703" s="1063"/>
      <c r="D15703" s="1063"/>
      <c r="E15703" s="1063"/>
      <c r="F15703" s="1063"/>
      <c r="G15703" s="1063"/>
      <c r="H15703" s="1063"/>
      <c r="I15703" s="1063"/>
      <c r="J15703" s="1063"/>
    </row>
    <row r="15704" spans="1:10" s="1064" customFormat="1" x14ac:dyDescent="0.25">
      <c r="A15704" s="262"/>
      <c r="B15704" s="1063"/>
      <c r="C15704" s="1063"/>
      <c r="D15704" s="1063"/>
      <c r="E15704" s="1063"/>
      <c r="F15704" s="1063"/>
      <c r="G15704" s="1063"/>
      <c r="H15704" s="1063"/>
      <c r="I15704" s="1063"/>
      <c r="J15704" s="1063"/>
    </row>
    <row r="15705" spans="1:10" s="1064" customFormat="1" x14ac:dyDescent="0.25">
      <c r="A15705" s="262"/>
      <c r="B15705" s="1063"/>
      <c r="C15705" s="1063"/>
      <c r="D15705" s="1063"/>
      <c r="E15705" s="1063"/>
      <c r="F15705" s="1063"/>
      <c r="G15705" s="1063"/>
      <c r="H15705" s="1063"/>
      <c r="I15705" s="1063"/>
      <c r="J15705" s="1063"/>
    </row>
    <row r="15706" spans="1:10" s="1064" customFormat="1" x14ac:dyDescent="0.25">
      <c r="A15706" s="262"/>
      <c r="B15706" s="1063"/>
      <c r="C15706" s="1063"/>
      <c r="D15706" s="1063"/>
      <c r="E15706" s="1063"/>
      <c r="F15706" s="1063"/>
      <c r="G15706" s="1063"/>
      <c r="H15706" s="1063"/>
      <c r="I15706" s="1063"/>
      <c r="J15706" s="1063"/>
    </row>
    <row r="15707" spans="1:10" s="1064" customFormat="1" x14ac:dyDescent="0.25">
      <c r="A15707" s="262"/>
      <c r="B15707" s="1063"/>
      <c r="C15707" s="1063"/>
      <c r="D15707" s="1063"/>
      <c r="E15707" s="1063"/>
      <c r="F15707" s="1063"/>
      <c r="G15707" s="1063"/>
      <c r="H15707" s="1063"/>
      <c r="I15707" s="1063"/>
      <c r="J15707" s="1063"/>
    </row>
    <row r="15708" spans="1:10" s="1064" customFormat="1" x14ac:dyDescent="0.25">
      <c r="A15708" s="262"/>
      <c r="B15708" s="1063"/>
      <c r="C15708" s="1063"/>
      <c r="D15708" s="1063"/>
      <c r="E15708" s="1063"/>
      <c r="F15708" s="1063"/>
      <c r="G15708" s="1063"/>
      <c r="H15708" s="1063"/>
      <c r="I15708" s="1063"/>
      <c r="J15708" s="1063"/>
    </row>
    <row r="15709" spans="1:10" s="1064" customFormat="1" x14ac:dyDescent="0.25">
      <c r="A15709" s="262"/>
      <c r="B15709" s="1063"/>
      <c r="C15709" s="1063"/>
      <c r="D15709" s="1063"/>
      <c r="E15709" s="1063"/>
      <c r="F15709" s="1063"/>
      <c r="G15709" s="1063"/>
      <c r="H15709" s="1063"/>
      <c r="I15709" s="1063"/>
      <c r="J15709" s="1063"/>
    </row>
    <row r="15710" spans="1:10" s="1064" customFormat="1" x14ac:dyDescent="0.25">
      <c r="A15710" s="262"/>
      <c r="B15710" s="1063"/>
      <c r="C15710" s="1063"/>
      <c r="D15710" s="1063"/>
      <c r="E15710" s="1063"/>
      <c r="F15710" s="1063"/>
      <c r="G15710" s="1063"/>
      <c r="H15710" s="1063"/>
      <c r="I15710" s="1063"/>
      <c r="J15710" s="1063"/>
    </row>
    <row r="15711" spans="1:10" s="1064" customFormat="1" x14ac:dyDescent="0.25">
      <c r="A15711" s="262"/>
      <c r="B15711" s="1063"/>
      <c r="C15711" s="1063"/>
      <c r="D15711" s="1063"/>
      <c r="E15711" s="1063"/>
      <c r="F15711" s="1063"/>
      <c r="G15711" s="1063"/>
      <c r="H15711" s="1063"/>
      <c r="I15711" s="1063"/>
      <c r="J15711" s="1063"/>
    </row>
    <row r="15712" spans="1:10" s="1064" customFormat="1" x14ac:dyDescent="0.25">
      <c r="A15712" s="262"/>
      <c r="B15712" s="1063"/>
      <c r="C15712" s="1063"/>
      <c r="D15712" s="1063"/>
      <c r="E15712" s="1063"/>
      <c r="F15712" s="1063"/>
      <c r="G15712" s="1063"/>
      <c r="H15712" s="1063"/>
      <c r="I15712" s="1063"/>
      <c r="J15712" s="1063"/>
    </row>
    <row r="15713" spans="1:10" s="1064" customFormat="1" x14ac:dyDescent="0.25">
      <c r="A15713" s="262"/>
      <c r="B15713" s="1063"/>
      <c r="C15713" s="1063"/>
      <c r="D15713" s="1063"/>
      <c r="E15713" s="1063"/>
      <c r="F15713" s="1063"/>
      <c r="G15713" s="1063"/>
      <c r="H15713" s="1063"/>
      <c r="I15713" s="1063"/>
      <c r="J15713" s="1063"/>
    </row>
    <row r="15714" spans="1:10" s="1064" customFormat="1" x14ac:dyDescent="0.25">
      <c r="A15714" s="262"/>
      <c r="B15714" s="1063"/>
      <c r="C15714" s="1063"/>
      <c r="D15714" s="1063"/>
      <c r="E15714" s="1063"/>
      <c r="F15714" s="1063"/>
      <c r="G15714" s="1063"/>
      <c r="H15714" s="1063"/>
      <c r="I15714" s="1063"/>
      <c r="J15714" s="1063"/>
    </row>
    <row r="15715" spans="1:10" s="1064" customFormat="1" x14ac:dyDescent="0.25">
      <c r="A15715" s="262"/>
      <c r="B15715" s="1063"/>
      <c r="C15715" s="1063"/>
      <c r="D15715" s="1063"/>
      <c r="E15715" s="1063"/>
      <c r="F15715" s="1063"/>
      <c r="G15715" s="1063"/>
      <c r="H15715" s="1063"/>
      <c r="I15715" s="1063"/>
      <c r="J15715" s="1063"/>
    </row>
    <row r="15716" spans="1:10" s="1064" customFormat="1" x14ac:dyDescent="0.25">
      <c r="A15716" s="262"/>
      <c r="B15716" s="1063"/>
      <c r="C15716" s="1063"/>
      <c r="D15716" s="1063"/>
      <c r="E15716" s="1063"/>
      <c r="F15716" s="1063"/>
      <c r="G15716" s="1063"/>
      <c r="H15716" s="1063"/>
      <c r="I15716" s="1063"/>
      <c r="J15716" s="1063"/>
    </row>
    <row r="15717" spans="1:10" s="1064" customFormat="1" x14ac:dyDescent="0.25">
      <c r="A15717" s="262"/>
      <c r="B15717" s="1063"/>
      <c r="C15717" s="1063"/>
      <c r="D15717" s="1063"/>
      <c r="E15717" s="1063"/>
      <c r="F15717" s="1063"/>
      <c r="G15717" s="1063"/>
      <c r="H15717" s="1063"/>
      <c r="I15717" s="1063"/>
      <c r="J15717" s="1063"/>
    </row>
    <row r="15718" spans="1:10" s="1064" customFormat="1" x14ac:dyDescent="0.25">
      <c r="A15718" s="262"/>
      <c r="B15718" s="1063"/>
      <c r="C15718" s="1063"/>
      <c r="D15718" s="1063"/>
      <c r="E15718" s="1063"/>
      <c r="F15718" s="1063"/>
      <c r="G15718" s="1063"/>
      <c r="H15718" s="1063"/>
      <c r="I15718" s="1063"/>
      <c r="J15718" s="1063"/>
    </row>
    <row r="15719" spans="1:10" s="1064" customFormat="1" x14ac:dyDescent="0.25">
      <c r="A15719" s="262"/>
      <c r="B15719" s="1063"/>
      <c r="C15719" s="1063"/>
      <c r="D15719" s="1063"/>
      <c r="E15719" s="1063"/>
      <c r="F15719" s="1063"/>
      <c r="G15719" s="1063"/>
      <c r="H15719" s="1063"/>
      <c r="I15719" s="1063"/>
      <c r="J15719" s="1063"/>
    </row>
    <row r="15720" spans="1:10" s="1064" customFormat="1" x14ac:dyDescent="0.25">
      <c r="A15720" s="262"/>
      <c r="B15720" s="1063"/>
      <c r="C15720" s="1063"/>
      <c r="D15720" s="1063"/>
      <c r="E15720" s="1063"/>
      <c r="F15720" s="1063"/>
      <c r="G15720" s="1063"/>
      <c r="H15720" s="1063"/>
      <c r="I15720" s="1063"/>
      <c r="J15720" s="1063"/>
    </row>
    <row r="15721" spans="1:10" s="1064" customFormat="1" x14ac:dyDescent="0.25">
      <c r="A15721" s="262"/>
      <c r="B15721" s="1063"/>
      <c r="C15721" s="1063"/>
      <c r="D15721" s="1063"/>
      <c r="E15721" s="1063"/>
      <c r="F15721" s="1063"/>
      <c r="G15721" s="1063"/>
      <c r="H15721" s="1063"/>
      <c r="I15721" s="1063"/>
      <c r="J15721" s="1063"/>
    </row>
    <row r="15722" spans="1:10" s="1064" customFormat="1" x14ac:dyDescent="0.25">
      <c r="A15722" s="262"/>
      <c r="B15722" s="1063"/>
      <c r="C15722" s="1063"/>
      <c r="D15722" s="1063"/>
      <c r="E15722" s="1063"/>
      <c r="F15722" s="1063"/>
      <c r="G15722" s="1063"/>
      <c r="H15722" s="1063"/>
      <c r="I15722" s="1063"/>
      <c r="J15722" s="1063"/>
    </row>
    <row r="15723" spans="1:10" s="1064" customFormat="1" x14ac:dyDescent="0.25">
      <c r="A15723" s="262"/>
      <c r="B15723" s="1063"/>
      <c r="C15723" s="1063"/>
      <c r="D15723" s="1063"/>
      <c r="E15723" s="1063"/>
      <c r="F15723" s="1063"/>
      <c r="G15723" s="1063"/>
      <c r="H15723" s="1063"/>
      <c r="I15723" s="1063"/>
      <c r="J15723" s="1063"/>
    </row>
    <row r="15724" spans="1:10" s="1064" customFormat="1" x14ac:dyDescent="0.25">
      <c r="A15724" s="262"/>
      <c r="B15724" s="1063"/>
      <c r="C15724" s="1063"/>
      <c r="D15724" s="1063"/>
      <c r="E15724" s="1063"/>
      <c r="F15724" s="1063"/>
      <c r="G15724" s="1063"/>
      <c r="H15724" s="1063"/>
      <c r="I15724" s="1063"/>
      <c r="J15724" s="1063"/>
    </row>
    <row r="15725" spans="1:10" s="1064" customFormat="1" x14ac:dyDescent="0.25">
      <c r="A15725" s="262"/>
      <c r="B15725" s="1063"/>
      <c r="C15725" s="1063"/>
      <c r="D15725" s="1063"/>
      <c r="E15725" s="1063"/>
      <c r="F15725" s="1063"/>
      <c r="G15725" s="1063"/>
      <c r="H15725" s="1063"/>
      <c r="I15725" s="1063"/>
      <c r="J15725" s="1063"/>
    </row>
    <row r="15726" spans="1:10" s="1064" customFormat="1" x14ac:dyDescent="0.25">
      <c r="A15726" s="262"/>
      <c r="B15726" s="1063"/>
      <c r="C15726" s="1063"/>
      <c r="D15726" s="1063"/>
      <c r="E15726" s="1063"/>
      <c r="F15726" s="1063"/>
      <c r="G15726" s="1063"/>
      <c r="H15726" s="1063"/>
      <c r="I15726" s="1063"/>
      <c r="J15726" s="1063"/>
    </row>
    <row r="15727" spans="1:10" s="1064" customFormat="1" x14ac:dyDescent="0.25">
      <c r="A15727" s="262"/>
      <c r="B15727" s="1063"/>
      <c r="C15727" s="1063"/>
      <c r="D15727" s="1063"/>
      <c r="E15727" s="1063"/>
      <c r="F15727" s="1063"/>
      <c r="G15727" s="1063"/>
      <c r="H15727" s="1063"/>
      <c r="I15727" s="1063"/>
      <c r="J15727" s="1063"/>
    </row>
    <row r="15728" spans="1:10" s="1064" customFormat="1" x14ac:dyDescent="0.25">
      <c r="A15728" s="262"/>
      <c r="B15728" s="1063"/>
      <c r="C15728" s="1063"/>
      <c r="D15728" s="1063"/>
      <c r="E15728" s="1063"/>
      <c r="F15728" s="1063"/>
      <c r="G15728" s="1063"/>
      <c r="H15728" s="1063"/>
      <c r="I15728" s="1063"/>
      <c r="J15728" s="1063"/>
    </row>
    <row r="15729" spans="1:10" s="1064" customFormat="1" x14ac:dyDescent="0.25">
      <c r="A15729" s="262"/>
      <c r="B15729" s="1063"/>
      <c r="C15729" s="1063"/>
      <c r="D15729" s="1063"/>
      <c r="E15729" s="1063"/>
      <c r="F15729" s="1063"/>
      <c r="G15729" s="1063"/>
      <c r="H15729" s="1063"/>
      <c r="I15729" s="1063"/>
      <c r="J15729" s="1063"/>
    </row>
    <row r="15730" spans="1:10" s="1064" customFormat="1" x14ac:dyDescent="0.25">
      <c r="A15730" s="262"/>
      <c r="B15730" s="1063"/>
      <c r="C15730" s="1063"/>
      <c r="D15730" s="1063"/>
      <c r="E15730" s="1063"/>
      <c r="F15730" s="1063"/>
      <c r="G15730" s="1063"/>
      <c r="H15730" s="1063"/>
      <c r="I15730" s="1063"/>
      <c r="J15730" s="1063"/>
    </row>
    <row r="15731" spans="1:10" s="1064" customFormat="1" x14ac:dyDescent="0.25">
      <c r="A15731" s="262"/>
      <c r="B15731" s="1063"/>
      <c r="C15731" s="1063"/>
      <c r="D15731" s="1063"/>
      <c r="E15731" s="1063"/>
      <c r="F15731" s="1063"/>
      <c r="G15731" s="1063"/>
      <c r="H15731" s="1063"/>
      <c r="I15731" s="1063"/>
      <c r="J15731" s="1063"/>
    </row>
    <row r="15732" spans="1:10" s="1064" customFormat="1" x14ac:dyDescent="0.25">
      <c r="A15732" s="262"/>
      <c r="B15732" s="1063"/>
      <c r="C15732" s="1063"/>
      <c r="D15732" s="1063"/>
      <c r="E15732" s="1063"/>
      <c r="F15732" s="1063"/>
      <c r="G15732" s="1063"/>
      <c r="H15732" s="1063"/>
      <c r="I15732" s="1063"/>
      <c r="J15732" s="1063"/>
    </row>
    <row r="15733" spans="1:10" s="1064" customFormat="1" x14ac:dyDescent="0.25">
      <c r="A15733" s="262"/>
      <c r="B15733" s="1063"/>
      <c r="C15733" s="1063"/>
      <c r="D15733" s="1063"/>
      <c r="E15733" s="1063"/>
      <c r="F15733" s="1063"/>
      <c r="G15733" s="1063"/>
      <c r="H15733" s="1063"/>
      <c r="I15733" s="1063"/>
      <c r="J15733" s="1063"/>
    </row>
    <row r="15734" spans="1:10" s="1064" customFormat="1" x14ac:dyDescent="0.25">
      <c r="A15734" s="262"/>
      <c r="B15734" s="1063"/>
      <c r="C15734" s="1063"/>
      <c r="D15734" s="1063"/>
      <c r="E15734" s="1063"/>
      <c r="F15734" s="1063"/>
      <c r="G15734" s="1063"/>
      <c r="H15734" s="1063"/>
      <c r="I15734" s="1063"/>
      <c r="J15734" s="1063"/>
    </row>
    <row r="15735" spans="1:10" s="1064" customFormat="1" x14ac:dyDescent="0.25">
      <c r="A15735" s="262"/>
      <c r="B15735" s="1063"/>
      <c r="C15735" s="1063"/>
      <c r="D15735" s="1063"/>
      <c r="E15735" s="1063"/>
      <c r="F15735" s="1063"/>
      <c r="G15735" s="1063"/>
      <c r="H15735" s="1063"/>
      <c r="I15735" s="1063"/>
      <c r="J15735" s="1063"/>
    </row>
    <row r="15736" spans="1:10" s="1064" customFormat="1" x14ac:dyDescent="0.25">
      <c r="A15736" s="262"/>
      <c r="B15736" s="1063"/>
      <c r="C15736" s="1063"/>
      <c r="D15736" s="1063"/>
      <c r="E15736" s="1063"/>
      <c r="F15736" s="1063"/>
      <c r="G15736" s="1063"/>
      <c r="H15736" s="1063"/>
      <c r="I15736" s="1063"/>
      <c r="J15736" s="1063"/>
    </row>
    <row r="15737" spans="1:10" s="1064" customFormat="1" x14ac:dyDescent="0.25">
      <c r="A15737" s="262"/>
      <c r="B15737" s="1063"/>
      <c r="C15737" s="1063"/>
      <c r="D15737" s="1063"/>
      <c r="E15737" s="1063"/>
      <c r="F15737" s="1063"/>
      <c r="G15737" s="1063"/>
      <c r="H15737" s="1063"/>
      <c r="I15737" s="1063"/>
      <c r="J15737" s="1063"/>
    </row>
    <row r="15738" spans="1:10" s="1064" customFormat="1" x14ac:dyDescent="0.25">
      <c r="A15738" s="262"/>
      <c r="B15738" s="1063"/>
      <c r="C15738" s="1063"/>
      <c r="D15738" s="1063"/>
      <c r="E15738" s="1063"/>
      <c r="F15738" s="1063"/>
      <c r="G15738" s="1063"/>
      <c r="H15738" s="1063"/>
      <c r="I15738" s="1063"/>
      <c r="J15738" s="1063"/>
    </row>
    <row r="15739" spans="1:10" s="1064" customFormat="1" x14ac:dyDescent="0.25">
      <c r="A15739" s="262"/>
      <c r="B15739" s="1063"/>
      <c r="C15739" s="1063"/>
      <c r="D15739" s="1063"/>
      <c r="E15739" s="1063"/>
      <c r="F15739" s="1063"/>
      <c r="G15739" s="1063"/>
      <c r="H15739" s="1063"/>
      <c r="I15739" s="1063"/>
      <c r="J15739" s="1063"/>
    </row>
    <row r="15740" spans="1:10" s="1064" customFormat="1" x14ac:dyDescent="0.25">
      <c r="A15740" s="262"/>
      <c r="B15740" s="1063"/>
      <c r="C15740" s="1063"/>
      <c r="D15740" s="1063"/>
      <c r="E15740" s="1063"/>
      <c r="F15740" s="1063"/>
      <c r="G15740" s="1063"/>
      <c r="H15740" s="1063"/>
      <c r="I15740" s="1063"/>
      <c r="J15740" s="1063"/>
    </row>
    <row r="15741" spans="1:10" s="1064" customFormat="1" x14ac:dyDescent="0.25">
      <c r="A15741" s="262"/>
      <c r="B15741" s="1063"/>
      <c r="C15741" s="1063"/>
      <c r="D15741" s="1063"/>
      <c r="E15741" s="1063"/>
      <c r="F15741" s="1063"/>
      <c r="G15741" s="1063"/>
      <c r="H15741" s="1063"/>
      <c r="I15741" s="1063"/>
      <c r="J15741" s="1063"/>
    </row>
    <row r="15742" spans="1:10" s="1064" customFormat="1" x14ac:dyDescent="0.25">
      <c r="A15742" s="262"/>
      <c r="B15742" s="1063"/>
      <c r="C15742" s="1063"/>
      <c r="D15742" s="1063"/>
      <c r="E15742" s="1063"/>
      <c r="F15742" s="1063"/>
      <c r="G15742" s="1063"/>
      <c r="H15742" s="1063"/>
      <c r="I15742" s="1063"/>
      <c r="J15742" s="1063"/>
    </row>
    <row r="15743" spans="1:10" s="1064" customFormat="1" x14ac:dyDescent="0.25">
      <c r="A15743" s="262"/>
      <c r="B15743" s="1063"/>
      <c r="C15743" s="1063"/>
      <c r="D15743" s="1063"/>
      <c r="E15743" s="1063"/>
      <c r="F15743" s="1063"/>
      <c r="G15743" s="1063"/>
      <c r="H15743" s="1063"/>
      <c r="I15743" s="1063"/>
      <c r="J15743" s="1063"/>
    </row>
    <row r="15744" spans="1:10" s="1064" customFormat="1" x14ac:dyDescent="0.25">
      <c r="A15744" s="262"/>
      <c r="B15744" s="1063"/>
      <c r="C15744" s="1063"/>
      <c r="D15744" s="1063"/>
      <c r="E15744" s="1063"/>
      <c r="F15744" s="1063"/>
      <c r="G15744" s="1063"/>
      <c r="H15744" s="1063"/>
      <c r="I15744" s="1063"/>
      <c r="J15744" s="1063"/>
    </row>
    <row r="15745" spans="1:10" s="1064" customFormat="1" x14ac:dyDescent="0.25">
      <c r="A15745" s="262"/>
      <c r="B15745" s="1063"/>
      <c r="C15745" s="1063"/>
      <c r="D15745" s="1063"/>
      <c r="E15745" s="1063"/>
      <c r="F15745" s="1063"/>
      <c r="G15745" s="1063"/>
      <c r="H15745" s="1063"/>
      <c r="I15745" s="1063"/>
      <c r="J15745" s="1063"/>
    </row>
    <row r="15746" spans="1:10" s="1064" customFormat="1" x14ac:dyDescent="0.25">
      <c r="A15746" s="262"/>
      <c r="B15746" s="1063"/>
      <c r="C15746" s="1063"/>
      <c r="D15746" s="1063"/>
      <c r="E15746" s="1063"/>
      <c r="F15746" s="1063"/>
      <c r="G15746" s="1063"/>
      <c r="H15746" s="1063"/>
      <c r="I15746" s="1063"/>
      <c r="J15746" s="1063"/>
    </row>
    <row r="15747" spans="1:10" s="1064" customFormat="1" x14ac:dyDescent="0.25">
      <c r="A15747" s="262"/>
      <c r="B15747" s="1063"/>
      <c r="C15747" s="1063"/>
      <c r="D15747" s="1063"/>
      <c r="E15747" s="1063"/>
      <c r="F15747" s="1063"/>
      <c r="G15747" s="1063"/>
      <c r="H15747" s="1063"/>
      <c r="I15747" s="1063"/>
      <c r="J15747" s="1063"/>
    </row>
    <row r="15748" spans="1:10" s="1064" customFormat="1" x14ac:dyDescent="0.25">
      <c r="A15748" s="262"/>
      <c r="B15748" s="1063"/>
      <c r="C15748" s="1063"/>
      <c r="D15748" s="1063"/>
      <c r="E15748" s="1063"/>
      <c r="F15748" s="1063"/>
      <c r="G15748" s="1063"/>
      <c r="H15748" s="1063"/>
      <c r="I15748" s="1063"/>
      <c r="J15748" s="1063"/>
    </row>
    <row r="15749" spans="1:10" s="1064" customFormat="1" x14ac:dyDescent="0.25">
      <c r="A15749" s="262"/>
      <c r="B15749" s="1063"/>
      <c r="C15749" s="1063"/>
      <c r="D15749" s="1063"/>
      <c r="E15749" s="1063"/>
      <c r="F15749" s="1063"/>
      <c r="G15749" s="1063"/>
      <c r="H15749" s="1063"/>
      <c r="I15749" s="1063"/>
      <c r="J15749" s="1063"/>
    </row>
    <row r="15750" spans="1:10" s="1064" customFormat="1" x14ac:dyDescent="0.25">
      <c r="A15750" s="262"/>
      <c r="B15750" s="1063"/>
      <c r="C15750" s="1063"/>
      <c r="D15750" s="1063"/>
      <c r="E15750" s="1063"/>
      <c r="F15750" s="1063"/>
      <c r="G15750" s="1063"/>
      <c r="H15750" s="1063"/>
      <c r="I15750" s="1063"/>
      <c r="J15750" s="1063"/>
    </row>
    <row r="15751" spans="1:10" s="1064" customFormat="1" x14ac:dyDescent="0.25">
      <c r="A15751" s="262"/>
      <c r="B15751" s="1063"/>
      <c r="C15751" s="1063"/>
      <c r="D15751" s="1063"/>
      <c r="E15751" s="1063"/>
      <c r="F15751" s="1063"/>
      <c r="G15751" s="1063"/>
      <c r="H15751" s="1063"/>
      <c r="I15751" s="1063"/>
      <c r="J15751" s="1063"/>
    </row>
    <row r="15752" spans="1:10" s="1064" customFormat="1" x14ac:dyDescent="0.25">
      <c r="A15752" s="262"/>
      <c r="B15752" s="1063"/>
      <c r="C15752" s="1063"/>
      <c r="D15752" s="1063"/>
      <c r="E15752" s="1063"/>
      <c r="F15752" s="1063"/>
      <c r="G15752" s="1063"/>
      <c r="H15752" s="1063"/>
      <c r="I15752" s="1063"/>
      <c r="J15752" s="1063"/>
    </row>
    <row r="15753" spans="1:10" s="1064" customFormat="1" x14ac:dyDescent="0.25">
      <c r="A15753" s="262"/>
      <c r="B15753" s="1063"/>
      <c r="C15753" s="1063"/>
      <c r="D15753" s="1063"/>
      <c r="E15753" s="1063"/>
      <c r="F15753" s="1063"/>
      <c r="G15753" s="1063"/>
      <c r="H15753" s="1063"/>
      <c r="I15753" s="1063"/>
      <c r="J15753" s="1063"/>
    </row>
    <row r="15754" spans="1:10" s="1064" customFormat="1" x14ac:dyDescent="0.25">
      <c r="A15754" s="262"/>
      <c r="B15754" s="1063"/>
      <c r="C15754" s="1063"/>
      <c r="D15754" s="1063"/>
      <c r="E15754" s="1063"/>
      <c r="F15754" s="1063"/>
      <c r="G15754" s="1063"/>
      <c r="H15754" s="1063"/>
      <c r="I15754" s="1063"/>
      <c r="J15754" s="1063"/>
    </row>
    <row r="15755" spans="1:10" s="1064" customFormat="1" x14ac:dyDescent="0.25">
      <c r="A15755" s="262"/>
      <c r="B15755" s="1063"/>
      <c r="C15755" s="1063"/>
      <c r="D15755" s="1063"/>
      <c r="E15755" s="1063"/>
      <c r="F15755" s="1063"/>
      <c r="G15755" s="1063"/>
      <c r="H15755" s="1063"/>
      <c r="I15755" s="1063"/>
      <c r="J15755" s="1063"/>
    </row>
    <row r="15756" spans="1:10" s="1064" customFormat="1" x14ac:dyDescent="0.25">
      <c r="A15756" s="262"/>
      <c r="B15756" s="1063"/>
      <c r="C15756" s="1063"/>
      <c r="D15756" s="1063"/>
      <c r="E15756" s="1063"/>
      <c r="F15756" s="1063"/>
      <c r="G15756" s="1063"/>
      <c r="H15756" s="1063"/>
      <c r="I15756" s="1063"/>
      <c r="J15756" s="1063"/>
    </row>
    <row r="15757" spans="1:10" s="1064" customFormat="1" x14ac:dyDescent="0.25">
      <c r="A15757" s="262"/>
      <c r="B15757" s="1063"/>
      <c r="C15757" s="1063"/>
      <c r="D15757" s="1063"/>
      <c r="E15757" s="1063"/>
      <c r="F15757" s="1063"/>
      <c r="G15757" s="1063"/>
      <c r="H15757" s="1063"/>
      <c r="I15757" s="1063"/>
      <c r="J15757" s="1063"/>
    </row>
    <row r="15758" spans="1:10" s="1064" customFormat="1" x14ac:dyDescent="0.25">
      <c r="A15758" s="262"/>
      <c r="B15758" s="1063"/>
      <c r="C15758" s="1063"/>
      <c r="D15758" s="1063"/>
      <c r="E15758" s="1063"/>
      <c r="F15758" s="1063"/>
      <c r="G15758" s="1063"/>
      <c r="H15758" s="1063"/>
      <c r="I15758" s="1063"/>
      <c r="J15758" s="1063"/>
    </row>
    <row r="15759" spans="1:10" s="1064" customFormat="1" x14ac:dyDescent="0.25">
      <c r="A15759" s="262"/>
      <c r="B15759" s="1063"/>
      <c r="C15759" s="1063"/>
      <c r="D15759" s="1063"/>
      <c r="E15759" s="1063"/>
      <c r="F15759" s="1063"/>
      <c r="G15759" s="1063"/>
      <c r="H15759" s="1063"/>
      <c r="I15759" s="1063"/>
      <c r="J15759" s="1063"/>
    </row>
    <row r="15760" spans="1:10" s="1064" customFormat="1" x14ac:dyDescent="0.25">
      <c r="A15760" s="262"/>
      <c r="B15760" s="1063"/>
      <c r="C15760" s="1063"/>
      <c r="D15760" s="1063"/>
      <c r="E15760" s="1063"/>
      <c r="F15760" s="1063"/>
      <c r="G15760" s="1063"/>
      <c r="H15760" s="1063"/>
      <c r="I15760" s="1063"/>
      <c r="J15760" s="1063"/>
    </row>
    <row r="15761" spans="1:10" s="1064" customFormat="1" x14ac:dyDescent="0.25">
      <c r="A15761" s="262"/>
      <c r="B15761" s="1063"/>
      <c r="C15761" s="1063"/>
      <c r="D15761" s="1063"/>
      <c r="E15761" s="1063"/>
      <c r="F15761" s="1063"/>
      <c r="G15761" s="1063"/>
      <c r="H15761" s="1063"/>
      <c r="I15761" s="1063"/>
      <c r="J15761" s="1063"/>
    </row>
    <row r="15762" spans="1:10" s="1064" customFormat="1" x14ac:dyDescent="0.25">
      <c r="A15762" s="262"/>
      <c r="B15762" s="1063"/>
      <c r="C15762" s="1063"/>
      <c r="D15762" s="1063"/>
      <c r="E15762" s="1063"/>
      <c r="F15762" s="1063"/>
      <c r="G15762" s="1063"/>
      <c r="H15762" s="1063"/>
      <c r="I15762" s="1063"/>
      <c r="J15762" s="1063"/>
    </row>
    <row r="15763" spans="1:10" s="1064" customFormat="1" x14ac:dyDescent="0.25">
      <c r="A15763" s="262"/>
      <c r="B15763" s="1063"/>
      <c r="C15763" s="1063"/>
      <c r="D15763" s="1063"/>
      <c r="E15763" s="1063"/>
      <c r="F15763" s="1063"/>
      <c r="G15763" s="1063"/>
      <c r="H15763" s="1063"/>
      <c r="I15763" s="1063"/>
      <c r="J15763" s="1063"/>
    </row>
    <row r="15764" spans="1:10" s="1064" customFormat="1" x14ac:dyDescent="0.25">
      <c r="A15764" s="262"/>
      <c r="B15764" s="1063"/>
      <c r="C15764" s="1063"/>
      <c r="D15764" s="1063"/>
      <c r="E15764" s="1063"/>
      <c r="F15764" s="1063"/>
      <c r="G15764" s="1063"/>
      <c r="H15764" s="1063"/>
      <c r="I15764" s="1063"/>
      <c r="J15764" s="1063"/>
    </row>
    <row r="15765" spans="1:10" s="1064" customFormat="1" x14ac:dyDescent="0.25">
      <c r="A15765" s="262"/>
      <c r="B15765" s="1063"/>
      <c r="C15765" s="1063"/>
      <c r="D15765" s="1063"/>
      <c r="E15765" s="1063"/>
      <c r="F15765" s="1063"/>
      <c r="G15765" s="1063"/>
      <c r="H15765" s="1063"/>
      <c r="I15765" s="1063"/>
      <c r="J15765" s="1063"/>
    </row>
    <row r="15766" spans="1:10" s="1064" customFormat="1" x14ac:dyDescent="0.25">
      <c r="A15766" s="262"/>
      <c r="B15766" s="1063"/>
      <c r="C15766" s="1063"/>
      <c r="D15766" s="1063"/>
      <c r="E15766" s="1063"/>
      <c r="F15766" s="1063"/>
      <c r="G15766" s="1063"/>
      <c r="H15766" s="1063"/>
      <c r="I15766" s="1063"/>
      <c r="J15766" s="1063"/>
    </row>
    <row r="15767" spans="1:10" s="1064" customFormat="1" x14ac:dyDescent="0.25">
      <c r="A15767" s="262"/>
      <c r="B15767" s="1063"/>
      <c r="C15767" s="1063"/>
      <c r="D15767" s="1063"/>
      <c r="E15767" s="1063"/>
      <c r="F15767" s="1063"/>
      <c r="G15767" s="1063"/>
      <c r="H15767" s="1063"/>
      <c r="I15767" s="1063"/>
      <c r="J15767" s="1063"/>
    </row>
    <row r="15768" spans="1:10" s="1064" customFormat="1" x14ac:dyDescent="0.25">
      <c r="A15768" s="262"/>
      <c r="B15768" s="1063"/>
      <c r="C15768" s="1063"/>
      <c r="D15768" s="1063"/>
      <c r="E15768" s="1063"/>
      <c r="F15768" s="1063"/>
      <c r="G15768" s="1063"/>
      <c r="H15768" s="1063"/>
      <c r="I15768" s="1063"/>
      <c r="J15768" s="1063"/>
    </row>
    <row r="15769" spans="1:10" s="1064" customFormat="1" x14ac:dyDescent="0.25">
      <c r="A15769" s="262"/>
      <c r="B15769" s="1063"/>
      <c r="C15769" s="1063"/>
      <c r="D15769" s="1063"/>
      <c r="E15769" s="1063"/>
      <c r="F15769" s="1063"/>
      <c r="G15769" s="1063"/>
      <c r="H15769" s="1063"/>
      <c r="I15769" s="1063"/>
      <c r="J15769" s="1063"/>
    </row>
    <row r="15770" spans="1:10" s="1064" customFormat="1" x14ac:dyDescent="0.25">
      <c r="A15770" s="262"/>
      <c r="B15770" s="1063"/>
      <c r="C15770" s="1063"/>
      <c r="D15770" s="1063"/>
      <c r="E15770" s="1063"/>
      <c r="F15770" s="1063"/>
      <c r="G15770" s="1063"/>
      <c r="H15770" s="1063"/>
      <c r="I15770" s="1063"/>
      <c r="J15770" s="1063"/>
    </row>
    <row r="15771" spans="1:10" s="1064" customFormat="1" x14ac:dyDescent="0.25">
      <c r="A15771" s="262"/>
      <c r="B15771" s="1063"/>
      <c r="C15771" s="1063"/>
      <c r="D15771" s="1063"/>
      <c r="E15771" s="1063"/>
      <c r="F15771" s="1063"/>
      <c r="G15771" s="1063"/>
      <c r="H15771" s="1063"/>
      <c r="I15771" s="1063"/>
      <c r="J15771" s="1063"/>
    </row>
    <row r="15772" spans="1:10" s="1064" customFormat="1" x14ac:dyDescent="0.25">
      <c r="A15772" s="262"/>
      <c r="B15772" s="1063"/>
      <c r="C15772" s="1063"/>
      <c r="D15772" s="1063"/>
      <c r="E15772" s="1063"/>
      <c r="F15772" s="1063"/>
      <c r="G15772" s="1063"/>
      <c r="H15772" s="1063"/>
      <c r="I15772" s="1063"/>
      <c r="J15772" s="1063"/>
    </row>
    <row r="15773" spans="1:10" s="1064" customFormat="1" x14ac:dyDescent="0.25">
      <c r="A15773" s="262"/>
      <c r="B15773" s="1063"/>
      <c r="C15773" s="1063"/>
      <c r="D15773" s="1063"/>
      <c r="E15773" s="1063"/>
      <c r="F15773" s="1063"/>
      <c r="G15773" s="1063"/>
      <c r="H15773" s="1063"/>
      <c r="I15773" s="1063"/>
      <c r="J15773" s="1063"/>
    </row>
    <row r="15774" spans="1:10" s="1064" customFormat="1" x14ac:dyDescent="0.25">
      <c r="A15774" s="262"/>
      <c r="B15774" s="1063"/>
      <c r="C15774" s="1063"/>
      <c r="D15774" s="1063"/>
      <c r="E15774" s="1063"/>
      <c r="F15774" s="1063"/>
      <c r="G15774" s="1063"/>
      <c r="H15774" s="1063"/>
      <c r="I15774" s="1063"/>
      <c r="J15774" s="1063"/>
    </row>
    <row r="15775" spans="1:10" s="1064" customFormat="1" x14ac:dyDescent="0.25">
      <c r="A15775" s="262"/>
      <c r="B15775" s="1063"/>
      <c r="C15775" s="1063"/>
      <c r="D15775" s="1063"/>
      <c r="E15775" s="1063"/>
      <c r="F15775" s="1063"/>
      <c r="G15775" s="1063"/>
      <c r="H15775" s="1063"/>
      <c r="I15775" s="1063"/>
      <c r="J15775" s="1063"/>
    </row>
    <row r="15776" spans="1:10" s="1064" customFormat="1" x14ac:dyDescent="0.25">
      <c r="A15776" s="262"/>
      <c r="B15776" s="1063"/>
      <c r="C15776" s="1063"/>
      <c r="D15776" s="1063"/>
      <c r="E15776" s="1063"/>
      <c r="F15776" s="1063"/>
      <c r="G15776" s="1063"/>
      <c r="H15776" s="1063"/>
      <c r="I15776" s="1063"/>
      <c r="J15776" s="1063"/>
    </row>
    <row r="15777" spans="1:10" s="1064" customFormat="1" x14ac:dyDescent="0.25">
      <c r="A15777" s="262"/>
      <c r="B15777" s="1063"/>
      <c r="C15777" s="1063"/>
      <c r="D15777" s="1063"/>
      <c r="E15777" s="1063"/>
      <c r="F15777" s="1063"/>
      <c r="G15777" s="1063"/>
      <c r="H15777" s="1063"/>
      <c r="I15777" s="1063"/>
      <c r="J15777" s="1063"/>
    </row>
    <row r="15778" spans="1:10" s="1064" customFormat="1" x14ac:dyDescent="0.25">
      <c r="A15778" s="262"/>
      <c r="B15778" s="1063"/>
      <c r="C15778" s="1063"/>
      <c r="D15778" s="1063"/>
      <c r="E15778" s="1063"/>
      <c r="F15778" s="1063"/>
      <c r="G15778" s="1063"/>
      <c r="H15778" s="1063"/>
      <c r="I15778" s="1063"/>
      <c r="J15778" s="1063"/>
    </row>
    <row r="15779" spans="1:10" s="1064" customFormat="1" x14ac:dyDescent="0.25">
      <c r="A15779" s="262"/>
      <c r="B15779" s="1063"/>
      <c r="C15779" s="1063"/>
      <c r="D15779" s="1063"/>
      <c r="E15779" s="1063"/>
      <c r="F15779" s="1063"/>
      <c r="G15779" s="1063"/>
      <c r="H15779" s="1063"/>
      <c r="I15779" s="1063"/>
      <c r="J15779" s="1063"/>
    </row>
    <row r="15780" spans="1:10" s="1064" customFormat="1" x14ac:dyDescent="0.25">
      <c r="A15780" s="262"/>
      <c r="B15780" s="1063"/>
      <c r="C15780" s="1063"/>
      <c r="D15780" s="1063"/>
      <c r="E15780" s="1063"/>
      <c r="F15780" s="1063"/>
      <c r="G15780" s="1063"/>
      <c r="H15780" s="1063"/>
      <c r="I15780" s="1063"/>
      <c r="J15780" s="1063"/>
    </row>
    <row r="15781" spans="1:10" s="1064" customFormat="1" x14ac:dyDescent="0.25">
      <c r="A15781" s="262"/>
      <c r="B15781" s="1063"/>
      <c r="C15781" s="1063"/>
      <c r="D15781" s="1063"/>
      <c r="E15781" s="1063"/>
      <c r="F15781" s="1063"/>
      <c r="G15781" s="1063"/>
      <c r="H15781" s="1063"/>
      <c r="I15781" s="1063"/>
      <c r="J15781" s="1063"/>
    </row>
    <row r="15782" spans="1:10" s="1064" customFormat="1" x14ac:dyDescent="0.25">
      <c r="A15782" s="262"/>
      <c r="B15782" s="1063"/>
      <c r="C15782" s="1063"/>
      <c r="D15782" s="1063"/>
      <c r="E15782" s="1063"/>
      <c r="F15782" s="1063"/>
      <c r="G15782" s="1063"/>
      <c r="H15782" s="1063"/>
      <c r="I15782" s="1063"/>
      <c r="J15782" s="1063"/>
    </row>
    <row r="15783" spans="1:10" s="1064" customFormat="1" x14ac:dyDescent="0.25">
      <c r="A15783" s="262"/>
      <c r="B15783" s="1063"/>
      <c r="C15783" s="1063"/>
      <c r="D15783" s="1063"/>
      <c r="E15783" s="1063"/>
      <c r="F15783" s="1063"/>
      <c r="G15783" s="1063"/>
      <c r="H15783" s="1063"/>
      <c r="I15783" s="1063"/>
      <c r="J15783" s="1063"/>
    </row>
    <row r="15784" spans="1:10" s="1064" customFormat="1" x14ac:dyDescent="0.25">
      <c r="A15784" s="262"/>
      <c r="B15784" s="1063"/>
      <c r="C15784" s="1063"/>
      <c r="D15784" s="1063"/>
      <c r="E15784" s="1063"/>
      <c r="F15784" s="1063"/>
      <c r="G15784" s="1063"/>
      <c r="H15784" s="1063"/>
      <c r="I15784" s="1063"/>
      <c r="J15784" s="1063"/>
    </row>
    <row r="15785" spans="1:10" s="1064" customFormat="1" x14ac:dyDescent="0.25">
      <c r="A15785" s="262"/>
      <c r="B15785" s="1063"/>
      <c r="C15785" s="1063"/>
      <c r="D15785" s="1063"/>
      <c r="E15785" s="1063"/>
      <c r="F15785" s="1063"/>
      <c r="G15785" s="1063"/>
      <c r="H15785" s="1063"/>
      <c r="I15785" s="1063"/>
      <c r="J15785" s="1063"/>
    </row>
    <row r="15786" spans="1:10" s="1064" customFormat="1" x14ac:dyDescent="0.25">
      <c r="A15786" s="262"/>
      <c r="B15786" s="1063"/>
      <c r="C15786" s="1063"/>
      <c r="D15786" s="1063"/>
      <c r="E15786" s="1063"/>
      <c r="F15786" s="1063"/>
      <c r="G15786" s="1063"/>
      <c r="H15786" s="1063"/>
      <c r="I15786" s="1063"/>
      <c r="J15786" s="1063"/>
    </row>
    <row r="15787" spans="1:10" s="1064" customFormat="1" x14ac:dyDescent="0.25">
      <c r="A15787" s="262"/>
      <c r="B15787" s="1063"/>
      <c r="C15787" s="1063"/>
      <c r="D15787" s="1063"/>
      <c r="E15787" s="1063"/>
      <c r="F15787" s="1063"/>
      <c r="G15787" s="1063"/>
      <c r="H15787" s="1063"/>
      <c r="I15787" s="1063"/>
      <c r="J15787" s="1063"/>
    </row>
    <row r="15788" spans="1:10" s="1064" customFormat="1" x14ac:dyDescent="0.25">
      <c r="A15788" s="262"/>
      <c r="B15788" s="1063"/>
      <c r="C15788" s="1063"/>
      <c r="D15788" s="1063"/>
      <c r="E15788" s="1063"/>
      <c r="F15788" s="1063"/>
      <c r="G15788" s="1063"/>
      <c r="H15788" s="1063"/>
      <c r="I15788" s="1063"/>
      <c r="J15788" s="1063"/>
    </row>
    <row r="15789" spans="1:10" s="1064" customFormat="1" x14ac:dyDescent="0.25">
      <c r="A15789" s="262"/>
      <c r="B15789" s="1063"/>
      <c r="C15789" s="1063"/>
      <c r="D15789" s="1063"/>
      <c r="E15789" s="1063"/>
      <c r="F15789" s="1063"/>
      <c r="G15789" s="1063"/>
      <c r="H15789" s="1063"/>
      <c r="I15789" s="1063"/>
      <c r="J15789" s="1063"/>
    </row>
    <row r="15790" spans="1:10" s="1064" customFormat="1" x14ac:dyDescent="0.25">
      <c r="A15790" s="262"/>
      <c r="B15790" s="1063"/>
      <c r="C15790" s="1063"/>
      <c r="D15790" s="1063"/>
      <c r="E15790" s="1063"/>
      <c r="F15790" s="1063"/>
      <c r="G15790" s="1063"/>
      <c r="H15790" s="1063"/>
      <c r="I15790" s="1063"/>
      <c r="J15790" s="1063"/>
    </row>
    <row r="15791" spans="1:10" s="1064" customFormat="1" x14ac:dyDescent="0.25">
      <c r="A15791" s="262"/>
      <c r="B15791" s="1063"/>
      <c r="C15791" s="1063"/>
      <c r="D15791" s="1063"/>
      <c r="E15791" s="1063"/>
      <c r="F15791" s="1063"/>
      <c r="G15791" s="1063"/>
      <c r="H15791" s="1063"/>
      <c r="I15791" s="1063"/>
      <c r="J15791" s="1063"/>
    </row>
    <row r="15792" spans="1:10" s="1064" customFormat="1" x14ac:dyDescent="0.25">
      <c r="A15792" s="262"/>
      <c r="B15792" s="1063"/>
      <c r="C15792" s="1063"/>
      <c r="D15792" s="1063"/>
      <c r="E15792" s="1063"/>
      <c r="F15792" s="1063"/>
      <c r="G15792" s="1063"/>
      <c r="H15792" s="1063"/>
      <c r="I15792" s="1063"/>
      <c r="J15792" s="1063"/>
    </row>
    <row r="15793" spans="1:10" s="1064" customFormat="1" x14ac:dyDescent="0.25">
      <c r="A15793" s="262"/>
      <c r="B15793" s="1063"/>
      <c r="C15793" s="1063"/>
      <c r="D15793" s="1063"/>
      <c r="E15793" s="1063"/>
      <c r="F15793" s="1063"/>
      <c r="G15793" s="1063"/>
      <c r="H15793" s="1063"/>
      <c r="I15793" s="1063"/>
      <c r="J15793" s="1063"/>
    </row>
    <row r="15794" spans="1:10" s="1064" customFormat="1" x14ac:dyDescent="0.25">
      <c r="A15794" s="262"/>
      <c r="B15794" s="1063"/>
      <c r="C15794" s="1063"/>
      <c r="D15794" s="1063"/>
      <c r="E15794" s="1063"/>
      <c r="F15794" s="1063"/>
      <c r="G15794" s="1063"/>
      <c r="H15794" s="1063"/>
      <c r="I15794" s="1063"/>
      <c r="J15794" s="1063"/>
    </row>
    <row r="15795" spans="1:10" s="1064" customFormat="1" x14ac:dyDescent="0.25">
      <c r="A15795" s="262"/>
      <c r="B15795" s="1063"/>
      <c r="C15795" s="1063"/>
      <c r="D15795" s="1063"/>
      <c r="E15795" s="1063"/>
      <c r="F15795" s="1063"/>
      <c r="G15795" s="1063"/>
      <c r="H15795" s="1063"/>
      <c r="I15795" s="1063"/>
      <c r="J15795" s="1063"/>
    </row>
    <row r="15796" spans="1:10" s="1064" customFormat="1" x14ac:dyDescent="0.25">
      <c r="A15796" s="262"/>
      <c r="B15796" s="1063"/>
      <c r="C15796" s="1063"/>
      <c r="D15796" s="1063"/>
      <c r="E15796" s="1063"/>
      <c r="F15796" s="1063"/>
      <c r="G15796" s="1063"/>
      <c r="H15796" s="1063"/>
      <c r="I15796" s="1063"/>
      <c r="J15796" s="1063"/>
    </row>
    <row r="15797" spans="1:10" s="1064" customFormat="1" x14ac:dyDescent="0.25">
      <c r="A15797" s="262"/>
      <c r="B15797" s="1063"/>
      <c r="C15797" s="1063"/>
      <c r="D15797" s="1063"/>
      <c r="E15797" s="1063"/>
      <c r="F15797" s="1063"/>
      <c r="G15797" s="1063"/>
      <c r="H15797" s="1063"/>
      <c r="I15797" s="1063"/>
      <c r="J15797" s="1063"/>
    </row>
    <row r="15798" spans="1:10" s="1064" customFormat="1" x14ac:dyDescent="0.25">
      <c r="A15798" s="262"/>
      <c r="B15798" s="1063"/>
      <c r="C15798" s="1063"/>
      <c r="D15798" s="1063"/>
      <c r="E15798" s="1063"/>
      <c r="F15798" s="1063"/>
      <c r="G15798" s="1063"/>
      <c r="H15798" s="1063"/>
      <c r="I15798" s="1063"/>
      <c r="J15798" s="1063"/>
    </row>
    <row r="15799" spans="1:10" s="1064" customFormat="1" x14ac:dyDescent="0.25">
      <c r="A15799" s="262"/>
      <c r="B15799" s="1063"/>
      <c r="C15799" s="1063"/>
      <c r="D15799" s="1063"/>
      <c r="E15799" s="1063"/>
      <c r="F15799" s="1063"/>
      <c r="G15799" s="1063"/>
      <c r="H15799" s="1063"/>
      <c r="I15799" s="1063"/>
      <c r="J15799" s="1063"/>
    </row>
    <row r="15800" spans="1:10" s="1064" customFormat="1" x14ac:dyDescent="0.25">
      <c r="A15800" s="262"/>
      <c r="B15800" s="1063"/>
      <c r="C15800" s="1063"/>
      <c r="D15800" s="1063"/>
      <c r="E15800" s="1063"/>
      <c r="F15800" s="1063"/>
      <c r="G15800" s="1063"/>
      <c r="H15800" s="1063"/>
      <c r="I15800" s="1063"/>
      <c r="J15800" s="1063"/>
    </row>
    <row r="15801" spans="1:10" s="1064" customFormat="1" x14ac:dyDescent="0.25">
      <c r="A15801" s="262"/>
      <c r="B15801" s="1063"/>
      <c r="C15801" s="1063"/>
      <c r="D15801" s="1063"/>
      <c r="E15801" s="1063"/>
      <c r="F15801" s="1063"/>
      <c r="G15801" s="1063"/>
      <c r="H15801" s="1063"/>
      <c r="I15801" s="1063"/>
      <c r="J15801" s="1063"/>
    </row>
    <row r="15802" spans="1:10" s="1064" customFormat="1" x14ac:dyDescent="0.25">
      <c r="A15802" s="262"/>
      <c r="B15802" s="1063"/>
      <c r="C15802" s="1063"/>
      <c r="D15802" s="1063"/>
      <c r="E15802" s="1063"/>
      <c r="F15802" s="1063"/>
      <c r="G15802" s="1063"/>
      <c r="H15802" s="1063"/>
      <c r="I15802" s="1063"/>
      <c r="J15802" s="1063"/>
    </row>
    <row r="15803" spans="1:10" s="1064" customFormat="1" x14ac:dyDescent="0.25">
      <c r="A15803" s="262"/>
      <c r="B15803" s="1063"/>
      <c r="C15803" s="1063"/>
      <c r="D15803" s="1063"/>
      <c r="E15803" s="1063"/>
      <c r="F15803" s="1063"/>
      <c r="G15803" s="1063"/>
      <c r="H15803" s="1063"/>
      <c r="I15803" s="1063"/>
      <c r="J15803" s="1063"/>
    </row>
    <row r="15804" spans="1:10" s="1064" customFormat="1" x14ac:dyDescent="0.25">
      <c r="A15804" s="262"/>
      <c r="B15804" s="1063"/>
      <c r="C15804" s="1063"/>
      <c r="D15804" s="1063"/>
      <c r="E15804" s="1063"/>
      <c r="F15804" s="1063"/>
      <c r="G15804" s="1063"/>
      <c r="H15804" s="1063"/>
      <c r="I15804" s="1063"/>
      <c r="J15804" s="1063"/>
    </row>
    <row r="15805" spans="1:10" s="1064" customFormat="1" x14ac:dyDescent="0.25">
      <c r="A15805" s="262"/>
      <c r="B15805" s="1063"/>
      <c r="C15805" s="1063"/>
      <c r="D15805" s="1063"/>
      <c r="E15805" s="1063"/>
      <c r="F15805" s="1063"/>
      <c r="G15805" s="1063"/>
      <c r="H15805" s="1063"/>
      <c r="I15805" s="1063"/>
      <c r="J15805" s="1063"/>
    </row>
    <row r="15806" spans="1:10" s="1064" customFormat="1" x14ac:dyDescent="0.25">
      <c r="A15806" s="262"/>
      <c r="B15806" s="1063"/>
      <c r="C15806" s="1063"/>
      <c r="D15806" s="1063"/>
      <c r="E15806" s="1063"/>
      <c r="F15806" s="1063"/>
      <c r="G15806" s="1063"/>
      <c r="H15806" s="1063"/>
      <c r="I15806" s="1063"/>
      <c r="J15806" s="1063"/>
    </row>
    <row r="15807" spans="1:10" s="1064" customFormat="1" x14ac:dyDescent="0.25">
      <c r="A15807" s="262"/>
      <c r="B15807" s="1063"/>
      <c r="C15807" s="1063"/>
      <c r="D15807" s="1063"/>
      <c r="E15807" s="1063"/>
      <c r="F15807" s="1063"/>
      <c r="G15807" s="1063"/>
      <c r="H15807" s="1063"/>
      <c r="I15807" s="1063"/>
      <c r="J15807" s="1063"/>
    </row>
    <row r="15808" spans="1:10" s="1064" customFormat="1" x14ac:dyDescent="0.25">
      <c r="A15808" s="262"/>
      <c r="B15808" s="1063"/>
      <c r="C15808" s="1063"/>
      <c r="D15808" s="1063"/>
      <c r="E15808" s="1063"/>
      <c r="F15808" s="1063"/>
      <c r="G15808" s="1063"/>
      <c r="H15808" s="1063"/>
      <c r="I15808" s="1063"/>
      <c r="J15808" s="1063"/>
    </row>
    <row r="15809" spans="1:10" s="1064" customFormat="1" x14ac:dyDescent="0.25">
      <c r="A15809" s="262"/>
      <c r="B15809" s="1063"/>
      <c r="C15809" s="1063"/>
      <c r="D15809" s="1063"/>
      <c r="E15809" s="1063"/>
      <c r="F15809" s="1063"/>
      <c r="G15809" s="1063"/>
      <c r="H15809" s="1063"/>
      <c r="I15809" s="1063"/>
      <c r="J15809" s="1063"/>
    </row>
    <row r="15810" spans="1:10" s="1064" customFormat="1" x14ac:dyDescent="0.25">
      <c r="A15810" s="262"/>
      <c r="B15810" s="1063"/>
      <c r="C15810" s="1063"/>
      <c r="D15810" s="1063"/>
      <c r="E15810" s="1063"/>
      <c r="F15810" s="1063"/>
      <c r="G15810" s="1063"/>
      <c r="H15810" s="1063"/>
      <c r="I15810" s="1063"/>
      <c r="J15810" s="1063"/>
    </row>
    <row r="15811" spans="1:10" s="1064" customFormat="1" x14ac:dyDescent="0.25">
      <c r="A15811" s="262"/>
      <c r="B15811" s="1063"/>
      <c r="C15811" s="1063"/>
      <c r="D15811" s="1063"/>
      <c r="E15811" s="1063"/>
      <c r="F15811" s="1063"/>
      <c r="G15811" s="1063"/>
      <c r="H15811" s="1063"/>
      <c r="I15811" s="1063"/>
      <c r="J15811" s="1063"/>
    </row>
    <row r="15812" spans="1:10" s="1064" customFormat="1" x14ac:dyDescent="0.25">
      <c r="A15812" s="262"/>
      <c r="B15812" s="1063"/>
      <c r="C15812" s="1063"/>
      <c r="D15812" s="1063"/>
      <c r="E15812" s="1063"/>
      <c r="F15812" s="1063"/>
      <c r="G15812" s="1063"/>
      <c r="H15812" s="1063"/>
      <c r="I15812" s="1063"/>
      <c r="J15812" s="1063"/>
    </row>
    <row r="15813" spans="1:10" s="1064" customFormat="1" x14ac:dyDescent="0.25">
      <c r="A15813" s="262"/>
      <c r="B15813" s="1063"/>
      <c r="C15813" s="1063"/>
      <c r="D15813" s="1063"/>
      <c r="E15813" s="1063"/>
      <c r="F15813" s="1063"/>
      <c r="G15813" s="1063"/>
      <c r="H15813" s="1063"/>
      <c r="I15813" s="1063"/>
      <c r="J15813" s="1063"/>
    </row>
    <row r="15814" spans="1:10" s="1064" customFormat="1" x14ac:dyDescent="0.25">
      <c r="A15814" s="262"/>
      <c r="B15814" s="1063"/>
      <c r="C15814" s="1063"/>
      <c r="D15814" s="1063"/>
      <c r="E15814" s="1063"/>
      <c r="F15814" s="1063"/>
      <c r="G15814" s="1063"/>
      <c r="H15814" s="1063"/>
      <c r="I15814" s="1063"/>
      <c r="J15814" s="1063"/>
    </row>
    <row r="15815" spans="1:10" s="1064" customFormat="1" x14ac:dyDescent="0.25">
      <c r="A15815" s="262"/>
      <c r="B15815" s="1063"/>
      <c r="C15815" s="1063"/>
      <c r="D15815" s="1063"/>
      <c r="E15815" s="1063"/>
      <c r="F15815" s="1063"/>
      <c r="G15815" s="1063"/>
      <c r="H15815" s="1063"/>
      <c r="I15815" s="1063"/>
      <c r="J15815" s="1063"/>
    </row>
    <row r="15816" spans="1:10" s="1064" customFormat="1" x14ac:dyDescent="0.25">
      <c r="A15816" s="262"/>
      <c r="B15816" s="1063"/>
      <c r="C15816" s="1063"/>
      <c r="D15816" s="1063"/>
      <c r="E15816" s="1063"/>
      <c r="F15816" s="1063"/>
      <c r="G15816" s="1063"/>
      <c r="H15816" s="1063"/>
      <c r="I15816" s="1063"/>
      <c r="J15816" s="1063"/>
    </row>
    <row r="15817" spans="1:10" s="1064" customFormat="1" x14ac:dyDescent="0.25">
      <c r="A15817" s="262"/>
      <c r="B15817" s="1063"/>
      <c r="C15817" s="1063"/>
      <c r="D15817" s="1063"/>
      <c r="E15817" s="1063"/>
      <c r="F15817" s="1063"/>
      <c r="G15817" s="1063"/>
      <c r="H15817" s="1063"/>
      <c r="I15817" s="1063"/>
      <c r="J15817" s="1063"/>
    </row>
    <row r="15818" spans="1:10" s="1064" customFormat="1" x14ac:dyDescent="0.25">
      <c r="A15818" s="262"/>
      <c r="B15818" s="1063"/>
      <c r="C15818" s="1063"/>
      <c r="D15818" s="1063"/>
      <c r="E15818" s="1063"/>
      <c r="F15818" s="1063"/>
      <c r="G15818" s="1063"/>
      <c r="H15818" s="1063"/>
      <c r="I15818" s="1063"/>
      <c r="J15818" s="1063"/>
    </row>
    <row r="15819" spans="1:10" s="1064" customFormat="1" x14ac:dyDescent="0.25">
      <c r="A15819" s="262"/>
      <c r="B15819" s="1063"/>
      <c r="C15819" s="1063"/>
      <c r="D15819" s="1063"/>
      <c r="E15819" s="1063"/>
      <c r="F15819" s="1063"/>
      <c r="G15819" s="1063"/>
      <c r="H15819" s="1063"/>
      <c r="I15819" s="1063"/>
      <c r="J15819" s="1063"/>
    </row>
    <row r="15820" spans="1:10" s="1064" customFormat="1" x14ac:dyDescent="0.25">
      <c r="A15820" s="262"/>
      <c r="B15820" s="1063"/>
      <c r="C15820" s="1063"/>
      <c r="D15820" s="1063"/>
      <c r="E15820" s="1063"/>
      <c r="F15820" s="1063"/>
      <c r="G15820" s="1063"/>
      <c r="H15820" s="1063"/>
      <c r="I15820" s="1063"/>
      <c r="J15820" s="1063"/>
    </row>
    <row r="15821" spans="1:10" s="1064" customFormat="1" x14ac:dyDescent="0.25">
      <c r="A15821" s="262"/>
      <c r="B15821" s="1063"/>
      <c r="C15821" s="1063"/>
      <c r="D15821" s="1063"/>
      <c r="E15821" s="1063"/>
      <c r="F15821" s="1063"/>
      <c r="G15821" s="1063"/>
      <c r="H15821" s="1063"/>
      <c r="I15821" s="1063"/>
      <c r="J15821" s="1063"/>
    </row>
    <row r="15822" spans="1:10" s="1064" customFormat="1" x14ac:dyDescent="0.25">
      <c r="A15822" s="262"/>
      <c r="B15822" s="1063"/>
      <c r="C15822" s="1063"/>
      <c r="D15822" s="1063"/>
      <c r="E15822" s="1063"/>
      <c r="F15822" s="1063"/>
      <c r="G15822" s="1063"/>
      <c r="H15822" s="1063"/>
      <c r="I15822" s="1063"/>
      <c r="J15822" s="1063"/>
    </row>
    <row r="15823" spans="1:10" s="1064" customFormat="1" x14ac:dyDescent="0.25">
      <c r="A15823" s="262"/>
      <c r="B15823" s="1063"/>
      <c r="C15823" s="1063"/>
      <c r="D15823" s="1063"/>
      <c r="E15823" s="1063"/>
      <c r="F15823" s="1063"/>
      <c r="G15823" s="1063"/>
      <c r="H15823" s="1063"/>
      <c r="I15823" s="1063"/>
      <c r="J15823" s="1063"/>
    </row>
    <row r="15824" spans="1:10" s="1064" customFormat="1" x14ac:dyDescent="0.25">
      <c r="A15824" s="262"/>
      <c r="B15824" s="1063"/>
      <c r="C15824" s="1063"/>
      <c r="D15824" s="1063"/>
      <c r="E15824" s="1063"/>
      <c r="F15824" s="1063"/>
      <c r="G15824" s="1063"/>
      <c r="H15824" s="1063"/>
      <c r="I15824" s="1063"/>
      <c r="J15824" s="1063"/>
    </row>
    <row r="15825" spans="1:10" s="1064" customFormat="1" x14ac:dyDescent="0.25">
      <c r="A15825" s="262"/>
      <c r="B15825" s="1063"/>
      <c r="C15825" s="1063"/>
      <c r="D15825" s="1063"/>
      <c r="E15825" s="1063"/>
      <c r="F15825" s="1063"/>
      <c r="G15825" s="1063"/>
      <c r="H15825" s="1063"/>
      <c r="I15825" s="1063"/>
      <c r="J15825" s="1063"/>
    </row>
    <row r="15826" spans="1:10" s="1064" customFormat="1" x14ac:dyDescent="0.25">
      <c r="A15826" s="262"/>
      <c r="B15826" s="1063"/>
      <c r="C15826" s="1063"/>
      <c r="D15826" s="1063"/>
      <c r="E15826" s="1063"/>
      <c r="F15826" s="1063"/>
      <c r="G15826" s="1063"/>
      <c r="H15826" s="1063"/>
      <c r="I15826" s="1063"/>
      <c r="J15826" s="1063"/>
    </row>
    <row r="15827" spans="1:10" s="1064" customFormat="1" x14ac:dyDescent="0.25">
      <c r="A15827" s="262"/>
      <c r="B15827" s="1063"/>
      <c r="C15827" s="1063"/>
      <c r="D15827" s="1063"/>
      <c r="E15827" s="1063"/>
      <c r="F15827" s="1063"/>
      <c r="G15827" s="1063"/>
      <c r="H15827" s="1063"/>
      <c r="I15827" s="1063"/>
      <c r="J15827" s="1063"/>
    </row>
    <row r="15828" spans="1:10" s="1064" customFormat="1" x14ac:dyDescent="0.25">
      <c r="A15828" s="262"/>
      <c r="B15828" s="1063"/>
      <c r="C15828" s="1063"/>
      <c r="D15828" s="1063"/>
      <c r="E15828" s="1063"/>
      <c r="F15828" s="1063"/>
      <c r="G15828" s="1063"/>
      <c r="H15828" s="1063"/>
      <c r="I15828" s="1063"/>
      <c r="J15828" s="1063"/>
    </row>
    <row r="15829" spans="1:10" s="1064" customFormat="1" x14ac:dyDescent="0.25">
      <c r="A15829" s="262"/>
      <c r="B15829" s="1063"/>
      <c r="C15829" s="1063"/>
      <c r="D15829" s="1063"/>
      <c r="E15829" s="1063"/>
      <c r="F15829" s="1063"/>
      <c r="G15829" s="1063"/>
      <c r="H15829" s="1063"/>
      <c r="I15829" s="1063"/>
      <c r="J15829" s="1063"/>
    </row>
    <row r="15830" spans="1:10" s="1064" customFormat="1" x14ac:dyDescent="0.25">
      <c r="A15830" s="262"/>
      <c r="B15830" s="1063"/>
      <c r="C15830" s="1063"/>
      <c r="D15830" s="1063"/>
      <c r="E15830" s="1063"/>
      <c r="F15830" s="1063"/>
      <c r="G15830" s="1063"/>
      <c r="H15830" s="1063"/>
      <c r="I15830" s="1063"/>
      <c r="J15830" s="1063"/>
    </row>
    <row r="15831" spans="1:10" s="1064" customFormat="1" x14ac:dyDescent="0.25">
      <c r="A15831" s="262"/>
      <c r="B15831" s="1063"/>
      <c r="C15831" s="1063"/>
      <c r="D15831" s="1063"/>
      <c r="E15831" s="1063"/>
      <c r="F15831" s="1063"/>
      <c r="G15831" s="1063"/>
      <c r="H15831" s="1063"/>
      <c r="I15831" s="1063"/>
      <c r="J15831" s="1063"/>
    </row>
    <row r="15832" spans="1:10" s="1064" customFormat="1" x14ac:dyDescent="0.25">
      <c r="A15832" s="262"/>
      <c r="B15832" s="1063"/>
      <c r="C15832" s="1063"/>
      <c r="D15832" s="1063"/>
      <c r="E15832" s="1063"/>
      <c r="F15832" s="1063"/>
      <c r="G15832" s="1063"/>
      <c r="H15832" s="1063"/>
      <c r="I15832" s="1063"/>
      <c r="J15832" s="1063"/>
    </row>
    <row r="15833" spans="1:10" s="1064" customFormat="1" x14ac:dyDescent="0.25">
      <c r="A15833" s="262"/>
      <c r="B15833" s="1063"/>
      <c r="C15833" s="1063"/>
      <c r="D15833" s="1063"/>
      <c r="E15833" s="1063"/>
      <c r="F15833" s="1063"/>
      <c r="G15833" s="1063"/>
      <c r="H15833" s="1063"/>
      <c r="I15833" s="1063"/>
      <c r="J15833" s="1063"/>
    </row>
    <row r="15834" spans="1:10" s="1064" customFormat="1" x14ac:dyDescent="0.25">
      <c r="A15834" s="262"/>
      <c r="B15834" s="1063"/>
      <c r="C15834" s="1063"/>
      <c r="D15834" s="1063"/>
      <c r="E15834" s="1063"/>
      <c r="F15834" s="1063"/>
      <c r="G15834" s="1063"/>
      <c r="H15834" s="1063"/>
      <c r="I15834" s="1063"/>
      <c r="J15834" s="1063"/>
    </row>
    <row r="15835" spans="1:10" s="1064" customFormat="1" x14ac:dyDescent="0.25">
      <c r="A15835" s="262"/>
      <c r="B15835" s="1063"/>
      <c r="C15835" s="1063"/>
      <c r="D15835" s="1063"/>
      <c r="E15835" s="1063"/>
      <c r="F15835" s="1063"/>
      <c r="G15835" s="1063"/>
      <c r="H15835" s="1063"/>
      <c r="I15835" s="1063"/>
      <c r="J15835" s="1063"/>
    </row>
    <row r="15836" spans="1:10" s="1064" customFormat="1" x14ac:dyDescent="0.25">
      <c r="A15836" s="262"/>
      <c r="B15836" s="1063"/>
      <c r="C15836" s="1063"/>
      <c r="D15836" s="1063"/>
      <c r="E15836" s="1063"/>
      <c r="F15836" s="1063"/>
      <c r="G15836" s="1063"/>
      <c r="H15836" s="1063"/>
      <c r="I15836" s="1063"/>
      <c r="J15836" s="1063"/>
    </row>
    <row r="15837" spans="1:10" s="1064" customFormat="1" x14ac:dyDescent="0.25">
      <c r="A15837" s="262"/>
      <c r="B15837" s="1063"/>
      <c r="C15837" s="1063"/>
      <c r="D15837" s="1063"/>
      <c r="E15837" s="1063"/>
      <c r="F15837" s="1063"/>
      <c r="G15837" s="1063"/>
      <c r="H15837" s="1063"/>
      <c r="I15837" s="1063"/>
      <c r="J15837" s="1063"/>
    </row>
    <row r="15838" spans="1:10" s="1064" customFormat="1" x14ac:dyDescent="0.25">
      <c r="A15838" s="262"/>
      <c r="B15838" s="1063"/>
      <c r="C15838" s="1063"/>
      <c r="D15838" s="1063"/>
      <c r="E15838" s="1063"/>
      <c r="F15838" s="1063"/>
      <c r="G15838" s="1063"/>
      <c r="H15838" s="1063"/>
      <c r="I15838" s="1063"/>
      <c r="J15838" s="1063"/>
    </row>
    <row r="15839" spans="1:10" s="1064" customFormat="1" x14ac:dyDescent="0.25">
      <c r="A15839" s="262"/>
      <c r="B15839" s="1063"/>
      <c r="C15839" s="1063"/>
      <c r="D15839" s="1063"/>
      <c r="E15839" s="1063"/>
      <c r="F15839" s="1063"/>
      <c r="G15839" s="1063"/>
      <c r="H15839" s="1063"/>
      <c r="I15839" s="1063"/>
      <c r="J15839" s="1063"/>
    </row>
    <row r="15840" spans="1:10" s="1064" customFormat="1" x14ac:dyDescent="0.25">
      <c r="A15840" s="262"/>
      <c r="B15840" s="1063"/>
      <c r="C15840" s="1063"/>
      <c r="D15840" s="1063"/>
      <c r="E15840" s="1063"/>
      <c r="F15840" s="1063"/>
      <c r="G15840" s="1063"/>
      <c r="H15840" s="1063"/>
      <c r="I15840" s="1063"/>
      <c r="J15840" s="1063"/>
    </row>
    <row r="15841" spans="1:10" s="1064" customFormat="1" x14ac:dyDescent="0.25">
      <c r="A15841" s="262"/>
      <c r="B15841" s="1063"/>
      <c r="C15841" s="1063"/>
      <c r="D15841" s="1063"/>
      <c r="E15841" s="1063"/>
      <c r="F15841" s="1063"/>
      <c r="G15841" s="1063"/>
      <c r="H15841" s="1063"/>
      <c r="I15841" s="1063"/>
      <c r="J15841" s="1063"/>
    </row>
    <row r="15842" spans="1:10" s="1064" customFormat="1" x14ac:dyDescent="0.25">
      <c r="A15842" s="262"/>
      <c r="B15842" s="1063"/>
      <c r="C15842" s="1063"/>
      <c r="D15842" s="1063"/>
      <c r="E15842" s="1063"/>
      <c r="F15842" s="1063"/>
      <c r="G15842" s="1063"/>
      <c r="H15842" s="1063"/>
      <c r="I15842" s="1063"/>
      <c r="J15842" s="1063"/>
    </row>
    <row r="15843" spans="1:10" s="1064" customFormat="1" x14ac:dyDescent="0.25">
      <c r="A15843" s="262"/>
      <c r="B15843" s="1063"/>
      <c r="C15843" s="1063"/>
      <c r="D15843" s="1063"/>
      <c r="E15843" s="1063"/>
      <c r="F15843" s="1063"/>
      <c r="G15843" s="1063"/>
      <c r="H15843" s="1063"/>
      <c r="I15843" s="1063"/>
      <c r="J15843" s="1063"/>
    </row>
    <row r="15844" spans="1:10" s="1064" customFormat="1" x14ac:dyDescent="0.25">
      <c r="A15844" s="262"/>
      <c r="B15844" s="1063"/>
      <c r="C15844" s="1063"/>
      <c r="D15844" s="1063"/>
      <c r="E15844" s="1063"/>
      <c r="F15844" s="1063"/>
      <c r="G15844" s="1063"/>
      <c r="H15844" s="1063"/>
      <c r="I15844" s="1063"/>
      <c r="J15844" s="1063"/>
    </row>
    <row r="15845" spans="1:10" s="1064" customFormat="1" x14ac:dyDescent="0.25">
      <c r="A15845" s="262"/>
      <c r="B15845" s="1063"/>
      <c r="C15845" s="1063"/>
      <c r="D15845" s="1063"/>
      <c r="E15845" s="1063"/>
      <c r="F15845" s="1063"/>
      <c r="G15845" s="1063"/>
      <c r="H15845" s="1063"/>
      <c r="I15845" s="1063"/>
      <c r="J15845" s="1063"/>
    </row>
    <row r="15846" spans="1:10" s="1064" customFormat="1" x14ac:dyDescent="0.25">
      <c r="A15846" s="262"/>
      <c r="B15846" s="1063"/>
      <c r="C15846" s="1063"/>
      <c r="D15846" s="1063"/>
      <c r="E15846" s="1063"/>
      <c r="F15846" s="1063"/>
      <c r="G15846" s="1063"/>
      <c r="H15846" s="1063"/>
      <c r="I15846" s="1063"/>
      <c r="J15846" s="1063"/>
    </row>
    <row r="15847" spans="1:10" s="1064" customFormat="1" x14ac:dyDescent="0.25">
      <c r="A15847" s="262"/>
      <c r="B15847" s="1063"/>
      <c r="C15847" s="1063"/>
      <c r="D15847" s="1063"/>
      <c r="E15847" s="1063"/>
      <c r="F15847" s="1063"/>
      <c r="G15847" s="1063"/>
      <c r="H15847" s="1063"/>
      <c r="I15847" s="1063"/>
      <c r="J15847" s="1063"/>
    </row>
    <row r="15848" spans="1:10" s="1064" customFormat="1" x14ac:dyDescent="0.25">
      <c r="A15848" s="262"/>
      <c r="B15848" s="1063"/>
      <c r="C15848" s="1063"/>
      <c r="D15848" s="1063"/>
      <c r="E15848" s="1063"/>
      <c r="F15848" s="1063"/>
      <c r="G15848" s="1063"/>
      <c r="H15848" s="1063"/>
      <c r="I15848" s="1063"/>
      <c r="J15848" s="1063"/>
    </row>
    <row r="15849" spans="1:10" s="1064" customFormat="1" x14ac:dyDescent="0.25">
      <c r="A15849" s="262"/>
      <c r="B15849" s="1063"/>
      <c r="C15849" s="1063"/>
      <c r="D15849" s="1063"/>
      <c r="E15849" s="1063"/>
      <c r="F15849" s="1063"/>
      <c r="G15849" s="1063"/>
      <c r="H15849" s="1063"/>
      <c r="I15849" s="1063"/>
      <c r="J15849" s="1063"/>
    </row>
    <row r="15850" spans="1:10" s="1064" customFormat="1" x14ac:dyDescent="0.25">
      <c r="A15850" s="262"/>
      <c r="B15850" s="1063"/>
      <c r="C15850" s="1063"/>
      <c r="D15850" s="1063"/>
      <c r="E15850" s="1063"/>
      <c r="F15850" s="1063"/>
      <c r="G15850" s="1063"/>
      <c r="H15850" s="1063"/>
      <c r="I15850" s="1063"/>
      <c r="J15850" s="1063"/>
    </row>
    <row r="15851" spans="1:10" s="1064" customFormat="1" x14ac:dyDescent="0.25">
      <c r="A15851" s="262"/>
      <c r="B15851" s="1063"/>
      <c r="C15851" s="1063"/>
      <c r="D15851" s="1063"/>
      <c r="E15851" s="1063"/>
      <c r="F15851" s="1063"/>
      <c r="G15851" s="1063"/>
      <c r="H15851" s="1063"/>
      <c r="I15851" s="1063"/>
      <c r="J15851" s="1063"/>
    </row>
    <row r="15852" spans="1:10" s="1064" customFormat="1" x14ac:dyDescent="0.25">
      <c r="A15852" s="262"/>
      <c r="B15852" s="1063"/>
      <c r="C15852" s="1063"/>
      <c r="D15852" s="1063"/>
      <c r="E15852" s="1063"/>
      <c r="F15852" s="1063"/>
      <c r="G15852" s="1063"/>
      <c r="H15852" s="1063"/>
      <c r="I15852" s="1063"/>
      <c r="J15852" s="1063"/>
    </row>
    <row r="15853" spans="1:10" s="1064" customFormat="1" x14ac:dyDescent="0.25">
      <c r="A15853" s="262"/>
      <c r="B15853" s="1063"/>
      <c r="C15853" s="1063"/>
      <c r="D15853" s="1063"/>
      <c r="E15853" s="1063"/>
      <c r="F15853" s="1063"/>
      <c r="G15853" s="1063"/>
      <c r="H15853" s="1063"/>
      <c r="I15853" s="1063"/>
      <c r="J15853" s="1063"/>
    </row>
    <row r="15854" spans="1:10" s="1064" customFormat="1" x14ac:dyDescent="0.25">
      <c r="A15854" s="262"/>
      <c r="B15854" s="1063"/>
      <c r="C15854" s="1063"/>
      <c r="D15854" s="1063"/>
      <c r="E15854" s="1063"/>
      <c r="F15854" s="1063"/>
      <c r="G15854" s="1063"/>
      <c r="H15854" s="1063"/>
      <c r="I15854" s="1063"/>
      <c r="J15854" s="1063"/>
    </row>
    <row r="15855" spans="1:10" s="1064" customFormat="1" x14ac:dyDescent="0.25">
      <c r="A15855" s="262"/>
      <c r="B15855" s="1063"/>
      <c r="C15855" s="1063"/>
      <c r="D15855" s="1063"/>
      <c r="E15855" s="1063"/>
      <c r="F15855" s="1063"/>
      <c r="G15855" s="1063"/>
      <c r="H15855" s="1063"/>
      <c r="I15855" s="1063"/>
      <c r="J15855" s="1063"/>
    </row>
    <row r="15856" spans="1:10" s="1064" customFormat="1" x14ac:dyDescent="0.25">
      <c r="A15856" s="262"/>
      <c r="B15856" s="1063"/>
      <c r="C15856" s="1063"/>
      <c r="D15856" s="1063"/>
      <c r="E15856" s="1063"/>
      <c r="F15856" s="1063"/>
      <c r="G15856" s="1063"/>
      <c r="H15856" s="1063"/>
      <c r="I15856" s="1063"/>
      <c r="J15856" s="1063"/>
    </row>
    <row r="15857" spans="1:10" s="1064" customFormat="1" x14ac:dyDescent="0.25">
      <c r="A15857" s="262"/>
      <c r="B15857" s="1063"/>
      <c r="C15857" s="1063"/>
      <c r="D15857" s="1063"/>
      <c r="E15857" s="1063"/>
      <c r="F15857" s="1063"/>
      <c r="G15857" s="1063"/>
      <c r="H15857" s="1063"/>
      <c r="I15857" s="1063"/>
      <c r="J15857" s="1063"/>
    </row>
    <row r="15858" spans="1:10" s="1064" customFormat="1" x14ac:dyDescent="0.25">
      <c r="A15858" s="262"/>
      <c r="B15858" s="1063"/>
      <c r="C15858" s="1063"/>
      <c r="D15858" s="1063"/>
      <c r="E15858" s="1063"/>
      <c r="F15858" s="1063"/>
      <c r="G15858" s="1063"/>
      <c r="H15858" s="1063"/>
      <c r="I15858" s="1063"/>
      <c r="J15858" s="1063"/>
    </row>
    <row r="15859" spans="1:10" s="1064" customFormat="1" x14ac:dyDescent="0.25">
      <c r="A15859" s="262"/>
      <c r="B15859" s="1063"/>
      <c r="C15859" s="1063"/>
      <c r="D15859" s="1063"/>
      <c r="E15859" s="1063"/>
      <c r="F15859" s="1063"/>
      <c r="G15859" s="1063"/>
      <c r="H15859" s="1063"/>
      <c r="I15859" s="1063"/>
      <c r="J15859" s="1063"/>
    </row>
    <row r="15860" spans="1:10" s="1064" customFormat="1" x14ac:dyDescent="0.25">
      <c r="A15860" s="262"/>
      <c r="B15860" s="1063"/>
      <c r="C15860" s="1063"/>
      <c r="D15860" s="1063"/>
      <c r="E15860" s="1063"/>
      <c r="F15860" s="1063"/>
      <c r="G15860" s="1063"/>
      <c r="H15860" s="1063"/>
      <c r="I15860" s="1063"/>
      <c r="J15860" s="1063"/>
    </row>
    <row r="15861" spans="1:10" s="1064" customFormat="1" x14ac:dyDescent="0.25">
      <c r="A15861" s="262"/>
      <c r="B15861" s="1063"/>
      <c r="C15861" s="1063"/>
      <c r="D15861" s="1063"/>
      <c r="E15861" s="1063"/>
      <c r="F15861" s="1063"/>
      <c r="G15861" s="1063"/>
      <c r="H15861" s="1063"/>
      <c r="I15861" s="1063"/>
      <c r="J15861" s="1063"/>
    </row>
    <row r="15862" spans="1:10" s="1064" customFormat="1" x14ac:dyDescent="0.25">
      <c r="A15862" s="262"/>
      <c r="B15862" s="1063"/>
      <c r="C15862" s="1063"/>
      <c r="D15862" s="1063"/>
      <c r="E15862" s="1063"/>
      <c r="F15862" s="1063"/>
      <c r="G15862" s="1063"/>
      <c r="H15862" s="1063"/>
      <c r="I15862" s="1063"/>
      <c r="J15862" s="1063"/>
    </row>
    <row r="15863" spans="1:10" s="1064" customFormat="1" x14ac:dyDescent="0.25">
      <c r="A15863" s="262"/>
      <c r="B15863" s="1063"/>
      <c r="C15863" s="1063"/>
      <c r="D15863" s="1063"/>
      <c r="E15863" s="1063"/>
      <c r="F15863" s="1063"/>
      <c r="G15863" s="1063"/>
      <c r="H15863" s="1063"/>
      <c r="I15863" s="1063"/>
      <c r="J15863" s="1063"/>
    </row>
    <row r="15864" spans="1:10" s="1064" customFormat="1" x14ac:dyDescent="0.25">
      <c r="A15864" s="262"/>
      <c r="B15864" s="1063"/>
      <c r="C15864" s="1063"/>
      <c r="D15864" s="1063"/>
      <c r="E15864" s="1063"/>
      <c r="F15864" s="1063"/>
      <c r="G15864" s="1063"/>
      <c r="H15864" s="1063"/>
      <c r="I15864" s="1063"/>
      <c r="J15864" s="1063"/>
    </row>
    <row r="15865" spans="1:10" s="1064" customFormat="1" x14ac:dyDescent="0.25">
      <c r="A15865" s="262"/>
      <c r="B15865" s="1063"/>
      <c r="C15865" s="1063"/>
      <c r="D15865" s="1063"/>
      <c r="E15865" s="1063"/>
      <c r="F15865" s="1063"/>
      <c r="G15865" s="1063"/>
      <c r="H15865" s="1063"/>
      <c r="I15865" s="1063"/>
      <c r="J15865" s="1063"/>
    </row>
    <row r="15866" spans="1:10" s="1064" customFormat="1" x14ac:dyDescent="0.25">
      <c r="A15866" s="262"/>
      <c r="B15866" s="1063"/>
      <c r="C15866" s="1063"/>
      <c r="D15866" s="1063"/>
      <c r="E15866" s="1063"/>
      <c r="F15866" s="1063"/>
      <c r="G15866" s="1063"/>
      <c r="H15866" s="1063"/>
      <c r="I15866" s="1063"/>
      <c r="J15866" s="1063"/>
    </row>
    <row r="15867" spans="1:10" s="1064" customFormat="1" x14ac:dyDescent="0.25">
      <c r="A15867" s="262"/>
      <c r="B15867" s="1063"/>
      <c r="C15867" s="1063"/>
      <c r="D15867" s="1063"/>
      <c r="E15867" s="1063"/>
      <c r="F15867" s="1063"/>
      <c r="G15867" s="1063"/>
      <c r="H15867" s="1063"/>
      <c r="I15867" s="1063"/>
      <c r="J15867" s="1063"/>
    </row>
    <row r="15868" spans="1:10" s="1064" customFormat="1" x14ac:dyDescent="0.25">
      <c r="A15868" s="262"/>
      <c r="B15868" s="1063"/>
      <c r="C15868" s="1063"/>
      <c r="D15868" s="1063"/>
      <c r="E15868" s="1063"/>
      <c r="F15868" s="1063"/>
      <c r="G15868" s="1063"/>
      <c r="H15868" s="1063"/>
      <c r="I15868" s="1063"/>
      <c r="J15868" s="1063"/>
    </row>
    <row r="15869" spans="1:10" s="1064" customFormat="1" x14ac:dyDescent="0.25">
      <c r="A15869" s="262"/>
      <c r="B15869" s="1063"/>
      <c r="C15869" s="1063"/>
      <c r="D15869" s="1063"/>
      <c r="E15869" s="1063"/>
      <c r="F15869" s="1063"/>
      <c r="G15869" s="1063"/>
      <c r="H15869" s="1063"/>
      <c r="I15869" s="1063"/>
      <c r="J15869" s="1063"/>
    </row>
    <row r="15870" spans="1:10" s="1064" customFormat="1" x14ac:dyDescent="0.25">
      <c r="A15870" s="262"/>
      <c r="B15870" s="1063"/>
      <c r="C15870" s="1063"/>
      <c r="D15870" s="1063"/>
      <c r="E15870" s="1063"/>
      <c r="F15870" s="1063"/>
      <c r="G15870" s="1063"/>
      <c r="H15870" s="1063"/>
      <c r="I15870" s="1063"/>
      <c r="J15870" s="1063"/>
    </row>
    <row r="15871" spans="1:10" s="1064" customFormat="1" x14ac:dyDescent="0.25">
      <c r="A15871" s="262"/>
      <c r="B15871" s="1063"/>
      <c r="C15871" s="1063"/>
      <c r="D15871" s="1063"/>
      <c r="E15871" s="1063"/>
      <c r="F15871" s="1063"/>
      <c r="G15871" s="1063"/>
      <c r="H15871" s="1063"/>
      <c r="I15871" s="1063"/>
      <c r="J15871" s="1063"/>
    </row>
    <row r="15872" spans="1:10" s="1064" customFormat="1" x14ac:dyDescent="0.25">
      <c r="A15872" s="262"/>
      <c r="B15872" s="1063"/>
      <c r="C15872" s="1063"/>
      <c r="D15872" s="1063"/>
      <c r="E15872" s="1063"/>
      <c r="F15872" s="1063"/>
      <c r="G15872" s="1063"/>
      <c r="H15872" s="1063"/>
      <c r="I15872" s="1063"/>
      <c r="J15872" s="1063"/>
    </row>
    <row r="15873" spans="1:10" s="1064" customFormat="1" x14ac:dyDescent="0.25">
      <c r="A15873" s="262"/>
      <c r="B15873" s="1063"/>
      <c r="C15873" s="1063"/>
      <c r="D15873" s="1063"/>
      <c r="E15873" s="1063"/>
      <c r="F15873" s="1063"/>
      <c r="G15873" s="1063"/>
      <c r="H15873" s="1063"/>
      <c r="I15873" s="1063"/>
      <c r="J15873" s="1063"/>
    </row>
    <row r="15874" spans="1:10" s="1064" customFormat="1" x14ac:dyDescent="0.25">
      <c r="A15874" s="262"/>
      <c r="B15874" s="1063"/>
      <c r="C15874" s="1063"/>
      <c r="D15874" s="1063"/>
      <c r="E15874" s="1063"/>
      <c r="F15874" s="1063"/>
      <c r="G15874" s="1063"/>
      <c r="H15874" s="1063"/>
      <c r="I15874" s="1063"/>
      <c r="J15874" s="1063"/>
    </row>
    <row r="15875" spans="1:10" s="1064" customFormat="1" x14ac:dyDescent="0.25">
      <c r="A15875" s="262"/>
      <c r="B15875" s="1063"/>
      <c r="C15875" s="1063"/>
      <c r="D15875" s="1063"/>
      <c r="E15875" s="1063"/>
      <c r="F15875" s="1063"/>
      <c r="G15875" s="1063"/>
      <c r="H15875" s="1063"/>
      <c r="I15875" s="1063"/>
      <c r="J15875" s="1063"/>
    </row>
    <row r="15876" spans="1:10" s="1064" customFormat="1" x14ac:dyDescent="0.25">
      <c r="A15876" s="262"/>
      <c r="B15876" s="1063"/>
      <c r="C15876" s="1063"/>
      <c r="D15876" s="1063"/>
      <c r="E15876" s="1063"/>
      <c r="F15876" s="1063"/>
      <c r="G15876" s="1063"/>
      <c r="H15876" s="1063"/>
      <c r="I15876" s="1063"/>
      <c r="J15876" s="1063"/>
    </row>
    <row r="15877" spans="1:10" s="1064" customFormat="1" x14ac:dyDescent="0.25">
      <c r="A15877" s="262"/>
      <c r="B15877" s="1063"/>
      <c r="C15877" s="1063"/>
      <c r="D15877" s="1063"/>
      <c r="E15877" s="1063"/>
      <c r="F15877" s="1063"/>
      <c r="G15877" s="1063"/>
      <c r="H15877" s="1063"/>
      <c r="I15877" s="1063"/>
      <c r="J15877" s="1063"/>
    </row>
    <row r="15878" spans="1:10" s="1064" customFormat="1" x14ac:dyDescent="0.25">
      <c r="A15878" s="262"/>
      <c r="B15878" s="1063"/>
      <c r="C15878" s="1063"/>
      <c r="D15878" s="1063"/>
      <c r="E15878" s="1063"/>
      <c r="F15878" s="1063"/>
      <c r="G15878" s="1063"/>
      <c r="H15878" s="1063"/>
      <c r="I15878" s="1063"/>
      <c r="J15878" s="1063"/>
    </row>
    <row r="15879" spans="1:10" s="1064" customFormat="1" x14ac:dyDescent="0.25">
      <c r="A15879" s="262"/>
      <c r="B15879" s="1063"/>
      <c r="C15879" s="1063"/>
      <c r="D15879" s="1063"/>
      <c r="E15879" s="1063"/>
      <c r="F15879" s="1063"/>
      <c r="G15879" s="1063"/>
      <c r="H15879" s="1063"/>
      <c r="I15879" s="1063"/>
      <c r="J15879" s="1063"/>
    </row>
    <row r="15880" spans="1:10" s="1064" customFormat="1" x14ac:dyDescent="0.25">
      <c r="A15880" s="262"/>
      <c r="B15880" s="1063"/>
      <c r="C15880" s="1063"/>
      <c r="D15880" s="1063"/>
      <c r="E15880" s="1063"/>
      <c r="F15880" s="1063"/>
      <c r="G15880" s="1063"/>
      <c r="H15880" s="1063"/>
      <c r="I15880" s="1063"/>
      <c r="J15880" s="1063"/>
    </row>
    <row r="15881" spans="1:10" s="1064" customFormat="1" x14ac:dyDescent="0.25">
      <c r="A15881" s="262"/>
      <c r="B15881" s="1063"/>
      <c r="C15881" s="1063"/>
      <c r="D15881" s="1063"/>
      <c r="E15881" s="1063"/>
      <c r="F15881" s="1063"/>
      <c r="G15881" s="1063"/>
      <c r="H15881" s="1063"/>
      <c r="I15881" s="1063"/>
      <c r="J15881" s="1063"/>
    </row>
    <row r="15882" spans="1:10" s="1064" customFormat="1" x14ac:dyDescent="0.25">
      <c r="A15882" s="262"/>
      <c r="B15882" s="1063"/>
      <c r="C15882" s="1063"/>
      <c r="D15882" s="1063"/>
      <c r="E15882" s="1063"/>
      <c r="F15882" s="1063"/>
      <c r="G15882" s="1063"/>
      <c r="H15882" s="1063"/>
      <c r="I15882" s="1063"/>
      <c r="J15882" s="1063"/>
    </row>
    <row r="15883" spans="1:10" s="1064" customFormat="1" x14ac:dyDescent="0.25">
      <c r="A15883" s="262"/>
      <c r="B15883" s="1063"/>
      <c r="C15883" s="1063"/>
      <c r="D15883" s="1063"/>
      <c r="E15883" s="1063"/>
      <c r="F15883" s="1063"/>
      <c r="G15883" s="1063"/>
      <c r="H15883" s="1063"/>
      <c r="I15883" s="1063"/>
      <c r="J15883" s="1063"/>
    </row>
    <row r="15884" spans="1:10" s="1064" customFormat="1" x14ac:dyDescent="0.25">
      <c r="A15884" s="262"/>
      <c r="B15884" s="1063"/>
      <c r="C15884" s="1063"/>
      <c r="D15884" s="1063"/>
      <c r="E15884" s="1063"/>
      <c r="F15884" s="1063"/>
      <c r="G15884" s="1063"/>
      <c r="H15884" s="1063"/>
      <c r="I15884" s="1063"/>
      <c r="J15884" s="1063"/>
    </row>
    <row r="15885" spans="1:10" s="1064" customFormat="1" x14ac:dyDescent="0.25">
      <c r="A15885" s="262"/>
      <c r="B15885" s="1063"/>
      <c r="C15885" s="1063"/>
      <c r="D15885" s="1063"/>
      <c r="E15885" s="1063"/>
      <c r="F15885" s="1063"/>
      <c r="G15885" s="1063"/>
      <c r="H15885" s="1063"/>
      <c r="I15885" s="1063"/>
      <c r="J15885" s="1063"/>
    </row>
    <row r="15886" spans="1:10" s="1064" customFormat="1" x14ac:dyDescent="0.25">
      <c r="A15886" s="262"/>
      <c r="B15886" s="1063"/>
      <c r="C15886" s="1063"/>
      <c r="D15886" s="1063"/>
      <c r="E15886" s="1063"/>
      <c r="F15886" s="1063"/>
      <c r="G15886" s="1063"/>
      <c r="H15886" s="1063"/>
      <c r="I15886" s="1063"/>
      <c r="J15886" s="1063"/>
    </row>
    <row r="15887" spans="1:10" s="1064" customFormat="1" x14ac:dyDescent="0.25">
      <c r="A15887" s="262"/>
      <c r="B15887" s="1063"/>
      <c r="C15887" s="1063"/>
      <c r="D15887" s="1063"/>
      <c r="E15887" s="1063"/>
      <c r="F15887" s="1063"/>
      <c r="G15887" s="1063"/>
      <c r="H15887" s="1063"/>
      <c r="I15887" s="1063"/>
      <c r="J15887" s="1063"/>
    </row>
    <row r="15888" spans="1:10" s="1064" customFormat="1" x14ac:dyDescent="0.25">
      <c r="A15888" s="262"/>
      <c r="B15888" s="1063"/>
      <c r="C15888" s="1063"/>
      <c r="D15888" s="1063"/>
      <c r="E15888" s="1063"/>
      <c r="F15888" s="1063"/>
      <c r="G15888" s="1063"/>
      <c r="H15888" s="1063"/>
      <c r="I15888" s="1063"/>
      <c r="J15888" s="1063"/>
    </row>
    <row r="15889" spans="1:10" s="1064" customFormat="1" x14ac:dyDescent="0.25">
      <c r="A15889" s="262"/>
      <c r="B15889" s="1063"/>
      <c r="C15889" s="1063"/>
      <c r="D15889" s="1063"/>
      <c r="E15889" s="1063"/>
      <c r="F15889" s="1063"/>
      <c r="G15889" s="1063"/>
      <c r="H15889" s="1063"/>
      <c r="I15889" s="1063"/>
      <c r="J15889" s="1063"/>
    </row>
    <row r="15890" spans="1:10" s="1064" customFormat="1" x14ac:dyDescent="0.25">
      <c r="A15890" s="262"/>
      <c r="B15890" s="1063"/>
      <c r="C15890" s="1063"/>
      <c r="D15890" s="1063"/>
      <c r="E15890" s="1063"/>
      <c r="F15890" s="1063"/>
      <c r="G15890" s="1063"/>
      <c r="H15890" s="1063"/>
      <c r="I15890" s="1063"/>
      <c r="J15890" s="1063"/>
    </row>
    <row r="15891" spans="1:10" s="1064" customFormat="1" x14ac:dyDescent="0.25">
      <c r="A15891" s="262"/>
      <c r="B15891" s="1063"/>
      <c r="C15891" s="1063"/>
      <c r="D15891" s="1063"/>
      <c r="E15891" s="1063"/>
      <c r="F15891" s="1063"/>
      <c r="G15891" s="1063"/>
      <c r="H15891" s="1063"/>
      <c r="I15891" s="1063"/>
      <c r="J15891" s="1063"/>
    </row>
    <row r="15892" spans="1:10" s="1064" customFormat="1" x14ac:dyDescent="0.25">
      <c r="A15892" s="262"/>
      <c r="B15892" s="1063"/>
      <c r="C15892" s="1063"/>
      <c r="D15892" s="1063"/>
      <c r="E15892" s="1063"/>
      <c r="F15892" s="1063"/>
      <c r="G15892" s="1063"/>
      <c r="H15892" s="1063"/>
      <c r="I15892" s="1063"/>
      <c r="J15892" s="1063"/>
    </row>
    <row r="15893" spans="1:10" s="1064" customFormat="1" x14ac:dyDescent="0.25">
      <c r="A15893" s="262"/>
      <c r="B15893" s="1063"/>
      <c r="C15893" s="1063"/>
      <c r="D15893" s="1063"/>
      <c r="E15893" s="1063"/>
      <c r="F15893" s="1063"/>
      <c r="G15893" s="1063"/>
      <c r="H15893" s="1063"/>
      <c r="I15893" s="1063"/>
      <c r="J15893" s="1063"/>
    </row>
    <row r="15894" spans="1:10" s="1064" customFormat="1" x14ac:dyDescent="0.25">
      <c r="A15894" s="262"/>
      <c r="B15894" s="1063"/>
      <c r="C15894" s="1063"/>
      <c r="D15894" s="1063"/>
      <c r="E15894" s="1063"/>
      <c r="F15894" s="1063"/>
      <c r="G15894" s="1063"/>
      <c r="H15894" s="1063"/>
      <c r="I15894" s="1063"/>
      <c r="J15894" s="1063"/>
    </row>
    <row r="15895" spans="1:10" s="1064" customFormat="1" x14ac:dyDescent="0.25">
      <c r="A15895" s="262"/>
      <c r="B15895" s="1063"/>
      <c r="C15895" s="1063"/>
      <c r="D15895" s="1063"/>
      <c r="E15895" s="1063"/>
      <c r="F15895" s="1063"/>
      <c r="G15895" s="1063"/>
      <c r="H15895" s="1063"/>
      <c r="I15895" s="1063"/>
      <c r="J15895" s="1063"/>
    </row>
    <row r="15896" spans="1:10" s="1064" customFormat="1" x14ac:dyDescent="0.25">
      <c r="A15896" s="262"/>
      <c r="B15896" s="1063"/>
      <c r="C15896" s="1063"/>
      <c r="D15896" s="1063"/>
      <c r="E15896" s="1063"/>
      <c r="F15896" s="1063"/>
      <c r="G15896" s="1063"/>
      <c r="H15896" s="1063"/>
      <c r="I15896" s="1063"/>
      <c r="J15896" s="1063"/>
    </row>
    <row r="15897" spans="1:10" s="1064" customFormat="1" x14ac:dyDescent="0.25">
      <c r="A15897" s="262"/>
      <c r="B15897" s="1063"/>
      <c r="C15897" s="1063"/>
      <c r="D15897" s="1063"/>
      <c r="E15897" s="1063"/>
      <c r="F15897" s="1063"/>
      <c r="G15897" s="1063"/>
      <c r="H15897" s="1063"/>
      <c r="I15897" s="1063"/>
      <c r="J15897" s="1063"/>
    </row>
    <row r="15898" spans="1:10" s="1064" customFormat="1" x14ac:dyDescent="0.25">
      <c r="A15898" s="262"/>
      <c r="B15898" s="1063"/>
      <c r="C15898" s="1063"/>
      <c r="D15898" s="1063"/>
      <c r="E15898" s="1063"/>
      <c r="F15898" s="1063"/>
      <c r="G15898" s="1063"/>
      <c r="H15898" s="1063"/>
      <c r="I15898" s="1063"/>
      <c r="J15898" s="1063"/>
    </row>
    <row r="15899" spans="1:10" s="1064" customFormat="1" x14ac:dyDescent="0.25">
      <c r="A15899" s="262"/>
      <c r="B15899" s="1063"/>
      <c r="C15899" s="1063"/>
      <c r="D15899" s="1063"/>
      <c r="E15899" s="1063"/>
      <c r="F15899" s="1063"/>
      <c r="G15899" s="1063"/>
      <c r="H15899" s="1063"/>
      <c r="I15899" s="1063"/>
      <c r="J15899" s="1063"/>
    </row>
    <row r="15900" spans="1:10" s="1064" customFormat="1" x14ac:dyDescent="0.25">
      <c r="A15900" s="262"/>
      <c r="B15900" s="1063"/>
      <c r="C15900" s="1063"/>
      <c r="D15900" s="1063"/>
      <c r="E15900" s="1063"/>
      <c r="F15900" s="1063"/>
      <c r="G15900" s="1063"/>
      <c r="H15900" s="1063"/>
      <c r="I15900" s="1063"/>
      <c r="J15900" s="1063"/>
    </row>
    <row r="15901" spans="1:10" s="1064" customFormat="1" x14ac:dyDescent="0.25">
      <c r="A15901" s="262"/>
      <c r="B15901" s="1063"/>
      <c r="C15901" s="1063"/>
      <c r="D15901" s="1063"/>
      <c r="E15901" s="1063"/>
      <c r="F15901" s="1063"/>
      <c r="G15901" s="1063"/>
      <c r="H15901" s="1063"/>
      <c r="I15901" s="1063"/>
      <c r="J15901" s="1063"/>
    </row>
    <row r="15902" spans="1:10" s="1064" customFormat="1" x14ac:dyDescent="0.25">
      <c r="A15902" s="262"/>
      <c r="B15902" s="1063"/>
      <c r="C15902" s="1063"/>
      <c r="D15902" s="1063"/>
      <c r="E15902" s="1063"/>
      <c r="F15902" s="1063"/>
      <c r="G15902" s="1063"/>
      <c r="H15902" s="1063"/>
      <c r="I15902" s="1063"/>
      <c r="J15902" s="1063"/>
    </row>
    <row r="15903" spans="1:10" s="1064" customFormat="1" x14ac:dyDescent="0.25">
      <c r="A15903" s="262"/>
      <c r="B15903" s="1063"/>
      <c r="C15903" s="1063"/>
      <c r="D15903" s="1063"/>
      <c r="E15903" s="1063"/>
      <c r="F15903" s="1063"/>
      <c r="G15903" s="1063"/>
      <c r="H15903" s="1063"/>
      <c r="I15903" s="1063"/>
      <c r="J15903" s="1063"/>
    </row>
    <row r="15904" spans="1:10" s="1064" customFormat="1" x14ac:dyDescent="0.25">
      <c r="A15904" s="262"/>
      <c r="B15904" s="1063"/>
      <c r="C15904" s="1063"/>
      <c r="D15904" s="1063"/>
      <c r="E15904" s="1063"/>
      <c r="F15904" s="1063"/>
      <c r="G15904" s="1063"/>
      <c r="H15904" s="1063"/>
      <c r="I15904" s="1063"/>
      <c r="J15904" s="1063"/>
    </row>
    <row r="15905" spans="1:10" s="1064" customFormat="1" x14ac:dyDescent="0.25">
      <c r="A15905" s="262"/>
      <c r="B15905" s="1063"/>
      <c r="C15905" s="1063"/>
      <c r="D15905" s="1063"/>
      <c r="E15905" s="1063"/>
      <c r="F15905" s="1063"/>
      <c r="G15905" s="1063"/>
      <c r="H15905" s="1063"/>
      <c r="I15905" s="1063"/>
      <c r="J15905" s="1063"/>
    </row>
    <row r="15906" spans="1:10" s="1064" customFormat="1" x14ac:dyDescent="0.25">
      <c r="A15906" s="262"/>
      <c r="B15906" s="1063"/>
      <c r="C15906" s="1063"/>
      <c r="D15906" s="1063"/>
      <c r="E15906" s="1063"/>
      <c r="F15906" s="1063"/>
      <c r="G15906" s="1063"/>
      <c r="H15906" s="1063"/>
      <c r="I15906" s="1063"/>
      <c r="J15906" s="1063"/>
    </row>
    <row r="15907" spans="1:10" s="1064" customFormat="1" x14ac:dyDescent="0.25">
      <c r="A15907" s="262"/>
      <c r="B15907" s="1063"/>
      <c r="C15907" s="1063"/>
      <c r="D15907" s="1063"/>
      <c r="E15907" s="1063"/>
      <c r="F15907" s="1063"/>
      <c r="G15907" s="1063"/>
      <c r="H15907" s="1063"/>
      <c r="I15907" s="1063"/>
      <c r="J15907" s="1063"/>
    </row>
    <row r="15908" spans="1:10" s="1064" customFormat="1" x14ac:dyDescent="0.25">
      <c r="A15908" s="262"/>
      <c r="B15908" s="1063"/>
      <c r="C15908" s="1063"/>
      <c r="D15908" s="1063"/>
      <c r="E15908" s="1063"/>
      <c r="F15908" s="1063"/>
      <c r="G15908" s="1063"/>
      <c r="H15908" s="1063"/>
      <c r="I15908" s="1063"/>
      <c r="J15908" s="1063"/>
    </row>
    <row r="15909" spans="1:10" s="1064" customFormat="1" x14ac:dyDescent="0.25">
      <c r="A15909" s="262"/>
      <c r="B15909" s="1063"/>
      <c r="C15909" s="1063"/>
      <c r="D15909" s="1063"/>
      <c r="E15909" s="1063"/>
      <c r="F15909" s="1063"/>
      <c r="G15909" s="1063"/>
      <c r="H15909" s="1063"/>
      <c r="I15909" s="1063"/>
      <c r="J15909" s="1063"/>
    </row>
    <row r="15910" spans="1:10" s="1064" customFormat="1" x14ac:dyDescent="0.25">
      <c r="A15910" s="262"/>
      <c r="B15910" s="1063"/>
      <c r="C15910" s="1063"/>
      <c r="D15910" s="1063"/>
      <c r="E15910" s="1063"/>
      <c r="F15910" s="1063"/>
      <c r="G15910" s="1063"/>
      <c r="H15910" s="1063"/>
      <c r="I15910" s="1063"/>
      <c r="J15910" s="1063"/>
    </row>
    <row r="15911" spans="1:10" s="1064" customFormat="1" x14ac:dyDescent="0.25">
      <c r="A15911" s="262"/>
      <c r="B15911" s="1063"/>
      <c r="C15911" s="1063"/>
      <c r="D15911" s="1063"/>
      <c r="E15911" s="1063"/>
      <c r="F15911" s="1063"/>
      <c r="G15911" s="1063"/>
      <c r="H15911" s="1063"/>
      <c r="I15911" s="1063"/>
      <c r="J15911" s="1063"/>
    </row>
    <row r="15912" spans="1:10" s="1064" customFormat="1" x14ac:dyDescent="0.25">
      <c r="A15912" s="262"/>
      <c r="B15912" s="1063"/>
      <c r="C15912" s="1063"/>
      <c r="D15912" s="1063"/>
      <c r="E15912" s="1063"/>
      <c r="F15912" s="1063"/>
      <c r="G15912" s="1063"/>
      <c r="H15912" s="1063"/>
      <c r="I15912" s="1063"/>
      <c r="J15912" s="1063"/>
    </row>
    <row r="15913" spans="1:10" s="1064" customFormat="1" x14ac:dyDescent="0.25">
      <c r="A15913" s="262"/>
      <c r="B15913" s="1063"/>
      <c r="C15913" s="1063"/>
      <c r="D15913" s="1063"/>
      <c r="E15913" s="1063"/>
      <c r="F15913" s="1063"/>
      <c r="G15913" s="1063"/>
      <c r="H15913" s="1063"/>
      <c r="I15913" s="1063"/>
      <c r="J15913" s="1063"/>
    </row>
    <row r="15914" spans="1:10" s="1064" customFormat="1" x14ac:dyDescent="0.25">
      <c r="A15914" s="262"/>
      <c r="B15914" s="1063"/>
      <c r="C15914" s="1063"/>
      <c r="D15914" s="1063"/>
      <c r="E15914" s="1063"/>
      <c r="F15914" s="1063"/>
      <c r="G15914" s="1063"/>
      <c r="H15914" s="1063"/>
      <c r="I15914" s="1063"/>
      <c r="J15914" s="1063"/>
    </row>
    <row r="15915" spans="1:10" s="1064" customFormat="1" x14ac:dyDescent="0.25">
      <c r="A15915" s="262"/>
      <c r="B15915" s="1063"/>
      <c r="C15915" s="1063"/>
      <c r="D15915" s="1063"/>
      <c r="E15915" s="1063"/>
      <c r="F15915" s="1063"/>
      <c r="G15915" s="1063"/>
      <c r="H15915" s="1063"/>
      <c r="I15915" s="1063"/>
      <c r="J15915" s="1063"/>
    </row>
    <row r="15916" spans="1:10" s="1064" customFormat="1" x14ac:dyDescent="0.25">
      <c r="A15916" s="262"/>
      <c r="B15916" s="1063"/>
      <c r="C15916" s="1063"/>
      <c r="D15916" s="1063"/>
      <c r="E15916" s="1063"/>
      <c r="F15916" s="1063"/>
      <c r="G15916" s="1063"/>
      <c r="H15916" s="1063"/>
      <c r="I15916" s="1063"/>
      <c r="J15916" s="1063"/>
    </row>
    <row r="15917" spans="1:10" s="1064" customFormat="1" x14ac:dyDescent="0.25">
      <c r="A15917" s="262"/>
      <c r="B15917" s="1063"/>
      <c r="C15917" s="1063"/>
      <c r="D15917" s="1063"/>
      <c r="E15917" s="1063"/>
      <c r="F15917" s="1063"/>
      <c r="G15917" s="1063"/>
      <c r="H15917" s="1063"/>
      <c r="I15917" s="1063"/>
      <c r="J15917" s="1063"/>
    </row>
    <row r="15918" spans="1:10" s="1064" customFormat="1" x14ac:dyDescent="0.25">
      <c r="A15918" s="262"/>
      <c r="B15918" s="1063"/>
      <c r="C15918" s="1063"/>
      <c r="D15918" s="1063"/>
      <c r="E15918" s="1063"/>
      <c r="F15918" s="1063"/>
      <c r="G15918" s="1063"/>
      <c r="H15918" s="1063"/>
      <c r="I15918" s="1063"/>
      <c r="J15918" s="1063"/>
    </row>
    <row r="15919" spans="1:10" s="1064" customFormat="1" x14ac:dyDescent="0.25">
      <c r="A15919" s="262"/>
      <c r="B15919" s="1063"/>
      <c r="C15919" s="1063"/>
      <c r="D15919" s="1063"/>
      <c r="E15919" s="1063"/>
      <c r="F15919" s="1063"/>
      <c r="G15919" s="1063"/>
      <c r="H15919" s="1063"/>
      <c r="I15919" s="1063"/>
      <c r="J15919" s="1063"/>
    </row>
    <row r="15920" spans="1:10" s="1064" customFormat="1" x14ac:dyDescent="0.25">
      <c r="A15920" s="262"/>
      <c r="B15920" s="1063"/>
      <c r="C15920" s="1063"/>
      <c r="D15920" s="1063"/>
      <c r="E15920" s="1063"/>
      <c r="F15920" s="1063"/>
      <c r="G15920" s="1063"/>
      <c r="H15920" s="1063"/>
      <c r="I15920" s="1063"/>
      <c r="J15920" s="1063"/>
    </row>
    <row r="15921" spans="1:10" s="1064" customFormat="1" x14ac:dyDescent="0.25">
      <c r="A15921" s="262"/>
      <c r="B15921" s="1063"/>
      <c r="C15921" s="1063"/>
      <c r="D15921" s="1063"/>
      <c r="E15921" s="1063"/>
      <c r="F15921" s="1063"/>
      <c r="G15921" s="1063"/>
      <c r="H15921" s="1063"/>
      <c r="I15921" s="1063"/>
      <c r="J15921" s="1063"/>
    </row>
    <row r="15922" spans="1:10" s="1064" customFormat="1" x14ac:dyDescent="0.25">
      <c r="A15922" s="262"/>
      <c r="B15922" s="1063"/>
      <c r="C15922" s="1063"/>
      <c r="D15922" s="1063"/>
      <c r="E15922" s="1063"/>
      <c r="F15922" s="1063"/>
      <c r="G15922" s="1063"/>
      <c r="H15922" s="1063"/>
      <c r="I15922" s="1063"/>
      <c r="J15922" s="1063"/>
    </row>
    <row r="15923" spans="1:10" s="1064" customFormat="1" x14ac:dyDescent="0.25">
      <c r="A15923" s="262"/>
      <c r="B15923" s="1063"/>
      <c r="C15923" s="1063"/>
      <c r="D15923" s="1063"/>
      <c r="E15923" s="1063"/>
      <c r="F15923" s="1063"/>
      <c r="G15923" s="1063"/>
      <c r="H15923" s="1063"/>
      <c r="I15923" s="1063"/>
      <c r="J15923" s="1063"/>
    </row>
    <row r="15924" spans="1:10" s="1064" customFormat="1" x14ac:dyDescent="0.25">
      <c r="A15924" s="262"/>
      <c r="B15924" s="1063"/>
      <c r="C15924" s="1063"/>
      <c r="D15924" s="1063"/>
      <c r="E15924" s="1063"/>
      <c r="F15924" s="1063"/>
      <c r="G15924" s="1063"/>
      <c r="H15924" s="1063"/>
      <c r="I15924" s="1063"/>
      <c r="J15924" s="1063"/>
    </row>
    <row r="15925" spans="1:10" s="1064" customFormat="1" x14ac:dyDescent="0.25">
      <c r="A15925" s="262"/>
      <c r="B15925" s="1063"/>
      <c r="C15925" s="1063"/>
      <c r="D15925" s="1063"/>
      <c r="E15925" s="1063"/>
      <c r="F15925" s="1063"/>
      <c r="G15925" s="1063"/>
      <c r="H15925" s="1063"/>
      <c r="I15925" s="1063"/>
      <c r="J15925" s="1063"/>
    </row>
    <row r="15926" spans="1:10" s="1064" customFormat="1" x14ac:dyDescent="0.25">
      <c r="A15926" s="262"/>
      <c r="B15926" s="1063"/>
      <c r="C15926" s="1063"/>
      <c r="D15926" s="1063"/>
      <c r="E15926" s="1063"/>
      <c r="F15926" s="1063"/>
      <c r="G15926" s="1063"/>
      <c r="H15926" s="1063"/>
      <c r="I15926" s="1063"/>
      <c r="J15926" s="1063"/>
    </row>
    <row r="15927" spans="1:10" s="1064" customFormat="1" x14ac:dyDescent="0.25">
      <c r="A15927" s="262"/>
      <c r="B15927" s="1063"/>
      <c r="C15927" s="1063"/>
      <c r="D15927" s="1063"/>
      <c r="E15927" s="1063"/>
      <c r="F15927" s="1063"/>
      <c r="G15927" s="1063"/>
      <c r="H15927" s="1063"/>
      <c r="I15927" s="1063"/>
      <c r="J15927" s="1063"/>
    </row>
    <row r="15928" spans="1:10" s="1064" customFormat="1" x14ac:dyDescent="0.25">
      <c r="A15928" s="262"/>
      <c r="B15928" s="1063"/>
      <c r="C15928" s="1063"/>
      <c r="D15928" s="1063"/>
      <c r="E15928" s="1063"/>
      <c r="F15928" s="1063"/>
      <c r="G15928" s="1063"/>
      <c r="H15928" s="1063"/>
      <c r="I15928" s="1063"/>
      <c r="J15928" s="1063"/>
    </row>
    <row r="15929" spans="1:10" s="1064" customFormat="1" x14ac:dyDescent="0.25">
      <c r="A15929" s="262"/>
      <c r="B15929" s="1063"/>
      <c r="C15929" s="1063"/>
      <c r="D15929" s="1063"/>
      <c r="E15929" s="1063"/>
      <c r="F15929" s="1063"/>
      <c r="G15929" s="1063"/>
      <c r="H15929" s="1063"/>
      <c r="I15929" s="1063"/>
      <c r="J15929" s="1063"/>
    </row>
    <row r="15930" spans="1:10" s="1064" customFormat="1" x14ac:dyDescent="0.25">
      <c r="A15930" s="262"/>
      <c r="B15930" s="1063"/>
      <c r="C15930" s="1063"/>
      <c r="D15930" s="1063"/>
      <c r="E15930" s="1063"/>
      <c r="F15930" s="1063"/>
      <c r="G15930" s="1063"/>
      <c r="H15930" s="1063"/>
      <c r="I15930" s="1063"/>
      <c r="J15930" s="1063"/>
    </row>
    <row r="15931" spans="1:10" s="1064" customFormat="1" x14ac:dyDescent="0.25">
      <c r="A15931" s="262"/>
      <c r="B15931" s="1063"/>
      <c r="C15931" s="1063"/>
      <c r="D15931" s="1063"/>
      <c r="E15931" s="1063"/>
      <c r="F15931" s="1063"/>
      <c r="G15931" s="1063"/>
      <c r="H15931" s="1063"/>
      <c r="I15931" s="1063"/>
      <c r="J15931" s="1063"/>
    </row>
    <row r="15932" spans="1:10" s="1064" customFormat="1" x14ac:dyDescent="0.25">
      <c r="A15932" s="262"/>
      <c r="B15932" s="1063"/>
      <c r="C15932" s="1063"/>
      <c r="D15932" s="1063"/>
      <c r="E15932" s="1063"/>
      <c r="F15932" s="1063"/>
      <c r="G15932" s="1063"/>
      <c r="H15932" s="1063"/>
      <c r="I15932" s="1063"/>
      <c r="J15932" s="1063"/>
    </row>
    <row r="15933" spans="1:10" s="1064" customFormat="1" x14ac:dyDescent="0.25">
      <c r="A15933" s="262"/>
      <c r="B15933" s="1063"/>
      <c r="C15933" s="1063"/>
      <c r="D15933" s="1063"/>
      <c r="E15933" s="1063"/>
      <c r="F15933" s="1063"/>
      <c r="G15933" s="1063"/>
      <c r="H15933" s="1063"/>
      <c r="I15933" s="1063"/>
      <c r="J15933" s="1063"/>
    </row>
    <row r="15934" spans="1:10" s="1064" customFormat="1" x14ac:dyDescent="0.25">
      <c r="A15934" s="262"/>
      <c r="B15934" s="1063"/>
      <c r="C15934" s="1063"/>
      <c r="D15934" s="1063"/>
      <c r="E15934" s="1063"/>
      <c r="F15934" s="1063"/>
      <c r="G15934" s="1063"/>
      <c r="H15934" s="1063"/>
      <c r="I15934" s="1063"/>
      <c r="J15934" s="1063"/>
    </row>
    <row r="15935" spans="1:10" s="1064" customFormat="1" x14ac:dyDescent="0.25">
      <c r="A15935" s="262"/>
      <c r="B15935" s="1063"/>
      <c r="C15935" s="1063"/>
      <c r="D15935" s="1063"/>
      <c r="E15935" s="1063"/>
      <c r="F15935" s="1063"/>
      <c r="G15935" s="1063"/>
      <c r="H15935" s="1063"/>
      <c r="I15935" s="1063"/>
      <c r="J15935" s="1063"/>
    </row>
    <row r="15936" spans="1:10" s="1064" customFormat="1" x14ac:dyDescent="0.25">
      <c r="A15936" s="262"/>
      <c r="B15936" s="1063"/>
      <c r="C15936" s="1063"/>
      <c r="D15936" s="1063"/>
      <c r="E15936" s="1063"/>
      <c r="F15936" s="1063"/>
      <c r="G15936" s="1063"/>
      <c r="H15936" s="1063"/>
      <c r="I15936" s="1063"/>
      <c r="J15936" s="1063"/>
    </row>
    <row r="15937" spans="1:10" s="1064" customFormat="1" x14ac:dyDescent="0.25">
      <c r="A15937" s="262"/>
      <c r="B15937" s="1063"/>
      <c r="C15937" s="1063"/>
      <c r="D15937" s="1063"/>
      <c r="E15937" s="1063"/>
      <c r="F15937" s="1063"/>
      <c r="G15937" s="1063"/>
      <c r="H15937" s="1063"/>
      <c r="I15937" s="1063"/>
      <c r="J15937" s="1063"/>
    </row>
    <row r="15938" spans="1:10" s="1064" customFormat="1" x14ac:dyDescent="0.25">
      <c r="A15938" s="262"/>
      <c r="B15938" s="1063"/>
      <c r="C15938" s="1063"/>
      <c r="D15938" s="1063"/>
      <c r="E15938" s="1063"/>
      <c r="F15938" s="1063"/>
      <c r="G15938" s="1063"/>
      <c r="H15938" s="1063"/>
      <c r="I15938" s="1063"/>
      <c r="J15938" s="1063"/>
    </row>
    <row r="15939" spans="1:10" s="1064" customFormat="1" x14ac:dyDescent="0.25">
      <c r="A15939" s="262"/>
      <c r="B15939" s="1063"/>
      <c r="C15939" s="1063"/>
      <c r="D15939" s="1063"/>
      <c r="E15939" s="1063"/>
      <c r="F15939" s="1063"/>
      <c r="G15939" s="1063"/>
      <c r="H15939" s="1063"/>
      <c r="I15939" s="1063"/>
      <c r="J15939" s="1063"/>
    </row>
    <row r="15940" spans="1:10" s="1064" customFormat="1" x14ac:dyDescent="0.25">
      <c r="A15940" s="262"/>
      <c r="B15940" s="1063"/>
      <c r="C15940" s="1063"/>
      <c r="D15940" s="1063"/>
      <c r="E15940" s="1063"/>
      <c r="F15940" s="1063"/>
      <c r="G15940" s="1063"/>
      <c r="H15940" s="1063"/>
      <c r="I15940" s="1063"/>
      <c r="J15940" s="1063"/>
    </row>
    <row r="15941" spans="1:10" s="1064" customFormat="1" x14ac:dyDescent="0.25">
      <c r="A15941" s="262"/>
      <c r="B15941" s="1063"/>
      <c r="C15941" s="1063"/>
      <c r="D15941" s="1063"/>
      <c r="E15941" s="1063"/>
      <c r="F15941" s="1063"/>
      <c r="G15941" s="1063"/>
      <c r="H15941" s="1063"/>
      <c r="I15941" s="1063"/>
      <c r="J15941" s="1063"/>
    </row>
    <row r="15942" spans="1:10" s="1064" customFormat="1" x14ac:dyDescent="0.25">
      <c r="A15942" s="262"/>
      <c r="B15942" s="1063"/>
      <c r="C15942" s="1063"/>
      <c r="D15942" s="1063"/>
      <c r="E15942" s="1063"/>
      <c r="F15942" s="1063"/>
      <c r="G15942" s="1063"/>
      <c r="H15942" s="1063"/>
      <c r="I15942" s="1063"/>
      <c r="J15942" s="1063"/>
    </row>
    <row r="15943" spans="1:10" s="1064" customFormat="1" x14ac:dyDescent="0.25">
      <c r="A15943" s="262"/>
      <c r="B15943" s="1063"/>
      <c r="C15943" s="1063"/>
      <c r="D15943" s="1063"/>
      <c r="E15943" s="1063"/>
      <c r="F15943" s="1063"/>
      <c r="G15943" s="1063"/>
      <c r="H15943" s="1063"/>
      <c r="I15943" s="1063"/>
      <c r="J15943" s="1063"/>
    </row>
    <row r="15944" spans="1:10" s="1064" customFormat="1" x14ac:dyDescent="0.25">
      <c r="A15944" s="262"/>
      <c r="B15944" s="1063"/>
      <c r="C15944" s="1063"/>
      <c r="D15944" s="1063"/>
      <c r="E15944" s="1063"/>
      <c r="F15944" s="1063"/>
      <c r="G15944" s="1063"/>
      <c r="H15944" s="1063"/>
      <c r="I15944" s="1063"/>
      <c r="J15944" s="1063"/>
    </row>
    <row r="15945" spans="1:10" s="1064" customFormat="1" x14ac:dyDescent="0.25">
      <c r="A15945" s="262"/>
      <c r="B15945" s="1063"/>
      <c r="C15945" s="1063"/>
      <c r="D15945" s="1063"/>
      <c r="E15945" s="1063"/>
      <c r="F15945" s="1063"/>
      <c r="G15945" s="1063"/>
      <c r="H15945" s="1063"/>
      <c r="I15945" s="1063"/>
      <c r="J15945" s="1063"/>
    </row>
    <row r="15946" spans="1:10" s="1064" customFormat="1" x14ac:dyDescent="0.25">
      <c r="A15946" s="262"/>
      <c r="B15946" s="1063"/>
      <c r="C15946" s="1063"/>
      <c r="D15946" s="1063"/>
      <c r="E15946" s="1063"/>
      <c r="F15946" s="1063"/>
      <c r="G15946" s="1063"/>
      <c r="H15946" s="1063"/>
      <c r="I15946" s="1063"/>
      <c r="J15946" s="1063"/>
    </row>
    <row r="15947" spans="1:10" s="1064" customFormat="1" x14ac:dyDescent="0.25">
      <c r="A15947" s="262"/>
      <c r="B15947" s="1063"/>
      <c r="C15947" s="1063"/>
      <c r="D15947" s="1063"/>
      <c r="E15947" s="1063"/>
      <c r="F15947" s="1063"/>
      <c r="G15947" s="1063"/>
      <c r="H15947" s="1063"/>
      <c r="I15947" s="1063"/>
      <c r="J15947" s="1063"/>
    </row>
    <row r="15948" spans="1:10" s="1064" customFormat="1" x14ac:dyDescent="0.25">
      <c r="A15948" s="262"/>
      <c r="B15948" s="1063"/>
      <c r="C15948" s="1063"/>
      <c r="D15948" s="1063"/>
      <c r="E15948" s="1063"/>
      <c r="F15948" s="1063"/>
      <c r="G15948" s="1063"/>
      <c r="H15948" s="1063"/>
      <c r="I15948" s="1063"/>
      <c r="J15948" s="1063"/>
    </row>
    <row r="15949" spans="1:10" s="1064" customFormat="1" x14ac:dyDescent="0.25">
      <c r="A15949" s="262"/>
      <c r="B15949" s="1063"/>
      <c r="C15949" s="1063"/>
      <c r="D15949" s="1063"/>
      <c r="E15949" s="1063"/>
      <c r="F15949" s="1063"/>
      <c r="G15949" s="1063"/>
      <c r="H15949" s="1063"/>
      <c r="I15949" s="1063"/>
      <c r="J15949" s="1063"/>
    </row>
    <row r="15950" spans="1:10" s="1064" customFormat="1" x14ac:dyDescent="0.25">
      <c r="A15950" s="262"/>
      <c r="B15950" s="1063"/>
      <c r="C15950" s="1063"/>
      <c r="D15950" s="1063"/>
      <c r="E15950" s="1063"/>
      <c r="F15950" s="1063"/>
      <c r="G15950" s="1063"/>
      <c r="H15950" s="1063"/>
      <c r="I15950" s="1063"/>
      <c r="J15950" s="1063"/>
    </row>
    <row r="15951" spans="1:10" s="1064" customFormat="1" x14ac:dyDescent="0.25">
      <c r="A15951" s="262"/>
      <c r="B15951" s="1063"/>
      <c r="C15951" s="1063"/>
      <c r="D15951" s="1063"/>
      <c r="E15951" s="1063"/>
      <c r="F15951" s="1063"/>
      <c r="G15951" s="1063"/>
      <c r="H15951" s="1063"/>
      <c r="I15951" s="1063"/>
      <c r="J15951" s="1063"/>
    </row>
    <row r="15952" spans="1:10" s="1064" customFormat="1" x14ac:dyDescent="0.25">
      <c r="A15952" s="262"/>
      <c r="B15952" s="1063"/>
      <c r="C15952" s="1063"/>
      <c r="D15952" s="1063"/>
      <c r="E15952" s="1063"/>
      <c r="F15952" s="1063"/>
      <c r="G15952" s="1063"/>
      <c r="H15952" s="1063"/>
      <c r="I15952" s="1063"/>
      <c r="J15952" s="1063"/>
    </row>
    <row r="15953" spans="1:10" s="1064" customFormat="1" x14ac:dyDescent="0.25">
      <c r="A15953" s="262"/>
      <c r="B15953" s="1063"/>
      <c r="C15953" s="1063"/>
      <c r="D15953" s="1063"/>
      <c r="E15953" s="1063"/>
      <c r="F15953" s="1063"/>
      <c r="G15953" s="1063"/>
      <c r="H15953" s="1063"/>
      <c r="I15953" s="1063"/>
      <c r="J15953" s="1063"/>
    </row>
    <row r="15954" spans="1:10" s="1064" customFormat="1" x14ac:dyDescent="0.25">
      <c r="A15954" s="262"/>
      <c r="B15954" s="1063"/>
      <c r="C15954" s="1063"/>
      <c r="D15954" s="1063"/>
      <c r="E15954" s="1063"/>
      <c r="F15954" s="1063"/>
      <c r="G15954" s="1063"/>
      <c r="H15954" s="1063"/>
      <c r="I15954" s="1063"/>
      <c r="J15954" s="1063"/>
    </row>
    <row r="15955" spans="1:10" s="1064" customFormat="1" x14ac:dyDescent="0.25">
      <c r="A15955" s="262"/>
      <c r="B15955" s="1063"/>
      <c r="C15955" s="1063"/>
      <c r="D15955" s="1063"/>
      <c r="E15955" s="1063"/>
      <c r="F15955" s="1063"/>
      <c r="G15955" s="1063"/>
      <c r="H15955" s="1063"/>
      <c r="I15955" s="1063"/>
      <c r="J15955" s="1063"/>
    </row>
    <row r="15956" spans="1:10" s="1064" customFormat="1" x14ac:dyDescent="0.25">
      <c r="A15956" s="262"/>
      <c r="B15956" s="1063"/>
      <c r="C15956" s="1063"/>
      <c r="D15956" s="1063"/>
      <c r="E15956" s="1063"/>
      <c r="F15956" s="1063"/>
      <c r="G15956" s="1063"/>
      <c r="H15956" s="1063"/>
      <c r="I15956" s="1063"/>
      <c r="J15956" s="1063"/>
    </row>
    <row r="15957" spans="1:10" s="1064" customFormat="1" x14ac:dyDescent="0.25">
      <c r="A15957" s="262"/>
      <c r="B15957" s="1063"/>
      <c r="C15957" s="1063"/>
      <c r="D15957" s="1063"/>
      <c r="E15957" s="1063"/>
      <c r="F15957" s="1063"/>
      <c r="G15957" s="1063"/>
      <c r="H15957" s="1063"/>
      <c r="I15957" s="1063"/>
      <c r="J15957" s="1063"/>
    </row>
    <row r="15958" spans="1:10" s="1064" customFormat="1" x14ac:dyDescent="0.25">
      <c r="A15958" s="262"/>
      <c r="B15958" s="1063"/>
      <c r="C15958" s="1063"/>
      <c r="D15958" s="1063"/>
      <c r="E15958" s="1063"/>
      <c r="F15958" s="1063"/>
      <c r="G15958" s="1063"/>
      <c r="H15958" s="1063"/>
      <c r="I15958" s="1063"/>
      <c r="J15958" s="1063"/>
    </row>
    <row r="15959" spans="1:10" s="1064" customFormat="1" x14ac:dyDescent="0.25">
      <c r="A15959" s="262"/>
      <c r="B15959" s="1063"/>
      <c r="C15959" s="1063"/>
      <c r="D15959" s="1063"/>
      <c r="E15959" s="1063"/>
      <c r="F15959" s="1063"/>
      <c r="G15959" s="1063"/>
      <c r="H15959" s="1063"/>
      <c r="I15959" s="1063"/>
      <c r="J15959" s="1063"/>
    </row>
    <row r="15960" spans="1:10" s="1064" customFormat="1" x14ac:dyDescent="0.25">
      <c r="A15960" s="262"/>
      <c r="B15960" s="1063"/>
      <c r="C15960" s="1063"/>
      <c r="D15960" s="1063"/>
      <c r="E15960" s="1063"/>
      <c r="F15960" s="1063"/>
      <c r="G15960" s="1063"/>
      <c r="H15960" s="1063"/>
      <c r="I15960" s="1063"/>
      <c r="J15960" s="1063"/>
    </row>
    <row r="15961" spans="1:10" s="1064" customFormat="1" x14ac:dyDescent="0.25">
      <c r="A15961" s="262"/>
      <c r="B15961" s="1063"/>
      <c r="C15961" s="1063"/>
      <c r="D15961" s="1063"/>
      <c r="E15961" s="1063"/>
      <c r="F15961" s="1063"/>
      <c r="G15961" s="1063"/>
      <c r="H15961" s="1063"/>
      <c r="I15961" s="1063"/>
      <c r="J15961" s="1063"/>
    </row>
    <row r="15962" spans="1:10" s="1064" customFormat="1" x14ac:dyDescent="0.25">
      <c r="A15962" s="262"/>
      <c r="B15962" s="1063"/>
      <c r="C15962" s="1063"/>
      <c r="D15962" s="1063"/>
      <c r="E15962" s="1063"/>
      <c r="F15962" s="1063"/>
      <c r="G15962" s="1063"/>
      <c r="H15962" s="1063"/>
      <c r="I15962" s="1063"/>
      <c r="J15962" s="1063"/>
    </row>
    <row r="15963" spans="1:10" s="1064" customFormat="1" x14ac:dyDescent="0.25">
      <c r="A15963" s="262"/>
      <c r="B15963" s="1063"/>
      <c r="C15963" s="1063"/>
      <c r="D15963" s="1063"/>
      <c r="E15963" s="1063"/>
      <c r="F15963" s="1063"/>
      <c r="G15963" s="1063"/>
      <c r="H15963" s="1063"/>
      <c r="I15963" s="1063"/>
      <c r="J15963" s="1063"/>
    </row>
    <row r="15964" spans="1:10" s="1064" customFormat="1" x14ac:dyDescent="0.25">
      <c r="A15964" s="262"/>
      <c r="B15964" s="1063"/>
      <c r="C15964" s="1063"/>
      <c r="D15964" s="1063"/>
      <c r="E15964" s="1063"/>
      <c r="F15964" s="1063"/>
      <c r="G15964" s="1063"/>
      <c r="H15964" s="1063"/>
      <c r="I15964" s="1063"/>
      <c r="J15964" s="1063"/>
    </row>
    <row r="15965" spans="1:10" s="1064" customFormat="1" x14ac:dyDescent="0.25">
      <c r="A15965" s="262"/>
      <c r="B15965" s="1063"/>
      <c r="C15965" s="1063"/>
      <c r="D15965" s="1063"/>
      <c r="E15965" s="1063"/>
      <c r="F15965" s="1063"/>
      <c r="G15965" s="1063"/>
      <c r="H15965" s="1063"/>
      <c r="I15965" s="1063"/>
      <c r="J15965" s="1063"/>
    </row>
    <row r="15966" spans="1:10" s="1064" customFormat="1" x14ac:dyDescent="0.25">
      <c r="A15966" s="262"/>
      <c r="B15966" s="1063"/>
      <c r="C15966" s="1063"/>
      <c r="D15966" s="1063"/>
      <c r="E15966" s="1063"/>
      <c r="F15966" s="1063"/>
      <c r="G15966" s="1063"/>
      <c r="H15966" s="1063"/>
      <c r="I15966" s="1063"/>
      <c r="J15966" s="1063"/>
    </row>
    <row r="15967" spans="1:10" s="1064" customFormat="1" x14ac:dyDescent="0.25">
      <c r="A15967" s="262"/>
      <c r="B15967" s="1063"/>
      <c r="C15967" s="1063"/>
      <c r="D15967" s="1063"/>
      <c r="E15967" s="1063"/>
      <c r="F15967" s="1063"/>
      <c r="G15967" s="1063"/>
      <c r="H15967" s="1063"/>
      <c r="I15967" s="1063"/>
      <c r="J15967" s="1063"/>
    </row>
    <row r="15968" spans="1:10" s="1064" customFormat="1" x14ac:dyDescent="0.25">
      <c r="A15968" s="262"/>
      <c r="B15968" s="1063"/>
      <c r="C15968" s="1063"/>
      <c r="D15968" s="1063"/>
      <c r="E15968" s="1063"/>
      <c r="F15968" s="1063"/>
      <c r="G15968" s="1063"/>
      <c r="H15968" s="1063"/>
      <c r="I15968" s="1063"/>
      <c r="J15968" s="1063"/>
    </row>
    <row r="15969" spans="1:10" s="1064" customFormat="1" x14ac:dyDescent="0.25">
      <c r="A15969" s="262"/>
      <c r="B15969" s="1063"/>
      <c r="C15969" s="1063"/>
      <c r="D15969" s="1063"/>
      <c r="E15969" s="1063"/>
      <c r="F15969" s="1063"/>
      <c r="G15969" s="1063"/>
      <c r="H15969" s="1063"/>
      <c r="I15969" s="1063"/>
      <c r="J15969" s="1063"/>
    </row>
    <row r="15970" spans="1:10" s="1064" customFormat="1" x14ac:dyDescent="0.25">
      <c r="A15970" s="262"/>
      <c r="B15970" s="1063"/>
      <c r="C15970" s="1063"/>
      <c r="D15970" s="1063"/>
      <c r="E15970" s="1063"/>
      <c r="F15970" s="1063"/>
      <c r="G15970" s="1063"/>
      <c r="H15970" s="1063"/>
      <c r="I15970" s="1063"/>
      <c r="J15970" s="1063"/>
    </row>
    <row r="15971" spans="1:10" s="1064" customFormat="1" x14ac:dyDescent="0.25">
      <c r="A15971" s="262"/>
      <c r="B15971" s="1063"/>
      <c r="C15971" s="1063"/>
      <c r="D15971" s="1063"/>
      <c r="E15971" s="1063"/>
      <c r="F15971" s="1063"/>
      <c r="G15971" s="1063"/>
      <c r="H15971" s="1063"/>
      <c r="I15971" s="1063"/>
      <c r="J15971" s="1063"/>
    </row>
    <row r="15972" spans="1:10" s="1064" customFormat="1" x14ac:dyDescent="0.25">
      <c r="A15972" s="262"/>
      <c r="B15972" s="1063"/>
      <c r="C15972" s="1063"/>
      <c r="D15972" s="1063"/>
      <c r="E15972" s="1063"/>
      <c r="F15972" s="1063"/>
      <c r="G15972" s="1063"/>
      <c r="H15972" s="1063"/>
      <c r="I15972" s="1063"/>
      <c r="J15972" s="1063"/>
    </row>
    <row r="15973" spans="1:10" s="1064" customFormat="1" x14ac:dyDescent="0.25">
      <c r="A15973" s="262"/>
      <c r="B15973" s="1063"/>
      <c r="C15973" s="1063"/>
      <c r="D15973" s="1063"/>
      <c r="E15973" s="1063"/>
      <c r="F15973" s="1063"/>
      <c r="G15973" s="1063"/>
      <c r="H15973" s="1063"/>
      <c r="I15973" s="1063"/>
      <c r="J15973" s="1063"/>
    </row>
    <row r="15974" spans="1:10" s="1064" customFormat="1" x14ac:dyDescent="0.25">
      <c r="A15974" s="262"/>
      <c r="B15974" s="1063"/>
      <c r="C15974" s="1063"/>
      <c r="D15974" s="1063"/>
      <c r="E15974" s="1063"/>
      <c r="F15974" s="1063"/>
      <c r="G15974" s="1063"/>
      <c r="H15974" s="1063"/>
      <c r="I15974" s="1063"/>
      <c r="J15974" s="1063"/>
    </row>
    <row r="15975" spans="1:10" s="1064" customFormat="1" x14ac:dyDescent="0.25">
      <c r="A15975" s="262"/>
      <c r="B15975" s="1063"/>
      <c r="C15975" s="1063"/>
      <c r="D15975" s="1063"/>
      <c r="E15975" s="1063"/>
      <c r="F15975" s="1063"/>
      <c r="G15975" s="1063"/>
      <c r="H15975" s="1063"/>
      <c r="I15975" s="1063"/>
      <c r="J15975" s="1063"/>
    </row>
    <row r="15976" spans="1:10" s="1064" customFormat="1" x14ac:dyDescent="0.25">
      <c r="A15976" s="262"/>
      <c r="B15976" s="1063"/>
      <c r="C15976" s="1063"/>
      <c r="D15976" s="1063"/>
      <c r="E15976" s="1063"/>
      <c r="F15976" s="1063"/>
      <c r="G15976" s="1063"/>
      <c r="H15976" s="1063"/>
      <c r="I15976" s="1063"/>
      <c r="J15976" s="1063"/>
    </row>
    <row r="15977" spans="1:10" s="1064" customFormat="1" x14ac:dyDescent="0.25">
      <c r="A15977" s="262"/>
      <c r="B15977" s="1063"/>
      <c r="C15977" s="1063"/>
      <c r="D15977" s="1063"/>
      <c r="E15977" s="1063"/>
      <c r="F15977" s="1063"/>
      <c r="G15977" s="1063"/>
      <c r="H15977" s="1063"/>
      <c r="I15977" s="1063"/>
      <c r="J15977" s="1063"/>
    </row>
    <row r="15978" spans="1:10" s="1064" customFormat="1" x14ac:dyDescent="0.25">
      <c r="A15978" s="262"/>
      <c r="B15978" s="1063"/>
      <c r="C15978" s="1063"/>
      <c r="D15978" s="1063"/>
      <c r="E15978" s="1063"/>
      <c r="F15978" s="1063"/>
      <c r="G15978" s="1063"/>
      <c r="H15978" s="1063"/>
      <c r="I15978" s="1063"/>
      <c r="J15978" s="1063"/>
    </row>
    <row r="15979" spans="1:10" s="1064" customFormat="1" x14ac:dyDescent="0.25">
      <c r="A15979" s="262"/>
      <c r="B15979" s="1063"/>
      <c r="C15979" s="1063"/>
      <c r="D15979" s="1063"/>
      <c r="E15979" s="1063"/>
      <c r="F15979" s="1063"/>
      <c r="G15979" s="1063"/>
      <c r="H15979" s="1063"/>
      <c r="I15979" s="1063"/>
      <c r="J15979" s="1063"/>
    </row>
    <row r="15980" spans="1:10" s="1064" customFormat="1" x14ac:dyDescent="0.25">
      <c r="A15980" s="262"/>
      <c r="B15980" s="1063"/>
      <c r="C15980" s="1063"/>
      <c r="D15980" s="1063"/>
      <c r="E15980" s="1063"/>
      <c r="F15980" s="1063"/>
      <c r="G15980" s="1063"/>
      <c r="H15980" s="1063"/>
      <c r="I15980" s="1063"/>
      <c r="J15980" s="1063"/>
    </row>
    <row r="15981" spans="1:10" s="1064" customFormat="1" x14ac:dyDescent="0.25">
      <c r="A15981" s="262"/>
      <c r="B15981" s="1063"/>
      <c r="C15981" s="1063"/>
      <c r="D15981" s="1063"/>
      <c r="E15981" s="1063"/>
      <c r="F15981" s="1063"/>
      <c r="G15981" s="1063"/>
      <c r="H15981" s="1063"/>
      <c r="I15981" s="1063"/>
      <c r="J15981" s="1063"/>
    </row>
    <row r="15982" spans="1:10" s="1064" customFormat="1" x14ac:dyDescent="0.25">
      <c r="A15982" s="262"/>
      <c r="B15982" s="1063"/>
      <c r="C15982" s="1063"/>
      <c r="D15982" s="1063"/>
      <c r="E15982" s="1063"/>
      <c r="F15982" s="1063"/>
      <c r="G15982" s="1063"/>
      <c r="H15982" s="1063"/>
      <c r="I15982" s="1063"/>
      <c r="J15982" s="1063"/>
    </row>
    <row r="15983" spans="1:10" s="1064" customFormat="1" x14ac:dyDescent="0.25">
      <c r="A15983" s="262"/>
      <c r="B15983" s="1063"/>
      <c r="C15983" s="1063"/>
      <c r="D15983" s="1063"/>
      <c r="E15983" s="1063"/>
      <c r="F15983" s="1063"/>
      <c r="G15983" s="1063"/>
      <c r="H15983" s="1063"/>
      <c r="I15983" s="1063"/>
      <c r="J15983" s="1063"/>
    </row>
    <row r="15984" spans="1:10" s="1064" customFormat="1" x14ac:dyDescent="0.25">
      <c r="A15984" s="262"/>
      <c r="B15984" s="1063"/>
      <c r="C15984" s="1063"/>
      <c r="D15984" s="1063"/>
      <c r="E15984" s="1063"/>
      <c r="F15984" s="1063"/>
      <c r="G15984" s="1063"/>
      <c r="H15984" s="1063"/>
      <c r="I15984" s="1063"/>
      <c r="J15984" s="1063"/>
    </row>
    <row r="15985" spans="1:10" s="1064" customFormat="1" x14ac:dyDescent="0.25">
      <c r="A15985" s="262"/>
      <c r="B15985" s="1063"/>
      <c r="C15985" s="1063"/>
      <c r="D15985" s="1063"/>
      <c r="E15985" s="1063"/>
      <c r="F15985" s="1063"/>
      <c r="G15985" s="1063"/>
      <c r="H15985" s="1063"/>
      <c r="I15985" s="1063"/>
      <c r="J15985" s="1063"/>
    </row>
    <row r="15986" spans="1:10" s="1064" customFormat="1" x14ac:dyDescent="0.25">
      <c r="A15986" s="262"/>
      <c r="B15986" s="1063"/>
      <c r="C15986" s="1063"/>
      <c r="D15986" s="1063"/>
      <c r="E15986" s="1063"/>
      <c r="F15986" s="1063"/>
      <c r="G15986" s="1063"/>
      <c r="H15986" s="1063"/>
      <c r="I15986" s="1063"/>
      <c r="J15986" s="1063"/>
    </row>
    <row r="15987" spans="1:10" s="1064" customFormat="1" x14ac:dyDescent="0.25">
      <c r="A15987" s="262"/>
      <c r="B15987" s="1063"/>
      <c r="C15987" s="1063"/>
      <c r="D15987" s="1063"/>
      <c r="E15987" s="1063"/>
      <c r="F15987" s="1063"/>
      <c r="G15987" s="1063"/>
      <c r="H15987" s="1063"/>
      <c r="I15987" s="1063"/>
      <c r="J15987" s="1063"/>
    </row>
    <row r="15988" spans="1:10" s="1064" customFormat="1" x14ac:dyDescent="0.25">
      <c r="A15988" s="262"/>
      <c r="B15988" s="1063"/>
      <c r="C15988" s="1063"/>
      <c r="D15988" s="1063"/>
      <c r="E15988" s="1063"/>
      <c r="F15988" s="1063"/>
      <c r="G15988" s="1063"/>
      <c r="H15988" s="1063"/>
      <c r="I15988" s="1063"/>
      <c r="J15988" s="1063"/>
    </row>
    <row r="15989" spans="1:10" s="1064" customFormat="1" x14ac:dyDescent="0.25">
      <c r="A15989" s="262"/>
      <c r="B15989" s="1063"/>
      <c r="C15989" s="1063"/>
      <c r="D15989" s="1063"/>
      <c r="E15989" s="1063"/>
      <c r="F15989" s="1063"/>
      <c r="G15989" s="1063"/>
      <c r="H15989" s="1063"/>
      <c r="I15989" s="1063"/>
      <c r="J15989" s="1063"/>
    </row>
    <row r="15990" spans="1:10" s="1064" customFormat="1" x14ac:dyDescent="0.25">
      <c r="A15990" s="262"/>
      <c r="B15990" s="1063"/>
      <c r="C15990" s="1063"/>
      <c r="D15990" s="1063"/>
      <c r="E15990" s="1063"/>
      <c r="F15990" s="1063"/>
      <c r="G15990" s="1063"/>
      <c r="H15990" s="1063"/>
      <c r="I15990" s="1063"/>
      <c r="J15990" s="1063"/>
    </row>
    <row r="15991" spans="1:10" s="1064" customFormat="1" x14ac:dyDescent="0.25">
      <c r="A15991" s="262"/>
      <c r="B15991" s="1063"/>
      <c r="C15991" s="1063"/>
      <c r="D15991" s="1063"/>
      <c r="E15991" s="1063"/>
      <c r="F15991" s="1063"/>
      <c r="G15991" s="1063"/>
      <c r="H15991" s="1063"/>
      <c r="I15991" s="1063"/>
      <c r="J15991" s="1063"/>
    </row>
    <row r="15992" spans="1:10" s="1064" customFormat="1" x14ac:dyDescent="0.25">
      <c r="A15992" s="262"/>
      <c r="B15992" s="1063"/>
      <c r="C15992" s="1063"/>
      <c r="D15992" s="1063"/>
      <c r="E15992" s="1063"/>
      <c r="F15992" s="1063"/>
      <c r="G15992" s="1063"/>
      <c r="H15992" s="1063"/>
      <c r="I15992" s="1063"/>
      <c r="J15992" s="1063"/>
    </row>
    <row r="15993" spans="1:10" s="1064" customFormat="1" x14ac:dyDescent="0.25">
      <c r="A15993" s="262"/>
      <c r="B15993" s="1063"/>
      <c r="C15993" s="1063"/>
      <c r="D15993" s="1063"/>
      <c r="E15993" s="1063"/>
      <c r="F15993" s="1063"/>
      <c r="G15993" s="1063"/>
      <c r="H15993" s="1063"/>
      <c r="I15993" s="1063"/>
      <c r="J15993" s="1063"/>
    </row>
    <row r="15994" spans="1:10" s="1064" customFormat="1" x14ac:dyDescent="0.25">
      <c r="A15994" s="262"/>
      <c r="B15994" s="1063"/>
      <c r="C15994" s="1063"/>
      <c r="D15994" s="1063"/>
      <c r="E15994" s="1063"/>
      <c r="F15994" s="1063"/>
      <c r="G15994" s="1063"/>
      <c r="H15994" s="1063"/>
      <c r="I15994" s="1063"/>
      <c r="J15994" s="1063"/>
    </row>
    <row r="15995" spans="1:10" s="1064" customFormat="1" x14ac:dyDescent="0.25">
      <c r="A15995" s="262"/>
      <c r="B15995" s="1063"/>
      <c r="C15995" s="1063"/>
      <c r="D15995" s="1063"/>
      <c r="E15995" s="1063"/>
      <c r="F15995" s="1063"/>
      <c r="G15995" s="1063"/>
      <c r="H15995" s="1063"/>
      <c r="I15995" s="1063"/>
      <c r="J15995" s="1063"/>
    </row>
    <row r="15996" spans="1:10" s="1064" customFormat="1" x14ac:dyDescent="0.25">
      <c r="A15996" s="262"/>
      <c r="B15996" s="1063"/>
      <c r="C15996" s="1063"/>
      <c r="D15996" s="1063"/>
      <c r="E15996" s="1063"/>
      <c r="F15996" s="1063"/>
      <c r="G15996" s="1063"/>
      <c r="H15996" s="1063"/>
      <c r="I15996" s="1063"/>
      <c r="J15996" s="1063"/>
    </row>
    <row r="15997" spans="1:10" s="1064" customFormat="1" x14ac:dyDescent="0.25">
      <c r="A15997" s="262"/>
      <c r="B15997" s="1063"/>
      <c r="C15997" s="1063"/>
      <c r="D15997" s="1063"/>
      <c r="E15997" s="1063"/>
      <c r="F15997" s="1063"/>
      <c r="G15997" s="1063"/>
      <c r="H15997" s="1063"/>
      <c r="I15997" s="1063"/>
      <c r="J15997" s="1063"/>
    </row>
    <row r="15998" spans="1:10" s="1064" customFormat="1" x14ac:dyDescent="0.25">
      <c r="A15998" s="262"/>
      <c r="B15998" s="1063"/>
      <c r="C15998" s="1063"/>
      <c r="D15998" s="1063"/>
      <c r="E15998" s="1063"/>
      <c r="F15998" s="1063"/>
      <c r="G15998" s="1063"/>
      <c r="H15998" s="1063"/>
      <c r="I15998" s="1063"/>
      <c r="J15998" s="1063"/>
    </row>
    <row r="15999" spans="1:10" s="1064" customFormat="1" x14ac:dyDescent="0.25">
      <c r="A15999" s="262"/>
      <c r="B15999" s="1063"/>
      <c r="C15999" s="1063"/>
      <c r="D15999" s="1063"/>
      <c r="E15999" s="1063"/>
      <c r="F15999" s="1063"/>
      <c r="G15999" s="1063"/>
      <c r="H15999" s="1063"/>
      <c r="I15999" s="1063"/>
      <c r="J15999" s="1063"/>
    </row>
    <row r="16000" spans="1:10" s="1064" customFormat="1" x14ac:dyDescent="0.25">
      <c r="A16000" s="262"/>
      <c r="B16000" s="1063"/>
      <c r="C16000" s="1063"/>
      <c r="D16000" s="1063"/>
      <c r="E16000" s="1063"/>
      <c r="F16000" s="1063"/>
      <c r="G16000" s="1063"/>
      <c r="H16000" s="1063"/>
      <c r="I16000" s="1063"/>
      <c r="J16000" s="1063"/>
    </row>
    <row r="16001" spans="1:10" s="1064" customFormat="1" x14ac:dyDescent="0.25">
      <c r="A16001" s="262"/>
      <c r="B16001" s="1063"/>
      <c r="C16001" s="1063"/>
      <c r="D16001" s="1063"/>
      <c r="E16001" s="1063"/>
      <c r="F16001" s="1063"/>
      <c r="G16001" s="1063"/>
      <c r="H16001" s="1063"/>
      <c r="I16001" s="1063"/>
      <c r="J16001" s="1063"/>
    </row>
    <row r="16002" spans="1:10" s="1064" customFormat="1" x14ac:dyDescent="0.25">
      <c r="A16002" s="262"/>
      <c r="B16002" s="1063"/>
      <c r="C16002" s="1063"/>
      <c r="D16002" s="1063"/>
      <c r="E16002" s="1063"/>
      <c r="F16002" s="1063"/>
      <c r="G16002" s="1063"/>
      <c r="H16002" s="1063"/>
      <c r="I16002" s="1063"/>
      <c r="J16002" s="1063"/>
    </row>
    <row r="16003" spans="1:10" s="1064" customFormat="1" x14ac:dyDescent="0.25">
      <c r="A16003" s="262"/>
      <c r="B16003" s="1063"/>
      <c r="C16003" s="1063"/>
      <c r="D16003" s="1063"/>
      <c r="E16003" s="1063"/>
      <c r="F16003" s="1063"/>
      <c r="G16003" s="1063"/>
      <c r="H16003" s="1063"/>
      <c r="I16003" s="1063"/>
      <c r="J16003" s="1063"/>
    </row>
    <row r="16004" spans="1:10" s="1064" customFormat="1" x14ac:dyDescent="0.25">
      <c r="A16004" s="262"/>
      <c r="B16004" s="1063"/>
      <c r="C16004" s="1063"/>
      <c r="D16004" s="1063"/>
      <c r="E16004" s="1063"/>
      <c r="F16004" s="1063"/>
      <c r="G16004" s="1063"/>
      <c r="H16004" s="1063"/>
      <c r="I16004" s="1063"/>
      <c r="J16004" s="1063"/>
    </row>
    <row r="16005" spans="1:10" s="1064" customFormat="1" x14ac:dyDescent="0.25">
      <c r="A16005" s="262"/>
      <c r="B16005" s="1063"/>
      <c r="C16005" s="1063"/>
      <c r="D16005" s="1063"/>
      <c r="E16005" s="1063"/>
      <c r="F16005" s="1063"/>
      <c r="G16005" s="1063"/>
      <c r="H16005" s="1063"/>
      <c r="I16005" s="1063"/>
      <c r="J16005" s="1063"/>
    </row>
    <row r="16006" spans="1:10" s="1064" customFormat="1" x14ac:dyDescent="0.25">
      <c r="A16006" s="262"/>
      <c r="B16006" s="1063"/>
      <c r="C16006" s="1063"/>
      <c r="D16006" s="1063"/>
      <c r="E16006" s="1063"/>
      <c r="F16006" s="1063"/>
      <c r="G16006" s="1063"/>
      <c r="H16006" s="1063"/>
      <c r="I16006" s="1063"/>
      <c r="J16006" s="1063"/>
    </row>
    <row r="16007" spans="1:10" s="1064" customFormat="1" x14ac:dyDescent="0.25">
      <c r="A16007" s="262"/>
      <c r="B16007" s="1063"/>
      <c r="C16007" s="1063"/>
      <c r="D16007" s="1063"/>
      <c r="E16007" s="1063"/>
      <c r="F16007" s="1063"/>
      <c r="G16007" s="1063"/>
      <c r="H16007" s="1063"/>
      <c r="I16007" s="1063"/>
      <c r="J16007" s="1063"/>
    </row>
    <row r="16008" spans="1:10" s="1064" customFormat="1" x14ac:dyDescent="0.25">
      <c r="A16008" s="262"/>
      <c r="B16008" s="1063"/>
      <c r="C16008" s="1063"/>
      <c r="D16008" s="1063"/>
      <c r="E16008" s="1063"/>
      <c r="F16008" s="1063"/>
      <c r="G16008" s="1063"/>
      <c r="H16008" s="1063"/>
      <c r="I16008" s="1063"/>
      <c r="J16008" s="1063"/>
    </row>
    <row r="16009" spans="1:10" s="1064" customFormat="1" x14ac:dyDescent="0.25">
      <c r="A16009" s="262"/>
      <c r="B16009" s="1063"/>
      <c r="C16009" s="1063"/>
      <c r="D16009" s="1063"/>
      <c r="E16009" s="1063"/>
      <c r="F16009" s="1063"/>
      <c r="G16009" s="1063"/>
      <c r="H16009" s="1063"/>
      <c r="I16009" s="1063"/>
      <c r="J16009" s="1063"/>
    </row>
    <row r="16010" spans="1:10" s="1064" customFormat="1" x14ac:dyDescent="0.25">
      <c r="A16010" s="262"/>
      <c r="B16010" s="1063"/>
      <c r="C16010" s="1063"/>
      <c r="D16010" s="1063"/>
      <c r="E16010" s="1063"/>
      <c r="F16010" s="1063"/>
      <c r="G16010" s="1063"/>
      <c r="H16010" s="1063"/>
      <c r="I16010" s="1063"/>
      <c r="J16010" s="1063"/>
    </row>
    <row r="16011" spans="1:10" s="1064" customFormat="1" x14ac:dyDescent="0.25">
      <c r="A16011" s="262"/>
      <c r="B16011" s="1063"/>
      <c r="C16011" s="1063"/>
      <c r="D16011" s="1063"/>
      <c r="E16011" s="1063"/>
      <c r="F16011" s="1063"/>
      <c r="G16011" s="1063"/>
      <c r="H16011" s="1063"/>
      <c r="I16011" s="1063"/>
      <c r="J16011" s="1063"/>
    </row>
    <row r="16012" spans="1:10" s="1064" customFormat="1" x14ac:dyDescent="0.25">
      <c r="A16012" s="262"/>
      <c r="B16012" s="1063"/>
      <c r="C16012" s="1063"/>
      <c r="D16012" s="1063"/>
      <c r="E16012" s="1063"/>
      <c r="F16012" s="1063"/>
      <c r="G16012" s="1063"/>
      <c r="H16012" s="1063"/>
      <c r="I16012" s="1063"/>
      <c r="J16012" s="1063"/>
    </row>
    <row r="16013" spans="1:10" s="1064" customFormat="1" x14ac:dyDescent="0.25">
      <c r="A16013" s="262"/>
      <c r="B16013" s="1063"/>
      <c r="C16013" s="1063"/>
      <c r="D16013" s="1063"/>
      <c r="E16013" s="1063"/>
      <c r="F16013" s="1063"/>
      <c r="G16013" s="1063"/>
      <c r="H16013" s="1063"/>
      <c r="I16013" s="1063"/>
      <c r="J16013" s="1063"/>
    </row>
    <row r="16014" spans="1:10" s="1064" customFormat="1" x14ac:dyDescent="0.25">
      <c r="A16014" s="262"/>
      <c r="B16014" s="1063"/>
      <c r="C16014" s="1063"/>
      <c r="D16014" s="1063"/>
      <c r="E16014" s="1063"/>
      <c r="F16014" s="1063"/>
      <c r="G16014" s="1063"/>
      <c r="H16014" s="1063"/>
      <c r="I16014" s="1063"/>
      <c r="J16014" s="1063"/>
    </row>
    <row r="16015" spans="1:10" s="1064" customFormat="1" x14ac:dyDescent="0.25">
      <c r="A16015" s="262"/>
      <c r="B16015" s="1063"/>
      <c r="C16015" s="1063"/>
      <c r="D16015" s="1063"/>
      <c r="E16015" s="1063"/>
      <c r="F16015" s="1063"/>
      <c r="G16015" s="1063"/>
      <c r="H16015" s="1063"/>
      <c r="I16015" s="1063"/>
      <c r="J16015" s="1063"/>
    </row>
    <row r="16016" spans="1:10" s="1064" customFormat="1" x14ac:dyDescent="0.25">
      <c r="A16016" s="262"/>
      <c r="B16016" s="1063"/>
      <c r="C16016" s="1063"/>
      <c r="D16016" s="1063"/>
      <c r="E16016" s="1063"/>
      <c r="F16016" s="1063"/>
      <c r="G16016" s="1063"/>
      <c r="H16016" s="1063"/>
      <c r="I16016" s="1063"/>
      <c r="J16016" s="1063"/>
    </row>
    <row r="16017" spans="1:10" s="1064" customFormat="1" x14ac:dyDescent="0.25">
      <c r="A16017" s="262"/>
      <c r="B16017" s="1063"/>
      <c r="C16017" s="1063"/>
      <c r="D16017" s="1063"/>
      <c r="E16017" s="1063"/>
      <c r="F16017" s="1063"/>
      <c r="G16017" s="1063"/>
      <c r="H16017" s="1063"/>
      <c r="I16017" s="1063"/>
      <c r="J16017" s="1063"/>
    </row>
    <row r="16018" spans="1:10" s="1064" customFormat="1" x14ac:dyDescent="0.25">
      <c r="A16018" s="262"/>
      <c r="B16018" s="1063"/>
      <c r="C16018" s="1063"/>
      <c r="D16018" s="1063"/>
      <c r="E16018" s="1063"/>
      <c r="F16018" s="1063"/>
      <c r="G16018" s="1063"/>
      <c r="H16018" s="1063"/>
      <c r="I16018" s="1063"/>
      <c r="J16018" s="1063"/>
    </row>
    <row r="16019" spans="1:10" s="1064" customFormat="1" x14ac:dyDescent="0.25">
      <c r="A16019" s="262"/>
      <c r="B16019" s="1063"/>
      <c r="C16019" s="1063"/>
      <c r="D16019" s="1063"/>
      <c r="E16019" s="1063"/>
      <c r="F16019" s="1063"/>
      <c r="G16019" s="1063"/>
      <c r="H16019" s="1063"/>
      <c r="I16019" s="1063"/>
      <c r="J16019" s="1063"/>
    </row>
    <row r="16020" spans="1:10" s="1064" customFormat="1" x14ac:dyDescent="0.25">
      <c r="A16020" s="262"/>
      <c r="B16020" s="1063"/>
      <c r="C16020" s="1063"/>
      <c r="D16020" s="1063"/>
      <c r="E16020" s="1063"/>
      <c r="F16020" s="1063"/>
      <c r="G16020" s="1063"/>
      <c r="H16020" s="1063"/>
      <c r="I16020" s="1063"/>
      <c r="J16020" s="1063"/>
    </row>
    <row r="16021" spans="1:10" s="1064" customFormat="1" x14ac:dyDescent="0.25">
      <c r="A16021" s="262"/>
      <c r="B16021" s="1063"/>
      <c r="C16021" s="1063"/>
      <c r="D16021" s="1063"/>
      <c r="E16021" s="1063"/>
      <c r="F16021" s="1063"/>
      <c r="G16021" s="1063"/>
      <c r="H16021" s="1063"/>
      <c r="I16021" s="1063"/>
      <c r="J16021" s="1063"/>
    </row>
    <row r="16022" spans="1:10" s="1064" customFormat="1" x14ac:dyDescent="0.25">
      <c r="A16022" s="262"/>
      <c r="B16022" s="1063"/>
      <c r="C16022" s="1063"/>
      <c r="D16022" s="1063"/>
      <c r="E16022" s="1063"/>
      <c r="F16022" s="1063"/>
      <c r="G16022" s="1063"/>
      <c r="H16022" s="1063"/>
      <c r="I16022" s="1063"/>
      <c r="J16022" s="1063"/>
    </row>
    <row r="16023" spans="1:10" s="1064" customFormat="1" x14ac:dyDescent="0.25">
      <c r="A16023" s="262"/>
      <c r="B16023" s="1063"/>
      <c r="C16023" s="1063"/>
      <c r="D16023" s="1063"/>
      <c r="E16023" s="1063"/>
      <c r="F16023" s="1063"/>
      <c r="G16023" s="1063"/>
      <c r="H16023" s="1063"/>
      <c r="I16023" s="1063"/>
      <c r="J16023" s="1063"/>
    </row>
    <row r="16024" spans="1:10" s="1064" customFormat="1" x14ac:dyDescent="0.25">
      <c r="A16024" s="262"/>
      <c r="B16024" s="1063"/>
      <c r="C16024" s="1063"/>
      <c r="D16024" s="1063"/>
      <c r="E16024" s="1063"/>
      <c r="F16024" s="1063"/>
      <c r="G16024" s="1063"/>
      <c r="H16024" s="1063"/>
      <c r="I16024" s="1063"/>
      <c r="J16024" s="1063"/>
    </row>
    <row r="16025" spans="1:10" s="1064" customFormat="1" x14ac:dyDescent="0.25">
      <c r="A16025" s="262"/>
      <c r="B16025" s="1063"/>
      <c r="C16025" s="1063"/>
      <c r="D16025" s="1063"/>
      <c r="E16025" s="1063"/>
      <c r="F16025" s="1063"/>
      <c r="G16025" s="1063"/>
      <c r="H16025" s="1063"/>
      <c r="I16025" s="1063"/>
      <c r="J16025" s="1063"/>
    </row>
    <row r="16026" spans="1:10" s="1064" customFormat="1" x14ac:dyDescent="0.25">
      <c r="A16026" s="262"/>
      <c r="B16026" s="1063"/>
      <c r="C16026" s="1063"/>
      <c r="D16026" s="1063"/>
      <c r="E16026" s="1063"/>
      <c r="F16026" s="1063"/>
      <c r="G16026" s="1063"/>
      <c r="H16026" s="1063"/>
      <c r="I16026" s="1063"/>
      <c r="J16026" s="1063"/>
    </row>
    <row r="16027" spans="1:10" s="1064" customFormat="1" x14ac:dyDescent="0.25">
      <c r="A16027" s="262"/>
      <c r="B16027" s="1063"/>
      <c r="C16027" s="1063"/>
      <c r="D16027" s="1063"/>
      <c r="E16027" s="1063"/>
      <c r="F16027" s="1063"/>
      <c r="G16027" s="1063"/>
      <c r="H16027" s="1063"/>
      <c r="I16027" s="1063"/>
      <c r="J16027" s="1063"/>
    </row>
    <row r="16028" spans="1:10" s="1064" customFormat="1" x14ac:dyDescent="0.25">
      <c r="A16028" s="262"/>
      <c r="B16028" s="1063"/>
      <c r="C16028" s="1063"/>
      <c r="D16028" s="1063"/>
      <c r="E16028" s="1063"/>
      <c r="F16028" s="1063"/>
      <c r="G16028" s="1063"/>
      <c r="H16028" s="1063"/>
      <c r="I16028" s="1063"/>
      <c r="J16028" s="1063"/>
    </row>
    <row r="16029" spans="1:10" s="1064" customFormat="1" x14ac:dyDescent="0.25">
      <c r="A16029" s="262"/>
      <c r="B16029" s="1063"/>
      <c r="C16029" s="1063"/>
      <c r="D16029" s="1063"/>
      <c r="E16029" s="1063"/>
      <c r="F16029" s="1063"/>
      <c r="G16029" s="1063"/>
      <c r="H16029" s="1063"/>
      <c r="I16029" s="1063"/>
      <c r="J16029" s="1063"/>
    </row>
    <row r="16030" spans="1:10" s="1064" customFormat="1" x14ac:dyDescent="0.25">
      <c r="A16030" s="262"/>
      <c r="B16030" s="1063"/>
      <c r="C16030" s="1063"/>
      <c r="D16030" s="1063"/>
      <c r="E16030" s="1063"/>
      <c r="F16030" s="1063"/>
      <c r="G16030" s="1063"/>
      <c r="H16030" s="1063"/>
      <c r="I16030" s="1063"/>
      <c r="J16030" s="1063"/>
    </row>
    <row r="16031" spans="1:10" s="1064" customFormat="1" x14ac:dyDescent="0.25">
      <c r="A16031" s="262"/>
      <c r="B16031" s="1063"/>
      <c r="C16031" s="1063"/>
      <c r="D16031" s="1063"/>
      <c r="E16031" s="1063"/>
      <c r="F16031" s="1063"/>
      <c r="G16031" s="1063"/>
      <c r="H16031" s="1063"/>
      <c r="I16031" s="1063"/>
      <c r="J16031" s="1063"/>
    </row>
    <row r="16032" spans="1:10" s="1064" customFormat="1" x14ac:dyDescent="0.25">
      <c r="A16032" s="262"/>
      <c r="B16032" s="1063"/>
      <c r="C16032" s="1063"/>
      <c r="D16032" s="1063"/>
      <c r="E16032" s="1063"/>
      <c r="F16032" s="1063"/>
      <c r="G16032" s="1063"/>
      <c r="H16032" s="1063"/>
      <c r="I16032" s="1063"/>
      <c r="J16032" s="1063"/>
    </row>
    <row r="16033" spans="1:10" s="1064" customFormat="1" x14ac:dyDescent="0.25">
      <c r="A16033" s="262"/>
      <c r="B16033" s="1063"/>
      <c r="C16033" s="1063"/>
      <c r="D16033" s="1063"/>
      <c r="E16033" s="1063"/>
      <c r="F16033" s="1063"/>
      <c r="G16033" s="1063"/>
      <c r="H16033" s="1063"/>
      <c r="I16033" s="1063"/>
      <c r="J16033" s="1063"/>
    </row>
    <row r="16034" spans="1:10" s="1064" customFormat="1" x14ac:dyDescent="0.25">
      <c r="A16034" s="262"/>
      <c r="B16034" s="1063"/>
      <c r="C16034" s="1063"/>
      <c r="D16034" s="1063"/>
      <c r="E16034" s="1063"/>
      <c r="F16034" s="1063"/>
      <c r="G16034" s="1063"/>
      <c r="H16034" s="1063"/>
      <c r="I16034" s="1063"/>
      <c r="J16034" s="1063"/>
    </row>
    <row r="16035" spans="1:10" s="1064" customFormat="1" x14ac:dyDescent="0.25">
      <c r="A16035" s="262"/>
      <c r="B16035" s="1063"/>
      <c r="C16035" s="1063"/>
      <c r="D16035" s="1063"/>
      <c r="E16035" s="1063"/>
      <c r="F16035" s="1063"/>
      <c r="G16035" s="1063"/>
      <c r="H16035" s="1063"/>
      <c r="I16035" s="1063"/>
      <c r="J16035" s="1063"/>
    </row>
    <row r="16036" spans="1:10" s="1064" customFormat="1" x14ac:dyDescent="0.25">
      <c r="A16036" s="262"/>
      <c r="B16036" s="1063"/>
      <c r="C16036" s="1063"/>
      <c r="D16036" s="1063"/>
      <c r="E16036" s="1063"/>
      <c r="F16036" s="1063"/>
      <c r="G16036" s="1063"/>
      <c r="H16036" s="1063"/>
      <c r="I16036" s="1063"/>
      <c r="J16036" s="1063"/>
    </row>
    <row r="16037" spans="1:10" s="1064" customFormat="1" x14ac:dyDescent="0.25">
      <c r="A16037" s="262"/>
      <c r="B16037" s="1063"/>
      <c r="C16037" s="1063"/>
      <c r="D16037" s="1063"/>
      <c r="E16037" s="1063"/>
      <c r="F16037" s="1063"/>
      <c r="G16037" s="1063"/>
      <c r="H16037" s="1063"/>
      <c r="I16037" s="1063"/>
      <c r="J16037" s="1063"/>
    </row>
    <row r="16038" spans="1:10" s="1064" customFormat="1" x14ac:dyDescent="0.25">
      <c r="A16038" s="262"/>
      <c r="B16038" s="1063"/>
      <c r="C16038" s="1063"/>
      <c r="D16038" s="1063"/>
      <c r="E16038" s="1063"/>
      <c r="F16038" s="1063"/>
      <c r="G16038" s="1063"/>
      <c r="H16038" s="1063"/>
      <c r="I16038" s="1063"/>
      <c r="J16038" s="1063"/>
    </row>
    <row r="16039" spans="1:10" s="1064" customFormat="1" x14ac:dyDescent="0.25">
      <c r="A16039" s="262"/>
      <c r="B16039" s="1063"/>
      <c r="C16039" s="1063"/>
      <c r="D16039" s="1063"/>
      <c r="E16039" s="1063"/>
      <c r="F16039" s="1063"/>
      <c r="G16039" s="1063"/>
      <c r="H16039" s="1063"/>
      <c r="I16039" s="1063"/>
      <c r="J16039" s="1063"/>
    </row>
    <row r="16040" spans="1:10" s="1064" customFormat="1" x14ac:dyDescent="0.25">
      <c r="A16040" s="262"/>
      <c r="B16040" s="1063"/>
      <c r="C16040" s="1063"/>
      <c r="D16040" s="1063"/>
      <c r="E16040" s="1063"/>
      <c r="F16040" s="1063"/>
      <c r="G16040" s="1063"/>
      <c r="H16040" s="1063"/>
      <c r="I16040" s="1063"/>
      <c r="J16040" s="1063"/>
    </row>
    <row r="16041" spans="1:10" s="1064" customFormat="1" x14ac:dyDescent="0.25">
      <c r="A16041" s="262"/>
      <c r="B16041" s="1063"/>
      <c r="C16041" s="1063"/>
      <c r="D16041" s="1063"/>
      <c r="E16041" s="1063"/>
      <c r="F16041" s="1063"/>
      <c r="G16041" s="1063"/>
      <c r="H16041" s="1063"/>
      <c r="I16041" s="1063"/>
      <c r="J16041" s="1063"/>
    </row>
    <row r="16042" spans="1:10" s="1064" customFormat="1" x14ac:dyDescent="0.25">
      <c r="A16042" s="262"/>
      <c r="B16042" s="1063"/>
      <c r="C16042" s="1063"/>
      <c r="D16042" s="1063"/>
      <c r="E16042" s="1063"/>
      <c r="F16042" s="1063"/>
      <c r="G16042" s="1063"/>
      <c r="H16042" s="1063"/>
      <c r="I16042" s="1063"/>
      <c r="J16042" s="1063"/>
    </row>
    <row r="16043" spans="1:10" s="1064" customFormat="1" x14ac:dyDescent="0.25">
      <c r="A16043" s="262"/>
      <c r="B16043" s="1063"/>
      <c r="C16043" s="1063"/>
      <c r="D16043" s="1063"/>
      <c r="E16043" s="1063"/>
      <c r="F16043" s="1063"/>
      <c r="G16043" s="1063"/>
      <c r="H16043" s="1063"/>
      <c r="I16043" s="1063"/>
      <c r="J16043" s="1063"/>
    </row>
    <row r="16044" spans="1:10" s="1064" customFormat="1" x14ac:dyDescent="0.25">
      <c r="A16044" s="262"/>
      <c r="B16044" s="1063"/>
      <c r="C16044" s="1063"/>
      <c r="D16044" s="1063"/>
      <c r="E16044" s="1063"/>
      <c r="F16044" s="1063"/>
      <c r="G16044" s="1063"/>
      <c r="H16044" s="1063"/>
      <c r="I16044" s="1063"/>
      <c r="J16044" s="1063"/>
    </row>
    <row r="16045" spans="1:10" s="1064" customFormat="1" x14ac:dyDescent="0.25">
      <c r="A16045" s="262"/>
      <c r="B16045" s="1063"/>
      <c r="C16045" s="1063"/>
      <c r="D16045" s="1063"/>
      <c r="E16045" s="1063"/>
      <c r="F16045" s="1063"/>
      <c r="G16045" s="1063"/>
      <c r="H16045" s="1063"/>
      <c r="I16045" s="1063"/>
      <c r="J16045" s="1063"/>
    </row>
    <row r="16046" spans="1:10" s="1064" customFormat="1" x14ac:dyDescent="0.25">
      <c r="A16046" s="262"/>
      <c r="B16046" s="1063"/>
      <c r="C16046" s="1063"/>
      <c r="D16046" s="1063"/>
      <c r="E16046" s="1063"/>
      <c r="F16046" s="1063"/>
      <c r="G16046" s="1063"/>
      <c r="H16046" s="1063"/>
      <c r="I16046" s="1063"/>
      <c r="J16046" s="1063"/>
    </row>
    <row r="16047" spans="1:10" s="1064" customFormat="1" x14ac:dyDescent="0.25">
      <c r="A16047" s="262"/>
      <c r="B16047" s="1063"/>
      <c r="C16047" s="1063"/>
      <c r="D16047" s="1063"/>
      <c r="E16047" s="1063"/>
      <c r="F16047" s="1063"/>
      <c r="G16047" s="1063"/>
      <c r="H16047" s="1063"/>
      <c r="I16047" s="1063"/>
      <c r="J16047" s="1063"/>
    </row>
    <row r="16048" spans="1:10" s="1064" customFormat="1" x14ac:dyDescent="0.25">
      <c r="A16048" s="262"/>
      <c r="B16048" s="1063"/>
      <c r="C16048" s="1063"/>
      <c r="D16048" s="1063"/>
      <c r="E16048" s="1063"/>
      <c r="F16048" s="1063"/>
      <c r="G16048" s="1063"/>
      <c r="H16048" s="1063"/>
      <c r="I16048" s="1063"/>
      <c r="J16048" s="1063"/>
    </row>
    <row r="16049" spans="1:10" s="1064" customFormat="1" x14ac:dyDescent="0.25">
      <c r="A16049" s="262"/>
      <c r="B16049" s="1063"/>
      <c r="C16049" s="1063"/>
      <c r="D16049" s="1063"/>
      <c r="E16049" s="1063"/>
      <c r="F16049" s="1063"/>
      <c r="G16049" s="1063"/>
      <c r="H16049" s="1063"/>
      <c r="I16049" s="1063"/>
      <c r="J16049" s="1063"/>
    </row>
    <row r="16050" spans="1:10" s="1064" customFormat="1" x14ac:dyDescent="0.25">
      <c r="A16050" s="262"/>
      <c r="B16050" s="1063"/>
      <c r="C16050" s="1063"/>
      <c r="D16050" s="1063"/>
      <c r="E16050" s="1063"/>
      <c r="F16050" s="1063"/>
      <c r="G16050" s="1063"/>
      <c r="H16050" s="1063"/>
      <c r="I16050" s="1063"/>
      <c r="J16050" s="1063"/>
    </row>
    <row r="16051" spans="1:10" s="1064" customFormat="1" x14ac:dyDescent="0.25">
      <c r="A16051" s="262"/>
      <c r="B16051" s="1063"/>
      <c r="C16051" s="1063"/>
      <c r="D16051" s="1063"/>
      <c r="E16051" s="1063"/>
      <c r="F16051" s="1063"/>
      <c r="G16051" s="1063"/>
      <c r="H16051" s="1063"/>
      <c r="I16051" s="1063"/>
      <c r="J16051" s="1063"/>
    </row>
    <row r="16052" spans="1:10" s="1064" customFormat="1" x14ac:dyDescent="0.25">
      <c r="A16052" s="262"/>
      <c r="B16052" s="1063"/>
      <c r="C16052" s="1063"/>
      <c r="D16052" s="1063"/>
      <c r="E16052" s="1063"/>
      <c r="F16052" s="1063"/>
      <c r="G16052" s="1063"/>
      <c r="H16052" s="1063"/>
      <c r="I16052" s="1063"/>
      <c r="J16052" s="1063"/>
    </row>
    <row r="16053" spans="1:10" s="1064" customFormat="1" x14ac:dyDescent="0.25">
      <c r="A16053" s="262"/>
      <c r="B16053" s="1063"/>
      <c r="C16053" s="1063"/>
      <c r="D16053" s="1063"/>
      <c r="E16053" s="1063"/>
      <c r="F16053" s="1063"/>
      <c r="G16053" s="1063"/>
      <c r="H16053" s="1063"/>
      <c r="I16053" s="1063"/>
      <c r="J16053" s="1063"/>
    </row>
    <row r="16054" spans="1:10" s="1064" customFormat="1" x14ac:dyDescent="0.25">
      <c r="A16054" s="262"/>
      <c r="B16054" s="1063"/>
      <c r="C16054" s="1063"/>
      <c r="D16054" s="1063"/>
      <c r="E16054" s="1063"/>
      <c r="F16054" s="1063"/>
      <c r="G16054" s="1063"/>
      <c r="H16054" s="1063"/>
      <c r="I16054" s="1063"/>
      <c r="J16054" s="1063"/>
    </row>
    <row r="16055" spans="1:10" s="1064" customFormat="1" x14ac:dyDescent="0.25">
      <c r="A16055" s="262"/>
      <c r="B16055" s="1063"/>
      <c r="C16055" s="1063"/>
      <c r="D16055" s="1063"/>
      <c r="E16055" s="1063"/>
      <c r="F16055" s="1063"/>
      <c r="G16055" s="1063"/>
      <c r="H16055" s="1063"/>
      <c r="I16055" s="1063"/>
      <c r="J16055" s="1063"/>
    </row>
    <row r="16056" spans="1:10" s="1064" customFormat="1" x14ac:dyDescent="0.25">
      <c r="A16056" s="262"/>
      <c r="B16056" s="1063"/>
      <c r="C16056" s="1063"/>
      <c r="D16056" s="1063"/>
      <c r="E16056" s="1063"/>
      <c r="F16056" s="1063"/>
      <c r="G16056" s="1063"/>
      <c r="H16056" s="1063"/>
      <c r="I16056" s="1063"/>
      <c r="J16056" s="1063"/>
    </row>
    <row r="16057" spans="1:10" s="1064" customFormat="1" x14ac:dyDescent="0.25">
      <c r="A16057" s="262"/>
      <c r="B16057" s="1063"/>
      <c r="C16057" s="1063"/>
      <c r="D16057" s="1063"/>
      <c r="E16057" s="1063"/>
      <c r="F16057" s="1063"/>
      <c r="G16057" s="1063"/>
      <c r="H16057" s="1063"/>
      <c r="I16057" s="1063"/>
      <c r="J16057" s="1063"/>
    </row>
    <row r="16058" spans="1:10" s="1064" customFormat="1" x14ac:dyDescent="0.25">
      <c r="A16058" s="262"/>
      <c r="B16058" s="1063"/>
      <c r="C16058" s="1063"/>
      <c r="D16058" s="1063"/>
      <c r="E16058" s="1063"/>
      <c r="F16058" s="1063"/>
      <c r="G16058" s="1063"/>
      <c r="H16058" s="1063"/>
      <c r="I16058" s="1063"/>
      <c r="J16058" s="1063"/>
    </row>
    <row r="16059" spans="1:10" s="1064" customFormat="1" x14ac:dyDescent="0.25">
      <c r="A16059" s="262"/>
      <c r="B16059" s="1063"/>
      <c r="C16059" s="1063"/>
      <c r="D16059" s="1063"/>
      <c r="E16059" s="1063"/>
      <c r="F16059" s="1063"/>
      <c r="G16059" s="1063"/>
      <c r="H16059" s="1063"/>
      <c r="I16059" s="1063"/>
      <c r="J16059" s="1063"/>
    </row>
    <row r="16060" spans="1:10" s="1064" customFormat="1" x14ac:dyDescent="0.25">
      <c r="A16060" s="262"/>
      <c r="B16060" s="1063"/>
      <c r="C16060" s="1063"/>
      <c r="D16060" s="1063"/>
      <c r="E16060" s="1063"/>
      <c r="F16060" s="1063"/>
      <c r="G16060" s="1063"/>
      <c r="H16060" s="1063"/>
      <c r="I16060" s="1063"/>
      <c r="J16060" s="1063"/>
    </row>
    <row r="16061" spans="1:10" s="1064" customFormat="1" x14ac:dyDescent="0.25">
      <c r="A16061" s="262"/>
      <c r="B16061" s="1063"/>
      <c r="C16061" s="1063"/>
      <c r="D16061" s="1063"/>
      <c r="E16061" s="1063"/>
      <c r="F16061" s="1063"/>
      <c r="G16061" s="1063"/>
      <c r="H16061" s="1063"/>
      <c r="I16061" s="1063"/>
      <c r="J16061" s="1063"/>
    </row>
    <row r="16062" spans="1:10" s="1064" customFormat="1" x14ac:dyDescent="0.25">
      <c r="A16062" s="262"/>
      <c r="B16062" s="1063"/>
      <c r="C16062" s="1063"/>
      <c r="D16062" s="1063"/>
      <c r="E16062" s="1063"/>
      <c r="F16062" s="1063"/>
      <c r="G16062" s="1063"/>
      <c r="H16062" s="1063"/>
      <c r="I16062" s="1063"/>
      <c r="J16062" s="1063"/>
    </row>
    <row r="16063" spans="1:10" s="1064" customFormat="1" x14ac:dyDescent="0.25">
      <c r="A16063" s="262"/>
      <c r="B16063" s="1063"/>
      <c r="C16063" s="1063"/>
      <c r="D16063" s="1063"/>
      <c r="E16063" s="1063"/>
      <c r="F16063" s="1063"/>
      <c r="G16063" s="1063"/>
      <c r="H16063" s="1063"/>
      <c r="I16063" s="1063"/>
      <c r="J16063" s="1063"/>
    </row>
    <row r="16064" spans="1:10" s="1064" customFormat="1" x14ac:dyDescent="0.25">
      <c r="A16064" s="262"/>
      <c r="B16064" s="1063"/>
      <c r="C16064" s="1063"/>
      <c r="D16064" s="1063"/>
      <c r="E16064" s="1063"/>
      <c r="F16064" s="1063"/>
      <c r="G16064" s="1063"/>
      <c r="H16064" s="1063"/>
      <c r="I16064" s="1063"/>
      <c r="J16064" s="1063"/>
    </row>
    <row r="16065" spans="1:10" s="1064" customFormat="1" x14ac:dyDescent="0.25">
      <c r="A16065" s="262"/>
      <c r="B16065" s="1063"/>
      <c r="C16065" s="1063"/>
      <c r="D16065" s="1063"/>
      <c r="E16065" s="1063"/>
      <c r="F16065" s="1063"/>
      <c r="G16065" s="1063"/>
      <c r="H16065" s="1063"/>
      <c r="I16065" s="1063"/>
      <c r="J16065" s="1063"/>
    </row>
    <row r="16066" spans="1:10" s="1064" customFormat="1" x14ac:dyDescent="0.25">
      <c r="A16066" s="262"/>
      <c r="B16066" s="1063"/>
      <c r="C16066" s="1063"/>
      <c r="D16066" s="1063"/>
      <c r="E16066" s="1063"/>
      <c r="F16066" s="1063"/>
      <c r="G16066" s="1063"/>
      <c r="H16066" s="1063"/>
      <c r="I16066" s="1063"/>
      <c r="J16066" s="1063"/>
    </row>
    <row r="16067" spans="1:10" s="1064" customFormat="1" x14ac:dyDescent="0.25">
      <c r="A16067" s="262"/>
      <c r="B16067" s="1063"/>
      <c r="C16067" s="1063"/>
      <c r="D16067" s="1063"/>
      <c r="E16067" s="1063"/>
      <c r="F16067" s="1063"/>
      <c r="G16067" s="1063"/>
      <c r="H16067" s="1063"/>
      <c r="I16067" s="1063"/>
      <c r="J16067" s="1063"/>
    </row>
    <row r="16068" spans="1:10" s="1064" customFormat="1" x14ac:dyDescent="0.25">
      <c r="A16068" s="262"/>
      <c r="B16068" s="1063"/>
      <c r="C16068" s="1063"/>
      <c r="D16068" s="1063"/>
      <c r="E16068" s="1063"/>
      <c r="F16068" s="1063"/>
      <c r="G16068" s="1063"/>
      <c r="H16068" s="1063"/>
      <c r="I16068" s="1063"/>
      <c r="J16068" s="1063"/>
    </row>
    <row r="16069" spans="1:10" s="1064" customFormat="1" x14ac:dyDescent="0.25">
      <c r="A16069" s="262"/>
      <c r="B16069" s="1063"/>
      <c r="C16069" s="1063"/>
      <c r="D16069" s="1063"/>
      <c r="E16069" s="1063"/>
      <c r="F16069" s="1063"/>
      <c r="G16069" s="1063"/>
      <c r="H16069" s="1063"/>
      <c r="I16069" s="1063"/>
      <c r="J16069" s="1063"/>
    </row>
    <row r="16070" spans="1:10" s="1064" customFormat="1" x14ac:dyDescent="0.25">
      <c r="A16070" s="262"/>
      <c r="B16070" s="1063"/>
      <c r="C16070" s="1063"/>
      <c r="D16070" s="1063"/>
      <c r="E16070" s="1063"/>
      <c r="F16070" s="1063"/>
      <c r="G16070" s="1063"/>
      <c r="H16070" s="1063"/>
      <c r="I16070" s="1063"/>
      <c r="J16070" s="1063"/>
    </row>
    <row r="16071" spans="1:10" s="1064" customFormat="1" x14ac:dyDescent="0.25">
      <c r="A16071" s="262"/>
      <c r="B16071" s="1063"/>
      <c r="C16071" s="1063"/>
      <c r="D16071" s="1063"/>
      <c r="E16071" s="1063"/>
      <c r="F16071" s="1063"/>
      <c r="G16071" s="1063"/>
      <c r="H16071" s="1063"/>
      <c r="I16071" s="1063"/>
      <c r="J16071" s="1063"/>
    </row>
    <row r="16072" spans="1:10" s="1064" customFormat="1" x14ac:dyDescent="0.25">
      <c r="A16072" s="262"/>
      <c r="B16072" s="1063"/>
      <c r="C16072" s="1063"/>
      <c r="D16072" s="1063"/>
      <c r="E16072" s="1063"/>
      <c r="F16072" s="1063"/>
      <c r="G16072" s="1063"/>
      <c r="H16072" s="1063"/>
      <c r="I16072" s="1063"/>
      <c r="J16072" s="1063"/>
    </row>
    <row r="16073" spans="1:10" s="1064" customFormat="1" x14ac:dyDescent="0.25">
      <c r="A16073" s="262"/>
      <c r="B16073" s="1063"/>
      <c r="C16073" s="1063"/>
      <c r="D16073" s="1063"/>
      <c r="E16073" s="1063"/>
      <c r="F16073" s="1063"/>
      <c r="G16073" s="1063"/>
      <c r="H16073" s="1063"/>
      <c r="I16073" s="1063"/>
      <c r="J16073" s="1063"/>
    </row>
    <row r="16074" spans="1:10" s="1064" customFormat="1" x14ac:dyDescent="0.25">
      <c r="A16074" s="262"/>
      <c r="B16074" s="1063"/>
      <c r="C16074" s="1063"/>
      <c r="D16074" s="1063"/>
      <c r="E16074" s="1063"/>
      <c r="F16074" s="1063"/>
      <c r="G16074" s="1063"/>
      <c r="H16074" s="1063"/>
      <c r="I16074" s="1063"/>
      <c r="J16074" s="1063"/>
    </row>
    <row r="16075" spans="1:10" s="1064" customFormat="1" x14ac:dyDescent="0.25">
      <c r="A16075" s="262"/>
      <c r="B16075" s="1063"/>
      <c r="C16075" s="1063"/>
      <c r="D16075" s="1063"/>
      <c r="E16075" s="1063"/>
      <c r="F16075" s="1063"/>
      <c r="G16075" s="1063"/>
      <c r="H16075" s="1063"/>
      <c r="I16075" s="1063"/>
      <c r="J16075" s="1063"/>
    </row>
    <row r="16076" spans="1:10" s="1064" customFormat="1" x14ac:dyDescent="0.25">
      <c r="A16076" s="262"/>
      <c r="B16076" s="1063"/>
      <c r="C16076" s="1063"/>
      <c r="D16076" s="1063"/>
      <c r="E16076" s="1063"/>
      <c r="F16076" s="1063"/>
      <c r="G16076" s="1063"/>
      <c r="H16076" s="1063"/>
      <c r="I16076" s="1063"/>
      <c r="J16076" s="1063"/>
    </row>
    <row r="16077" spans="1:10" s="1064" customFormat="1" x14ac:dyDescent="0.25">
      <c r="A16077" s="262"/>
      <c r="B16077" s="1063"/>
      <c r="C16077" s="1063"/>
      <c r="D16077" s="1063"/>
      <c r="E16077" s="1063"/>
      <c r="F16077" s="1063"/>
      <c r="G16077" s="1063"/>
      <c r="H16077" s="1063"/>
      <c r="I16077" s="1063"/>
      <c r="J16077" s="1063"/>
    </row>
    <row r="16078" spans="1:10" s="1064" customFormat="1" x14ac:dyDescent="0.25">
      <c r="A16078" s="262"/>
      <c r="B16078" s="1063"/>
      <c r="C16078" s="1063"/>
      <c r="D16078" s="1063"/>
      <c r="E16078" s="1063"/>
      <c r="F16078" s="1063"/>
      <c r="G16078" s="1063"/>
      <c r="H16078" s="1063"/>
      <c r="I16078" s="1063"/>
      <c r="J16078" s="1063"/>
    </row>
    <row r="16079" spans="1:10" s="1064" customFormat="1" x14ac:dyDescent="0.25">
      <c r="A16079" s="262"/>
      <c r="B16079" s="1063"/>
      <c r="C16079" s="1063"/>
      <c r="D16079" s="1063"/>
      <c r="E16079" s="1063"/>
      <c r="F16079" s="1063"/>
      <c r="G16079" s="1063"/>
      <c r="H16079" s="1063"/>
      <c r="I16079" s="1063"/>
      <c r="J16079" s="1063"/>
    </row>
    <row r="16080" spans="1:10" s="1064" customFormat="1" x14ac:dyDescent="0.25">
      <c r="A16080" s="262"/>
      <c r="B16080" s="1063"/>
      <c r="C16080" s="1063"/>
      <c r="D16080" s="1063"/>
      <c r="E16080" s="1063"/>
      <c r="F16080" s="1063"/>
      <c r="G16080" s="1063"/>
      <c r="H16080" s="1063"/>
      <c r="I16080" s="1063"/>
      <c r="J16080" s="1063"/>
    </row>
    <row r="16081" spans="1:10" s="1064" customFormat="1" x14ac:dyDescent="0.25">
      <c r="A16081" s="262"/>
      <c r="B16081" s="1063"/>
      <c r="C16081" s="1063"/>
      <c r="D16081" s="1063"/>
      <c r="E16081" s="1063"/>
      <c r="F16081" s="1063"/>
      <c r="G16081" s="1063"/>
      <c r="H16081" s="1063"/>
      <c r="I16081" s="1063"/>
      <c r="J16081" s="1063"/>
    </row>
    <row r="16082" spans="1:10" s="1064" customFormat="1" x14ac:dyDescent="0.25">
      <c r="A16082" s="262"/>
      <c r="B16082" s="1063"/>
      <c r="C16082" s="1063"/>
      <c r="D16082" s="1063"/>
      <c r="E16082" s="1063"/>
      <c r="F16082" s="1063"/>
      <c r="G16082" s="1063"/>
      <c r="H16082" s="1063"/>
      <c r="I16082" s="1063"/>
      <c r="J16082" s="1063"/>
    </row>
    <row r="16083" spans="1:10" s="1064" customFormat="1" x14ac:dyDescent="0.25">
      <c r="A16083" s="262"/>
      <c r="B16083" s="1063"/>
      <c r="C16083" s="1063"/>
      <c r="D16083" s="1063"/>
      <c r="E16083" s="1063"/>
      <c r="F16083" s="1063"/>
      <c r="G16083" s="1063"/>
      <c r="H16083" s="1063"/>
      <c r="I16083" s="1063"/>
      <c r="J16083" s="1063"/>
    </row>
    <row r="16084" spans="1:10" s="1064" customFormat="1" x14ac:dyDescent="0.25">
      <c r="A16084" s="262"/>
      <c r="B16084" s="1063"/>
      <c r="C16084" s="1063"/>
      <c r="D16084" s="1063"/>
      <c r="E16084" s="1063"/>
      <c r="F16084" s="1063"/>
      <c r="G16084" s="1063"/>
      <c r="H16084" s="1063"/>
      <c r="I16084" s="1063"/>
      <c r="J16084" s="1063"/>
    </row>
    <row r="16085" spans="1:10" s="1064" customFormat="1" x14ac:dyDescent="0.25">
      <c r="A16085" s="262"/>
      <c r="B16085" s="1063"/>
      <c r="C16085" s="1063"/>
      <c r="D16085" s="1063"/>
      <c r="E16085" s="1063"/>
      <c r="F16085" s="1063"/>
      <c r="G16085" s="1063"/>
      <c r="H16085" s="1063"/>
      <c r="I16085" s="1063"/>
      <c r="J16085" s="1063"/>
    </row>
    <row r="16086" spans="1:10" s="1064" customFormat="1" x14ac:dyDescent="0.25">
      <c r="A16086" s="262"/>
      <c r="B16086" s="1063"/>
      <c r="C16086" s="1063"/>
      <c r="D16086" s="1063"/>
      <c r="E16086" s="1063"/>
      <c r="F16086" s="1063"/>
      <c r="G16086" s="1063"/>
      <c r="H16086" s="1063"/>
      <c r="I16086" s="1063"/>
      <c r="J16086" s="1063"/>
    </row>
    <row r="16087" spans="1:10" s="1064" customFormat="1" x14ac:dyDescent="0.25">
      <c r="A16087" s="262"/>
      <c r="B16087" s="1063"/>
      <c r="C16087" s="1063"/>
      <c r="D16087" s="1063"/>
      <c r="E16087" s="1063"/>
      <c r="F16087" s="1063"/>
      <c r="G16087" s="1063"/>
      <c r="H16087" s="1063"/>
      <c r="I16087" s="1063"/>
      <c r="J16087" s="1063"/>
    </row>
    <row r="16088" spans="1:10" s="1064" customFormat="1" x14ac:dyDescent="0.25">
      <c r="A16088" s="262"/>
      <c r="B16088" s="1063"/>
      <c r="C16088" s="1063"/>
      <c r="D16088" s="1063"/>
      <c r="E16088" s="1063"/>
      <c r="F16088" s="1063"/>
      <c r="G16088" s="1063"/>
      <c r="H16088" s="1063"/>
      <c r="I16088" s="1063"/>
      <c r="J16088" s="1063"/>
    </row>
    <row r="16089" spans="1:10" s="1064" customFormat="1" x14ac:dyDescent="0.25">
      <c r="A16089" s="262"/>
      <c r="B16089" s="1063"/>
      <c r="C16089" s="1063"/>
      <c r="D16089" s="1063"/>
      <c r="E16089" s="1063"/>
      <c r="F16089" s="1063"/>
      <c r="G16089" s="1063"/>
      <c r="H16089" s="1063"/>
      <c r="I16089" s="1063"/>
      <c r="J16089" s="1063"/>
    </row>
    <row r="16090" spans="1:10" s="1064" customFormat="1" x14ac:dyDescent="0.25">
      <c r="A16090" s="262"/>
      <c r="B16090" s="1063"/>
      <c r="C16090" s="1063"/>
      <c r="D16090" s="1063"/>
      <c r="E16090" s="1063"/>
      <c r="F16090" s="1063"/>
      <c r="G16090" s="1063"/>
      <c r="H16090" s="1063"/>
      <c r="I16090" s="1063"/>
      <c r="J16090" s="1063"/>
    </row>
    <row r="16091" spans="1:10" s="1064" customFormat="1" x14ac:dyDescent="0.25">
      <c r="A16091" s="262"/>
      <c r="B16091" s="1063"/>
      <c r="C16091" s="1063"/>
      <c r="D16091" s="1063"/>
      <c r="E16091" s="1063"/>
      <c r="F16091" s="1063"/>
      <c r="G16091" s="1063"/>
      <c r="H16091" s="1063"/>
      <c r="I16091" s="1063"/>
      <c r="J16091" s="1063"/>
    </row>
    <row r="16092" spans="1:10" s="1064" customFormat="1" x14ac:dyDescent="0.25">
      <c r="A16092" s="262"/>
      <c r="B16092" s="1063"/>
      <c r="C16092" s="1063"/>
      <c r="D16092" s="1063"/>
      <c r="E16092" s="1063"/>
      <c r="F16092" s="1063"/>
      <c r="G16092" s="1063"/>
      <c r="H16092" s="1063"/>
      <c r="I16092" s="1063"/>
      <c r="J16092" s="1063"/>
    </row>
    <row r="16093" spans="1:10" s="1064" customFormat="1" x14ac:dyDescent="0.25">
      <c r="A16093" s="262"/>
      <c r="B16093" s="1063"/>
      <c r="C16093" s="1063"/>
      <c r="D16093" s="1063"/>
      <c r="E16093" s="1063"/>
      <c r="F16093" s="1063"/>
      <c r="G16093" s="1063"/>
      <c r="H16093" s="1063"/>
      <c r="I16093" s="1063"/>
      <c r="J16093" s="1063"/>
    </row>
    <row r="16094" spans="1:10" s="1064" customFormat="1" x14ac:dyDescent="0.25">
      <c r="A16094" s="262"/>
      <c r="B16094" s="1063"/>
      <c r="C16094" s="1063"/>
      <c r="D16094" s="1063"/>
      <c r="E16094" s="1063"/>
      <c r="F16094" s="1063"/>
      <c r="G16094" s="1063"/>
      <c r="H16094" s="1063"/>
      <c r="I16094" s="1063"/>
      <c r="J16094" s="1063"/>
    </row>
    <row r="16095" spans="1:10" s="1064" customFormat="1" x14ac:dyDescent="0.25">
      <c r="A16095" s="262"/>
      <c r="B16095" s="1063"/>
      <c r="C16095" s="1063"/>
      <c r="D16095" s="1063"/>
      <c r="E16095" s="1063"/>
      <c r="F16095" s="1063"/>
      <c r="G16095" s="1063"/>
      <c r="H16095" s="1063"/>
      <c r="I16095" s="1063"/>
      <c r="J16095" s="1063"/>
    </row>
    <row r="16096" spans="1:10" s="1064" customFormat="1" x14ac:dyDescent="0.25">
      <c r="A16096" s="262"/>
      <c r="B16096" s="1063"/>
      <c r="C16096" s="1063"/>
      <c r="D16096" s="1063"/>
      <c r="E16096" s="1063"/>
      <c r="F16096" s="1063"/>
      <c r="G16096" s="1063"/>
      <c r="H16096" s="1063"/>
      <c r="I16096" s="1063"/>
      <c r="J16096" s="1063"/>
    </row>
    <row r="16097" spans="1:10" s="1064" customFormat="1" x14ac:dyDescent="0.25">
      <c r="A16097" s="262"/>
      <c r="B16097" s="1063"/>
      <c r="C16097" s="1063"/>
      <c r="D16097" s="1063"/>
      <c r="E16097" s="1063"/>
      <c r="F16097" s="1063"/>
      <c r="G16097" s="1063"/>
      <c r="H16097" s="1063"/>
      <c r="I16097" s="1063"/>
      <c r="J16097" s="1063"/>
    </row>
    <row r="16098" spans="1:10" s="1064" customFormat="1" x14ac:dyDescent="0.25">
      <c r="A16098" s="262"/>
      <c r="B16098" s="1063"/>
      <c r="C16098" s="1063"/>
      <c r="D16098" s="1063"/>
      <c r="E16098" s="1063"/>
      <c r="F16098" s="1063"/>
      <c r="G16098" s="1063"/>
      <c r="H16098" s="1063"/>
      <c r="I16098" s="1063"/>
      <c r="J16098" s="1063"/>
    </row>
    <row r="16099" spans="1:10" s="1064" customFormat="1" x14ac:dyDescent="0.25">
      <c r="A16099" s="262"/>
      <c r="B16099" s="1063"/>
      <c r="C16099" s="1063"/>
      <c r="D16099" s="1063"/>
      <c r="E16099" s="1063"/>
      <c r="F16099" s="1063"/>
      <c r="G16099" s="1063"/>
      <c r="H16099" s="1063"/>
      <c r="I16099" s="1063"/>
      <c r="J16099" s="1063"/>
    </row>
    <row r="16100" spans="1:10" s="1064" customFormat="1" x14ac:dyDescent="0.25">
      <c r="A16100" s="262"/>
      <c r="B16100" s="1063"/>
      <c r="C16100" s="1063"/>
      <c r="D16100" s="1063"/>
      <c r="E16100" s="1063"/>
      <c r="F16100" s="1063"/>
      <c r="G16100" s="1063"/>
      <c r="H16100" s="1063"/>
      <c r="I16100" s="1063"/>
      <c r="J16100" s="1063"/>
    </row>
    <row r="16101" spans="1:10" s="1064" customFormat="1" x14ac:dyDescent="0.25">
      <c r="A16101" s="262"/>
      <c r="B16101" s="1063"/>
      <c r="C16101" s="1063"/>
      <c r="D16101" s="1063"/>
      <c r="E16101" s="1063"/>
      <c r="F16101" s="1063"/>
      <c r="G16101" s="1063"/>
      <c r="H16101" s="1063"/>
      <c r="I16101" s="1063"/>
      <c r="J16101" s="1063"/>
    </row>
    <row r="16102" spans="1:10" s="1064" customFormat="1" x14ac:dyDescent="0.25">
      <c r="A16102" s="262"/>
      <c r="B16102" s="1063"/>
      <c r="C16102" s="1063"/>
      <c r="D16102" s="1063"/>
      <c r="E16102" s="1063"/>
      <c r="F16102" s="1063"/>
      <c r="G16102" s="1063"/>
      <c r="H16102" s="1063"/>
      <c r="I16102" s="1063"/>
      <c r="J16102" s="1063"/>
    </row>
    <row r="16103" spans="1:10" s="1064" customFormat="1" x14ac:dyDescent="0.25">
      <c r="A16103" s="262"/>
      <c r="B16103" s="1063"/>
      <c r="C16103" s="1063"/>
      <c r="D16103" s="1063"/>
      <c r="E16103" s="1063"/>
      <c r="F16103" s="1063"/>
      <c r="G16103" s="1063"/>
      <c r="H16103" s="1063"/>
      <c r="I16103" s="1063"/>
      <c r="J16103" s="1063"/>
    </row>
    <row r="16104" spans="1:10" s="1064" customFormat="1" x14ac:dyDescent="0.25">
      <c r="A16104" s="262"/>
      <c r="B16104" s="1063"/>
      <c r="C16104" s="1063"/>
      <c r="D16104" s="1063"/>
      <c r="E16104" s="1063"/>
      <c r="F16104" s="1063"/>
      <c r="G16104" s="1063"/>
      <c r="H16104" s="1063"/>
      <c r="I16104" s="1063"/>
      <c r="J16104" s="1063"/>
    </row>
    <row r="16105" spans="1:10" s="1064" customFormat="1" x14ac:dyDescent="0.25">
      <c r="A16105" s="262"/>
      <c r="B16105" s="1063"/>
      <c r="C16105" s="1063"/>
      <c r="D16105" s="1063"/>
      <c r="E16105" s="1063"/>
      <c r="F16105" s="1063"/>
      <c r="G16105" s="1063"/>
      <c r="H16105" s="1063"/>
      <c r="I16105" s="1063"/>
      <c r="J16105" s="1063"/>
    </row>
    <row r="16106" spans="1:10" s="1064" customFormat="1" x14ac:dyDescent="0.25">
      <c r="A16106" s="262"/>
      <c r="B16106" s="1063"/>
      <c r="C16106" s="1063"/>
      <c r="D16106" s="1063"/>
      <c r="E16106" s="1063"/>
      <c r="F16106" s="1063"/>
      <c r="G16106" s="1063"/>
      <c r="H16106" s="1063"/>
      <c r="I16106" s="1063"/>
      <c r="J16106" s="1063"/>
    </row>
    <row r="16107" spans="1:10" s="1064" customFormat="1" x14ac:dyDescent="0.25">
      <c r="A16107" s="262"/>
      <c r="B16107" s="1063"/>
      <c r="C16107" s="1063"/>
      <c r="D16107" s="1063"/>
      <c r="E16107" s="1063"/>
      <c r="F16107" s="1063"/>
      <c r="G16107" s="1063"/>
      <c r="H16107" s="1063"/>
      <c r="I16107" s="1063"/>
      <c r="J16107" s="1063"/>
    </row>
    <row r="16108" spans="1:10" s="1064" customFormat="1" x14ac:dyDescent="0.25">
      <c r="A16108" s="262"/>
      <c r="B16108" s="1063"/>
      <c r="C16108" s="1063"/>
      <c r="D16108" s="1063"/>
      <c r="E16108" s="1063"/>
      <c r="F16108" s="1063"/>
      <c r="G16108" s="1063"/>
      <c r="H16108" s="1063"/>
      <c r="I16108" s="1063"/>
      <c r="J16108" s="1063"/>
    </row>
    <row r="16109" spans="1:10" s="1064" customFormat="1" x14ac:dyDescent="0.25">
      <c r="A16109" s="262"/>
      <c r="B16109" s="1063"/>
      <c r="C16109" s="1063"/>
      <c r="D16109" s="1063"/>
      <c r="E16109" s="1063"/>
      <c r="F16109" s="1063"/>
      <c r="G16109" s="1063"/>
      <c r="H16109" s="1063"/>
      <c r="I16109" s="1063"/>
      <c r="J16109" s="1063"/>
    </row>
    <row r="16110" spans="1:10" s="1064" customFormat="1" x14ac:dyDescent="0.25">
      <c r="A16110" s="262"/>
      <c r="B16110" s="1063"/>
      <c r="C16110" s="1063"/>
      <c r="D16110" s="1063"/>
      <c r="E16110" s="1063"/>
      <c r="F16110" s="1063"/>
      <c r="G16110" s="1063"/>
      <c r="H16110" s="1063"/>
      <c r="I16110" s="1063"/>
      <c r="J16110" s="1063"/>
    </row>
    <row r="16111" spans="1:10" s="1064" customFormat="1" x14ac:dyDescent="0.25">
      <c r="A16111" s="262"/>
      <c r="B16111" s="1063"/>
      <c r="C16111" s="1063"/>
      <c r="D16111" s="1063"/>
      <c r="E16111" s="1063"/>
      <c r="F16111" s="1063"/>
      <c r="G16111" s="1063"/>
      <c r="H16111" s="1063"/>
      <c r="I16111" s="1063"/>
      <c r="J16111" s="1063"/>
    </row>
    <row r="16112" spans="1:10" s="1064" customFormat="1" x14ac:dyDescent="0.25">
      <c r="A16112" s="262"/>
      <c r="B16112" s="1063"/>
      <c r="C16112" s="1063"/>
      <c r="D16112" s="1063"/>
      <c r="E16112" s="1063"/>
      <c r="F16112" s="1063"/>
      <c r="G16112" s="1063"/>
      <c r="H16112" s="1063"/>
      <c r="I16112" s="1063"/>
      <c r="J16112" s="1063"/>
    </row>
    <row r="16113" spans="1:10" s="1064" customFormat="1" x14ac:dyDescent="0.25">
      <c r="A16113" s="262"/>
      <c r="B16113" s="1063"/>
      <c r="C16113" s="1063"/>
      <c r="D16113" s="1063"/>
      <c r="E16113" s="1063"/>
      <c r="F16113" s="1063"/>
      <c r="G16113" s="1063"/>
      <c r="H16113" s="1063"/>
      <c r="I16113" s="1063"/>
      <c r="J16113" s="1063"/>
    </row>
    <row r="16114" spans="1:10" s="1064" customFormat="1" x14ac:dyDescent="0.25">
      <c r="A16114" s="262"/>
      <c r="B16114" s="1063"/>
      <c r="C16114" s="1063"/>
      <c r="D16114" s="1063"/>
      <c r="E16114" s="1063"/>
      <c r="F16114" s="1063"/>
      <c r="G16114" s="1063"/>
      <c r="H16114" s="1063"/>
      <c r="I16114" s="1063"/>
      <c r="J16114" s="1063"/>
    </row>
    <row r="16115" spans="1:10" s="1064" customFormat="1" x14ac:dyDescent="0.25">
      <c r="A16115" s="262"/>
      <c r="B16115" s="1063"/>
      <c r="C16115" s="1063"/>
      <c r="D16115" s="1063"/>
      <c r="E16115" s="1063"/>
      <c r="F16115" s="1063"/>
      <c r="G16115" s="1063"/>
      <c r="H16115" s="1063"/>
      <c r="I16115" s="1063"/>
      <c r="J16115" s="1063"/>
    </row>
    <row r="16116" spans="1:10" s="1064" customFormat="1" x14ac:dyDescent="0.25">
      <c r="A16116" s="262"/>
      <c r="B16116" s="1063"/>
      <c r="C16116" s="1063"/>
      <c r="D16116" s="1063"/>
      <c r="E16116" s="1063"/>
      <c r="F16116" s="1063"/>
      <c r="G16116" s="1063"/>
      <c r="H16116" s="1063"/>
      <c r="I16116" s="1063"/>
      <c r="J16116" s="1063"/>
    </row>
    <row r="16117" spans="1:10" s="1064" customFormat="1" x14ac:dyDescent="0.25">
      <c r="A16117" s="262"/>
      <c r="B16117" s="1063"/>
      <c r="C16117" s="1063"/>
      <c r="D16117" s="1063"/>
      <c r="E16117" s="1063"/>
      <c r="F16117" s="1063"/>
      <c r="G16117" s="1063"/>
      <c r="H16117" s="1063"/>
      <c r="I16117" s="1063"/>
      <c r="J16117" s="1063"/>
    </row>
    <row r="16118" spans="1:10" s="1064" customFormat="1" x14ac:dyDescent="0.25">
      <c r="A16118" s="262"/>
      <c r="B16118" s="1063"/>
      <c r="C16118" s="1063"/>
      <c r="D16118" s="1063"/>
      <c r="E16118" s="1063"/>
      <c r="F16118" s="1063"/>
      <c r="G16118" s="1063"/>
      <c r="H16118" s="1063"/>
      <c r="I16118" s="1063"/>
      <c r="J16118" s="1063"/>
    </row>
    <row r="16119" spans="1:10" s="1064" customFormat="1" x14ac:dyDescent="0.25">
      <c r="A16119" s="262"/>
      <c r="B16119" s="1063"/>
      <c r="C16119" s="1063"/>
      <c r="D16119" s="1063"/>
      <c r="E16119" s="1063"/>
      <c r="F16119" s="1063"/>
      <c r="G16119" s="1063"/>
      <c r="H16119" s="1063"/>
      <c r="I16119" s="1063"/>
      <c r="J16119" s="1063"/>
    </row>
    <row r="16120" spans="1:10" s="1064" customFormat="1" x14ac:dyDescent="0.25">
      <c r="A16120" s="262"/>
      <c r="B16120" s="1063"/>
      <c r="C16120" s="1063"/>
      <c r="D16120" s="1063"/>
      <c r="E16120" s="1063"/>
      <c r="F16120" s="1063"/>
      <c r="G16120" s="1063"/>
      <c r="H16120" s="1063"/>
      <c r="I16120" s="1063"/>
      <c r="J16120" s="1063"/>
    </row>
    <row r="16121" spans="1:10" s="1064" customFormat="1" x14ac:dyDescent="0.25">
      <c r="A16121" s="262"/>
      <c r="B16121" s="1063"/>
      <c r="C16121" s="1063"/>
      <c r="D16121" s="1063"/>
      <c r="E16121" s="1063"/>
      <c r="F16121" s="1063"/>
      <c r="G16121" s="1063"/>
      <c r="H16121" s="1063"/>
      <c r="I16121" s="1063"/>
      <c r="J16121" s="1063"/>
    </row>
    <row r="16122" spans="1:10" s="1064" customFormat="1" x14ac:dyDescent="0.25">
      <c r="A16122" s="262"/>
      <c r="B16122" s="1063"/>
      <c r="C16122" s="1063"/>
      <c r="D16122" s="1063"/>
      <c r="E16122" s="1063"/>
      <c r="F16122" s="1063"/>
      <c r="G16122" s="1063"/>
      <c r="H16122" s="1063"/>
      <c r="I16122" s="1063"/>
      <c r="J16122" s="1063"/>
    </row>
    <row r="16123" spans="1:10" s="1064" customFormat="1" x14ac:dyDescent="0.25">
      <c r="A16123" s="262"/>
      <c r="B16123" s="1063"/>
      <c r="C16123" s="1063"/>
      <c r="D16123" s="1063"/>
      <c r="E16123" s="1063"/>
      <c r="F16123" s="1063"/>
      <c r="G16123" s="1063"/>
      <c r="H16123" s="1063"/>
      <c r="I16123" s="1063"/>
      <c r="J16123" s="1063"/>
    </row>
    <row r="16124" spans="1:10" s="1064" customFormat="1" x14ac:dyDescent="0.25">
      <c r="A16124" s="262"/>
      <c r="B16124" s="1063"/>
      <c r="C16124" s="1063"/>
      <c r="D16124" s="1063"/>
      <c r="E16124" s="1063"/>
      <c r="F16124" s="1063"/>
      <c r="G16124" s="1063"/>
      <c r="H16124" s="1063"/>
      <c r="I16124" s="1063"/>
      <c r="J16124" s="1063"/>
    </row>
    <row r="16125" spans="1:10" s="1064" customFormat="1" x14ac:dyDescent="0.25">
      <c r="A16125" s="262"/>
      <c r="B16125" s="1063"/>
      <c r="C16125" s="1063"/>
      <c r="D16125" s="1063"/>
      <c r="E16125" s="1063"/>
      <c r="F16125" s="1063"/>
      <c r="G16125" s="1063"/>
      <c r="H16125" s="1063"/>
      <c r="I16125" s="1063"/>
      <c r="J16125" s="1063"/>
    </row>
    <row r="16126" spans="1:10" s="1064" customFormat="1" x14ac:dyDescent="0.25">
      <c r="A16126" s="262"/>
      <c r="B16126" s="1063"/>
      <c r="C16126" s="1063"/>
      <c r="D16126" s="1063"/>
      <c r="E16126" s="1063"/>
      <c r="F16126" s="1063"/>
      <c r="G16126" s="1063"/>
      <c r="H16126" s="1063"/>
      <c r="I16126" s="1063"/>
      <c r="J16126" s="1063"/>
    </row>
    <row r="16127" spans="1:10" s="1064" customFormat="1" x14ac:dyDescent="0.25">
      <c r="A16127" s="262"/>
      <c r="B16127" s="1063"/>
      <c r="C16127" s="1063"/>
      <c r="D16127" s="1063"/>
      <c r="E16127" s="1063"/>
      <c r="F16127" s="1063"/>
      <c r="G16127" s="1063"/>
      <c r="H16127" s="1063"/>
      <c r="I16127" s="1063"/>
      <c r="J16127" s="1063"/>
    </row>
    <row r="16128" spans="1:10" s="1064" customFormat="1" x14ac:dyDescent="0.25">
      <c r="A16128" s="262"/>
      <c r="B16128" s="1063"/>
      <c r="C16128" s="1063"/>
      <c r="D16128" s="1063"/>
      <c r="E16128" s="1063"/>
      <c r="F16128" s="1063"/>
      <c r="G16128" s="1063"/>
      <c r="H16128" s="1063"/>
      <c r="I16128" s="1063"/>
      <c r="J16128" s="1063"/>
    </row>
    <row r="16129" spans="1:10" s="1064" customFormat="1" x14ac:dyDescent="0.25">
      <c r="A16129" s="262"/>
      <c r="B16129" s="1063"/>
      <c r="C16129" s="1063"/>
      <c r="D16129" s="1063"/>
      <c r="E16129" s="1063"/>
      <c r="F16129" s="1063"/>
      <c r="G16129" s="1063"/>
      <c r="H16129" s="1063"/>
      <c r="I16129" s="1063"/>
      <c r="J16129" s="1063"/>
    </row>
    <row r="16130" spans="1:10" s="1064" customFormat="1" x14ac:dyDescent="0.25">
      <c r="A16130" s="262"/>
      <c r="B16130" s="1063"/>
      <c r="C16130" s="1063"/>
      <c r="D16130" s="1063"/>
      <c r="E16130" s="1063"/>
      <c r="F16130" s="1063"/>
      <c r="G16130" s="1063"/>
      <c r="H16130" s="1063"/>
      <c r="I16130" s="1063"/>
      <c r="J16130" s="1063"/>
    </row>
    <row r="16131" spans="1:10" s="1064" customFormat="1" x14ac:dyDescent="0.25">
      <c r="A16131" s="262"/>
      <c r="B16131" s="1063"/>
      <c r="C16131" s="1063"/>
      <c r="D16131" s="1063"/>
      <c r="E16131" s="1063"/>
      <c r="F16131" s="1063"/>
      <c r="G16131" s="1063"/>
      <c r="H16131" s="1063"/>
      <c r="I16131" s="1063"/>
      <c r="J16131" s="1063"/>
    </row>
    <row r="16132" spans="1:10" s="1064" customFormat="1" x14ac:dyDescent="0.25">
      <c r="A16132" s="262"/>
      <c r="B16132" s="1063"/>
      <c r="C16132" s="1063"/>
      <c r="D16132" s="1063"/>
      <c r="E16132" s="1063"/>
      <c r="F16132" s="1063"/>
      <c r="G16132" s="1063"/>
      <c r="H16132" s="1063"/>
      <c r="I16132" s="1063"/>
      <c r="J16132" s="1063"/>
    </row>
    <row r="16133" spans="1:10" s="1064" customFormat="1" x14ac:dyDescent="0.25">
      <c r="A16133" s="262"/>
      <c r="B16133" s="1063"/>
      <c r="C16133" s="1063"/>
      <c r="D16133" s="1063"/>
      <c r="E16133" s="1063"/>
      <c r="F16133" s="1063"/>
      <c r="G16133" s="1063"/>
      <c r="H16133" s="1063"/>
      <c r="I16133" s="1063"/>
      <c r="J16133" s="1063"/>
    </row>
    <row r="16134" spans="1:10" s="1064" customFormat="1" x14ac:dyDescent="0.25">
      <c r="A16134" s="262"/>
      <c r="B16134" s="1063"/>
      <c r="C16134" s="1063"/>
      <c r="D16134" s="1063"/>
      <c r="E16134" s="1063"/>
      <c r="F16134" s="1063"/>
      <c r="G16134" s="1063"/>
      <c r="H16134" s="1063"/>
      <c r="I16134" s="1063"/>
      <c r="J16134" s="1063"/>
    </row>
    <row r="16135" spans="1:10" s="1064" customFormat="1" x14ac:dyDescent="0.25">
      <c r="A16135" s="262"/>
      <c r="B16135" s="1063"/>
      <c r="C16135" s="1063"/>
      <c r="D16135" s="1063"/>
      <c r="E16135" s="1063"/>
      <c r="F16135" s="1063"/>
      <c r="G16135" s="1063"/>
      <c r="H16135" s="1063"/>
      <c r="I16135" s="1063"/>
      <c r="J16135" s="1063"/>
    </row>
    <row r="16136" spans="1:10" s="1064" customFormat="1" x14ac:dyDescent="0.25">
      <c r="A16136" s="262"/>
      <c r="B16136" s="1063"/>
      <c r="C16136" s="1063"/>
      <c r="D16136" s="1063"/>
      <c r="E16136" s="1063"/>
      <c r="F16136" s="1063"/>
      <c r="G16136" s="1063"/>
      <c r="H16136" s="1063"/>
      <c r="I16136" s="1063"/>
      <c r="J16136" s="1063"/>
    </row>
    <row r="16137" spans="1:10" s="1064" customFormat="1" x14ac:dyDescent="0.25">
      <c r="A16137" s="262"/>
      <c r="B16137" s="1063"/>
      <c r="C16137" s="1063"/>
      <c r="D16137" s="1063"/>
      <c r="E16137" s="1063"/>
      <c r="F16137" s="1063"/>
      <c r="G16137" s="1063"/>
      <c r="H16137" s="1063"/>
      <c r="I16137" s="1063"/>
      <c r="J16137" s="1063"/>
    </row>
    <row r="16138" spans="1:10" s="1064" customFormat="1" x14ac:dyDescent="0.25">
      <c r="A16138" s="262"/>
      <c r="B16138" s="1063"/>
      <c r="C16138" s="1063"/>
      <c r="D16138" s="1063"/>
      <c r="E16138" s="1063"/>
      <c r="F16138" s="1063"/>
      <c r="G16138" s="1063"/>
      <c r="H16138" s="1063"/>
      <c r="I16138" s="1063"/>
      <c r="J16138" s="1063"/>
    </row>
    <row r="16139" spans="1:10" s="1064" customFormat="1" x14ac:dyDescent="0.25">
      <c r="A16139" s="262"/>
      <c r="B16139" s="1063"/>
      <c r="C16139" s="1063"/>
      <c r="D16139" s="1063"/>
      <c r="E16139" s="1063"/>
      <c r="F16139" s="1063"/>
      <c r="G16139" s="1063"/>
      <c r="H16139" s="1063"/>
      <c r="I16139" s="1063"/>
      <c r="J16139" s="1063"/>
    </row>
    <row r="16140" spans="1:10" s="1064" customFormat="1" x14ac:dyDescent="0.25">
      <c r="A16140" s="262"/>
      <c r="B16140" s="1063"/>
      <c r="C16140" s="1063"/>
      <c r="D16140" s="1063"/>
      <c r="E16140" s="1063"/>
      <c r="F16140" s="1063"/>
      <c r="G16140" s="1063"/>
      <c r="H16140" s="1063"/>
      <c r="I16140" s="1063"/>
      <c r="J16140" s="1063"/>
    </row>
    <row r="16141" spans="1:10" s="1064" customFormat="1" x14ac:dyDescent="0.25">
      <c r="A16141" s="262"/>
      <c r="B16141" s="1063"/>
      <c r="C16141" s="1063"/>
      <c r="D16141" s="1063"/>
      <c r="E16141" s="1063"/>
      <c r="F16141" s="1063"/>
      <c r="G16141" s="1063"/>
      <c r="H16141" s="1063"/>
      <c r="I16141" s="1063"/>
      <c r="J16141" s="1063"/>
    </row>
    <row r="16142" spans="1:10" s="1064" customFormat="1" x14ac:dyDescent="0.25">
      <c r="A16142" s="262"/>
      <c r="B16142" s="1063"/>
      <c r="C16142" s="1063"/>
      <c r="D16142" s="1063"/>
      <c r="E16142" s="1063"/>
      <c r="F16142" s="1063"/>
      <c r="G16142" s="1063"/>
      <c r="H16142" s="1063"/>
      <c r="I16142" s="1063"/>
      <c r="J16142" s="1063"/>
    </row>
    <row r="16143" spans="1:10" s="1064" customFormat="1" x14ac:dyDescent="0.25">
      <c r="A16143" s="262"/>
      <c r="B16143" s="1063"/>
      <c r="C16143" s="1063"/>
      <c r="D16143" s="1063"/>
      <c r="E16143" s="1063"/>
      <c r="F16143" s="1063"/>
      <c r="G16143" s="1063"/>
      <c r="H16143" s="1063"/>
      <c r="I16143" s="1063"/>
      <c r="J16143" s="1063"/>
    </row>
    <row r="16144" spans="1:10" s="1064" customFormat="1" x14ac:dyDescent="0.25">
      <c r="A16144" s="262"/>
      <c r="B16144" s="1063"/>
      <c r="C16144" s="1063"/>
      <c r="D16144" s="1063"/>
      <c r="E16144" s="1063"/>
      <c r="F16144" s="1063"/>
      <c r="G16144" s="1063"/>
      <c r="H16144" s="1063"/>
      <c r="I16144" s="1063"/>
      <c r="J16144" s="1063"/>
    </row>
    <row r="16145" spans="1:10" s="1064" customFormat="1" x14ac:dyDescent="0.25">
      <c r="A16145" s="262"/>
      <c r="B16145" s="1063"/>
      <c r="C16145" s="1063"/>
      <c r="D16145" s="1063"/>
      <c r="E16145" s="1063"/>
      <c r="F16145" s="1063"/>
      <c r="G16145" s="1063"/>
      <c r="H16145" s="1063"/>
      <c r="I16145" s="1063"/>
      <c r="J16145" s="1063"/>
    </row>
    <row r="16146" spans="1:10" s="1064" customFormat="1" x14ac:dyDescent="0.25">
      <c r="A16146" s="262"/>
      <c r="B16146" s="1063"/>
      <c r="C16146" s="1063"/>
      <c r="D16146" s="1063"/>
      <c r="E16146" s="1063"/>
      <c r="F16146" s="1063"/>
      <c r="G16146" s="1063"/>
      <c r="H16146" s="1063"/>
      <c r="I16146" s="1063"/>
      <c r="J16146" s="1063"/>
    </row>
    <row r="16147" spans="1:10" s="1064" customFormat="1" x14ac:dyDescent="0.25">
      <c r="A16147" s="262"/>
      <c r="B16147" s="1063"/>
      <c r="C16147" s="1063"/>
      <c r="D16147" s="1063"/>
      <c r="E16147" s="1063"/>
      <c r="F16147" s="1063"/>
      <c r="G16147" s="1063"/>
      <c r="H16147" s="1063"/>
      <c r="I16147" s="1063"/>
      <c r="J16147" s="1063"/>
    </row>
    <row r="16148" spans="1:10" s="1064" customFormat="1" x14ac:dyDescent="0.25">
      <c r="A16148" s="262"/>
      <c r="B16148" s="1063"/>
      <c r="C16148" s="1063"/>
      <c r="D16148" s="1063"/>
      <c r="E16148" s="1063"/>
      <c r="F16148" s="1063"/>
      <c r="G16148" s="1063"/>
      <c r="H16148" s="1063"/>
      <c r="I16148" s="1063"/>
      <c r="J16148" s="1063"/>
    </row>
    <row r="16149" spans="1:10" s="1064" customFormat="1" x14ac:dyDescent="0.25">
      <c r="A16149" s="262"/>
      <c r="B16149" s="1063"/>
      <c r="C16149" s="1063"/>
      <c r="D16149" s="1063"/>
      <c r="E16149" s="1063"/>
      <c r="F16149" s="1063"/>
      <c r="G16149" s="1063"/>
      <c r="H16149" s="1063"/>
      <c r="I16149" s="1063"/>
      <c r="J16149" s="1063"/>
    </row>
    <row r="16150" spans="1:10" s="1064" customFormat="1" x14ac:dyDescent="0.25">
      <c r="A16150" s="262"/>
      <c r="B16150" s="1063"/>
      <c r="C16150" s="1063"/>
      <c r="D16150" s="1063"/>
      <c r="E16150" s="1063"/>
      <c r="F16150" s="1063"/>
      <c r="G16150" s="1063"/>
      <c r="H16150" s="1063"/>
      <c r="I16150" s="1063"/>
      <c r="J16150" s="1063"/>
    </row>
    <row r="16151" spans="1:10" s="1064" customFormat="1" x14ac:dyDescent="0.25">
      <c r="A16151" s="262"/>
      <c r="B16151" s="1063"/>
      <c r="C16151" s="1063"/>
      <c r="D16151" s="1063"/>
      <c r="E16151" s="1063"/>
      <c r="F16151" s="1063"/>
      <c r="G16151" s="1063"/>
      <c r="H16151" s="1063"/>
      <c r="I16151" s="1063"/>
      <c r="J16151" s="1063"/>
    </row>
    <row r="16152" spans="1:10" s="1064" customFormat="1" x14ac:dyDescent="0.25">
      <c r="A16152" s="262"/>
      <c r="B16152" s="1063"/>
      <c r="C16152" s="1063"/>
      <c r="D16152" s="1063"/>
      <c r="E16152" s="1063"/>
      <c r="F16152" s="1063"/>
      <c r="G16152" s="1063"/>
      <c r="H16152" s="1063"/>
      <c r="I16152" s="1063"/>
      <c r="J16152" s="1063"/>
    </row>
    <row r="16153" spans="1:10" s="1064" customFormat="1" x14ac:dyDescent="0.25">
      <c r="A16153" s="262"/>
      <c r="B16153" s="1063"/>
      <c r="C16153" s="1063"/>
      <c r="D16153" s="1063"/>
      <c r="E16153" s="1063"/>
      <c r="F16153" s="1063"/>
      <c r="G16153" s="1063"/>
      <c r="H16153" s="1063"/>
      <c r="I16153" s="1063"/>
      <c r="J16153" s="1063"/>
    </row>
    <row r="16154" spans="1:10" s="1064" customFormat="1" x14ac:dyDescent="0.25">
      <c r="A16154" s="262"/>
      <c r="B16154" s="1063"/>
      <c r="C16154" s="1063"/>
      <c r="D16154" s="1063"/>
      <c r="E16154" s="1063"/>
      <c r="F16154" s="1063"/>
      <c r="G16154" s="1063"/>
      <c r="H16154" s="1063"/>
      <c r="I16154" s="1063"/>
      <c r="J16154" s="1063"/>
    </row>
    <row r="16155" spans="1:10" s="1064" customFormat="1" x14ac:dyDescent="0.25">
      <c r="A16155" s="262"/>
      <c r="B16155" s="1063"/>
      <c r="C16155" s="1063"/>
      <c r="D16155" s="1063"/>
      <c r="E16155" s="1063"/>
      <c r="F16155" s="1063"/>
      <c r="G16155" s="1063"/>
      <c r="H16155" s="1063"/>
      <c r="I16155" s="1063"/>
      <c r="J16155" s="1063"/>
    </row>
    <row r="16156" spans="1:10" s="1064" customFormat="1" x14ac:dyDescent="0.25">
      <c r="A16156" s="262"/>
      <c r="B16156" s="1063"/>
      <c r="C16156" s="1063"/>
      <c r="D16156" s="1063"/>
      <c r="E16156" s="1063"/>
      <c r="F16156" s="1063"/>
      <c r="G16156" s="1063"/>
      <c r="H16156" s="1063"/>
      <c r="I16156" s="1063"/>
      <c r="J16156" s="1063"/>
    </row>
    <row r="16157" spans="1:10" s="1064" customFormat="1" x14ac:dyDescent="0.25">
      <c r="A16157" s="262"/>
      <c r="B16157" s="1063"/>
      <c r="C16157" s="1063"/>
      <c r="D16157" s="1063"/>
      <c r="E16157" s="1063"/>
      <c r="F16157" s="1063"/>
      <c r="G16157" s="1063"/>
      <c r="H16157" s="1063"/>
      <c r="I16157" s="1063"/>
      <c r="J16157" s="1063"/>
    </row>
    <row r="16158" spans="1:10" s="1064" customFormat="1" x14ac:dyDescent="0.25">
      <c r="A16158" s="262"/>
      <c r="B16158" s="1063"/>
      <c r="C16158" s="1063"/>
      <c r="D16158" s="1063"/>
      <c r="E16158" s="1063"/>
      <c r="F16158" s="1063"/>
      <c r="G16158" s="1063"/>
      <c r="H16158" s="1063"/>
      <c r="I16158" s="1063"/>
      <c r="J16158" s="1063"/>
    </row>
    <row r="16159" spans="1:10" s="1064" customFormat="1" x14ac:dyDescent="0.25">
      <c r="A16159" s="262"/>
      <c r="B16159" s="1063"/>
      <c r="C16159" s="1063"/>
      <c r="D16159" s="1063"/>
      <c r="E16159" s="1063"/>
      <c r="F16159" s="1063"/>
      <c r="G16159" s="1063"/>
      <c r="H16159" s="1063"/>
      <c r="I16159" s="1063"/>
      <c r="J16159" s="1063"/>
    </row>
    <row r="16160" spans="1:10" s="1064" customFormat="1" x14ac:dyDescent="0.25">
      <c r="A16160" s="262"/>
      <c r="B16160" s="1063"/>
      <c r="C16160" s="1063"/>
      <c r="D16160" s="1063"/>
      <c r="E16160" s="1063"/>
      <c r="F16160" s="1063"/>
      <c r="G16160" s="1063"/>
      <c r="H16160" s="1063"/>
      <c r="I16160" s="1063"/>
      <c r="J16160" s="1063"/>
    </row>
    <row r="16161" spans="1:10" s="1064" customFormat="1" x14ac:dyDescent="0.25">
      <c r="A16161" s="262"/>
      <c r="B16161" s="1063"/>
      <c r="C16161" s="1063"/>
      <c r="D16161" s="1063"/>
      <c r="E16161" s="1063"/>
      <c r="F16161" s="1063"/>
      <c r="G16161" s="1063"/>
      <c r="H16161" s="1063"/>
      <c r="I16161" s="1063"/>
      <c r="J16161" s="1063"/>
    </row>
    <row r="16162" spans="1:10" s="1064" customFormat="1" x14ac:dyDescent="0.25">
      <c r="A16162" s="262"/>
      <c r="B16162" s="1063"/>
      <c r="C16162" s="1063"/>
      <c r="D16162" s="1063"/>
      <c r="E16162" s="1063"/>
      <c r="F16162" s="1063"/>
      <c r="G16162" s="1063"/>
      <c r="H16162" s="1063"/>
      <c r="I16162" s="1063"/>
      <c r="J16162" s="1063"/>
    </row>
    <row r="16163" spans="1:10" s="1064" customFormat="1" x14ac:dyDescent="0.25">
      <c r="A16163" s="262"/>
      <c r="B16163" s="1063"/>
      <c r="C16163" s="1063"/>
      <c r="D16163" s="1063"/>
      <c r="E16163" s="1063"/>
      <c r="F16163" s="1063"/>
      <c r="G16163" s="1063"/>
      <c r="H16163" s="1063"/>
      <c r="I16163" s="1063"/>
      <c r="J16163" s="1063"/>
    </row>
    <row r="16164" spans="1:10" s="1064" customFormat="1" x14ac:dyDescent="0.25">
      <c r="A16164" s="262"/>
      <c r="B16164" s="1063"/>
      <c r="C16164" s="1063"/>
      <c r="D16164" s="1063"/>
      <c r="E16164" s="1063"/>
      <c r="F16164" s="1063"/>
      <c r="G16164" s="1063"/>
      <c r="H16164" s="1063"/>
      <c r="I16164" s="1063"/>
      <c r="J16164" s="1063"/>
    </row>
    <row r="16165" spans="1:10" s="1064" customFormat="1" x14ac:dyDescent="0.25">
      <c r="A16165" s="262"/>
      <c r="B16165" s="1063"/>
      <c r="C16165" s="1063"/>
      <c r="D16165" s="1063"/>
      <c r="E16165" s="1063"/>
      <c r="F16165" s="1063"/>
      <c r="G16165" s="1063"/>
      <c r="H16165" s="1063"/>
      <c r="I16165" s="1063"/>
      <c r="J16165" s="1063"/>
    </row>
    <row r="16166" spans="1:10" s="1064" customFormat="1" x14ac:dyDescent="0.25">
      <c r="A16166" s="262"/>
      <c r="B16166" s="1063"/>
      <c r="C16166" s="1063"/>
      <c r="D16166" s="1063"/>
      <c r="E16166" s="1063"/>
      <c r="F16166" s="1063"/>
      <c r="G16166" s="1063"/>
      <c r="H16166" s="1063"/>
      <c r="I16166" s="1063"/>
      <c r="J16166" s="1063"/>
    </row>
    <row r="16167" spans="1:10" s="1064" customFormat="1" x14ac:dyDescent="0.25">
      <c r="A16167" s="262"/>
      <c r="B16167" s="1063"/>
      <c r="C16167" s="1063"/>
      <c r="D16167" s="1063"/>
      <c r="E16167" s="1063"/>
      <c r="F16167" s="1063"/>
      <c r="G16167" s="1063"/>
      <c r="H16167" s="1063"/>
      <c r="I16167" s="1063"/>
      <c r="J16167" s="1063"/>
    </row>
    <row r="16168" spans="1:10" s="1064" customFormat="1" x14ac:dyDescent="0.25">
      <c r="A16168" s="262"/>
      <c r="B16168" s="1063"/>
      <c r="C16168" s="1063"/>
      <c r="D16168" s="1063"/>
      <c r="E16168" s="1063"/>
      <c r="F16168" s="1063"/>
      <c r="G16168" s="1063"/>
      <c r="H16168" s="1063"/>
      <c r="I16168" s="1063"/>
      <c r="J16168" s="1063"/>
    </row>
    <row r="16169" spans="1:10" s="1064" customFormat="1" x14ac:dyDescent="0.25">
      <c r="A16169" s="262"/>
      <c r="B16169" s="1063"/>
      <c r="C16169" s="1063"/>
      <c r="D16169" s="1063"/>
      <c r="E16169" s="1063"/>
      <c r="F16169" s="1063"/>
      <c r="G16169" s="1063"/>
      <c r="H16169" s="1063"/>
      <c r="I16169" s="1063"/>
      <c r="J16169" s="1063"/>
    </row>
    <row r="16170" spans="1:10" s="1064" customFormat="1" x14ac:dyDescent="0.25">
      <c r="A16170" s="262"/>
      <c r="B16170" s="1063"/>
      <c r="C16170" s="1063"/>
      <c r="D16170" s="1063"/>
      <c r="E16170" s="1063"/>
      <c r="F16170" s="1063"/>
      <c r="G16170" s="1063"/>
      <c r="H16170" s="1063"/>
      <c r="I16170" s="1063"/>
      <c r="J16170" s="1063"/>
    </row>
    <row r="16171" spans="1:10" s="1064" customFormat="1" x14ac:dyDescent="0.25">
      <c r="A16171" s="262"/>
      <c r="B16171" s="1063"/>
      <c r="C16171" s="1063"/>
      <c r="D16171" s="1063"/>
      <c r="E16171" s="1063"/>
      <c r="F16171" s="1063"/>
      <c r="G16171" s="1063"/>
      <c r="H16171" s="1063"/>
      <c r="I16171" s="1063"/>
      <c r="J16171" s="1063"/>
    </row>
    <row r="16172" spans="1:10" s="1064" customFormat="1" x14ac:dyDescent="0.25">
      <c r="A16172" s="262"/>
      <c r="B16172" s="1063"/>
      <c r="C16172" s="1063"/>
      <c r="D16172" s="1063"/>
      <c r="E16172" s="1063"/>
      <c r="F16172" s="1063"/>
      <c r="G16172" s="1063"/>
      <c r="H16172" s="1063"/>
      <c r="I16172" s="1063"/>
      <c r="J16172" s="1063"/>
    </row>
    <row r="16173" spans="1:10" s="1064" customFormat="1" x14ac:dyDescent="0.25">
      <c r="A16173" s="262"/>
      <c r="B16173" s="1063"/>
      <c r="C16173" s="1063"/>
      <c r="D16173" s="1063"/>
      <c r="E16173" s="1063"/>
      <c r="F16173" s="1063"/>
      <c r="G16173" s="1063"/>
      <c r="H16173" s="1063"/>
      <c r="I16173" s="1063"/>
      <c r="J16173" s="1063"/>
    </row>
    <row r="16174" spans="1:10" s="1064" customFormat="1" x14ac:dyDescent="0.25">
      <c r="A16174" s="262"/>
      <c r="B16174" s="1063"/>
      <c r="C16174" s="1063"/>
      <c r="D16174" s="1063"/>
      <c r="E16174" s="1063"/>
      <c r="F16174" s="1063"/>
      <c r="G16174" s="1063"/>
      <c r="H16174" s="1063"/>
      <c r="I16174" s="1063"/>
      <c r="J16174" s="1063"/>
    </row>
    <row r="16175" spans="1:10" s="1064" customFormat="1" x14ac:dyDescent="0.25">
      <c r="A16175" s="262"/>
      <c r="B16175" s="1063"/>
      <c r="C16175" s="1063"/>
      <c r="D16175" s="1063"/>
      <c r="E16175" s="1063"/>
      <c r="F16175" s="1063"/>
      <c r="G16175" s="1063"/>
      <c r="H16175" s="1063"/>
      <c r="I16175" s="1063"/>
      <c r="J16175" s="1063"/>
    </row>
    <row r="16176" spans="1:10" s="1064" customFormat="1" x14ac:dyDescent="0.25">
      <c r="A16176" s="262"/>
      <c r="B16176" s="1063"/>
      <c r="C16176" s="1063"/>
      <c r="D16176" s="1063"/>
      <c r="E16176" s="1063"/>
      <c r="F16176" s="1063"/>
      <c r="G16176" s="1063"/>
      <c r="H16176" s="1063"/>
      <c r="I16176" s="1063"/>
      <c r="J16176" s="1063"/>
    </row>
    <row r="16177" spans="1:10" s="1064" customFormat="1" x14ac:dyDescent="0.25">
      <c r="A16177" s="262"/>
      <c r="B16177" s="1063"/>
      <c r="C16177" s="1063"/>
      <c r="D16177" s="1063"/>
      <c r="E16177" s="1063"/>
      <c r="F16177" s="1063"/>
      <c r="G16177" s="1063"/>
      <c r="H16177" s="1063"/>
      <c r="I16177" s="1063"/>
      <c r="J16177" s="1063"/>
    </row>
    <row r="16178" spans="1:10" s="1064" customFormat="1" x14ac:dyDescent="0.25">
      <c r="A16178" s="262"/>
      <c r="B16178" s="1063"/>
      <c r="C16178" s="1063"/>
      <c r="D16178" s="1063"/>
      <c r="E16178" s="1063"/>
      <c r="F16178" s="1063"/>
      <c r="G16178" s="1063"/>
      <c r="H16178" s="1063"/>
      <c r="I16178" s="1063"/>
      <c r="J16178" s="1063"/>
    </row>
    <row r="16179" spans="1:10" s="1064" customFormat="1" x14ac:dyDescent="0.25">
      <c r="A16179" s="262"/>
      <c r="B16179" s="1063"/>
      <c r="C16179" s="1063"/>
      <c r="D16179" s="1063"/>
      <c r="E16179" s="1063"/>
      <c r="F16179" s="1063"/>
      <c r="G16179" s="1063"/>
      <c r="H16179" s="1063"/>
      <c r="I16179" s="1063"/>
      <c r="J16179" s="1063"/>
    </row>
    <row r="16180" spans="1:10" s="1064" customFormat="1" x14ac:dyDescent="0.25">
      <c r="A16180" s="262"/>
      <c r="B16180" s="1063"/>
      <c r="C16180" s="1063"/>
      <c r="D16180" s="1063"/>
      <c r="E16180" s="1063"/>
      <c r="F16180" s="1063"/>
      <c r="G16180" s="1063"/>
      <c r="H16180" s="1063"/>
      <c r="I16180" s="1063"/>
      <c r="J16180" s="1063"/>
    </row>
    <row r="16181" spans="1:10" s="1064" customFormat="1" x14ac:dyDescent="0.25">
      <c r="A16181" s="262"/>
      <c r="B16181" s="1063"/>
      <c r="C16181" s="1063"/>
      <c r="D16181" s="1063"/>
      <c r="E16181" s="1063"/>
      <c r="F16181" s="1063"/>
      <c r="G16181" s="1063"/>
      <c r="H16181" s="1063"/>
      <c r="I16181" s="1063"/>
      <c r="J16181" s="1063"/>
    </row>
    <row r="16182" spans="1:10" s="1064" customFormat="1" x14ac:dyDescent="0.25">
      <c r="A16182" s="262"/>
      <c r="B16182" s="1063"/>
      <c r="C16182" s="1063"/>
      <c r="D16182" s="1063"/>
      <c r="E16182" s="1063"/>
      <c r="F16182" s="1063"/>
      <c r="G16182" s="1063"/>
      <c r="H16182" s="1063"/>
      <c r="I16182" s="1063"/>
      <c r="J16182" s="1063"/>
    </row>
    <row r="16183" spans="1:10" s="1064" customFormat="1" x14ac:dyDescent="0.25">
      <c r="A16183" s="262"/>
      <c r="B16183" s="1063"/>
      <c r="C16183" s="1063"/>
      <c r="D16183" s="1063"/>
      <c r="E16183" s="1063"/>
      <c r="F16183" s="1063"/>
      <c r="G16183" s="1063"/>
      <c r="H16183" s="1063"/>
      <c r="I16183" s="1063"/>
      <c r="J16183" s="1063"/>
    </row>
    <row r="16184" spans="1:10" s="1064" customFormat="1" x14ac:dyDescent="0.25">
      <c r="A16184" s="262"/>
      <c r="B16184" s="1063"/>
      <c r="C16184" s="1063"/>
      <c r="D16184" s="1063"/>
      <c r="E16184" s="1063"/>
      <c r="F16184" s="1063"/>
      <c r="G16184" s="1063"/>
      <c r="H16184" s="1063"/>
      <c r="I16184" s="1063"/>
      <c r="J16184" s="1063"/>
    </row>
    <row r="16185" spans="1:10" s="1064" customFormat="1" x14ac:dyDescent="0.25">
      <c r="A16185" s="262"/>
      <c r="B16185" s="1063"/>
      <c r="C16185" s="1063"/>
      <c r="D16185" s="1063"/>
      <c r="E16185" s="1063"/>
      <c r="F16185" s="1063"/>
      <c r="G16185" s="1063"/>
      <c r="H16185" s="1063"/>
      <c r="I16185" s="1063"/>
      <c r="J16185" s="1063"/>
    </row>
    <row r="16186" spans="1:10" s="1064" customFormat="1" x14ac:dyDescent="0.25">
      <c r="A16186" s="262"/>
      <c r="B16186" s="1063"/>
      <c r="C16186" s="1063"/>
      <c r="D16186" s="1063"/>
      <c r="E16186" s="1063"/>
      <c r="F16186" s="1063"/>
      <c r="G16186" s="1063"/>
      <c r="H16186" s="1063"/>
      <c r="I16186" s="1063"/>
      <c r="J16186" s="1063"/>
    </row>
    <row r="16187" spans="1:10" s="1064" customFormat="1" x14ac:dyDescent="0.25">
      <c r="A16187" s="262"/>
      <c r="B16187" s="1063"/>
      <c r="C16187" s="1063"/>
      <c r="D16187" s="1063"/>
      <c r="E16187" s="1063"/>
      <c r="F16187" s="1063"/>
      <c r="G16187" s="1063"/>
      <c r="H16187" s="1063"/>
      <c r="I16187" s="1063"/>
      <c r="J16187" s="1063"/>
    </row>
    <row r="16188" spans="1:10" s="1064" customFormat="1" x14ac:dyDescent="0.25">
      <c r="A16188" s="262"/>
      <c r="B16188" s="1063"/>
      <c r="C16188" s="1063"/>
      <c r="D16188" s="1063"/>
      <c r="E16188" s="1063"/>
      <c r="F16188" s="1063"/>
      <c r="G16188" s="1063"/>
      <c r="H16188" s="1063"/>
      <c r="I16188" s="1063"/>
      <c r="J16188" s="1063"/>
    </row>
    <row r="16189" spans="1:10" s="1064" customFormat="1" x14ac:dyDescent="0.25">
      <c r="A16189" s="262"/>
      <c r="B16189" s="1063"/>
      <c r="C16189" s="1063"/>
      <c r="D16189" s="1063"/>
      <c r="E16189" s="1063"/>
      <c r="F16189" s="1063"/>
      <c r="G16189" s="1063"/>
      <c r="H16189" s="1063"/>
      <c r="I16189" s="1063"/>
      <c r="J16189" s="1063"/>
    </row>
    <row r="16190" spans="1:10" s="1064" customFormat="1" x14ac:dyDescent="0.25">
      <c r="A16190" s="262"/>
      <c r="B16190" s="1063"/>
      <c r="C16190" s="1063"/>
      <c r="D16190" s="1063"/>
      <c r="E16190" s="1063"/>
      <c r="F16190" s="1063"/>
      <c r="G16190" s="1063"/>
      <c r="H16190" s="1063"/>
      <c r="I16190" s="1063"/>
      <c r="J16190" s="1063"/>
    </row>
    <row r="16191" spans="1:10" s="1064" customFormat="1" x14ac:dyDescent="0.25">
      <c r="A16191" s="262"/>
      <c r="B16191" s="1063"/>
      <c r="C16191" s="1063"/>
      <c r="D16191" s="1063"/>
      <c r="E16191" s="1063"/>
      <c r="F16191" s="1063"/>
      <c r="G16191" s="1063"/>
      <c r="H16191" s="1063"/>
      <c r="I16191" s="1063"/>
      <c r="J16191" s="1063"/>
    </row>
    <row r="16192" spans="1:10" s="1064" customFormat="1" x14ac:dyDescent="0.25">
      <c r="A16192" s="262"/>
      <c r="B16192" s="1063"/>
      <c r="C16192" s="1063"/>
      <c r="D16192" s="1063"/>
      <c r="E16192" s="1063"/>
      <c r="F16192" s="1063"/>
      <c r="G16192" s="1063"/>
      <c r="H16192" s="1063"/>
      <c r="I16192" s="1063"/>
      <c r="J16192" s="1063"/>
    </row>
    <row r="16193" spans="1:10" s="1064" customFormat="1" x14ac:dyDescent="0.25">
      <c r="A16193" s="262"/>
      <c r="B16193" s="1063"/>
      <c r="C16193" s="1063"/>
      <c r="D16193" s="1063"/>
      <c r="E16193" s="1063"/>
      <c r="F16193" s="1063"/>
      <c r="G16193" s="1063"/>
      <c r="H16193" s="1063"/>
      <c r="I16193" s="1063"/>
      <c r="J16193" s="1063"/>
    </row>
    <row r="16194" spans="1:10" s="1064" customFormat="1" x14ac:dyDescent="0.25">
      <c r="A16194" s="262"/>
      <c r="B16194" s="1063"/>
      <c r="C16194" s="1063"/>
      <c r="D16194" s="1063"/>
      <c r="E16194" s="1063"/>
      <c r="F16194" s="1063"/>
      <c r="G16194" s="1063"/>
      <c r="H16194" s="1063"/>
      <c r="I16194" s="1063"/>
      <c r="J16194" s="1063"/>
    </row>
    <row r="16195" spans="1:10" s="1064" customFormat="1" x14ac:dyDescent="0.25">
      <c r="A16195" s="262"/>
      <c r="B16195" s="1063"/>
      <c r="C16195" s="1063"/>
      <c r="D16195" s="1063"/>
      <c r="E16195" s="1063"/>
      <c r="F16195" s="1063"/>
      <c r="G16195" s="1063"/>
      <c r="H16195" s="1063"/>
      <c r="I16195" s="1063"/>
      <c r="J16195" s="1063"/>
    </row>
    <row r="16196" spans="1:10" s="1064" customFormat="1" x14ac:dyDescent="0.25">
      <c r="A16196" s="262"/>
      <c r="B16196" s="1063"/>
      <c r="C16196" s="1063"/>
      <c r="D16196" s="1063"/>
      <c r="E16196" s="1063"/>
      <c r="F16196" s="1063"/>
      <c r="G16196" s="1063"/>
      <c r="H16196" s="1063"/>
      <c r="I16196" s="1063"/>
      <c r="J16196" s="1063"/>
    </row>
    <row r="16197" spans="1:10" s="1064" customFormat="1" x14ac:dyDescent="0.25">
      <c r="A16197" s="262"/>
      <c r="B16197" s="1063"/>
      <c r="C16197" s="1063"/>
      <c r="D16197" s="1063"/>
      <c r="E16197" s="1063"/>
      <c r="F16197" s="1063"/>
      <c r="G16197" s="1063"/>
      <c r="H16197" s="1063"/>
      <c r="I16197" s="1063"/>
      <c r="J16197" s="1063"/>
    </row>
    <row r="16198" spans="1:10" s="1064" customFormat="1" x14ac:dyDescent="0.25">
      <c r="A16198" s="262"/>
      <c r="B16198" s="1063"/>
      <c r="C16198" s="1063"/>
      <c r="D16198" s="1063"/>
      <c r="E16198" s="1063"/>
      <c r="F16198" s="1063"/>
      <c r="G16198" s="1063"/>
      <c r="H16198" s="1063"/>
      <c r="I16198" s="1063"/>
      <c r="J16198" s="1063"/>
    </row>
    <row r="16199" spans="1:10" s="1064" customFormat="1" x14ac:dyDescent="0.25">
      <c r="A16199" s="262"/>
      <c r="B16199" s="1063"/>
      <c r="C16199" s="1063"/>
      <c r="D16199" s="1063"/>
      <c r="E16199" s="1063"/>
      <c r="F16199" s="1063"/>
      <c r="G16199" s="1063"/>
      <c r="H16199" s="1063"/>
      <c r="I16199" s="1063"/>
      <c r="J16199" s="1063"/>
    </row>
    <row r="16200" spans="1:10" s="1064" customFormat="1" x14ac:dyDescent="0.25">
      <c r="A16200" s="262"/>
      <c r="B16200" s="1063"/>
      <c r="C16200" s="1063"/>
      <c r="D16200" s="1063"/>
      <c r="E16200" s="1063"/>
      <c r="F16200" s="1063"/>
      <c r="G16200" s="1063"/>
      <c r="H16200" s="1063"/>
      <c r="I16200" s="1063"/>
      <c r="J16200" s="1063"/>
    </row>
    <row r="16201" spans="1:10" s="1064" customFormat="1" x14ac:dyDescent="0.25">
      <c r="A16201" s="262"/>
      <c r="B16201" s="1063"/>
      <c r="C16201" s="1063"/>
      <c r="D16201" s="1063"/>
      <c r="E16201" s="1063"/>
      <c r="F16201" s="1063"/>
      <c r="G16201" s="1063"/>
      <c r="H16201" s="1063"/>
      <c r="I16201" s="1063"/>
      <c r="J16201" s="1063"/>
    </row>
    <row r="16202" spans="1:10" s="1064" customFormat="1" x14ac:dyDescent="0.25">
      <c r="A16202" s="262"/>
      <c r="B16202" s="1063"/>
      <c r="C16202" s="1063"/>
      <c r="D16202" s="1063"/>
      <c r="E16202" s="1063"/>
      <c r="F16202" s="1063"/>
      <c r="G16202" s="1063"/>
      <c r="H16202" s="1063"/>
      <c r="I16202" s="1063"/>
      <c r="J16202" s="1063"/>
    </row>
    <row r="16203" spans="1:10" s="1064" customFormat="1" x14ac:dyDescent="0.25">
      <c r="A16203" s="262"/>
      <c r="B16203" s="1063"/>
      <c r="C16203" s="1063"/>
      <c r="D16203" s="1063"/>
      <c r="E16203" s="1063"/>
      <c r="F16203" s="1063"/>
      <c r="G16203" s="1063"/>
      <c r="H16203" s="1063"/>
      <c r="I16203" s="1063"/>
      <c r="J16203" s="1063"/>
    </row>
    <row r="16204" spans="1:10" s="1064" customFormat="1" x14ac:dyDescent="0.25">
      <c r="A16204" s="262"/>
      <c r="B16204" s="1063"/>
      <c r="C16204" s="1063"/>
      <c r="D16204" s="1063"/>
      <c r="E16204" s="1063"/>
      <c r="F16204" s="1063"/>
      <c r="G16204" s="1063"/>
      <c r="H16204" s="1063"/>
      <c r="I16204" s="1063"/>
      <c r="J16204" s="1063"/>
    </row>
    <row r="16205" spans="1:10" s="1064" customFormat="1" x14ac:dyDescent="0.25">
      <c r="A16205" s="262"/>
      <c r="B16205" s="1063"/>
      <c r="C16205" s="1063"/>
      <c r="D16205" s="1063"/>
      <c r="E16205" s="1063"/>
      <c r="F16205" s="1063"/>
      <c r="G16205" s="1063"/>
      <c r="H16205" s="1063"/>
      <c r="I16205" s="1063"/>
      <c r="J16205" s="1063"/>
    </row>
    <row r="16206" spans="1:10" s="1064" customFormat="1" x14ac:dyDescent="0.25">
      <c r="A16206" s="262"/>
      <c r="B16206" s="1063"/>
      <c r="C16206" s="1063"/>
      <c r="D16206" s="1063"/>
      <c r="E16206" s="1063"/>
      <c r="F16206" s="1063"/>
      <c r="G16206" s="1063"/>
      <c r="H16206" s="1063"/>
      <c r="I16206" s="1063"/>
      <c r="J16206" s="1063"/>
    </row>
    <row r="16207" spans="1:10" s="1064" customFormat="1" x14ac:dyDescent="0.25">
      <c r="A16207" s="262"/>
      <c r="B16207" s="1063"/>
      <c r="C16207" s="1063"/>
      <c r="D16207" s="1063"/>
      <c r="E16207" s="1063"/>
      <c r="F16207" s="1063"/>
      <c r="G16207" s="1063"/>
      <c r="H16207" s="1063"/>
      <c r="I16207" s="1063"/>
      <c r="J16207" s="1063"/>
    </row>
    <row r="16208" spans="1:10" s="1064" customFormat="1" x14ac:dyDescent="0.25">
      <c r="A16208" s="262"/>
      <c r="B16208" s="1063"/>
      <c r="C16208" s="1063"/>
      <c r="D16208" s="1063"/>
      <c r="E16208" s="1063"/>
      <c r="F16208" s="1063"/>
      <c r="G16208" s="1063"/>
      <c r="H16208" s="1063"/>
      <c r="I16208" s="1063"/>
      <c r="J16208" s="1063"/>
    </row>
    <row r="16209" spans="1:10" s="1064" customFormat="1" x14ac:dyDescent="0.25">
      <c r="A16209" s="262"/>
      <c r="B16209" s="1063"/>
      <c r="C16209" s="1063"/>
      <c r="D16209" s="1063"/>
      <c r="E16209" s="1063"/>
      <c r="F16209" s="1063"/>
      <c r="G16209" s="1063"/>
      <c r="H16209" s="1063"/>
      <c r="I16209" s="1063"/>
      <c r="J16209" s="1063"/>
    </row>
    <row r="16210" spans="1:10" s="1064" customFormat="1" x14ac:dyDescent="0.25">
      <c r="A16210" s="262"/>
      <c r="B16210" s="1063"/>
      <c r="C16210" s="1063"/>
      <c r="D16210" s="1063"/>
      <c r="E16210" s="1063"/>
      <c r="F16210" s="1063"/>
      <c r="G16210" s="1063"/>
      <c r="H16210" s="1063"/>
      <c r="I16210" s="1063"/>
      <c r="J16210" s="1063"/>
    </row>
    <row r="16211" spans="1:10" s="1064" customFormat="1" x14ac:dyDescent="0.25">
      <c r="A16211" s="262"/>
      <c r="B16211" s="1063"/>
      <c r="C16211" s="1063"/>
      <c r="D16211" s="1063"/>
      <c r="E16211" s="1063"/>
      <c r="F16211" s="1063"/>
      <c r="G16211" s="1063"/>
      <c r="H16211" s="1063"/>
      <c r="I16211" s="1063"/>
      <c r="J16211" s="1063"/>
    </row>
    <row r="16212" spans="1:10" s="1064" customFormat="1" x14ac:dyDescent="0.25">
      <c r="A16212" s="262"/>
      <c r="B16212" s="1063"/>
      <c r="C16212" s="1063"/>
      <c r="D16212" s="1063"/>
      <c r="E16212" s="1063"/>
      <c r="F16212" s="1063"/>
      <c r="G16212" s="1063"/>
      <c r="H16212" s="1063"/>
      <c r="I16212" s="1063"/>
      <c r="J16212" s="1063"/>
    </row>
    <row r="16213" spans="1:10" s="1064" customFormat="1" x14ac:dyDescent="0.25">
      <c r="A16213" s="262"/>
      <c r="B16213" s="1063"/>
      <c r="C16213" s="1063"/>
      <c r="D16213" s="1063"/>
      <c r="E16213" s="1063"/>
      <c r="F16213" s="1063"/>
      <c r="G16213" s="1063"/>
      <c r="H16213" s="1063"/>
      <c r="I16213" s="1063"/>
      <c r="J16213" s="1063"/>
    </row>
    <row r="16214" spans="1:10" s="1064" customFormat="1" x14ac:dyDescent="0.25">
      <c r="A16214" s="262"/>
      <c r="B16214" s="1063"/>
      <c r="C16214" s="1063"/>
      <c r="D16214" s="1063"/>
      <c r="E16214" s="1063"/>
      <c r="F16214" s="1063"/>
      <c r="G16214" s="1063"/>
      <c r="H16214" s="1063"/>
      <c r="I16214" s="1063"/>
      <c r="J16214" s="1063"/>
    </row>
    <row r="16215" spans="1:10" s="1064" customFormat="1" x14ac:dyDescent="0.25">
      <c r="A16215" s="262"/>
      <c r="B16215" s="1063"/>
      <c r="C16215" s="1063"/>
      <c r="D16215" s="1063"/>
      <c r="E16215" s="1063"/>
      <c r="F16215" s="1063"/>
      <c r="G16215" s="1063"/>
      <c r="H16215" s="1063"/>
      <c r="I16215" s="1063"/>
      <c r="J16215" s="1063"/>
    </row>
    <row r="16216" spans="1:10" s="1064" customFormat="1" x14ac:dyDescent="0.25">
      <c r="A16216" s="262"/>
      <c r="B16216" s="1063"/>
      <c r="C16216" s="1063"/>
      <c r="D16216" s="1063"/>
      <c r="E16216" s="1063"/>
      <c r="F16216" s="1063"/>
      <c r="G16216" s="1063"/>
      <c r="H16216" s="1063"/>
      <c r="I16216" s="1063"/>
      <c r="J16216" s="1063"/>
    </row>
    <row r="16217" spans="1:10" s="1064" customFormat="1" x14ac:dyDescent="0.25">
      <c r="A16217" s="262"/>
      <c r="B16217" s="1063"/>
      <c r="C16217" s="1063"/>
      <c r="D16217" s="1063"/>
      <c r="E16217" s="1063"/>
      <c r="F16217" s="1063"/>
      <c r="G16217" s="1063"/>
      <c r="H16217" s="1063"/>
      <c r="I16217" s="1063"/>
      <c r="J16217" s="1063"/>
    </row>
    <row r="16218" spans="1:10" s="1064" customFormat="1" x14ac:dyDescent="0.25">
      <c r="A16218" s="262"/>
      <c r="B16218" s="1063"/>
      <c r="C16218" s="1063"/>
      <c r="D16218" s="1063"/>
      <c r="E16218" s="1063"/>
      <c r="F16218" s="1063"/>
      <c r="G16218" s="1063"/>
      <c r="H16218" s="1063"/>
      <c r="I16218" s="1063"/>
      <c r="J16218" s="1063"/>
    </row>
    <row r="16219" spans="1:10" s="1064" customFormat="1" x14ac:dyDescent="0.25">
      <c r="A16219" s="262"/>
      <c r="B16219" s="1063"/>
      <c r="C16219" s="1063"/>
      <c r="D16219" s="1063"/>
      <c r="E16219" s="1063"/>
      <c r="F16219" s="1063"/>
      <c r="G16219" s="1063"/>
      <c r="H16219" s="1063"/>
      <c r="I16219" s="1063"/>
      <c r="J16219" s="1063"/>
    </row>
    <row r="16220" spans="1:10" s="1064" customFormat="1" x14ac:dyDescent="0.25">
      <c r="A16220" s="262"/>
      <c r="B16220" s="1063"/>
      <c r="C16220" s="1063"/>
      <c r="D16220" s="1063"/>
      <c r="E16220" s="1063"/>
      <c r="F16220" s="1063"/>
      <c r="G16220" s="1063"/>
      <c r="H16220" s="1063"/>
      <c r="I16220" s="1063"/>
      <c r="J16220" s="1063"/>
    </row>
    <row r="16221" spans="1:10" s="1064" customFormat="1" x14ac:dyDescent="0.25">
      <c r="A16221" s="262"/>
      <c r="B16221" s="1063"/>
      <c r="C16221" s="1063"/>
      <c r="D16221" s="1063"/>
      <c r="E16221" s="1063"/>
      <c r="F16221" s="1063"/>
      <c r="G16221" s="1063"/>
      <c r="H16221" s="1063"/>
      <c r="I16221" s="1063"/>
      <c r="J16221" s="1063"/>
    </row>
    <row r="16222" spans="1:10" s="1064" customFormat="1" x14ac:dyDescent="0.25">
      <c r="A16222" s="262"/>
      <c r="B16222" s="1063"/>
      <c r="C16222" s="1063"/>
      <c r="D16222" s="1063"/>
      <c r="E16222" s="1063"/>
      <c r="F16222" s="1063"/>
      <c r="G16222" s="1063"/>
      <c r="H16222" s="1063"/>
      <c r="I16222" s="1063"/>
      <c r="J16222" s="1063"/>
    </row>
    <row r="16223" spans="1:10" s="1064" customFormat="1" x14ac:dyDescent="0.25">
      <c r="A16223" s="262"/>
      <c r="B16223" s="1063"/>
      <c r="C16223" s="1063"/>
      <c r="D16223" s="1063"/>
      <c r="E16223" s="1063"/>
      <c r="F16223" s="1063"/>
      <c r="G16223" s="1063"/>
      <c r="H16223" s="1063"/>
      <c r="I16223" s="1063"/>
      <c r="J16223" s="1063"/>
    </row>
    <row r="16224" spans="1:10" s="1064" customFormat="1" x14ac:dyDescent="0.25">
      <c r="A16224" s="262"/>
      <c r="B16224" s="1063"/>
      <c r="C16224" s="1063"/>
      <c r="D16224" s="1063"/>
      <c r="E16224" s="1063"/>
      <c r="F16224" s="1063"/>
      <c r="G16224" s="1063"/>
      <c r="H16224" s="1063"/>
      <c r="I16224" s="1063"/>
      <c r="J16224" s="1063"/>
    </row>
    <row r="16225" spans="1:10" s="1064" customFormat="1" x14ac:dyDescent="0.25">
      <c r="A16225" s="262"/>
      <c r="B16225" s="1063"/>
      <c r="C16225" s="1063"/>
      <c r="D16225" s="1063"/>
      <c r="E16225" s="1063"/>
      <c r="F16225" s="1063"/>
      <c r="G16225" s="1063"/>
      <c r="H16225" s="1063"/>
      <c r="I16225" s="1063"/>
      <c r="J16225" s="1063"/>
    </row>
    <row r="16226" spans="1:10" s="1064" customFormat="1" x14ac:dyDescent="0.25">
      <c r="A16226" s="262"/>
      <c r="B16226" s="1063"/>
      <c r="C16226" s="1063"/>
      <c r="D16226" s="1063"/>
      <c r="E16226" s="1063"/>
      <c r="F16226" s="1063"/>
      <c r="G16226" s="1063"/>
      <c r="H16226" s="1063"/>
      <c r="I16226" s="1063"/>
      <c r="J16226" s="1063"/>
    </row>
    <row r="16227" spans="1:10" s="1064" customFormat="1" x14ac:dyDescent="0.25">
      <c r="A16227" s="262"/>
      <c r="B16227" s="1063"/>
      <c r="C16227" s="1063"/>
      <c r="D16227" s="1063"/>
      <c r="E16227" s="1063"/>
      <c r="F16227" s="1063"/>
      <c r="G16227" s="1063"/>
      <c r="H16227" s="1063"/>
      <c r="I16227" s="1063"/>
      <c r="J16227" s="1063"/>
    </row>
    <row r="16228" spans="1:10" s="1064" customFormat="1" x14ac:dyDescent="0.25">
      <c r="A16228" s="262"/>
      <c r="B16228" s="1063"/>
      <c r="C16228" s="1063"/>
      <c r="D16228" s="1063"/>
      <c r="E16228" s="1063"/>
      <c r="F16228" s="1063"/>
      <c r="G16228" s="1063"/>
      <c r="H16228" s="1063"/>
      <c r="I16228" s="1063"/>
      <c r="J16228" s="1063"/>
    </row>
    <row r="16229" spans="1:10" s="1064" customFormat="1" x14ac:dyDescent="0.25">
      <c r="A16229" s="262"/>
      <c r="B16229" s="1063"/>
      <c r="C16229" s="1063"/>
      <c r="D16229" s="1063"/>
      <c r="E16229" s="1063"/>
      <c r="F16229" s="1063"/>
      <c r="G16229" s="1063"/>
      <c r="H16229" s="1063"/>
      <c r="I16229" s="1063"/>
      <c r="J16229" s="1063"/>
    </row>
    <row r="16230" spans="1:10" s="1064" customFormat="1" x14ac:dyDescent="0.25">
      <c r="A16230" s="262"/>
      <c r="B16230" s="1063"/>
      <c r="C16230" s="1063"/>
      <c r="D16230" s="1063"/>
      <c r="E16230" s="1063"/>
      <c r="F16230" s="1063"/>
      <c r="G16230" s="1063"/>
      <c r="H16230" s="1063"/>
      <c r="I16230" s="1063"/>
      <c r="J16230" s="1063"/>
    </row>
    <row r="16231" spans="1:10" s="1064" customFormat="1" x14ac:dyDescent="0.25">
      <c r="A16231" s="262"/>
      <c r="B16231" s="1063"/>
      <c r="C16231" s="1063"/>
      <c r="D16231" s="1063"/>
      <c r="E16231" s="1063"/>
      <c r="F16231" s="1063"/>
      <c r="G16231" s="1063"/>
      <c r="H16231" s="1063"/>
      <c r="I16231" s="1063"/>
      <c r="J16231" s="1063"/>
    </row>
    <row r="16232" spans="1:10" s="1064" customFormat="1" x14ac:dyDescent="0.25">
      <c r="A16232" s="262"/>
      <c r="B16232" s="1063"/>
      <c r="C16232" s="1063"/>
      <c r="D16232" s="1063"/>
      <c r="E16232" s="1063"/>
      <c r="F16232" s="1063"/>
      <c r="G16232" s="1063"/>
      <c r="H16232" s="1063"/>
      <c r="I16232" s="1063"/>
      <c r="J16232" s="1063"/>
    </row>
    <row r="16233" spans="1:10" s="1064" customFormat="1" x14ac:dyDescent="0.25">
      <c r="A16233" s="262"/>
      <c r="B16233" s="1063"/>
      <c r="C16233" s="1063"/>
      <c r="D16233" s="1063"/>
      <c r="E16233" s="1063"/>
      <c r="F16233" s="1063"/>
      <c r="G16233" s="1063"/>
      <c r="H16233" s="1063"/>
      <c r="I16233" s="1063"/>
      <c r="J16233" s="1063"/>
    </row>
    <row r="16234" spans="1:10" s="1064" customFormat="1" x14ac:dyDescent="0.25">
      <c r="A16234" s="262"/>
      <c r="B16234" s="1063"/>
      <c r="C16234" s="1063"/>
      <c r="D16234" s="1063"/>
      <c r="E16234" s="1063"/>
      <c r="F16234" s="1063"/>
      <c r="G16234" s="1063"/>
      <c r="H16234" s="1063"/>
      <c r="I16234" s="1063"/>
      <c r="J16234" s="1063"/>
    </row>
    <row r="16235" spans="1:10" s="1064" customFormat="1" x14ac:dyDescent="0.25">
      <c r="A16235" s="262"/>
      <c r="B16235" s="1063"/>
      <c r="C16235" s="1063"/>
      <c r="D16235" s="1063"/>
      <c r="E16235" s="1063"/>
      <c r="F16235" s="1063"/>
      <c r="G16235" s="1063"/>
      <c r="H16235" s="1063"/>
      <c r="I16235" s="1063"/>
      <c r="J16235" s="1063"/>
    </row>
    <row r="16236" spans="1:10" s="1064" customFormat="1" x14ac:dyDescent="0.25">
      <c r="A16236" s="262"/>
      <c r="B16236" s="1063"/>
      <c r="C16236" s="1063"/>
      <c r="D16236" s="1063"/>
      <c r="E16236" s="1063"/>
      <c r="F16236" s="1063"/>
      <c r="G16236" s="1063"/>
      <c r="H16236" s="1063"/>
      <c r="I16236" s="1063"/>
      <c r="J16236" s="1063"/>
    </row>
    <row r="16237" spans="1:10" s="1064" customFormat="1" x14ac:dyDescent="0.25">
      <c r="A16237" s="262"/>
      <c r="B16237" s="1063"/>
      <c r="C16237" s="1063"/>
      <c r="D16237" s="1063"/>
      <c r="E16237" s="1063"/>
      <c r="F16237" s="1063"/>
      <c r="G16237" s="1063"/>
      <c r="H16237" s="1063"/>
      <c r="I16237" s="1063"/>
      <c r="J16237" s="1063"/>
    </row>
    <row r="16238" spans="1:10" s="1064" customFormat="1" x14ac:dyDescent="0.25">
      <c r="A16238" s="262"/>
      <c r="B16238" s="1063"/>
      <c r="C16238" s="1063"/>
      <c r="D16238" s="1063"/>
      <c r="E16238" s="1063"/>
      <c r="F16238" s="1063"/>
      <c r="G16238" s="1063"/>
      <c r="H16238" s="1063"/>
      <c r="I16238" s="1063"/>
      <c r="J16238" s="1063"/>
    </row>
    <row r="16239" spans="1:10" s="1064" customFormat="1" x14ac:dyDescent="0.25">
      <c r="A16239" s="262"/>
      <c r="B16239" s="1063"/>
      <c r="C16239" s="1063"/>
      <c r="D16239" s="1063"/>
      <c r="E16239" s="1063"/>
      <c r="F16239" s="1063"/>
      <c r="G16239" s="1063"/>
      <c r="H16239" s="1063"/>
      <c r="I16239" s="1063"/>
      <c r="J16239" s="1063"/>
    </row>
    <row r="16240" spans="1:10" s="1064" customFormat="1" x14ac:dyDescent="0.25">
      <c r="A16240" s="262"/>
      <c r="B16240" s="1063"/>
      <c r="C16240" s="1063"/>
      <c r="D16240" s="1063"/>
      <c r="E16240" s="1063"/>
      <c r="F16240" s="1063"/>
      <c r="G16240" s="1063"/>
      <c r="H16240" s="1063"/>
      <c r="I16240" s="1063"/>
      <c r="J16240" s="1063"/>
    </row>
    <row r="16241" spans="1:10" s="1064" customFormat="1" x14ac:dyDescent="0.25">
      <c r="A16241" s="262"/>
      <c r="B16241" s="1063"/>
      <c r="C16241" s="1063"/>
      <c r="D16241" s="1063"/>
      <c r="E16241" s="1063"/>
      <c r="F16241" s="1063"/>
      <c r="G16241" s="1063"/>
      <c r="H16241" s="1063"/>
      <c r="I16241" s="1063"/>
      <c r="J16241" s="1063"/>
    </row>
    <row r="16242" spans="1:10" s="1064" customFormat="1" x14ac:dyDescent="0.25">
      <c r="A16242" s="262"/>
      <c r="B16242" s="1063"/>
      <c r="C16242" s="1063"/>
      <c r="D16242" s="1063"/>
      <c r="E16242" s="1063"/>
      <c r="F16242" s="1063"/>
      <c r="G16242" s="1063"/>
      <c r="H16242" s="1063"/>
      <c r="I16242" s="1063"/>
      <c r="J16242" s="1063"/>
    </row>
    <row r="16243" spans="1:10" s="1064" customFormat="1" x14ac:dyDescent="0.25">
      <c r="A16243" s="262"/>
      <c r="B16243" s="1063"/>
      <c r="C16243" s="1063"/>
      <c r="D16243" s="1063"/>
      <c r="E16243" s="1063"/>
      <c r="F16243" s="1063"/>
      <c r="G16243" s="1063"/>
      <c r="H16243" s="1063"/>
      <c r="I16243" s="1063"/>
      <c r="J16243" s="1063"/>
    </row>
    <row r="16244" spans="1:10" s="1064" customFormat="1" x14ac:dyDescent="0.25">
      <c r="A16244" s="262"/>
      <c r="B16244" s="1063"/>
      <c r="C16244" s="1063"/>
      <c r="D16244" s="1063"/>
      <c r="E16244" s="1063"/>
      <c r="F16244" s="1063"/>
      <c r="G16244" s="1063"/>
      <c r="H16244" s="1063"/>
      <c r="I16244" s="1063"/>
      <c r="J16244" s="1063"/>
    </row>
    <row r="16245" spans="1:10" s="1064" customFormat="1" x14ac:dyDescent="0.25">
      <c r="A16245" s="262"/>
      <c r="B16245" s="1063"/>
      <c r="C16245" s="1063"/>
      <c r="D16245" s="1063"/>
      <c r="E16245" s="1063"/>
      <c r="F16245" s="1063"/>
      <c r="G16245" s="1063"/>
      <c r="H16245" s="1063"/>
      <c r="I16245" s="1063"/>
      <c r="J16245" s="1063"/>
    </row>
    <row r="16246" spans="1:10" s="1064" customFormat="1" x14ac:dyDescent="0.25">
      <c r="A16246" s="262"/>
      <c r="B16246" s="1063"/>
      <c r="C16246" s="1063"/>
      <c r="D16246" s="1063"/>
      <c r="E16246" s="1063"/>
      <c r="F16246" s="1063"/>
      <c r="G16246" s="1063"/>
      <c r="H16246" s="1063"/>
      <c r="I16246" s="1063"/>
      <c r="J16246" s="1063"/>
    </row>
    <row r="16247" spans="1:10" s="1064" customFormat="1" x14ac:dyDescent="0.25">
      <c r="A16247" s="262"/>
      <c r="B16247" s="1063"/>
      <c r="C16247" s="1063"/>
      <c r="D16247" s="1063"/>
      <c r="E16247" s="1063"/>
      <c r="F16247" s="1063"/>
      <c r="G16247" s="1063"/>
      <c r="H16247" s="1063"/>
      <c r="I16247" s="1063"/>
      <c r="J16247" s="1063"/>
    </row>
    <row r="16248" spans="1:10" s="1064" customFormat="1" x14ac:dyDescent="0.25">
      <c r="A16248" s="262"/>
      <c r="B16248" s="1063"/>
      <c r="C16248" s="1063"/>
      <c r="D16248" s="1063"/>
      <c r="E16248" s="1063"/>
      <c r="F16248" s="1063"/>
      <c r="G16248" s="1063"/>
      <c r="H16248" s="1063"/>
      <c r="I16248" s="1063"/>
      <c r="J16248" s="1063"/>
    </row>
    <row r="16249" spans="1:10" s="1064" customFormat="1" x14ac:dyDescent="0.25">
      <c r="A16249" s="262"/>
      <c r="B16249" s="1063"/>
      <c r="C16249" s="1063"/>
      <c r="D16249" s="1063"/>
      <c r="E16249" s="1063"/>
      <c r="F16249" s="1063"/>
      <c r="G16249" s="1063"/>
      <c r="H16249" s="1063"/>
      <c r="I16249" s="1063"/>
      <c r="J16249" s="1063"/>
    </row>
    <row r="16250" spans="1:10" s="1064" customFormat="1" x14ac:dyDescent="0.25">
      <c r="A16250" s="262"/>
      <c r="B16250" s="1063"/>
      <c r="C16250" s="1063"/>
      <c r="D16250" s="1063"/>
      <c r="E16250" s="1063"/>
      <c r="F16250" s="1063"/>
      <c r="G16250" s="1063"/>
      <c r="H16250" s="1063"/>
      <c r="I16250" s="1063"/>
      <c r="J16250" s="1063"/>
    </row>
    <row r="16251" spans="1:10" s="1064" customFormat="1" x14ac:dyDescent="0.25">
      <c r="A16251" s="262"/>
      <c r="B16251" s="1063"/>
      <c r="C16251" s="1063"/>
      <c r="D16251" s="1063"/>
      <c r="E16251" s="1063"/>
      <c r="F16251" s="1063"/>
      <c r="G16251" s="1063"/>
      <c r="H16251" s="1063"/>
      <c r="I16251" s="1063"/>
      <c r="J16251" s="1063"/>
    </row>
    <row r="16252" spans="1:10" s="1064" customFormat="1" x14ac:dyDescent="0.25">
      <c r="A16252" s="262"/>
      <c r="B16252" s="1063"/>
      <c r="C16252" s="1063"/>
      <c r="D16252" s="1063"/>
      <c r="E16252" s="1063"/>
      <c r="F16252" s="1063"/>
      <c r="G16252" s="1063"/>
      <c r="H16252" s="1063"/>
      <c r="I16252" s="1063"/>
      <c r="J16252" s="1063"/>
    </row>
    <row r="16253" spans="1:10" s="1064" customFormat="1" x14ac:dyDescent="0.25">
      <c r="A16253" s="262"/>
      <c r="B16253" s="1063"/>
      <c r="C16253" s="1063"/>
      <c r="D16253" s="1063"/>
      <c r="E16253" s="1063"/>
      <c r="F16253" s="1063"/>
      <c r="G16253" s="1063"/>
      <c r="H16253" s="1063"/>
      <c r="I16253" s="1063"/>
      <c r="J16253" s="1063"/>
    </row>
    <row r="16254" spans="1:10" s="1064" customFormat="1" x14ac:dyDescent="0.25">
      <c r="A16254" s="262"/>
      <c r="B16254" s="1063"/>
      <c r="C16254" s="1063"/>
      <c r="D16254" s="1063"/>
      <c r="E16254" s="1063"/>
      <c r="F16254" s="1063"/>
      <c r="G16254" s="1063"/>
      <c r="H16254" s="1063"/>
      <c r="I16254" s="1063"/>
      <c r="J16254" s="1063"/>
    </row>
    <row r="16255" spans="1:10" s="1064" customFormat="1" x14ac:dyDescent="0.25">
      <c r="A16255" s="262"/>
      <c r="B16255" s="1063"/>
      <c r="C16255" s="1063"/>
      <c r="D16255" s="1063"/>
      <c r="E16255" s="1063"/>
      <c r="F16255" s="1063"/>
      <c r="G16255" s="1063"/>
      <c r="H16255" s="1063"/>
      <c r="I16255" s="1063"/>
      <c r="J16255" s="1063"/>
    </row>
    <row r="16256" spans="1:10" s="1064" customFormat="1" x14ac:dyDescent="0.25">
      <c r="A16256" s="262"/>
      <c r="B16256" s="1063"/>
      <c r="C16256" s="1063"/>
      <c r="D16256" s="1063"/>
      <c r="E16256" s="1063"/>
      <c r="F16256" s="1063"/>
      <c r="G16256" s="1063"/>
      <c r="H16256" s="1063"/>
      <c r="I16256" s="1063"/>
      <c r="J16256" s="1063"/>
    </row>
    <row r="16257" spans="1:10" s="1064" customFormat="1" x14ac:dyDescent="0.25">
      <c r="A16257" s="262"/>
      <c r="B16257" s="1063"/>
      <c r="C16257" s="1063"/>
      <c r="D16257" s="1063"/>
      <c r="E16257" s="1063"/>
      <c r="F16257" s="1063"/>
      <c r="G16257" s="1063"/>
      <c r="H16257" s="1063"/>
      <c r="I16257" s="1063"/>
      <c r="J16257" s="1063"/>
    </row>
    <row r="16258" spans="1:10" s="1064" customFormat="1" x14ac:dyDescent="0.25">
      <c r="A16258" s="262"/>
      <c r="B16258" s="1063"/>
      <c r="C16258" s="1063"/>
      <c r="D16258" s="1063"/>
      <c r="E16258" s="1063"/>
      <c r="F16258" s="1063"/>
      <c r="G16258" s="1063"/>
      <c r="H16258" s="1063"/>
      <c r="I16258" s="1063"/>
      <c r="J16258" s="1063"/>
    </row>
    <row r="16259" spans="1:10" s="1064" customFormat="1" x14ac:dyDescent="0.25">
      <c r="A16259" s="262"/>
      <c r="B16259" s="1063"/>
      <c r="C16259" s="1063"/>
      <c r="D16259" s="1063"/>
      <c r="E16259" s="1063"/>
      <c r="F16259" s="1063"/>
      <c r="G16259" s="1063"/>
      <c r="H16259" s="1063"/>
      <c r="I16259" s="1063"/>
      <c r="J16259" s="1063"/>
    </row>
    <row r="16260" spans="1:10" s="1064" customFormat="1" x14ac:dyDescent="0.25">
      <c r="A16260" s="262"/>
      <c r="B16260" s="1063"/>
      <c r="C16260" s="1063"/>
      <c r="D16260" s="1063"/>
      <c r="E16260" s="1063"/>
      <c r="F16260" s="1063"/>
      <c r="G16260" s="1063"/>
      <c r="H16260" s="1063"/>
      <c r="I16260" s="1063"/>
      <c r="J16260" s="1063"/>
    </row>
    <row r="16261" spans="1:10" s="1064" customFormat="1" x14ac:dyDescent="0.25">
      <c r="A16261" s="262"/>
      <c r="B16261" s="1063"/>
      <c r="C16261" s="1063"/>
      <c r="D16261" s="1063"/>
      <c r="E16261" s="1063"/>
      <c r="F16261" s="1063"/>
      <c r="G16261" s="1063"/>
      <c r="H16261" s="1063"/>
      <c r="I16261" s="1063"/>
      <c r="J16261" s="1063"/>
    </row>
    <row r="16262" spans="1:10" s="1064" customFormat="1" x14ac:dyDescent="0.25">
      <c r="A16262" s="262"/>
      <c r="B16262" s="1063"/>
      <c r="C16262" s="1063"/>
      <c r="D16262" s="1063"/>
      <c r="E16262" s="1063"/>
      <c r="F16262" s="1063"/>
      <c r="G16262" s="1063"/>
      <c r="H16262" s="1063"/>
      <c r="I16262" s="1063"/>
      <c r="J16262" s="1063"/>
    </row>
    <row r="16263" spans="1:10" s="1064" customFormat="1" x14ac:dyDescent="0.25">
      <c r="A16263" s="262"/>
      <c r="B16263" s="1063"/>
      <c r="C16263" s="1063"/>
      <c r="D16263" s="1063"/>
      <c r="E16263" s="1063"/>
      <c r="F16263" s="1063"/>
      <c r="G16263" s="1063"/>
      <c r="H16263" s="1063"/>
      <c r="I16263" s="1063"/>
      <c r="J16263" s="1063"/>
    </row>
    <row r="16264" spans="1:10" s="1064" customFormat="1" x14ac:dyDescent="0.25">
      <c r="A16264" s="262"/>
      <c r="B16264" s="1063"/>
      <c r="C16264" s="1063"/>
      <c r="D16264" s="1063"/>
      <c r="E16264" s="1063"/>
      <c r="F16264" s="1063"/>
      <c r="G16264" s="1063"/>
      <c r="H16264" s="1063"/>
      <c r="I16264" s="1063"/>
      <c r="J16264" s="1063"/>
    </row>
    <row r="16265" spans="1:10" s="1064" customFormat="1" x14ac:dyDescent="0.25">
      <c r="A16265" s="262"/>
      <c r="B16265" s="1063"/>
      <c r="C16265" s="1063"/>
      <c r="D16265" s="1063"/>
      <c r="E16265" s="1063"/>
      <c r="F16265" s="1063"/>
      <c r="G16265" s="1063"/>
      <c r="H16265" s="1063"/>
      <c r="I16265" s="1063"/>
      <c r="J16265" s="1063"/>
    </row>
    <row r="16266" spans="1:10" s="1064" customFormat="1" x14ac:dyDescent="0.25">
      <c r="A16266" s="262"/>
      <c r="B16266" s="1063"/>
      <c r="C16266" s="1063"/>
      <c r="D16266" s="1063"/>
      <c r="E16266" s="1063"/>
      <c r="F16266" s="1063"/>
      <c r="G16266" s="1063"/>
      <c r="H16266" s="1063"/>
      <c r="I16266" s="1063"/>
      <c r="J16266" s="1063"/>
    </row>
    <row r="16267" spans="1:10" s="1064" customFormat="1" x14ac:dyDescent="0.25">
      <c r="A16267" s="262"/>
      <c r="B16267" s="1063"/>
      <c r="C16267" s="1063"/>
      <c r="D16267" s="1063"/>
      <c r="E16267" s="1063"/>
      <c r="F16267" s="1063"/>
      <c r="G16267" s="1063"/>
      <c r="H16267" s="1063"/>
      <c r="I16267" s="1063"/>
      <c r="J16267" s="1063"/>
    </row>
    <row r="16268" spans="1:10" s="1064" customFormat="1" x14ac:dyDescent="0.25">
      <c r="A16268" s="262"/>
      <c r="B16268" s="1063"/>
      <c r="C16268" s="1063"/>
      <c r="D16268" s="1063"/>
      <c r="E16268" s="1063"/>
      <c r="F16268" s="1063"/>
      <c r="G16268" s="1063"/>
      <c r="H16268" s="1063"/>
      <c r="I16268" s="1063"/>
      <c r="J16268" s="1063"/>
    </row>
    <row r="16269" spans="1:10" s="1064" customFormat="1" x14ac:dyDescent="0.25">
      <c r="A16269" s="262"/>
      <c r="B16269" s="1063"/>
      <c r="C16269" s="1063"/>
      <c r="D16269" s="1063"/>
      <c r="E16269" s="1063"/>
      <c r="F16269" s="1063"/>
      <c r="G16269" s="1063"/>
      <c r="H16269" s="1063"/>
      <c r="I16269" s="1063"/>
      <c r="J16269" s="1063"/>
    </row>
    <row r="16270" spans="1:10" s="1064" customFormat="1" x14ac:dyDescent="0.25">
      <c r="A16270" s="262"/>
      <c r="B16270" s="1063"/>
      <c r="C16270" s="1063"/>
      <c r="D16270" s="1063"/>
      <c r="E16270" s="1063"/>
      <c r="F16270" s="1063"/>
      <c r="G16270" s="1063"/>
      <c r="H16270" s="1063"/>
      <c r="I16270" s="1063"/>
      <c r="J16270" s="1063"/>
    </row>
    <row r="16271" spans="1:10" s="1064" customFormat="1" x14ac:dyDescent="0.25">
      <c r="A16271" s="262"/>
      <c r="B16271" s="1063"/>
      <c r="C16271" s="1063"/>
      <c r="D16271" s="1063"/>
      <c r="E16271" s="1063"/>
      <c r="F16271" s="1063"/>
      <c r="G16271" s="1063"/>
      <c r="H16271" s="1063"/>
      <c r="I16271" s="1063"/>
      <c r="J16271" s="1063"/>
    </row>
    <row r="16272" spans="1:10" s="1064" customFormat="1" x14ac:dyDescent="0.25">
      <c r="A16272" s="262"/>
      <c r="B16272" s="1063"/>
      <c r="C16272" s="1063"/>
      <c r="D16272" s="1063"/>
      <c r="E16272" s="1063"/>
      <c r="F16272" s="1063"/>
      <c r="G16272" s="1063"/>
      <c r="H16272" s="1063"/>
      <c r="I16272" s="1063"/>
      <c r="J16272" s="1063"/>
    </row>
    <row r="16273" spans="1:10" s="1064" customFormat="1" x14ac:dyDescent="0.25">
      <c r="A16273" s="262"/>
      <c r="B16273" s="1063"/>
      <c r="C16273" s="1063"/>
      <c r="D16273" s="1063"/>
      <c r="E16273" s="1063"/>
      <c r="F16273" s="1063"/>
      <c r="G16273" s="1063"/>
      <c r="H16273" s="1063"/>
      <c r="I16273" s="1063"/>
      <c r="J16273" s="1063"/>
    </row>
    <row r="16274" spans="1:10" s="1064" customFormat="1" x14ac:dyDescent="0.25">
      <c r="A16274" s="262"/>
      <c r="B16274" s="1063"/>
      <c r="C16274" s="1063"/>
      <c r="D16274" s="1063"/>
      <c r="E16274" s="1063"/>
      <c r="F16274" s="1063"/>
      <c r="G16274" s="1063"/>
      <c r="H16274" s="1063"/>
      <c r="I16274" s="1063"/>
      <c r="J16274" s="1063"/>
    </row>
    <row r="16275" spans="1:10" s="1064" customFormat="1" x14ac:dyDescent="0.25">
      <c r="A16275" s="262"/>
      <c r="B16275" s="1063"/>
      <c r="C16275" s="1063"/>
      <c r="D16275" s="1063"/>
      <c r="E16275" s="1063"/>
      <c r="F16275" s="1063"/>
      <c r="G16275" s="1063"/>
      <c r="H16275" s="1063"/>
      <c r="I16275" s="1063"/>
      <c r="J16275" s="1063"/>
    </row>
    <row r="16276" spans="1:10" s="1064" customFormat="1" x14ac:dyDescent="0.25">
      <c r="A16276" s="262"/>
      <c r="B16276" s="1063"/>
      <c r="C16276" s="1063"/>
      <c r="D16276" s="1063"/>
      <c r="E16276" s="1063"/>
      <c r="F16276" s="1063"/>
      <c r="G16276" s="1063"/>
      <c r="H16276" s="1063"/>
      <c r="I16276" s="1063"/>
      <c r="J16276" s="1063"/>
    </row>
    <row r="16277" spans="1:10" s="1064" customFormat="1" x14ac:dyDescent="0.25">
      <c r="A16277" s="262"/>
      <c r="B16277" s="1063"/>
      <c r="C16277" s="1063"/>
      <c r="D16277" s="1063"/>
      <c r="E16277" s="1063"/>
      <c r="F16277" s="1063"/>
      <c r="G16277" s="1063"/>
      <c r="H16277" s="1063"/>
      <c r="I16277" s="1063"/>
      <c r="J16277" s="1063"/>
    </row>
    <row r="16278" spans="1:10" s="1064" customFormat="1" x14ac:dyDescent="0.25">
      <c r="A16278" s="262"/>
      <c r="B16278" s="1063"/>
      <c r="C16278" s="1063"/>
      <c r="D16278" s="1063"/>
      <c r="E16278" s="1063"/>
      <c r="F16278" s="1063"/>
      <c r="G16278" s="1063"/>
      <c r="H16278" s="1063"/>
      <c r="I16278" s="1063"/>
      <c r="J16278" s="1063"/>
    </row>
    <row r="16279" spans="1:10" s="1064" customFormat="1" x14ac:dyDescent="0.25">
      <c r="A16279" s="262"/>
      <c r="B16279" s="1063"/>
      <c r="C16279" s="1063"/>
      <c r="D16279" s="1063"/>
      <c r="E16279" s="1063"/>
      <c r="F16279" s="1063"/>
      <c r="G16279" s="1063"/>
      <c r="H16279" s="1063"/>
      <c r="I16279" s="1063"/>
      <c r="J16279" s="1063"/>
    </row>
    <row r="16280" spans="1:10" s="1064" customFormat="1" x14ac:dyDescent="0.25">
      <c r="A16280" s="262"/>
      <c r="B16280" s="1063"/>
      <c r="C16280" s="1063"/>
      <c r="D16280" s="1063"/>
      <c r="E16280" s="1063"/>
      <c r="F16280" s="1063"/>
      <c r="G16280" s="1063"/>
      <c r="H16280" s="1063"/>
      <c r="I16280" s="1063"/>
      <c r="J16280" s="1063"/>
    </row>
    <row r="16281" spans="1:10" s="1064" customFormat="1" x14ac:dyDescent="0.25">
      <c r="A16281" s="262"/>
      <c r="B16281" s="1063"/>
      <c r="C16281" s="1063"/>
      <c r="D16281" s="1063"/>
      <c r="E16281" s="1063"/>
      <c r="F16281" s="1063"/>
      <c r="G16281" s="1063"/>
      <c r="H16281" s="1063"/>
      <c r="I16281" s="1063"/>
      <c r="J16281" s="1063"/>
    </row>
    <row r="16282" spans="1:10" s="1064" customFormat="1" x14ac:dyDescent="0.25">
      <c r="A16282" s="262"/>
      <c r="B16282" s="1063"/>
      <c r="C16282" s="1063"/>
      <c r="D16282" s="1063"/>
      <c r="E16282" s="1063"/>
      <c r="F16282" s="1063"/>
      <c r="G16282" s="1063"/>
      <c r="H16282" s="1063"/>
      <c r="I16282" s="1063"/>
      <c r="J16282" s="1063"/>
    </row>
    <row r="16283" spans="1:10" s="1064" customFormat="1" x14ac:dyDescent="0.25">
      <c r="A16283" s="262"/>
      <c r="B16283" s="1063"/>
      <c r="C16283" s="1063"/>
      <c r="D16283" s="1063"/>
      <c r="E16283" s="1063"/>
      <c r="F16283" s="1063"/>
      <c r="G16283" s="1063"/>
      <c r="H16283" s="1063"/>
      <c r="I16283" s="1063"/>
      <c r="J16283" s="1063"/>
    </row>
    <row r="16284" spans="1:10" s="1064" customFormat="1" x14ac:dyDescent="0.25">
      <c r="A16284" s="262"/>
      <c r="B16284" s="1063"/>
      <c r="C16284" s="1063"/>
      <c r="D16284" s="1063"/>
      <c r="E16284" s="1063"/>
      <c r="F16284" s="1063"/>
      <c r="G16284" s="1063"/>
      <c r="H16284" s="1063"/>
      <c r="I16284" s="1063"/>
      <c r="J16284" s="1063"/>
    </row>
    <row r="16285" spans="1:10" s="1064" customFormat="1" x14ac:dyDescent="0.25">
      <c r="A16285" s="262"/>
      <c r="B16285" s="1063"/>
      <c r="C16285" s="1063"/>
      <c r="D16285" s="1063"/>
      <c r="E16285" s="1063"/>
      <c r="F16285" s="1063"/>
      <c r="G16285" s="1063"/>
      <c r="H16285" s="1063"/>
      <c r="I16285" s="1063"/>
      <c r="J16285" s="1063"/>
    </row>
    <row r="16286" spans="1:10" s="1064" customFormat="1" x14ac:dyDescent="0.25">
      <c r="A16286" s="262"/>
      <c r="B16286" s="1063"/>
      <c r="C16286" s="1063"/>
      <c r="D16286" s="1063"/>
      <c r="E16286" s="1063"/>
      <c r="F16286" s="1063"/>
      <c r="G16286" s="1063"/>
      <c r="H16286" s="1063"/>
      <c r="I16286" s="1063"/>
      <c r="J16286" s="1063"/>
    </row>
    <row r="16287" spans="1:10" s="1064" customFormat="1" x14ac:dyDescent="0.25">
      <c r="A16287" s="262"/>
      <c r="B16287" s="1063"/>
      <c r="C16287" s="1063"/>
      <c r="D16287" s="1063"/>
      <c r="E16287" s="1063"/>
      <c r="F16287" s="1063"/>
      <c r="G16287" s="1063"/>
      <c r="H16287" s="1063"/>
      <c r="I16287" s="1063"/>
      <c r="J16287" s="1063"/>
    </row>
    <row r="16288" spans="1:10" s="1064" customFormat="1" x14ac:dyDescent="0.25">
      <c r="A16288" s="262"/>
      <c r="B16288" s="1063"/>
      <c r="C16288" s="1063"/>
      <c r="D16288" s="1063"/>
      <c r="E16288" s="1063"/>
      <c r="F16288" s="1063"/>
      <c r="G16288" s="1063"/>
      <c r="H16288" s="1063"/>
      <c r="I16288" s="1063"/>
      <c r="J16288" s="1063"/>
    </row>
    <row r="16289" spans="1:10" s="1064" customFormat="1" x14ac:dyDescent="0.25">
      <c r="A16289" s="262"/>
      <c r="B16289" s="1063"/>
      <c r="C16289" s="1063"/>
      <c r="D16289" s="1063"/>
      <c r="E16289" s="1063"/>
      <c r="F16289" s="1063"/>
      <c r="G16289" s="1063"/>
      <c r="H16289" s="1063"/>
      <c r="I16289" s="1063"/>
      <c r="J16289" s="1063"/>
    </row>
    <row r="16290" spans="1:10" s="1064" customFormat="1" x14ac:dyDescent="0.25">
      <c r="A16290" s="262"/>
      <c r="B16290" s="1063"/>
      <c r="C16290" s="1063"/>
      <c r="D16290" s="1063"/>
      <c r="E16290" s="1063"/>
      <c r="F16290" s="1063"/>
      <c r="G16290" s="1063"/>
      <c r="H16290" s="1063"/>
      <c r="I16290" s="1063"/>
      <c r="J16290" s="1063"/>
    </row>
    <row r="16291" spans="1:10" s="1064" customFormat="1" x14ac:dyDescent="0.25">
      <c r="A16291" s="262"/>
      <c r="B16291" s="1063"/>
      <c r="C16291" s="1063"/>
      <c r="D16291" s="1063"/>
      <c r="E16291" s="1063"/>
      <c r="F16291" s="1063"/>
      <c r="G16291" s="1063"/>
      <c r="H16291" s="1063"/>
      <c r="I16291" s="1063"/>
      <c r="J16291" s="1063"/>
    </row>
    <row r="16292" spans="1:10" s="1064" customFormat="1" x14ac:dyDescent="0.25">
      <c r="A16292" s="262"/>
      <c r="B16292" s="1063"/>
      <c r="C16292" s="1063"/>
      <c r="D16292" s="1063"/>
      <c r="E16292" s="1063"/>
      <c r="F16292" s="1063"/>
      <c r="G16292" s="1063"/>
      <c r="H16292" s="1063"/>
      <c r="I16292" s="1063"/>
      <c r="J16292" s="1063"/>
    </row>
    <row r="16293" spans="1:10" s="1064" customFormat="1" x14ac:dyDescent="0.25">
      <c r="A16293" s="262"/>
      <c r="B16293" s="1063"/>
      <c r="C16293" s="1063"/>
      <c r="D16293" s="1063"/>
      <c r="E16293" s="1063"/>
      <c r="F16293" s="1063"/>
      <c r="G16293" s="1063"/>
      <c r="H16293" s="1063"/>
      <c r="I16293" s="1063"/>
      <c r="J16293" s="1063"/>
    </row>
    <row r="16294" spans="1:10" s="1064" customFormat="1" x14ac:dyDescent="0.25">
      <c r="A16294" s="262"/>
      <c r="B16294" s="1063"/>
      <c r="C16294" s="1063"/>
      <c r="D16294" s="1063"/>
      <c r="E16294" s="1063"/>
      <c r="F16294" s="1063"/>
      <c r="G16294" s="1063"/>
      <c r="H16294" s="1063"/>
      <c r="I16294" s="1063"/>
      <c r="J16294" s="1063"/>
    </row>
    <row r="16295" spans="1:10" s="1064" customFormat="1" x14ac:dyDescent="0.25">
      <c r="A16295" s="262"/>
      <c r="B16295" s="1063"/>
      <c r="C16295" s="1063"/>
      <c r="D16295" s="1063"/>
      <c r="E16295" s="1063"/>
      <c r="F16295" s="1063"/>
      <c r="G16295" s="1063"/>
      <c r="H16295" s="1063"/>
      <c r="I16295" s="1063"/>
      <c r="J16295" s="1063"/>
    </row>
    <row r="16296" spans="1:10" s="1064" customFormat="1" x14ac:dyDescent="0.25">
      <c r="A16296" s="262"/>
      <c r="B16296" s="1063"/>
      <c r="C16296" s="1063"/>
      <c r="D16296" s="1063"/>
      <c r="E16296" s="1063"/>
      <c r="F16296" s="1063"/>
      <c r="G16296" s="1063"/>
      <c r="H16296" s="1063"/>
      <c r="I16296" s="1063"/>
      <c r="J16296" s="1063"/>
    </row>
    <row r="16297" spans="1:10" s="1064" customFormat="1" x14ac:dyDescent="0.25">
      <c r="A16297" s="262"/>
      <c r="B16297" s="1063"/>
      <c r="C16297" s="1063"/>
      <c r="D16297" s="1063"/>
      <c r="E16297" s="1063"/>
      <c r="F16297" s="1063"/>
      <c r="G16297" s="1063"/>
      <c r="H16297" s="1063"/>
      <c r="I16297" s="1063"/>
      <c r="J16297" s="1063"/>
    </row>
    <row r="16298" spans="1:10" s="1064" customFormat="1" x14ac:dyDescent="0.25">
      <c r="A16298" s="262"/>
      <c r="B16298" s="1063"/>
      <c r="C16298" s="1063"/>
      <c r="D16298" s="1063"/>
      <c r="E16298" s="1063"/>
      <c r="F16298" s="1063"/>
      <c r="G16298" s="1063"/>
      <c r="H16298" s="1063"/>
      <c r="I16298" s="1063"/>
      <c r="J16298" s="1063"/>
    </row>
    <row r="16299" spans="1:10" s="1064" customFormat="1" x14ac:dyDescent="0.25">
      <c r="A16299" s="262"/>
      <c r="B16299" s="1063"/>
      <c r="C16299" s="1063"/>
      <c r="D16299" s="1063"/>
      <c r="E16299" s="1063"/>
      <c r="F16299" s="1063"/>
      <c r="G16299" s="1063"/>
      <c r="H16299" s="1063"/>
      <c r="I16299" s="1063"/>
      <c r="J16299" s="1063"/>
    </row>
    <row r="16300" spans="1:10" s="1064" customFormat="1" x14ac:dyDescent="0.25">
      <c r="A16300" s="262"/>
      <c r="B16300" s="1063"/>
      <c r="C16300" s="1063"/>
      <c r="D16300" s="1063"/>
      <c r="E16300" s="1063"/>
      <c r="F16300" s="1063"/>
      <c r="G16300" s="1063"/>
      <c r="H16300" s="1063"/>
      <c r="I16300" s="1063"/>
      <c r="J16300" s="1063"/>
    </row>
    <row r="16301" spans="1:10" s="1064" customFormat="1" x14ac:dyDescent="0.25">
      <c r="A16301" s="262"/>
      <c r="B16301" s="1063"/>
      <c r="C16301" s="1063"/>
      <c r="D16301" s="1063"/>
      <c r="E16301" s="1063"/>
      <c r="F16301" s="1063"/>
      <c r="G16301" s="1063"/>
      <c r="H16301" s="1063"/>
      <c r="I16301" s="1063"/>
      <c r="J16301" s="1063"/>
    </row>
    <row r="16302" spans="1:10" s="1064" customFormat="1" x14ac:dyDescent="0.25">
      <c r="A16302" s="262"/>
      <c r="B16302" s="1063"/>
      <c r="C16302" s="1063"/>
      <c r="D16302" s="1063"/>
      <c r="E16302" s="1063"/>
      <c r="F16302" s="1063"/>
      <c r="G16302" s="1063"/>
      <c r="H16302" s="1063"/>
      <c r="I16302" s="1063"/>
      <c r="J16302" s="1063"/>
    </row>
    <row r="16303" spans="1:10" s="1064" customFormat="1" x14ac:dyDescent="0.25">
      <c r="A16303" s="262"/>
      <c r="B16303" s="1063"/>
      <c r="C16303" s="1063"/>
      <c r="D16303" s="1063"/>
      <c r="E16303" s="1063"/>
      <c r="F16303" s="1063"/>
      <c r="G16303" s="1063"/>
      <c r="H16303" s="1063"/>
      <c r="I16303" s="1063"/>
      <c r="J16303" s="1063"/>
    </row>
    <row r="16304" spans="1:10" s="1064" customFormat="1" x14ac:dyDescent="0.25">
      <c r="A16304" s="262"/>
      <c r="B16304" s="1063"/>
      <c r="C16304" s="1063"/>
      <c r="D16304" s="1063"/>
      <c r="E16304" s="1063"/>
      <c r="F16304" s="1063"/>
      <c r="G16304" s="1063"/>
      <c r="H16304" s="1063"/>
      <c r="I16304" s="1063"/>
      <c r="J16304" s="1063"/>
    </row>
    <row r="16305" spans="1:10" s="1064" customFormat="1" x14ac:dyDescent="0.25">
      <c r="A16305" s="262"/>
      <c r="B16305" s="1063"/>
      <c r="C16305" s="1063"/>
      <c r="D16305" s="1063"/>
      <c r="E16305" s="1063"/>
      <c r="F16305" s="1063"/>
      <c r="G16305" s="1063"/>
      <c r="H16305" s="1063"/>
      <c r="I16305" s="1063"/>
      <c r="J16305" s="1063"/>
    </row>
    <row r="16306" spans="1:10" s="1064" customFormat="1" x14ac:dyDescent="0.25">
      <c r="A16306" s="262"/>
      <c r="B16306" s="1063"/>
      <c r="C16306" s="1063"/>
      <c r="D16306" s="1063"/>
      <c r="E16306" s="1063"/>
      <c r="F16306" s="1063"/>
      <c r="G16306" s="1063"/>
      <c r="H16306" s="1063"/>
      <c r="I16306" s="1063"/>
      <c r="J16306" s="1063"/>
    </row>
    <row r="16307" spans="1:10" s="1064" customFormat="1" x14ac:dyDescent="0.25">
      <c r="A16307" s="262"/>
      <c r="B16307" s="1063"/>
      <c r="C16307" s="1063"/>
      <c r="D16307" s="1063"/>
      <c r="E16307" s="1063"/>
      <c r="F16307" s="1063"/>
      <c r="G16307" s="1063"/>
      <c r="H16307" s="1063"/>
      <c r="I16307" s="1063"/>
      <c r="J16307" s="1063"/>
    </row>
    <row r="16308" spans="1:10" s="1064" customFormat="1" x14ac:dyDescent="0.25">
      <c r="A16308" s="262"/>
      <c r="B16308" s="1063"/>
      <c r="C16308" s="1063"/>
      <c r="D16308" s="1063"/>
      <c r="E16308" s="1063"/>
      <c r="F16308" s="1063"/>
      <c r="G16308" s="1063"/>
      <c r="H16308" s="1063"/>
      <c r="I16308" s="1063"/>
      <c r="J16308" s="1063"/>
    </row>
    <row r="16309" spans="1:10" s="1064" customFormat="1" x14ac:dyDescent="0.25">
      <c r="A16309" s="262"/>
      <c r="B16309" s="1063"/>
      <c r="C16309" s="1063"/>
      <c r="D16309" s="1063"/>
      <c r="E16309" s="1063"/>
      <c r="F16309" s="1063"/>
      <c r="G16309" s="1063"/>
      <c r="H16309" s="1063"/>
      <c r="I16309" s="1063"/>
      <c r="J16309" s="1063"/>
    </row>
    <row r="16310" spans="1:10" s="1064" customFormat="1" x14ac:dyDescent="0.25">
      <c r="A16310" s="262"/>
      <c r="B16310" s="1063"/>
      <c r="C16310" s="1063"/>
      <c r="D16310" s="1063"/>
      <c r="E16310" s="1063"/>
      <c r="F16310" s="1063"/>
      <c r="G16310" s="1063"/>
      <c r="H16310" s="1063"/>
      <c r="I16310" s="1063"/>
      <c r="J16310" s="1063"/>
    </row>
    <row r="16311" spans="1:10" s="1064" customFormat="1" x14ac:dyDescent="0.25">
      <c r="A16311" s="262"/>
      <c r="B16311" s="1063"/>
      <c r="C16311" s="1063"/>
      <c r="D16311" s="1063"/>
      <c r="E16311" s="1063"/>
      <c r="F16311" s="1063"/>
      <c r="G16311" s="1063"/>
      <c r="H16311" s="1063"/>
      <c r="I16311" s="1063"/>
      <c r="J16311" s="1063"/>
    </row>
    <row r="16312" spans="1:10" s="1064" customFormat="1" x14ac:dyDescent="0.25">
      <c r="A16312" s="262"/>
      <c r="B16312" s="1063"/>
      <c r="C16312" s="1063"/>
      <c r="D16312" s="1063"/>
      <c r="E16312" s="1063"/>
      <c r="F16312" s="1063"/>
      <c r="G16312" s="1063"/>
      <c r="H16312" s="1063"/>
      <c r="I16312" s="1063"/>
      <c r="J16312" s="1063"/>
    </row>
    <row r="16313" spans="1:10" s="1064" customFormat="1" x14ac:dyDescent="0.25">
      <c r="A16313" s="262"/>
      <c r="B16313" s="1063"/>
      <c r="C16313" s="1063"/>
      <c r="D16313" s="1063"/>
      <c r="E16313" s="1063"/>
      <c r="F16313" s="1063"/>
      <c r="G16313" s="1063"/>
      <c r="H16313" s="1063"/>
      <c r="I16313" s="1063"/>
      <c r="J16313" s="1063"/>
    </row>
    <row r="16314" spans="1:10" s="1064" customFormat="1" x14ac:dyDescent="0.25">
      <c r="A16314" s="262"/>
      <c r="B16314" s="1063"/>
      <c r="C16314" s="1063"/>
      <c r="D16314" s="1063"/>
      <c r="E16314" s="1063"/>
      <c r="F16314" s="1063"/>
      <c r="G16314" s="1063"/>
      <c r="H16314" s="1063"/>
      <c r="I16314" s="1063"/>
      <c r="J16314" s="1063"/>
    </row>
    <row r="16315" spans="1:10" s="1064" customFormat="1" x14ac:dyDescent="0.25">
      <c r="A16315" s="262"/>
      <c r="B16315" s="1063"/>
      <c r="C16315" s="1063"/>
      <c r="D16315" s="1063"/>
      <c r="E16315" s="1063"/>
      <c r="F16315" s="1063"/>
      <c r="G16315" s="1063"/>
      <c r="H16315" s="1063"/>
      <c r="I16315" s="1063"/>
      <c r="J16315" s="1063"/>
    </row>
    <row r="16316" spans="1:10" s="1064" customFormat="1" x14ac:dyDescent="0.25">
      <c r="A16316" s="262"/>
      <c r="B16316" s="1063"/>
      <c r="C16316" s="1063"/>
      <c r="D16316" s="1063"/>
      <c r="E16316" s="1063"/>
      <c r="F16316" s="1063"/>
      <c r="G16316" s="1063"/>
      <c r="H16316" s="1063"/>
      <c r="I16316" s="1063"/>
      <c r="J16316" s="1063"/>
    </row>
    <row r="16317" spans="1:10" s="1064" customFormat="1" x14ac:dyDescent="0.25">
      <c r="A16317" s="262"/>
      <c r="B16317" s="1063"/>
      <c r="C16317" s="1063"/>
      <c r="D16317" s="1063"/>
      <c r="E16317" s="1063"/>
      <c r="F16317" s="1063"/>
      <c r="G16317" s="1063"/>
      <c r="H16317" s="1063"/>
      <c r="I16317" s="1063"/>
      <c r="J16317" s="1063"/>
    </row>
    <row r="16318" spans="1:10" s="1064" customFormat="1" x14ac:dyDescent="0.25">
      <c r="A16318" s="262"/>
      <c r="B16318" s="1063"/>
      <c r="C16318" s="1063"/>
      <c r="D16318" s="1063"/>
      <c r="E16318" s="1063"/>
      <c r="F16318" s="1063"/>
      <c r="G16318" s="1063"/>
      <c r="H16318" s="1063"/>
      <c r="I16318" s="1063"/>
      <c r="J16318" s="1063"/>
    </row>
    <row r="16319" spans="1:10" s="1064" customFormat="1" x14ac:dyDescent="0.25">
      <c r="A16319" s="262"/>
      <c r="B16319" s="1063"/>
      <c r="C16319" s="1063"/>
      <c r="D16319" s="1063"/>
      <c r="E16319" s="1063"/>
      <c r="F16319" s="1063"/>
      <c r="G16319" s="1063"/>
      <c r="H16319" s="1063"/>
      <c r="I16319" s="1063"/>
      <c r="J16319" s="1063"/>
    </row>
    <row r="16320" spans="1:10" s="1064" customFormat="1" x14ac:dyDescent="0.25">
      <c r="A16320" s="262"/>
      <c r="B16320" s="1063"/>
      <c r="C16320" s="1063"/>
      <c r="D16320" s="1063"/>
      <c r="E16320" s="1063"/>
      <c r="F16320" s="1063"/>
      <c r="G16320" s="1063"/>
      <c r="H16320" s="1063"/>
      <c r="I16320" s="1063"/>
      <c r="J16320" s="1063"/>
    </row>
    <row r="16321" spans="1:10" s="1064" customFormat="1" x14ac:dyDescent="0.25">
      <c r="A16321" s="262"/>
      <c r="B16321" s="1063"/>
      <c r="C16321" s="1063"/>
      <c r="D16321" s="1063"/>
      <c r="E16321" s="1063"/>
      <c r="F16321" s="1063"/>
      <c r="G16321" s="1063"/>
      <c r="H16321" s="1063"/>
      <c r="I16321" s="1063"/>
      <c r="J16321" s="1063"/>
    </row>
    <row r="16322" spans="1:10" s="1064" customFormat="1" x14ac:dyDescent="0.25">
      <c r="A16322" s="262"/>
      <c r="B16322" s="1063"/>
      <c r="C16322" s="1063"/>
      <c r="D16322" s="1063"/>
      <c r="E16322" s="1063"/>
      <c r="F16322" s="1063"/>
      <c r="G16322" s="1063"/>
      <c r="H16322" s="1063"/>
      <c r="I16322" s="1063"/>
      <c r="J16322" s="1063"/>
    </row>
    <row r="16323" spans="1:10" s="1064" customFormat="1" x14ac:dyDescent="0.25">
      <c r="A16323" s="262"/>
      <c r="B16323" s="1063"/>
      <c r="C16323" s="1063"/>
      <c r="D16323" s="1063"/>
      <c r="E16323" s="1063"/>
      <c r="F16323" s="1063"/>
      <c r="G16323" s="1063"/>
      <c r="H16323" s="1063"/>
      <c r="I16323" s="1063"/>
      <c r="J16323" s="1063"/>
    </row>
    <row r="16324" spans="1:10" s="1064" customFormat="1" x14ac:dyDescent="0.25">
      <c r="A16324" s="262"/>
      <c r="B16324" s="1063"/>
      <c r="C16324" s="1063"/>
      <c r="D16324" s="1063"/>
      <c r="E16324" s="1063"/>
      <c r="F16324" s="1063"/>
      <c r="G16324" s="1063"/>
      <c r="H16324" s="1063"/>
      <c r="I16324" s="1063"/>
      <c r="J16324" s="1063"/>
    </row>
    <row r="16325" spans="1:10" s="1064" customFormat="1" x14ac:dyDescent="0.25">
      <c r="A16325" s="262"/>
      <c r="B16325" s="262"/>
      <c r="C16325" s="788"/>
      <c r="D16325" s="262"/>
      <c r="E16325" s="262"/>
      <c r="F16325" s="262"/>
      <c r="G16325" s="1066"/>
      <c r="H16325" s="559"/>
      <c r="I16325" s="560"/>
      <c r="J16325" s="560"/>
    </row>
    <row r="16326" spans="1:10" s="1064" customFormat="1" x14ac:dyDescent="0.25">
      <c r="A16326" s="262"/>
      <c r="B16326" s="262"/>
      <c r="C16326" s="788"/>
      <c r="D16326" s="262"/>
      <c r="E16326" s="262"/>
      <c r="F16326" s="262"/>
      <c r="G16326" s="1066"/>
      <c r="H16326" s="559"/>
      <c r="I16326" s="560"/>
      <c r="J16326" s="560"/>
    </row>
    <row r="16327" spans="1:10" s="1064" customFormat="1" x14ac:dyDescent="0.25">
      <c r="A16327" s="262"/>
      <c r="B16327" s="262"/>
      <c r="C16327" s="788"/>
      <c r="D16327" s="262"/>
      <c r="E16327" s="262"/>
      <c r="F16327" s="262"/>
      <c r="G16327" s="1066"/>
      <c r="H16327" s="559"/>
      <c r="I16327" s="560"/>
      <c r="J16327" s="560"/>
    </row>
    <row r="16328" spans="1:10" s="1064" customFormat="1" x14ac:dyDescent="0.25">
      <c r="A16328" s="262"/>
      <c r="B16328" s="262"/>
      <c r="C16328" s="788"/>
      <c r="D16328" s="262"/>
      <c r="E16328" s="262"/>
      <c r="F16328" s="262"/>
      <c r="G16328" s="1066"/>
      <c r="H16328" s="559"/>
      <c r="I16328" s="560"/>
      <c r="J16328" s="560"/>
    </row>
    <row r="16329" spans="1:10" s="1064" customFormat="1" x14ac:dyDescent="0.25">
      <c r="A16329" s="262"/>
      <c r="B16329" s="262"/>
      <c r="C16329" s="788"/>
      <c r="D16329" s="262"/>
      <c r="E16329" s="262"/>
      <c r="F16329" s="262"/>
      <c r="G16329" s="1066"/>
      <c r="H16329" s="559"/>
      <c r="I16329" s="560"/>
      <c r="J16329" s="560"/>
    </row>
    <row r="16330" spans="1:10" s="1064" customFormat="1" x14ac:dyDescent="0.25">
      <c r="A16330" s="262"/>
      <c r="B16330" s="262"/>
      <c r="C16330" s="788"/>
      <c r="D16330" s="262"/>
      <c r="E16330" s="262"/>
      <c r="F16330" s="262"/>
      <c r="G16330" s="1066"/>
      <c r="H16330" s="559"/>
      <c r="I16330" s="560"/>
      <c r="J16330" s="560"/>
    </row>
    <row r="16331" spans="1:10" s="1064" customFormat="1" x14ac:dyDescent="0.25">
      <c r="A16331" s="262"/>
      <c r="B16331" s="262"/>
      <c r="C16331" s="788"/>
      <c r="D16331" s="262"/>
      <c r="E16331" s="262"/>
      <c r="F16331" s="262"/>
      <c r="G16331" s="1066"/>
      <c r="H16331" s="559"/>
      <c r="I16331" s="560"/>
      <c r="J16331" s="560"/>
    </row>
    <row r="16332" spans="1:10" s="1064" customFormat="1" x14ac:dyDescent="0.25">
      <c r="A16332" s="262"/>
      <c r="B16332" s="262"/>
      <c r="C16332" s="788"/>
      <c r="D16332" s="262"/>
      <c r="E16332" s="262"/>
      <c r="F16332" s="262"/>
      <c r="G16332" s="1066"/>
      <c r="H16332" s="559"/>
      <c r="I16332" s="560"/>
      <c r="J16332" s="560"/>
    </row>
    <row r="16333" spans="1:10" s="1064" customFormat="1" x14ac:dyDescent="0.25">
      <c r="A16333" s="262"/>
      <c r="B16333" s="262"/>
      <c r="C16333" s="788"/>
      <c r="D16333" s="262"/>
      <c r="E16333" s="262"/>
      <c r="F16333" s="262"/>
      <c r="G16333" s="1066"/>
      <c r="H16333" s="559"/>
      <c r="I16333" s="560"/>
      <c r="J16333" s="560"/>
    </row>
    <row r="16334" spans="1:10" s="1064" customFormat="1" x14ac:dyDescent="0.25">
      <c r="A16334" s="262"/>
      <c r="B16334" s="262"/>
      <c r="C16334" s="788"/>
      <c r="D16334" s="262"/>
      <c r="E16334" s="262"/>
      <c r="F16334" s="262"/>
      <c r="G16334" s="1066"/>
      <c r="H16334" s="559"/>
      <c r="I16334" s="560"/>
      <c r="J16334" s="560"/>
    </row>
    <row r="16335" spans="1:10" s="1064" customFormat="1" x14ac:dyDescent="0.25">
      <c r="A16335" s="262"/>
      <c r="B16335" s="262"/>
      <c r="C16335" s="788"/>
      <c r="D16335" s="262"/>
      <c r="E16335" s="262"/>
      <c r="F16335" s="262"/>
      <c r="G16335" s="1066"/>
      <c r="H16335" s="559"/>
      <c r="I16335" s="560"/>
      <c r="J16335" s="560"/>
    </row>
    <row r="16336" spans="1:10" s="1064" customFormat="1" x14ac:dyDescent="0.25">
      <c r="A16336" s="262"/>
      <c r="B16336" s="262"/>
      <c r="C16336" s="788"/>
      <c r="D16336" s="262"/>
      <c r="E16336" s="262"/>
      <c r="F16336" s="262"/>
      <c r="G16336" s="1066"/>
      <c r="H16336" s="559"/>
      <c r="I16336" s="560"/>
      <c r="J16336" s="560"/>
    </row>
    <row r="16337" spans="1:10" s="1064" customFormat="1" x14ac:dyDescent="0.25">
      <c r="A16337" s="262"/>
      <c r="B16337" s="262"/>
      <c r="C16337" s="788"/>
      <c r="D16337" s="262"/>
      <c r="E16337" s="262"/>
      <c r="F16337" s="262"/>
      <c r="G16337" s="1066"/>
      <c r="H16337" s="559"/>
      <c r="I16337" s="560"/>
      <c r="J16337" s="560"/>
    </row>
    <row r="16338" spans="1:10" s="1064" customFormat="1" x14ac:dyDescent="0.25">
      <c r="A16338" s="262"/>
      <c r="B16338" s="262"/>
      <c r="C16338" s="788"/>
      <c r="D16338" s="262"/>
      <c r="E16338" s="262"/>
      <c r="F16338" s="262"/>
      <c r="G16338" s="1066"/>
      <c r="H16338" s="559"/>
      <c r="I16338" s="560"/>
      <c r="J16338" s="560"/>
    </row>
    <row r="16339" spans="1:10" s="1064" customFormat="1" x14ac:dyDescent="0.25">
      <c r="A16339" s="262"/>
      <c r="B16339" s="262"/>
      <c r="C16339" s="788"/>
      <c r="D16339" s="262"/>
      <c r="E16339" s="262"/>
      <c r="F16339" s="262"/>
      <c r="G16339" s="1066"/>
      <c r="H16339" s="559"/>
      <c r="I16339" s="560"/>
      <c r="J16339" s="560"/>
    </row>
    <row r="16340" spans="1:10" s="1064" customFormat="1" x14ac:dyDescent="0.25">
      <c r="A16340" s="262"/>
      <c r="B16340" s="262"/>
      <c r="C16340" s="788"/>
      <c r="D16340" s="262"/>
      <c r="E16340" s="262"/>
      <c r="F16340" s="262"/>
      <c r="G16340" s="1066"/>
      <c r="H16340" s="559"/>
      <c r="I16340" s="560"/>
      <c r="J16340" s="560"/>
    </row>
    <row r="16341" spans="1:10" s="1064" customFormat="1" x14ac:dyDescent="0.25">
      <c r="A16341" s="262"/>
      <c r="B16341" s="262"/>
      <c r="C16341" s="788"/>
      <c r="D16341" s="262"/>
      <c r="E16341" s="262"/>
      <c r="F16341" s="262"/>
      <c r="G16341" s="1066"/>
      <c r="H16341" s="559"/>
      <c r="I16341" s="560"/>
      <c r="J16341" s="560"/>
    </row>
    <row r="16342" spans="1:10" s="1064" customFormat="1" x14ac:dyDescent="0.25">
      <c r="A16342" s="262"/>
      <c r="B16342" s="262"/>
      <c r="C16342" s="788"/>
      <c r="D16342" s="262"/>
      <c r="E16342" s="262"/>
      <c r="F16342" s="262"/>
      <c r="G16342" s="1066"/>
      <c r="H16342" s="559"/>
      <c r="I16342" s="560"/>
      <c r="J16342" s="560"/>
    </row>
    <row r="16343" spans="1:10" s="1064" customFormat="1" x14ac:dyDescent="0.25">
      <c r="A16343" s="262"/>
      <c r="B16343" s="262"/>
      <c r="C16343" s="788"/>
      <c r="D16343" s="262"/>
      <c r="E16343" s="262"/>
      <c r="F16343" s="262"/>
      <c r="G16343" s="1066"/>
      <c r="H16343" s="559"/>
      <c r="I16343" s="560"/>
      <c r="J16343" s="560"/>
    </row>
    <row r="16344" spans="1:10" s="1064" customFormat="1" x14ac:dyDescent="0.25">
      <c r="A16344" s="262"/>
      <c r="B16344" s="262"/>
      <c r="C16344" s="788"/>
      <c r="D16344" s="262"/>
      <c r="E16344" s="262"/>
      <c r="F16344" s="262"/>
      <c r="G16344" s="1066"/>
      <c r="H16344" s="559"/>
      <c r="I16344" s="560"/>
      <c r="J16344" s="560"/>
    </row>
    <row r="16345" spans="1:10" s="1064" customFormat="1" x14ac:dyDescent="0.25">
      <c r="A16345" s="262"/>
      <c r="B16345" s="262"/>
      <c r="C16345" s="788"/>
      <c r="D16345" s="262"/>
      <c r="E16345" s="262"/>
      <c r="F16345" s="262"/>
      <c r="G16345" s="1066"/>
      <c r="H16345" s="559"/>
      <c r="I16345" s="560"/>
      <c r="J16345" s="560"/>
    </row>
    <row r="16346" spans="1:10" s="1064" customFormat="1" x14ac:dyDescent="0.25">
      <c r="A16346" s="262"/>
      <c r="B16346" s="262"/>
      <c r="C16346" s="788"/>
      <c r="D16346" s="262"/>
      <c r="E16346" s="262"/>
      <c r="F16346" s="262"/>
      <c r="G16346" s="1066"/>
      <c r="H16346" s="559"/>
      <c r="I16346" s="560"/>
      <c r="J16346" s="560"/>
    </row>
    <row r="16347" spans="1:10" s="1064" customFormat="1" x14ac:dyDescent="0.25">
      <c r="A16347" s="262"/>
      <c r="B16347" s="262"/>
      <c r="C16347" s="788"/>
      <c r="D16347" s="262"/>
      <c r="E16347" s="262"/>
      <c r="F16347" s="262"/>
      <c r="G16347" s="1066"/>
      <c r="H16347" s="559"/>
      <c r="I16347" s="560"/>
      <c r="J16347" s="560"/>
    </row>
    <row r="16348" spans="1:10" s="1064" customFormat="1" x14ac:dyDescent="0.25">
      <c r="A16348" s="262"/>
      <c r="B16348" s="262"/>
      <c r="C16348" s="788"/>
      <c r="D16348" s="262"/>
      <c r="E16348" s="262"/>
      <c r="F16348" s="262"/>
      <c r="G16348" s="1066"/>
      <c r="H16348" s="559"/>
      <c r="I16348" s="560"/>
      <c r="J16348" s="560"/>
    </row>
    <row r="16349" spans="1:10" s="1064" customFormat="1" x14ac:dyDescent="0.25">
      <c r="A16349" s="262"/>
      <c r="B16349" s="262"/>
      <c r="C16349" s="788"/>
      <c r="D16349" s="262"/>
      <c r="E16349" s="262"/>
      <c r="F16349" s="262"/>
      <c r="G16349" s="1066"/>
      <c r="H16349" s="559"/>
      <c r="I16349" s="560"/>
      <c r="J16349" s="560"/>
    </row>
    <row r="16350" spans="1:10" s="1064" customFormat="1" x14ac:dyDescent="0.25">
      <c r="A16350" s="262"/>
      <c r="B16350" s="262"/>
      <c r="C16350" s="788"/>
      <c r="D16350" s="262"/>
      <c r="E16350" s="262"/>
      <c r="F16350" s="262"/>
      <c r="G16350" s="1066"/>
      <c r="H16350" s="559"/>
      <c r="I16350" s="560"/>
      <c r="J16350" s="560"/>
    </row>
    <row r="16351" spans="1:10" s="1064" customFormat="1" x14ac:dyDescent="0.25">
      <c r="A16351" s="262"/>
      <c r="B16351" s="262"/>
      <c r="C16351" s="788"/>
      <c r="D16351" s="262"/>
      <c r="E16351" s="262"/>
      <c r="F16351" s="262"/>
      <c r="G16351" s="1066"/>
      <c r="H16351" s="559"/>
      <c r="I16351" s="560"/>
      <c r="J16351" s="560"/>
    </row>
    <row r="16352" spans="1:10" s="1064" customFormat="1" x14ac:dyDescent="0.25">
      <c r="A16352" s="262"/>
      <c r="B16352" s="262"/>
      <c r="C16352" s="788"/>
      <c r="D16352" s="262"/>
      <c r="E16352" s="262"/>
      <c r="F16352" s="262"/>
      <c r="G16352" s="1066"/>
      <c r="H16352" s="559"/>
      <c r="I16352" s="560"/>
      <c r="J16352" s="560"/>
    </row>
  </sheetData>
  <mergeCells count="4">
    <mergeCell ref="M4:V4"/>
    <mergeCell ref="M6:Y8"/>
    <mergeCell ref="M10:Y13"/>
    <mergeCell ref="A3:J3"/>
  </mergeCells>
  <printOptions horizontalCentered="1"/>
  <pageMargins left="0" right="0" top="0.55118110236220474" bottom="0.19685039370078741" header="0.31496062992125984" footer="0.31496062992125984"/>
  <pageSetup paperSize="9" scale="75" orientation="portrait" r:id="rId1"/>
  <cellWatches>
    <cellWatch r="H15001"/>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11</vt:i4>
      </vt:variant>
      <vt:variant>
        <vt:lpstr>Imenovani opsezi</vt:lpstr>
      </vt:variant>
      <vt:variant>
        <vt:i4>3</vt:i4>
      </vt:variant>
    </vt:vector>
  </HeadingPairs>
  <TitlesOfParts>
    <vt:vector size="14" baseType="lpstr">
      <vt:lpstr>Рачун финансирања</vt:lpstr>
      <vt:lpstr>Приџ,прим vs Расх,изд</vt:lpstr>
      <vt:lpstr>Оптшти део - (6)</vt:lpstr>
      <vt:lpstr>Капитални расходи</vt:lpstr>
      <vt:lpstr>По основ. нам.</vt:lpstr>
      <vt:lpstr>Програмска</vt:lpstr>
      <vt:lpstr>Расх по функц. </vt:lpstr>
      <vt:lpstr>Циљеви и индик.</vt:lpstr>
      <vt:lpstr>ПО КОРИСНИЦИМА</vt:lpstr>
      <vt:lpstr>Класификације</vt:lpstr>
      <vt:lpstr>Sheet1</vt:lpstr>
      <vt:lpstr>ljkl</vt:lpstr>
      <vt:lpstr>Ukupno_funkcionalna</vt:lpstr>
      <vt:lpstr>Ukupno_izdaci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sandra</cp:lastModifiedBy>
  <cp:lastPrinted>2017-06-06T07:20:56Z</cp:lastPrinted>
  <dcterms:created xsi:type="dcterms:W3CDTF">2014-09-23T08:37:30Z</dcterms:created>
  <dcterms:modified xsi:type="dcterms:W3CDTF">2017-06-07T05:37:56Z</dcterms:modified>
</cp:coreProperties>
</file>